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firstSheet="8" activeTab="12"/>
  </bookViews>
  <sheets>
    <sheet name="Rate Sheet Summary" sheetId="1" r:id="rId1"/>
    <sheet name="NS(SC) Deferred Acct." sheetId="2" r:id="rId2"/>
    <sheet name="NS(KC) Deferred Acct." sheetId="3" r:id="rId3"/>
    <sheet name="Sea_SS Deferred Acct." sheetId="4" r:id="rId4"/>
    <sheet name="Customer Counts" sheetId="5" r:id="rId5"/>
    <sheet name="2016-2017 Recy. Tons &amp; Revenue" sheetId="6" r:id="rId6"/>
    <sheet name="Composition" sheetId="7" r:id="rId7"/>
    <sheet name="CRC Prices &amp; Revenue" sheetId="8" r:id="rId8"/>
    <sheet name="Budget vs. Actual" sheetId="9" r:id="rId9"/>
    <sheet name="KC 2016-2017 Budget" sheetId="10" r:id="rId10"/>
    <sheet name="SC 2016-2017 Budget" sheetId="11" r:id="rId11"/>
    <sheet name="KC 2018-2019 Budget" sheetId="12" r:id="rId12"/>
    <sheet name="SC 2018-2019 Budget" sheetId="13" r:id="rId13"/>
    <sheet name="CRC Upgrades" sheetId="14" r:id="rId14"/>
    <sheet name="KC Recycling Incentive Analysis" sheetId="15" r:id="rId15"/>
    <sheet name="SC Recycling Incentive Analysis" sheetId="16" r:id="rId16"/>
  </sheets>
  <externalReferences>
    <externalReference r:id="rId19"/>
  </externalReferences>
  <definedNames>
    <definedName name="_xlnm.Print_Area" localSheetId="5">'2016-2017 Recy. Tons &amp; Revenue'!$A$1:$T$143</definedName>
    <definedName name="_xlnm.Print_Area" localSheetId="6">'Composition'!$A$1:$BR$17</definedName>
    <definedName name="_xlnm.Print_Area" localSheetId="7">'CRC Prices &amp; Revenue'!$B$1:$M$234</definedName>
    <definedName name="_xlnm.Print_Area" localSheetId="4">'Customer Counts'!$A$1:$X$42</definedName>
    <definedName name="_xlnm.Print_Area" localSheetId="9">'KC 2016-2017 Budget'!$A$1:$I$53</definedName>
    <definedName name="_xlnm.Print_Area" localSheetId="2">'NS(KC) Deferred Acct.'!$A$1:$Z$76</definedName>
    <definedName name="_xlnm.Print_Area" localSheetId="1">'NS(SC) Deferred Acct.'!$A$1:$Z$82</definedName>
    <definedName name="_xlnm.Print_Area" localSheetId="0">'Rate Sheet Summary'!$A$1:$L$65</definedName>
    <definedName name="_xlnm.Print_Area" localSheetId="10">'SC 2016-2017 Budget'!$A$1:$F$57</definedName>
    <definedName name="_xlnm.Print_Area" localSheetId="3">'Sea_SS Deferred Acct.'!$A$1:$Z$77</definedName>
    <definedName name="_xlnm.Print_Titles" localSheetId="5">'2016-2017 Recy. Tons &amp; Revenue'!$1:$7</definedName>
    <definedName name="_xlnm.Print_Titles" localSheetId="7">'CRC Prices &amp; Revenue'!$1:$3</definedName>
  </definedNames>
  <calcPr fullCalcOnLoad="1" iterate="1" iterateCount="100" iterateDelta="0.001"/>
</workbook>
</file>

<file path=xl/comments5.xml><?xml version="1.0" encoding="utf-8"?>
<comments xmlns="http://schemas.openxmlformats.org/spreadsheetml/2006/main">
  <authors>
    <author>Weinstein, Mike</author>
  </authors>
  <commentList>
    <comment ref="C5" authorId="0">
      <text>
        <r>
          <rPr>
            <b/>
            <sz val="9"/>
            <rFont val="Tahoma"/>
            <family val="2"/>
          </rPr>
          <t>Weinstein, Mike:</t>
        </r>
        <r>
          <rPr>
            <sz val="9"/>
            <rFont val="Tahoma"/>
            <family val="2"/>
          </rPr>
          <t xml:space="preserve">
Reclassiified 3,000 Newcastle customers from WUTC to Non-WUTC which were previously misclassified.</t>
        </r>
      </text>
    </comment>
  </commentList>
</comments>
</file>

<file path=xl/sharedStrings.xml><?xml version="1.0" encoding="utf-8"?>
<sst xmlns="http://schemas.openxmlformats.org/spreadsheetml/2006/main" count="1041" uniqueCount="373">
  <si>
    <t>Aluminum</t>
  </si>
  <si>
    <t>OCC</t>
  </si>
  <si>
    <t>Glass</t>
  </si>
  <si>
    <t>Newspaper</t>
  </si>
  <si>
    <t>Tin Cans</t>
  </si>
  <si>
    <t>Residue</t>
  </si>
  <si>
    <t>Mix Paper</t>
  </si>
  <si>
    <t>Tons</t>
  </si>
  <si>
    <t>PET</t>
  </si>
  <si>
    <t>#3 - 7</t>
  </si>
  <si>
    <t>HDPE Natl</t>
  </si>
  <si>
    <t>HDPE Col</t>
  </si>
  <si>
    <t>King County Revenue Sharing Plan Budget</t>
  </si>
  <si>
    <t xml:space="preserve">2016 - 2017 plan years </t>
  </si>
  <si>
    <t xml:space="preserve">King </t>
  </si>
  <si>
    <t>Seattle/</t>
  </si>
  <si>
    <t>County</t>
  </si>
  <si>
    <t>North Sound</t>
  </si>
  <si>
    <t>South Sound</t>
  </si>
  <si>
    <t>Customer Counts:</t>
  </si>
  <si>
    <t>Residential</t>
  </si>
  <si>
    <t>Tonnage:</t>
  </si>
  <si>
    <t>Residential and Multi-Family WUTC tonnage</t>
  </si>
  <si>
    <t>Revenues:</t>
  </si>
  <si>
    <t>Total Projected Commodity Revenue (based most recent 12 months average commodity values)</t>
  </si>
  <si>
    <t>Expenditures Budget:</t>
  </si>
  <si>
    <t xml:space="preserve">Estimated Revenue Sharing retained by Company </t>
  </si>
  <si>
    <t>Detailed Expenditures:</t>
  </si>
  <si>
    <t>Labor Cost Total (see detail below)</t>
  </si>
  <si>
    <t>Tasks As Outlined In RSA</t>
  </si>
  <si>
    <t>Task 1 - Quarterly Updates and Coordination Meetings</t>
  </si>
  <si>
    <t>Task 2 - Monthly Data Reporting Requirements</t>
  </si>
  <si>
    <t>Task 3 - Strategic Communications</t>
  </si>
  <si>
    <t>Task 6 - Organics</t>
  </si>
  <si>
    <t>Task 7 - Promotion of Recycling at Events</t>
  </si>
  <si>
    <t>Task 8 - Increase Recycling and Decrease Contamination</t>
  </si>
  <si>
    <t>Total RSA Task Fees (excluding capital)</t>
  </si>
  <si>
    <t>Total Budgeted Expenses</t>
  </si>
  <si>
    <t>Performance Incentive (5% of expenditures)</t>
  </si>
  <si>
    <t>Total Expenditures plus incentive</t>
  </si>
  <si>
    <t>Avg. lbs./customer/mo.</t>
  </si>
  <si>
    <t>Avg. revenue/ton</t>
  </si>
  <si>
    <t>Labor Cost Allocation</t>
  </si>
  <si>
    <t>Total Hours</t>
  </si>
  <si>
    <t>Hourly Rate</t>
  </si>
  <si>
    <t>Total 2 yrs</t>
  </si>
  <si>
    <t>Monthly Reporting (CC Team )</t>
  </si>
  <si>
    <t>Executive Management/Oversight (Mindy &amp; Mary)</t>
  </si>
  <si>
    <t>RSA Compliance Clerk (New Hire - budget, tracking docs for Gerty, P2P, invoices, ect)</t>
  </si>
  <si>
    <t>Other Managerial (Robin, Michelle, Accounting)</t>
  </si>
  <si>
    <t>Public Education Team &amp; Website Updates</t>
  </si>
  <si>
    <t>Intern recruitment</t>
  </si>
  <si>
    <t xml:space="preserve">Labor Cost Totals </t>
  </si>
  <si>
    <t>Snohomish County Revenue Sharing Plan Budget</t>
  </si>
  <si>
    <t>Snohomish</t>
  </si>
  <si>
    <t>Task 4 - Latino Behavior Study and Pilot</t>
  </si>
  <si>
    <t>Task 5 - Multifamily Recycling</t>
  </si>
  <si>
    <t xml:space="preserve">Task 9 - Schools Outreach </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</si>
  <si>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</si>
  <si>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</si>
  <si>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</si>
  <si>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</si>
  <si>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</si>
  <si>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</si>
  <si>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</si>
  <si>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</si>
  <si>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</si>
  <si>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</si>
  <si>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</si>
  <si>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</si>
  <si>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</si>
  <si>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</si>
  <si>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</si>
  <si>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</si>
  <si>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</si>
  <si>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Jan</t>
  </si>
  <si>
    <t>Feb.</t>
  </si>
  <si>
    <t>Mar.</t>
  </si>
  <si>
    <t>Apr.</t>
  </si>
  <si>
    <t>May</t>
  </si>
  <si>
    <t>Jun.</t>
  </si>
  <si>
    <t>Jul.</t>
  </si>
  <si>
    <t>Aug.</t>
  </si>
  <si>
    <t>Sep.</t>
  </si>
  <si>
    <t>Oct.</t>
  </si>
  <si>
    <t>Nov.</t>
  </si>
  <si>
    <t>Jan. '15</t>
  </si>
  <si>
    <t>Jun</t>
  </si>
  <si>
    <t>Jul</t>
  </si>
  <si>
    <t>Aug</t>
  </si>
  <si>
    <t>Sep</t>
  </si>
  <si>
    <t>Snohomish County:</t>
  </si>
  <si>
    <t>Dec</t>
  </si>
  <si>
    <t>WUTC</t>
  </si>
  <si>
    <t>Non-WUTC</t>
  </si>
  <si>
    <t>WM - Seattle/South Sound</t>
  </si>
  <si>
    <t>WM - Northwest</t>
  </si>
  <si>
    <t>Grand</t>
  </si>
  <si>
    <t>SS</t>
  </si>
  <si>
    <t>Seattle</t>
  </si>
  <si>
    <t>Total</t>
  </si>
  <si>
    <t>Sno-King</t>
  </si>
  <si>
    <t>Northwest</t>
  </si>
  <si>
    <t>Marysville</t>
  </si>
  <si>
    <t>Non-Reg</t>
  </si>
  <si>
    <t>Everett</t>
  </si>
  <si>
    <t>Feb</t>
  </si>
  <si>
    <t>Mar</t>
  </si>
  <si>
    <t>Apr</t>
  </si>
  <si>
    <t>Actual Average:</t>
  </si>
  <si>
    <t>WUTC - King County</t>
  </si>
  <si>
    <t>WUTC - Snohomish County</t>
  </si>
  <si>
    <t>Oct.; 2015</t>
  </si>
  <si>
    <t>Jan.; 2016</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</si>
  <si>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</si>
  <si>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</si>
  <si>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</si>
  <si>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</si>
  <si>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</si>
  <si>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</si>
  <si>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</si>
  <si>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</si>
  <si>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</si>
  <si>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</si>
  <si>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</si>
  <si>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</si>
  <si>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</si>
  <si>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</si>
  <si>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Oct; '15</t>
  </si>
  <si>
    <t>Jan. '16</t>
  </si>
  <si>
    <t>Jan. '17</t>
  </si>
  <si>
    <t>Oct., 2015</t>
  </si>
  <si>
    <t>Jan., 2016</t>
  </si>
  <si>
    <t>Jan., 2017</t>
  </si>
  <si>
    <t>2016 - 2017 Budget:</t>
  </si>
  <si>
    <t>Quarterly Updates and Coordination Meetings</t>
  </si>
  <si>
    <t>Monthly Data Reporting Requirements</t>
  </si>
  <si>
    <t>Task 1 - Single Family Residential Audience Outreach &amp; Education</t>
  </si>
  <si>
    <t>Task 2 - Multifamily Residential Audience Outreach &amp; Education</t>
  </si>
  <si>
    <t>Less: Amount overspent from prior RSA (net of incentive)</t>
  </si>
  <si>
    <t>Estimated Revenue Share</t>
  </si>
  <si>
    <t>Plan to Date Estimated Revenue Sharing Shortfall</t>
  </si>
  <si>
    <t>Projected Estimated Revenue Sharing Shortfall</t>
  </si>
  <si>
    <t>2016 - 2017 Pro Rata per Budget</t>
  </si>
  <si>
    <t>2016 - 2017 Total per Budget</t>
  </si>
  <si>
    <t>Pro Rata Revenue Sharing retained by Co. per budget</t>
  </si>
  <si>
    <t>Plus: held over funds from prior RSA</t>
  </si>
  <si>
    <t>Estimated Plan expenditures per budget</t>
  </si>
  <si>
    <t>Less: Performance Incentive Earned (5% of Expenditures)</t>
  </si>
  <si>
    <t>Proposed Reduction in Expenses due to revenue shortfall</t>
  </si>
  <si>
    <t>Revised expenditure budget</t>
  </si>
  <si>
    <t>Revised incentive</t>
  </si>
  <si>
    <t>Revised  Total Expenditures plus incentive</t>
  </si>
  <si>
    <t>Revenue Sharing retained by Co. per budget</t>
  </si>
  <si>
    <t>Revised Estimated Retained Revenue Sharing</t>
  </si>
  <si>
    <t xml:space="preserve">                     Price Out of Commodity Credits</t>
  </si>
  <si>
    <t>WM-North Sound (SC)</t>
  </si>
  <si>
    <t>WM-North Sound (KC)</t>
  </si>
  <si>
    <t>WM-South Sound</t>
  </si>
  <si>
    <t>Service</t>
  </si>
  <si>
    <t xml:space="preserve">Revised </t>
  </si>
  <si>
    <t>Current</t>
  </si>
  <si>
    <t>% Change</t>
  </si>
  <si>
    <t>SK</t>
  </si>
  <si>
    <t>Residential Recycle Credit</t>
  </si>
  <si>
    <t>Multi-Family Containers (a):</t>
  </si>
  <si>
    <t>Mini-can</t>
  </si>
  <si>
    <t>Cans</t>
  </si>
  <si>
    <t>35 gal cart</t>
  </si>
  <si>
    <t>64 gal cart</t>
  </si>
  <si>
    <t>96 gal cart</t>
  </si>
  <si>
    <t>1 yard</t>
  </si>
  <si>
    <t>1.50 yard</t>
  </si>
  <si>
    <t>2 yard</t>
  </si>
  <si>
    <t>3 yard</t>
  </si>
  <si>
    <t>4 yard</t>
  </si>
  <si>
    <t>6 yard</t>
  </si>
  <si>
    <t>8 yard</t>
  </si>
  <si>
    <t>4 yard compactor</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</si>
  <si>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</si>
  <si>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</si>
  <si>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</si>
  <si>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</si>
  <si>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</si>
  <si>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</si>
  <si>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</si>
  <si>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WASTE MANAGEMENT - Seattle/South Sound</t>
  </si>
  <si>
    <t>WUTC Deferred Accounting Methodology (King County)</t>
  </si>
  <si>
    <t>RECYCLING CREDITS(CHARGES)-RESIDENTIAL</t>
  </si>
  <si>
    <t>Present rate structure:</t>
  </si>
  <si>
    <t>TOTAL</t>
  </si>
  <si>
    <t>Recycle rate</t>
  </si>
  <si>
    <t>TONS</t>
  </si>
  <si>
    <t>%</t>
  </si>
  <si>
    <t>Credit to Customer</t>
  </si>
  <si>
    <t>NEWSPAPER</t>
  </si>
  <si>
    <t>Net recycle rate</t>
  </si>
  <si>
    <t>MIXED I</t>
  </si>
  <si>
    <t>ALUMINUM</t>
  </si>
  <si>
    <t>TIN</t>
  </si>
  <si>
    <t>Proposed rate structure:</t>
  </si>
  <si>
    <t>GLASS</t>
  </si>
  <si>
    <t>PET PLASTIC</t>
  </si>
  <si>
    <t>HDPE -Natural</t>
  </si>
  <si>
    <t>HDPE-Colored</t>
  </si>
  <si>
    <t>Mixed Plastics</t>
  </si>
  <si>
    <t>Ave. Customers:</t>
  </si>
  <si>
    <t>Ave. 12 mo. Credit</t>
  </si>
  <si>
    <t>NET REVENUE</t>
  </si>
  <si>
    <t>Net</t>
  </si>
  <si>
    <t>Cumulative</t>
  </si>
  <si>
    <t>Credit/</t>
  </si>
  <si>
    <t>Per Cust.</t>
  </si>
  <si>
    <t>Customer</t>
  </si>
  <si>
    <t>Credits</t>
  </si>
  <si>
    <t>Initial</t>
  </si>
  <si>
    <t>4/1/96-</t>
  </si>
  <si>
    <t>2/1/97-</t>
  </si>
  <si>
    <t>2/1/98-</t>
  </si>
  <si>
    <t>2/1/99-</t>
  </si>
  <si>
    <t>2/1/00-</t>
  </si>
  <si>
    <t>2/1/01-</t>
  </si>
  <si>
    <t>3/1/02-</t>
  </si>
  <si>
    <t>5/1/03-</t>
  </si>
  <si>
    <t>5/1/04-</t>
  </si>
  <si>
    <t>5/1/05-</t>
  </si>
  <si>
    <t>5/1/06-</t>
  </si>
  <si>
    <t>5/1/07-</t>
  </si>
  <si>
    <t>5/1/08-</t>
  </si>
  <si>
    <t>5/1/09-</t>
  </si>
  <si>
    <t>5/1/10-</t>
  </si>
  <si>
    <t>9/1/11-</t>
  </si>
  <si>
    <t>10/1/12-</t>
  </si>
  <si>
    <t>10/1/13-</t>
  </si>
  <si>
    <t>10/1/14-</t>
  </si>
  <si>
    <t>Rate</t>
  </si>
  <si>
    <t>1/31/97</t>
  </si>
  <si>
    <t>1/31/98</t>
  </si>
  <si>
    <t>1/31/99</t>
  </si>
  <si>
    <t>1/31/00</t>
  </si>
  <si>
    <t>1/31/01</t>
  </si>
  <si>
    <t>2/28/02</t>
  </si>
  <si>
    <t>4/30/03</t>
  </si>
  <si>
    <t>4/30/04</t>
  </si>
  <si>
    <t>4/30/05</t>
  </si>
  <si>
    <t>4/30/06</t>
  </si>
  <si>
    <t>4/30/07</t>
  </si>
  <si>
    <t>4/30/08</t>
  </si>
  <si>
    <t>4/30/09</t>
  </si>
  <si>
    <t>4/30/10</t>
  </si>
  <si>
    <t>8/31/11</t>
  </si>
  <si>
    <t>9/30/12</t>
  </si>
  <si>
    <t>9/30/13</t>
  </si>
  <si>
    <t>9/30/14</t>
  </si>
  <si>
    <t>9/30/15</t>
  </si>
  <si>
    <t>Net Company Commodity Revenue</t>
  </si>
  <si>
    <t>Less:  Revenue Sharing per RCW 81.77.185 (percentages vary by year)</t>
  </si>
  <si>
    <t>Less: Total Customer Credits</t>
  </si>
  <si>
    <t>Total Surplus/(Deficit) Revenue</t>
  </si>
  <si>
    <t># of Months Credit in Effect</t>
  </si>
  <si>
    <t>Monthly Surplus/(Deficit) Revenue</t>
  </si>
  <si>
    <t>Average # of Customers(net of Shoreline)</t>
  </si>
  <si>
    <t>Monthly +/(-) Revenue per Customer</t>
  </si>
  <si>
    <t>Recycle Adjustment Calculation:</t>
  </si>
  <si>
    <t>Previous 12 month average credit(charge) per customer</t>
  </si>
  <si>
    <t>(1996-1998 used a 3 month average)</t>
  </si>
  <si>
    <t>CREDIT/(CHARGE)-as restated</t>
  </si>
  <si>
    <t>Add: Amount under (over) spent out of prior years retainage (net of incentive)</t>
  </si>
  <si>
    <t>CREDIT/(CHARGE)-actual billed</t>
  </si>
  <si>
    <t>Total Annualized Tons</t>
  </si>
  <si>
    <t>Total Average # of Customers</t>
  </si>
  <si>
    <t>lbs. Per month per customer</t>
  </si>
  <si>
    <t>Revenue per Ton</t>
  </si>
  <si>
    <t>WASTE MANAGEMENT - NORTH SOUND</t>
  </si>
  <si>
    <t>Company Average</t>
  </si>
  <si>
    <t>WUTC Deferred Accounting Methodology (Snohomish County)</t>
  </si>
  <si>
    <t>Sno. Cty</t>
  </si>
  <si>
    <t>Sno. County</t>
  </si>
  <si>
    <t>Less: Shoreline</t>
  </si>
  <si>
    <t xml:space="preserve">City Contract from 2001 </t>
  </si>
  <si>
    <t>Net Surplus/(Deficit) Revenue</t>
  </si>
  <si>
    <t>CREDIT/(CHARGE)-actual billed(Everett)</t>
  </si>
  <si>
    <t>Total Annualized Tons(net of Shoreline)</t>
  </si>
  <si>
    <t>Total Average # of Customers(net of Shoreline)</t>
  </si>
  <si>
    <t>10/1/15-</t>
  </si>
  <si>
    <t>9/30/16</t>
  </si>
  <si>
    <t>Sharing</t>
  </si>
  <si>
    <t>Recycling Customer Counts</t>
  </si>
  <si>
    <t>2016-2017 RSA Plan Years</t>
  </si>
  <si>
    <t>Single Stream Composition-CRC</t>
  </si>
  <si>
    <t>Budget</t>
  </si>
  <si>
    <t>10/1/16-</t>
  </si>
  <si>
    <t>9/30/17</t>
  </si>
  <si>
    <t>Oct., 2016</t>
  </si>
  <si>
    <t>Most recent 12 months</t>
  </si>
  <si>
    <t>1996-2017</t>
  </si>
  <si>
    <t>King and Snohomish County Revenue Sharing Plan Budget</t>
  </si>
  <si>
    <t>Budget vs. Actual Comparison</t>
  </si>
  <si>
    <t>Bi-Annual Budget</t>
  </si>
  <si>
    <t>Bi-Annual Actual</t>
  </si>
  <si>
    <t>Actual</t>
  </si>
  <si>
    <t>Projected</t>
  </si>
  <si>
    <t>Through</t>
  </si>
  <si>
    <t>Actual vs.</t>
  </si>
  <si>
    <t>Expenditures:</t>
  </si>
  <si>
    <t>Allocated Labor Costs(see detail below)</t>
  </si>
  <si>
    <t xml:space="preserve">Revenues less expenses and incentive -over(under) spent </t>
  </si>
  <si>
    <t>% allocated to each County</t>
  </si>
  <si>
    <t>Cost/Hr.</t>
  </si>
  <si>
    <t xml:space="preserve">Cost </t>
  </si>
  <si>
    <t xml:space="preserve">2016 - 2017 plan years - (January, 2016 - December, 2017) </t>
  </si>
  <si>
    <t>Sept., 2017</t>
  </si>
  <si>
    <t>Residential (average)</t>
  </si>
  <si>
    <t xml:space="preserve">2018 - 2019 plan years </t>
  </si>
  <si>
    <t>RSA Project Manager</t>
  </si>
  <si>
    <t>Intern recruitment &amp; Management</t>
  </si>
  <si>
    <t>Add: Funds underspent from prior RSA</t>
  </si>
  <si>
    <t>Task 1 - Strategic Communications</t>
  </si>
  <si>
    <t>Task 2 - Latino Behavior Study and Pilot</t>
  </si>
  <si>
    <t>Task 3 - Multifamily Recycling</t>
  </si>
  <si>
    <t>Task 4 - Organics</t>
  </si>
  <si>
    <t>Task 5 - Promotion of Recycling at Events</t>
  </si>
  <si>
    <t>Task 6 - Increase Recycling and Decrease Contamination</t>
  </si>
  <si>
    <t xml:space="preserve">Task 7 - Schools Outreach </t>
  </si>
  <si>
    <t>Task 8 - CRC Upgrades</t>
  </si>
  <si>
    <t>Task 3 - CRC Upgrades</t>
  </si>
  <si>
    <t xml:space="preserve">Snohomish </t>
  </si>
  <si>
    <t>Regulated SS Tonnage</t>
  </si>
  <si>
    <t>Total SS Tonnage (past 24 months)</t>
  </si>
  <si>
    <t>% Regulated</t>
  </si>
  <si>
    <t>Total CRC Capital Improvements</t>
  </si>
  <si>
    <t>Amount Allocated to Regulated Operations</t>
  </si>
  <si>
    <t xml:space="preserve">Total Projected Commodity Revenue </t>
  </si>
  <si>
    <t xml:space="preserve">Revenue Sharing retained by Company </t>
  </si>
  <si>
    <t>(a)     Revenue Sharing for 2016-2017 plan</t>
  </si>
  <si>
    <t>Less:  Revenue Sharing per RCW 81.77.185 (2018-2019 plan)</t>
  </si>
  <si>
    <t xml:space="preserve">         Revenue Sharing for 2018-2019 plan</t>
  </si>
  <si>
    <t>King County Financial Incentive Analysis</t>
  </si>
  <si>
    <t>Oct. -Dec.</t>
  </si>
  <si>
    <t>Jan. -Sep.</t>
  </si>
  <si>
    <t>2013-2015</t>
  </si>
  <si>
    <t>2015-2017</t>
  </si>
  <si>
    <t>2013</t>
  </si>
  <si>
    <t>RSA Total</t>
  </si>
  <si>
    <t>2015</t>
  </si>
  <si>
    <t>Increase</t>
  </si>
  <si>
    <t>a.) Diversion:</t>
  </si>
  <si>
    <t xml:space="preserve"> RESIDENTIAL WASTE STREAM</t>
  </si>
  <si>
    <t xml:space="preserve">Residential Recycling </t>
  </si>
  <si>
    <t xml:space="preserve">Residential Yard Waste </t>
  </si>
  <si>
    <t xml:space="preserve">Residential Solid Waste </t>
  </si>
  <si>
    <t>TOTAL RESIDENTIAL</t>
  </si>
  <si>
    <t xml:space="preserve"> MULTIFAMILY WASTE STREAM</t>
  </si>
  <si>
    <t xml:space="preserve">Multifamily Recycling </t>
  </si>
  <si>
    <t xml:space="preserve">Multifamily Yard Waste </t>
  </si>
  <si>
    <t xml:space="preserve">Multifamily Solid Waste </t>
  </si>
  <si>
    <t>TOTAL MULTIFAMILY</t>
  </si>
  <si>
    <t xml:space="preserve"> TOTAL WASTE STREAM</t>
  </si>
  <si>
    <t>Total Diversion</t>
  </si>
  <si>
    <t>b.) Increase in YW Voluntary Subscriptions:</t>
  </si>
  <si>
    <t>2013 -2015</t>
  </si>
  <si>
    <t>2015 -2017</t>
  </si>
  <si>
    <t xml:space="preserve">Garbage </t>
  </si>
  <si>
    <t>Yard Waste</t>
  </si>
  <si>
    <t xml:space="preserve">Oct </t>
  </si>
  <si>
    <t>Snohomish County Financial Incentive Analysis</t>
  </si>
  <si>
    <t>2016 - 2017 RSA</t>
  </si>
  <si>
    <t>3-Year</t>
  </si>
  <si>
    <t>YTD</t>
  </si>
  <si>
    <t>Annualized</t>
  </si>
  <si>
    <t>Over</t>
  </si>
  <si>
    <t>Rolling Avg.</t>
  </si>
  <si>
    <t>(under)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</si>
</sst>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quot;$&quot;* #,##0.0_);_(&quot;$&quot;* \(#,##0.0\);_(&quot;$&quot;* &quot;-&quot;??_);_(@_)"/>
    <numFmt numFmtId="168" formatCode="_(&quot;$&quot;* #,##0.000_);_(&quot;$&quot;* \(#,##0.000\);_(&quot;$&quot;* &quot;-&quot;???_);_(@_)"/>
    <numFmt numFmtId="169" formatCode="_(&quot;$&quot;* #,##0.0_);_(&quot;$&quot;* \(#,##0.0\);_(&quot;$&quot;* &quot;-&quot;?_);_(@_)"/>
    <numFmt numFmtId="170" formatCode="[$-409]mmmm\-yy;@"/>
    <numFmt numFmtId="171" formatCode="[$$-409]#,##0.00"/>
    <numFmt numFmtId="172" formatCode="[$$-409]#,##0"/>
    <numFmt numFmtId="173" formatCode="_(&quot;$&quot;* #,##0.00_);_(&quot;$&quot;* \(#,##0.00\);_(&quot;$&quot;* &quot;-&quot;_);_(@_)"/>
    <numFmt numFmtId="174" formatCode="_(* #,##0.0_);_(* \(#,##0.0\);_(* &quot;-&quot;??_);_(@_)"/>
    <numFmt numFmtId="175" formatCode="#,##0.0_);\(#,##0.0\)"/>
    <numFmt numFmtId="176" formatCode="_(&quot;$&quot;* #,##0.000_);_(&quot;$&quot;* \(#,##0.000\);_(&quot;$&quot;* &quot;-&quot;??_);_(@_)"/>
  </numFmts>
  <fonts count="145">
    <font>
      <sz val="10"/>
      <name val="Arial"/>
      <family val="0"/>
    </font>
    <font>
      <b/>
      <sz val="10"/>
      <name val="Arial"/>
      <family val="2"/>
    </font>
    <font>
      <b/>
      <i/>
      <u val="single"/>
      <sz val="10"/>
      <name val="Arial"/>
      <family val="2"/>
    </font>
    <font>
      <u val="singleAccounting"/>
      <sz val="10"/>
      <name val="Arial"/>
      <family val="2"/>
    </font>
    <font>
      <u val="single"/>
      <sz val="10"/>
      <name val="Arial"/>
      <family val="2"/>
    </font>
    <font>
      <b/>
      <u val="double"/>
      <sz val="10"/>
      <name val="Arial"/>
      <family val="2"/>
    </font>
    <font>
      <sz val="10"/>
      <color indexed="10"/>
      <name val="Arial"/>
      <family val="2"/>
    </font>
    <font>
      <b/>
      <u val="single"/>
      <sz val="10"/>
      <name val="Arial"/>
      <family val="2"/>
    </font>
    <font>
      <b/>
      <u val="singleAccounting"/>
      <sz val="10"/>
      <name val="Arial"/>
      <family val="2"/>
    </font>
    <font>
      <b/>
      <sz val="9"/>
      <name val="Tahoma"/>
      <family val="2"/>
    </font>
    <font>
      <sz val="9"/>
      <name val="Tahoma"/>
      <family val="2"/>
    </font>
    <font>
      <sz val="9"/>
      <name val="Arial"/>
      <family val="2"/>
    </font>
    <font>
      <b/>
      <sz val="16"/>
      <name val="Arial"/>
      <family val="2"/>
    </font>
    <font>
      <u val="singleAccounting"/>
      <sz val="9"/>
      <name val="Arial"/>
      <family val="2"/>
    </font>
    <font>
      <b/>
      <u val="doubleAccounting"/>
      <sz val="10"/>
      <name val="Arial"/>
      <family val="2"/>
    </font>
    <font>
      <sz val="10"/>
      <color indexed="8"/>
      <name val="Arial"/>
      <family val="2"/>
    </font>
    <font>
      <b/>
      <i/>
      <sz val="18"/>
      <name val="Arial MT"/>
      <family val="0"/>
    </font>
    <font>
      <b/>
      <sz val="12"/>
      <name val="Arial MT"/>
      <family val="0"/>
    </font>
    <font>
      <b/>
      <u val="single"/>
      <sz val="12"/>
      <name val="Arial MT"/>
      <family val="0"/>
    </font>
    <font>
      <sz val="12"/>
      <name val="Arial"/>
      <family val="2"/>
    </font>
    <font>
      <u val="single"/>
      <sz val="12"/>
      <name val="Arial"/>
      <family val="2"/>
    </font>
    <font>
      <sz val="12"/>
      <color indexed="12"/>
      <name val="Arial MT"/>
      <family val="0"/>
    </font>
    <font>
      <b/>
      <u val="double"/>
      <sz val="12"/>
      <name val="Arial"/>
      <family val="2"/>
    </font>
    <font>
      <sz val="12"/>
      <name val="Arial MT"/>
      <family val="0"/>
    </font>
    <font>
      <b/>
      <sz val="12"/>
      <name val="Arial"/>
      <family val="2"/>
    </font>
    <font>
      <b/>
      <u val="single"/>
      <sz val="10"/>
      <color indexed="10"/>
      <name val="Arial"/>
      <family val="2"/>
    </font>
    <font>
      <b/>
      <i/>
      <sz val="10"/>
      <name val="Arial"/>
      <family val="2"/>
    </font>
    <font>
      <b/>
      <sz val="10"/>
      <name val="Arial MT"/>
      <family val="0"/>
    </font>
    <font>
      <b/>
      <i/>
      <u val="double"/>
      <sz val="10"/>
      <name val="Arial"/>
      <family val="2"/>
    </font>
    <font>
      <i/>
      <sz val="10"/>
      <name val="Arial"/>
      <family val="2"/>
    </font>
    <font>
      <u val="double"/>
      <sz val="10"/>
      <name val="Arial"/>
      <family val="2"/>
    </font>
    <font>
      <b/>
      <i/>
      <u val="doubleAccounting"/>
      <sz val="9"/>
      <name val="Arial"/>
      <family val="2"/>
    </font>
    <font>
      <b/>
      <i/>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Accounting"/>
      <sz val="11"/>
      <name val="Calibri"/>
      <family val="2"/>
    </font>
    <font>
      <b/>
      <u val="double"/>
      <sz val="11"/>
      <name val="Calibri"/>
      <family val="2"/>
    </font>
    <font>
      <b/>
      <u val="single"/>
      <sz val="11"/>
      <name val="Calibri"/>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u val="singleAccounting"/>
      <sz val="11"/>
      <color indexed="8"/>
      <name val="Calibri"/>
      <family val="2"/>
    </font>
    <font>
      <b/>
      <u val="double"/>
      <sz val="11"/>
      <color indexed="8"/>
      <name val="Calibri"/>
      <family val="2"/>
    </font>
    <font>
      <b/>
      <u val="doubleAccounting"/>
      <sz val="11"/>
      <color indexed="8"/>
      <name val="Calibri"/>
      <family val="2"/>
    </font>
    <font>
      <b/>
      <sz val="18"/>
      <color indexed="8"/>
      <name val="Calibri"/>
      <family val="2"/>
    </font>
    <font>
      <b/>
      <sz val="12"/>
      <name val="Calibri"/>
      <family val="2"/>
    </font>
    <font>
      <b/>
      <sz val="11"/>
      <color indexed="10"/>
      <name val="Calibri"/>
      <family val="2"/>
    </font>
    <font>
      <b/>
      <u val="single"/>
      <sz val="16"/>
      <color indexed="8"/>
      <name val="Calibri"/>
      <family val="2"/>
    </font>
    <font>
      <b/>
      <u val="single"/>
      <sz val="14"/>
      <color indexed="8"/>
      <name val="Calibri"/>
      <family val="2"/>
    </font>
    <font>
      <b/>
      <u val="singleAccounting"/>
      <sz val="10"/>
      <color indexed="8"/>
      <name val="Arial"/>
      <family val="2"/>
    </font>
    <font>
      <u val="singleAccounting"/>
      <sz val="11"/>
      <color indexed="10"/>
      <name val="Calibri"/>
      <family val="2"/>
    </font>
    <font>
      <b/>
      <i/>
      <u val="double"/>
      <sz val="10"/>
      <color indexed="8"/>
      <name val="Calibri"/>
      <family val="2"/>
    </font>
    <font>
      <b/>
      <u val="singleAccounting"/>
      <sz val="11"/>
      <color indexed="8"/>
      <name val="Calibri"/>
      <family val="2"/>
    </font>
    <font>
      <b/>
      <u val="doubleAccounting"/>
      <sz val="11"/>
      <color indexed="10"/>
      <name val="Calibri"/>
      <family val="2"/>
    </font>
    <font>
      <i/>
      <sz val="8"/>
      <color indexed="8"/>
      <name val="Calibri"/>
      <family val="2"/>
    </font>
    <font>
      <b/>
      <i/>
      <sz val="11"/>
      <color indexed="8"/>
      <name val="Calibri"/>
      <family val="2"/>
    </font>
    <font>
      <b/>
      <u val="singleAccounting"/>
      <sz val="11"/>
      <color indexed="10"/>
      <name val="Calibri"/>
      <family val="2"/>
    </font>
    <font>
      <b/>
      <u val="doubleAccounting"/>
      <sz val="10"/>
      <color indexed="8"/>
      <name val="Arial"/>
      <family val="2"/>
    </font>
    <font>
      <b/>
      <sz val="10"/>
      <color indexed="8"/>
      <name val="Arial"/>
      <family val="2"/>
    </font>
    <font>
      <b/>
      <u val="single"/>
      <sz val="10"/>
      <color indexed="8"/>
      <name val="Arial"/>
      <family val="2"/>
    </font>
    <font>
      <b/>
      <sz val="12"/>
      <color indexed="8"/>
      <name val="Arial"/>
      <family val="2"/>
    </font>
    <font>
      <u val="doubleAccounting"/>
      <sz val="11"/>
      <color indexed="17"/>
      <name val="Calibri"/>
      <family val="2"/>
    </font>
    <font>
      <b/>
      <i/>
      <u val="double"/>
      <sz val="11"/>
      <color indexed="8"/>
      <name val="Calibri"/>
      <family val="2"/>
    </font>
    <font>
      <b/>
      <sz val="11"/>
      <color indexed="17"/>
      <name val="Calibri"/>
      <family val="2"/>
    </font>
    <font>
      <b/>
      <u val="doubleAccounting"/>
      <sz val="11"/>
      <color indexed="17"/>
      <name val="Calibri"/>
      <family val="2"/>
    </font>
    <font>
      <b/>
      <i/>
      <u val="double"/>
      <sz val="10"/>
      <name val="Calibri"/>
      <family val="2"/>
    </font>
    <font>
      <i/>
      <sz val="10"/>
      <color indexed="8"/>
      <name val="Calibri"/>
      <family val="2"/>
    </font>
    <font>
      <b/>
      <sz val="12"/>
      <color indexed="8"/>
      <name val="Calibri"/>
      <family val="2"/>
    </font>
    <font>
      <b/>
      <sz val="14"/>
      <name val="Calibri"/>
      <family val="2"/>
    </font>
    <font>
      <b/>
      <u val="single"/>
      <sz val="12"/>
      <color indexed="8"/>
      <name val="Calibri"/>
      <family val="2"/>
    </font>
    <font>
      <b/>
      <i/>
      <sz val="11"/>
      <name val="Calibri"/>
      <family val="2"/>
    </font>
    <font>
      <u val="single"/>
      <sz val="11"/>
      <color indexed="8"/>
      <name val="Calibri"/>
      <family val="2"/>
    </font>
    <font>
      <b/>
      <i/>
      <sz val="11"/>
      <color indexed="10"/>
      <name val="Calibri"/>
      <family val="2"/>
    </font>
    <font>
      <b/>
      <i/>
      <u val="single"/>
      <sz val="11"/>
      <color indexed="8"/>
      <name val="Calibri"/>
      <family val="2"/>
    </font>
    <font>
      <b/>
      <i/>
      <u val="single"/>
      <sz val="12"/>
      <name val="Calibri"/>
      <family val="2"/>
    </font>
    <font>
      <b/>
      <i/>
      <u val="single"/>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Accounting"/>
      <sz val="11"/>
      <color theme="1"/>
      <name val="Calibri"/>
      <family val="2"/>
    </font>
    <font>
      <b/>
      <u val="double"/>
      <sz val="11"/>
      <color theme="1"/>
      <name val="Calibri"/>
      <family val="2"/>
    </font>
    <font>
      <b/>
      <u val="doubleAccounting"/>
      <sz val="11"/>
      <color theme="1"/>
      <name val="Calibri"/>
      <family val="2"/>
    </font>
    <font>
      <b/>
      <sz val="18"/>
      <color theme="1"/>
      <name val="Calibri"/>
      <family val="2"/>
    </font>
    <font>
      <b/>
      <sz val="11"/>
      <color rgb="FFFF0000"/>
      <name val="Calibri"/>
      <family val="2"/>
    </font>
    <font>
      <b/>
      <u val="single"/>
      <sz val="16"/>
      <color theme="1"/>
      <name val="Calibri"/>
      <family val="2"/>
    </font>
    <font>
      <b/>
      <u val="single"/>
      <sz val="14"/>
      <color theme="1"/>
      <name val="Calibri"/>
      <family val="2"/>
    </font>
    <font>
      <sz val="10"/>
      <color theme="1"/>
      <name val="Arial"/>
      <family val="2"/>
    </font>
    <font>
      <b/>
      <u val="singleAccounting"/>
      <sz val="10"/>
      <color theme="1"/>
      <name val="Arial"/>
      <family val="2"/>
    </font>
    <font>
      <u val="singleAccounting"/>
      <sz val="11"/>
      <color rgb="FFFF0000"/>
      <name val="Calibri"/>
      <family val="2"/>
    </font>
    <font>
      <sz val="10"/>
      <color rgb="FFFF0000"/>
      <name val="Arial"/>
      <family val="2"/>
    </font>
    <font>
      <b/>
      <i/>
      <u val="double"/>
      <sz val="10"/>
      <color theme="1"/>
      <name val="Calibri"/>
      <family val="2"/>
    </font>
    <font>
      <b/>
      <u val="singleAccounting"/>
      <sz val="11"/>
      <color theme="1"/>
      <name val="Calibri"/>
      <family val="2"/>
    </font>
    <font>
      <b/>
      <u val="doubleAccounting"/>
      <sz val="11"/>
      <color rgb="FFFF0000"/>
      <name val="Calibri"/>
      <family val="2"/>
    </font>
    <font>
      <i/>
      <sz val="8"/>
      <color theme="1"/>
      <name val="Calibri"/>
      <family val="2"/>
    </font>
    <font>
      <b/>
      <i/>
      <sz val="11"/>
      <color theme="1"/>
      <name val="Calibri"/>
      <family val="2"/>
    </font>
    <font>
      <b/>
      <u val="singleAccounting"/>
      <sz val="11"/>
      <color rgb="FFFF0000"/>
      <name val="Calibri"/>
      <family val="2"/>
    </font>
    <font>
      <b/>
      <u val="doubleAccounting"/>
      <sz val="10"/>
      <color theme="1"/>
      <name val="Arial"/>
      <family val="2"/>
    </font>
    <font>
      <b/>
      <sz val="10"/>
      <color theme="1"/>
      <name val="Arial"/>
      <family val="2"/>
    </font>
    <font>
      <b/>
      <u val="single"/>
      <sz val="10"/>
      <color theme="1"/>
      <name val="Arial"/>
      <family val="2"/>
    </font>
    <font>
      <b/>
      <sz val="12"/>
      <color theme="1"/>
      <name val="Arial"/>
      <family val="2"/>
    </font>
    <font>
      <sz val="11"/>
      <color rgb="FF00B050"/>
      <name val="Calibri"/>
      <family val="2"/>
    </font>
    <font>
      <u val="doubleAccounting"/>
      <sz val="11"/>
      <color rgb="FF00B050"/>
      <name val="Calibri"/>
      <family val="2"/>
    </font>
    <font>
      <b/>
      <i/>
      <u val="double"/>
      <sz val="11"/>
      <color theme="1"/>
      <name val="Calibri"/>
      <family val="2"/>
    </font>
    <font>
      <b/>
      <sz val="11"/>
      <color rgb="FF00B050"/>
      <name val="Calibri"/>
      <family val="2"/>
    </font>
    <font>
      <b/>
      <u val="doubleAccounting"/>
      <sz val="11"/>
      <color rgb="FF00B050"/>
      <name val="Calibri"/>
      <family val="2"/>
    </font>
    <font>
      <i/>
      <sz val="10"/>
      <color theme="1"/>
      <name val="Calibri"/>
      <family val="2"/>
    </font>
    <font>
      <b/>
      <sz val="12"/>
      <color theme="1"/>
      <name val="Calibri"/>
      <family val="2"/>
    </font>
    <font>
      <b/>
      <u val="single"/>
      <sz val="12"/>
      <color theme="1"/>
      <name val="Calibri"/>
      <family val="2"/>
    </font>
    <font>
      <u val="single"/>
      <sz val="11"/>
      <color theme="1"/>
      <name val="Calibri"/>
      <family val="2"/>
    </font>
    <font>
      <b/>
      <i/>
      <u val="single"/>
      <sz val="11"/>
      <color theme="1"/>
      <name val="Calibri"/>
      <family val="2"/>
    </font>
    <font>
      <b/>
      <i/>
      <u val="single"/>
      <sz val="12"/>
      <color theme="1"/>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gray125">
        <fgColor indexed="8"/>
      </patternFill>
    </fill>
    <fill>
      <patternFill patternType="solid">
        <fgColor indexed="23"/>
        <bgColor indexed="64"/>
      </patternFill>
    </fill>
    <fill>
      <patternFill patternType="solid">
        <fgColor indexed="9"/>
        <bgColor indexed="64"/>
      </patternFill>
    </fill>
    <fill>
      <patternFill patternType="gray125">
        <fgColor indexed="8"/>
        <bgColor indexed="9"/>
      </patternFill>
    </fill>
    <fill>
      <patternFill patternType="solid">
        <fgColor indexed="43"/>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double">
        <color indexed="8"/>
      </bottom>
    </border>
    <border>
      <left/>
      <right/>
      <top style="double"/>
      <bottom/>
    </border>
    <border>
      <left style="double">
        <color indexed="8"/>
      </left>
      <right style="double">
        <color indexed="8"/>
      </right>
      <top style="double">
        <color indexed="8"/>
      </top>
      <bottom style="double">
        <color indexed="8"/>
      </bottom>
    </border>
    <border>
      <left style="medium"/>
      <right style="medium"/>
      <top/>
      <bottom style="thin">
        <color indexed="8"/>
      </bottom>
    </border>
    <border>
      <left/>
      <right/>
      <top/>
      <bottom style="thin"/>
    </border>
    <border>
      <left/>
      <right style="medium"/>
      <top/>
      <bottom style="thin"/>
    </border>
    <border>
      <left style="medium"/>
      <right style="medium"/>
      <top/>
      <bottom style="thin"/>
    </border>
    <border>
      <left style="medium"/>
      <right style="medium"/>
      <top/>
      <bottom style="double">
        <color indexed="8"/>
      </bottom>
    </border>
    <border>
      <left style="medium"/>
      <right style="medium"/>
      <top/>
      <bottom style="double"/>
    </border>
    <border>
      <left/>
      <right/>
      <top/>
      <bottom style="double"/>
    </border>
    <border>
      <left/>
      <right style="medium"/>
      <top/>
      <bottom style="double"/>
    </border>
    <border>
      <left style="medium"/>
      <right style="medium"/>
      <top style="double"/>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624">
    <xf numFmtId="0" fontId="0" fillId="0" borderId="0" xfId="0" applyAlignment="1">
      <alignment/>
    </xf>
    <xf numFmtId="0" fontId="1"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164" fontId="0" fillId="0" borderId="12" xfId="63" applyNumberFormat="1" applyFont="1"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7" fontId="2" fillId="0" borderId="15" xfId="0" applyNumberFormat="1" applyFont="1" applyBorder="1" applyAlignment="1">
      <alignment horizontal="right"/>
    </xf>
    <xf numFmtId="0" fontId="0" fillId="0" borderId="0" xfId="0" applyFont="1" applyAlignment="1">
      <alignment/>
    </xf>
    <xf numFmtId="0" fontId="0" fillId="0" borderId="0" xfId="0" applyBorder="1" applyAlignment="1">
      <alignment/>
    </xf>
    <xf numFmtId="0" fontId="109" fillId="0" borderId="0" xfId="0" applyFont="1" applyAlignment="1">
      <alignment horizontal="center"/>
    </xf>
    <xf numFmtId="0" fontId="111" fillId="0" borderId="0" xfId="0" applyFont="1" applyAlignment="1">
      <alignment horizontal="center"/>
    </xf>
    <xf numFmtId="14" fontId="111" fillId="0" borderId="0" xfId="0" applyNumberFormat="1" applyFont="1" applyAlignment="1">
      <alignment horizontal="center"/>
    </xf>
    <xf numFmtId="43" fontId="0" fillId="0" borderId="11" xfId="42" applyFont="1" applyBorder="1" applyAlignment="1">
      <alignment horizontal="right"/>
    </xf>
    <xf numFmtId="164" fontId="0" fillId="0" borderId="12" xfId="64" applyNumberFormat="1" applyFont="1" applyBorder="1" applyAlignment="1">
      <alignment horizontal="right"/>
    </xf>
    <xf numFmtId="43" fontId="0" fillId="0" borderId="11" xfId="44" applyFont="1" applyBorder="1" applyAlignment="1">
      <alignment horizontal="right"/>
    </xf>
    <xf numFmtId="164" fontId="94" fillId="0" borderId="0" xfId="63" applyNumberFormat="1" applyFont="1" applyAlignment="1">
      <alignment/>
    </xf>
    <xf numFmtId="43" fontId="0" fillId="0" borderId="0" xfId="0" applyNumberFormat="1" applyAlignment="1">
      <alignment/>
    </xf>
    <xf numFmtId="43" fontId="3" fillId="0" borderId="11" xfId="44" applyFont="1" applyBorder="1" applyAlignment="1">
      <alignment horizontal="right"/>
    </xf>
    <xf numFmtId="43" fontId="112" fillId="0" borderId="0" xfId="0" applyNumberFormat="1" applyFont="1" applyAlignment="1">
      <alignment/>
    </xf>
    <xf numFmtId="0" fontId="1" fillId="0" borderId="16" xfId="0" applyFont="1" applyBorder="1" applyAlignment="1">
      <alignment/>
    </xf>
    <xf numFmtId="43" fontId="1" fillId="0" borderId="17" xfId="44" applyFont="1" applyBorder="1" applyAlignment="1">
      <alignment/>
    </xf>
    <xf numFmtId="9" fontId="1" fillId="0" borderId="18" xfId="0" applyNumberFormat="1" applyFont="1" applyBorder="1" applyAlignment="1">
      <alignment/>
    </xf>
    <xf numFmtId="164" fontId="113" fillId="0" borderId="0" xfId="0" applyNumberFormat="1" applyFont="1" applyAlignment="1">
      <alignment/>
    </xf>
    <xf numFmtId="43" fontId="114" fillId="0" borderId="0" xfId="0" applyNumberFormat="1" applyFont="1" applyAlignment="1">
      <alignment/>
    </xf>
    <xf numFmtId="0" fontId="115" fillId="0" borderId="0" xfId="0" applyFont="1" applyBorder="1" applyAlignment="1">
      <alignment/>
    </xf>
    <xf numFmtId="0" fontId="0" fillId="0" borderId="0" xfId="0" applyFill="1" applyAlignment="1">
      <alignment/>
    </xf>
    <xf numFmtId="0" fontId="63" fillId="0" borderId="0" xfId="0" applyFont="1" applyAlignment="1" quotePrefix="1">
      <alignment wrapText="1"/>
    </xf>
    <xf numFmtId="0" fontId="116" fillId="0" borderId="0" xfId="0" applyFont="1" applyAlignment="1">
      <alignment horizontal="right" wrapText="1"/>
    </xf>
    <xf numFmtId="0" fontId="116" fillId="0" borderId="0" xfId="0" applyFont="1" applyAlignment="1">
      <alignment horizontal="center" wrapText="1"/>
    </xf>
    <xf numFmtId="0" fontId="109" fillId="0" borderId="0" xfId="0" applyFont="1" applyBorder="1" applyAlignment="1">
      <alignment/>
    </xf>
    <xf numFmtId="0" fontId="116" fillId="0" borderId="0" xfId="0" applyFont="1" applyAlignment="1">
      <alignment wrapText="1"/>
    </xf>
    <xf numFmtId="0" fontId="111" fillId="0" borderId="0" xfId="0" applyFont="1" applyBorder="1" applyAlignment="1">
      <alignment/>
    </xf>
    <xf numFmtId="0" fontId="109" fillId="0" borderId="0" xfId="0" applyFont="1" applyFill="1" applyBorder="1" applyAlignment="1">
      <alignment/>
    </xf>
    <xf numFmtId="165" fontId="114" fillId="0" borderId="0" xfId="0" applyNumberFormat="1" applyFont="1" applyAlignment="1">
      <alignment/>
    </xf>
    <xf numFmtId="0" fontId="0" fillId="0" borderId="0" xfId="0" applyFill="1" applyBorder="1" applyAlignment="1">
      <alignment/>
    </xf>
    <xf numFmtId="0" fontId="117" fillId="0" borderId="0" xfId="0" applyFont="1" applyBorder="1" applyAlignment="1">
      <alignment/>
    </xf>
    <xf numFmtId="0" fontId="109" fillId="0" borderId="0" xfId="0" applyFont="1" applyAlignment="1">
      <alignment wrapText="1"/>
    </xf>
    <xf numFmtId="0" fontId="35" fillId="0" borderId="0" xfId="0" applyFont="1" applyAlignment="1">
      <alignment horizontal="right" wrapText="1"/>
    </xf>
    <xf numFmtId="166" fontId="0" fillId="0" borderId="0" xfId="0" applyNumberFormat="1" applyAlignment="1">
      <alignment/>
    </xf>
    <xf numFmtId="166" fontId="94" fillId="0" borderId="0" xfId="45" applyNumberFormat="1" applyFont="1" applyAlignment="1">
      <alignment/>
    </xf>
    <xf numFmtId="0" fontId="109" fillId="0" borderId="0" xfId="0" applyFont="1" applyBorder="1" applyAlignment="1">
      <alignment wrapText="1"/>
    </xf>
    <xf numFmtId="166" fontId="112" fillId="0" borderId="0" xfId="45" applyNumberFormat="1" applyFont="1" applyAlignment="1">
      <alignment/>
    </xf>
    <xf numFmtId="0" fontId="118" fillId="0" borderId="0" xfId="0" applyFont="1" applyBorder="1" applyAlignment="1">
      <alignment/>
    </xf>
    <xf numFmtId="0" fontId="33" fillId="0" borderId="0" xfId="0" applyFont="1" applyAlignment="1">
      <alignment wrapText="1"/>
    </xf>
    <xf numFmtId="0" fontId="33" fillId="0" borderId="0" xfId="0" applyFont="1" applyAlignment="1">
      <alignment horizontal="right" wrapText="1"/>
    </xf>
    <xf numFmtId="0" fontId="111" fillId="0" borderId="0" xfId="0" applyFont="1" applyBorder="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right" wrapText="1"/>
    </xf>
    <xf numFmtId="0" fontId="110" fillId="0" borderId="0" xfId="0" applyFont="1" applyAlignment="1">
      <alignment horizontal="right" wrapText="1"/>
    </xf>
    <xf numFmtId="0" fontId="35" fillId="0" borderId="0" xfId="0" applyFont="1" applyAlignment="1">
      <alignment wrapText="1"/>
    </xf>
    <xf numFmtId="0" fontId="33" fillId="0" borderId="0" xfId="0" applyFont="1" applyBorder="1" applyAlignment="1">
      <alignment horizontal="right" wrapText="1"/>
    </xf>
    <xf numFmtId="0" fontId="116" fillId="0" borderId="0" xfId="0" applyFont="1" applyBorder="1" applyAlignment="1">
      <alignment horizontal="right" wrapText="1"/>
    </xf>
    <xf numFmtId="6" fontId="33" fillId="0" borderId="0" xfId="45" applyNumberFormat="1" applyFont="1" applyAlignment="1">
      <alignment horizontal="right" wrapText="1"/>
    </xf>
    <xf numFmtId="6" fontId="116" fillId="0" borderId="0" xfId="45" applyNumberFormat="1" applyFont="1" applyAlignment="1">
      <alignment horizontal="right" wrapText="1"/>
    </xf>
    <xf numFmtId="6" fontId="33" fillId="0" borderId="0" xfId="45" applyNumberFormat="1" applyFont="1" applyAlignment="1">
      <alignment horizontal="center" wrapText="1"/>
    </xf>
    <xf numFmtId="164" fontId="38" fillId="0" borderId="0" xfId="63" applyNumberFormat="1" applyFont="1" applyAlignment="1">
      <alignment horizontal="center" wrapText="1"/>
    </xf>
    <xf numFmtId="0" fontId="0" fillId="13" borderId="19" xfId="0" applyFill="1" applyBorder="1" applyAlignment="1">
      <alignment wrapText="1"/>
    </xf>
    <xf numFmtId="0" fontId="0" fillId="13" borderId="20" xfId="0" applyFill="1" applyBorder="1" applyAlignment="1">
      <alignment wrapText="1"/>
    </xf>
    <xf numFmtId="0" fontId="0" fillId="13" borderId="20" xfId="0" applyFill="1" applyBorder="1" applyAlignment="1">
      <alignment horizontal="right" wrapText="1"/>
    </xf>
    <xf numFmtId="0" fontId="0" fillId="13" borderId="21" xfId="0" applyFill="1" applyBorder="1" applyAlignment="1">
      <alignment horizontal="right" wrapText="1"/>
    </xf>
    <xf numFmtId="0" fontId="111" fillId="13" borderId="22" xfId="0" applyFont="1" applyFill="1" applyBorder="1" applyAlignment="1">
      <alignment wrapText="1"/>
    </xf>
    <xf numFmtId="0" fontId="111" fillId="13" borderId="0" xfId="0" applyFont="1" applyFill="1" applyBorder="1" applyAlignment="1">
      <alignment horizontal="center" wrapText="1"/>
    </xf>
    <xf numFmtId="0" fontId="111" fillId="13" borderId="0" xfId="0" applyFont="1" applyFill="1" applyBorder="1" applyAlignment="1">
      <alignment/>
    </xf>
    <xf numFmtId="0" fontId="111" fillId="13" borderId="23" xfId="0" applyFont="1" applyFill="1" applyBorder="1" applyAlignment="1">
      <alignment horizontal="center"/>
    </xf>
    <xf numFmtId="0" fontId="0" fillId="13" borderId="22" xfId="0" applyFill="1" applyBorder="1" applyAlignment="1">
      <alignment wrapText="1"/>
    </xf>
    <xf numFmtId="165" fontId="94" fillId="13" borderId="0" xfId="42" applyNumberFormat="1" applyFont="1" applyFill="1" applyBorder="1" applyAlignment="1">
      <alignment horizontal="center" wrapText="1"/>
    </xf>
    <xf numFmtId="166" fontId="94" fillId="13" borderId="0" xfId="45" applyNumberFormat="1" applyFont="1" applyFill="1" applyBorder="1" applyAlignment="1">
      <alignment/>
    </xf>
    <xf numFmtId="166" fontId="94" fillId="13" borderId="23" xfId="45" applyNumberFormat="1" applyFont="1" applyFill="1" applyBorder="1" applyAlignment="1">
      <alignment/>
    </xf>
    <xf numFmtId="165" fontId="112" fillId="13" borderId="0" xfId="42" applyNumberFormat="1" applyFont="1" applyFill="1" applyBorder="1" applyAlignment="1">
      <alignment horizontal="center" wrapText="1"/>
    </xf>
    <xf numFmtId="166" fontId="112" fillId="13" borderId="23" xfId="45" applyNumberFormat="1" applyFont="1" applyFill="1" applyBorder="1" applyAlignment="1">
      <alignment/>
    </xf>
    <xf numFmtId="0" fontId="33" fillId="13" borderId="22" xfId="0" applyFont="1" applyFill="1" applyBorder="1" applyAlignment="1">
      <alignment wrapText="1"/>
    </xf>
    <xf numFmtId="165" fontId="37" fillId="13" borderId="0" xfId="42" applyNumberFormat="1" applyFont="1" applyFill="1" applyBorder="1" applyAlignment="1">
      <alignment horizontal="center" wrapText="1"/>
    </xf>
    <xf numFmtId="166" fontId="114" fillId="13" borderId="23" xfId="45" applyNumberFormat="1" applyFont="1" applyFill="1" applyBorder="1" applyAlignment="1">
      <alignment/>
    </xf>
    <xf numFmtId="0" fontId="0" fillId="13" borderId="24" xfId="0" applyFill="1" applyBorder="1" applyAlignment="1">
      <alignment wrapText="1"/>
    </xf>
    <xf numFmtId="0" fontId="0" fillId="13" borderId="25" xfId="0" applyFill="1" applyBorder="1" applyAlignment="1">
      <alignment wrapText="1"/>
    </xf>
    <xf numFmtId="0" fontId="0" fillId="13" borderId="25" xfId="0" applyFill="1" applyBorder="1" applyAlignment="1">
      <alignment horizontal="right" wrapText="1"/>
    </xf>
    <xf numFmtId="0" fontId="0" fillId="13" borderId="26" xfId="0" applyFill="1" applyBorder="1" applyAlignment="1">
      <alignment horizontal="right" wrapText="1"/>
    </xf>
    <xf numFmtId="164" fontId="116" fillId="0" borderId="0" xfId="63" applyNumberFormat="1" applyFont="1" applyAlignment="1">
      <alignment horizontal="center" wrapText="1"/>
    </xf>
    <xf numFmtId="164" fontId="1" fillId="0" borderId="18" xfId="0" applyNumberFormat="1" applyFont="1" applyBorder="1" applyAlignment="1">
      <alignment/>
    </xf>
    <xf numFmtId="43" fontId="0" fillId="0" borderId="17" xfId="42" applyFont="1" applyBorder="1" applyAlignment="1">
      <alignment horizontal="right"/>
    </xf>
    <xf numFmtId="43" fontId="1" fillId="0" borderId="17" xfId="42" applyFont="1" applyBorder="1" applyAlignment="1">
      <alignment/>
    </xf>
    <xf numFmtId="43" fontId="0" fillId="0" borderId="0" xfId="42" applyFont="1" applyAlignment="1">
      <alignment/>
    </xf>
    <xf numFmtId="0" fontId="1" fillId="0" borderId="27" xfId="0" applyFont="1" applyBorder="1" applyAlignment="1">
      <alignment/>
    </xf>
    <xf numFmtId="0" fontId="1" fillId="33" borderId="27" xfId="0" applyFont="1" applyFill="1" applyBorder="1" applyAlignment="1">
      <alignment/>
    </xf>
    <xf numFmtId="0" fontId="1" fillId="33" borderId="27" xfId="0" applyFont="1" applyFill="1" applyBorder="1" applyAlignment="1">
      <alignment horizontal="center"/>
    </xf>
    <xf numFmtId="0" fontId="1" fillId="33" borderId="27" xfId="0" applyFont="1" applyFill="1" applyBorder="1" applyAlignment="1" applyProtection="1">
      <alignment horizontal="center"/>
      <protection/>
    </xf>
    <xf numFmtId="0" fontId="6" fillId="0" borderId="27" xfId="0" applyFont="1" applyFill="1" applyBorder="1" applyAlignment="1">
      <alignment/>
    </xf>
    <xf numFmtId="17" fontId="1" fillId="0" borderId="27" xfId="60" applyNumberFormat="1" applyFont="1" applyFill="1" applyBorder="1" applyAlignment="1">
      <alignment horizontal="right"/>
      <protection/>
    </xf>
    <xf numFmtId="44" fontId="0" fillId="0" borderId="27" xfId="45" applyFont="1" applyFill="1" applyBorder="1" applyAlignment="1">
      <alignment/>
    </xf>
    <xf numFmtId="44" fontId="0" fillId="0" borderId="27" xfId="48" applyFont="1" applyFill="1" applyBorder="1" applyAlignment="1">
      <alignment/>
    </xf>
    <xf numFmtId="0" fontId="110" fillId="0" borderId="0" xfId="0" applyFont="1" applyAlignment="1">
      <alignment/>
    </xf>
    <xf numFmtId="0" fontId="109" fillId="0" borderId="0" xfId="0" applyFont="1" applyAlignment="1">
      <alignment/>
    </xf>
    <xf numFmtId="0" fontId="111" fillId="0" borderId="0" xfId="0" applyFont="1" applyAlignment="1">
      <alignment/>
    </xf>
    <xf numFmtId="43" fontId="94" fillId="0" borderId="0" xfId="42" applyFont="1" applyAlignment="1">
      <alignment/>
    </xf>
    <xf numFmtId="165" fontId="94" fillId="0" borderId="0" xfId="42" applyNumberFormat="1" applyFont="1" applyAlignment="1">
      <alignment/>
    </xf>
    <xf numFmtId="165" fontId="119" fillId="0" borderId="0" xfId="42" applyNumberFormat="1" applyFont="1" applyAlignment="1">
      <alignment/>
    </xf>
    <xf numFmtId="0" fontId="7" fillId="0" borderId="0" xfId="0" applyFont="1" applyAlignment="1">
      <alignment horizontal="center"/>
    </xf>
    <xf numFmtId="165" fontId="8" fillId="0" borderId="0" xfId="44" applyNumberFormat="1" applyFont="1" applyAlignment="1">
      <alignment horizontal="center"/>
    </xf>
    <xf numFmtId="0" fontId="8" fillId="0" borderId="0" xfId="0" applyFont="1" applyAlignment="1">
      <alignment horizontal="center"/>
    </xf>
    <xf numFmtId="165" fontId="120" fillId="0" borderId="0" xfId="42" applyNumberFormat="1" applyFont="1" applyAlignment="1">
      <alignment horizontal="center"/>
    </xf>
    <xf numFmtId="165" fontId="94" fillId="0" borderId="0" xfId="44" applyNumberFormat="1" applyFont="1" applyAlignment="1">
      <alignment/>
    </xf>
    <xf numFmtId="165" fontId="0" fillId="0" borderId="0" xfId="0" applyNumberFormat="1" applyAlignment="1">
      <alignment/>
    </xf>
    <xf numFmtId="165" fontId="0" fillId="0" borderId="0" xfId="42" applyNumberFormat="1" applyFont="1" applyAlignment="1" applyProtection="1">
      <alignment/>
      <protection/>
    </xf>
    <xf numFmtId="0" fontId="0" fillId="0" borderId="0" xfId="0" applyFont="1" applyAlignment="1">
      <alignment/>
    </xf>
    <xf numFmtId="165" fontId="0" fillId="0" borderId="0" xfId="0" applyNumberFormat="1" applyFont="1" applyAlignment="1">
      <alignment/>
    </xf>
    <xf numFmtId="165" fontId="112" fillId="0" borderId="0" xfId="44" applyNumberFormat="1" applyFont="1" applyAlignment="1">
      <alignment/>
    </xf>
    <xf numFmtId="0" fontId="112" fillId="0" borderId="0" xfId="0" applyFont="1" applyAlignment="1">
      <alignment/>
    </xf>
    <xf numFmtId="165" fontId="121" fillId="0" borderId="0" xfId="44" applyNumberFormat="1" applyFont="1" applyAlignment="1">
      <alignment/>
    </xf>
    <xf numFmtId="0" fontId="121" fillId="0" borderId="0" xfId="0" applyFont="1" applyAlignment="1">
      <alignment/>
    </xf>
    <xf numFmtId="165" fontId="112" fillId="0" borderId="0" xfId="0" applyNumberFormat="1" applyFont="1" applyAlignment="1">
      <alignment/>
    </xf>
    <xf numFmtId="165" fontId="122" fillId="0" borderId="0" xfId="42" applyNumberFormat="1" applyFont="1" applyAlignment="1">
      <alignment/>
    </xf>
    <xf numFmtId="0" fontId="5" fillId="0" borderId="0" xfId="0" applyFont="1" applyAlignment="1">
      <alignment/>
    </xf>
    <xf numFmtId="165" fontId="5" fillId="0" borderId="0" xfId="44" applyNumberFormat="1" applyFont="1" applyAlignment="1">
      <alignment/>
    </xf>
    <xf numFmtId="164" fontId="123" fillId="0" borderId="0" xfId="63" applyNumberFormat="1" applyFont="1" applyAlignment="1">
      <alignment/>
    </xf>
    <xf numFmtId="165" fontId="109" fillId="0" borderId="0" xfId="0" applyNumberFormat="1" applyFont="1" applyAlignment="1">
      <alignment/>
    </xf>
    <xf numFmtId="165" fontId="124" fillId="0" borderId="0" xfId="0" applyNumberFormat="1" applyFont="1" applyAlignment="1">
      <alignment/>
    </xf>
    <xf numFmtId="165" fontId="109" fillId="0" borderId="0" xfId="42" applyNumberFormat="1" applyFont="1" applyAlignment="1">
      <alignment/>
    </xf>
    <xf numFmtId="165" fontId="124" fillId="0" borderId="0" xfId="42" applyNumberFormat="1" applyFont="1" applyAlignment="1">
      <alignment/>
    </xf>
    <xf numFmtId="43" fontId="11" fillId="0" borderId="0" xfId="42" applyFont="1" applyBorder="1" applyAlignment="1" applyProtection="1">
      <alignment horizontal="right"/>
      <protection locked="0"/>
    </xf>
    <xf numFmtId="0" fontId="12" fillId="0" borderId="0" xfId="59" applyFont="1">
      <alignment/>
      <protection/>
    </xf>
    <xf numFmtId="44" fontId="94" fillId="0" borderId="0" xfId="45" applyFont="1" applyAlignment="1">
      <alignment/>
    </xf>
    <xf numFmtId="43" fontId="0" fillId="0" borderId="0" xfId="0" applyNumberFormat="1" applyFont="1" applyAlignment="1">
      <alignment/>
    </xf>
    <xf numFmtId="43" fontId="110" fillId="0" borderId="0" xfId="0" applyNumberFormat="1" applyFont="1" applyAlignment="1">
      <alignment/>
    </xf>
    <xf numFmtId="44" fontId="112" fillId="0" borderId="0" xfId="45" applyFont="1" applyAlignment="1">
      <alignment/>
    </xf>
    <xf numFmtId="165" fontId="112" fillId="0" borderId="0" xfId="42" applyNumberFormat="1" applyFont="1" applyAlignment="1">
      <alignment/>
    </xf>
    <xf numFmtId="166" fontId="114" fillId="0" borderId="0" xfId="45" applyNumberFormat="1" applyFont="1" applyAlignment="1">
      <alignment/>
    </xf>
    <xf numFmtId="44" fontId="114" fillId="0" borderId="0" xfId="45" applyFont="1" applyAlignment="1">
      <alignment/>
    </xf>
    <xf numFmtId="43" fontId="0" fillId="0" borderId="0" xfId="0" applyNumberFormat="1" applyFill="1" applyAlignment="1">
      <alignment/>
    </xf>
    <xf numFmtId="166" fontId="94" fillId="0" borderId="0" xfId="45"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xf>
    <xf numFmtId="0" fontId="112" fillId="0" borderId="0" xfId="0" applyFont="1" applyFill="1" applyAlignment="1">
      <alignment/>
    </xf>
    <xf numFmtId="43" fontId="112" fillId="0" borderId="0" xfId="0" applyNumberFormat="1" applyFont="1" applyFill="1" applyAlignment="1">
      <alignment/>
    </xf>
    <xf numFmtId="166" fontId="112" fillId="0" borderId="0" xfId="45" applyNumberFormat="1" applyFont="1" applyFill="1" applyAlignment="1">
      <alignment/>
    </xf>
    <xf numFmtId="0" fontId="116" fillId="0" borderId="0" xfId="0" applyFont="1" applyAlignment="1">
      <alignment/>
    </xf>
    <xf numFmtId="43" fontId="125" fillId="0" borderId="0" xfId="42" applyFont="1" applyAlignment="1">
      <alignment/>
    </xf>
    <xf numFmtId="43" fontId="125" fillId="0" borderId="0" xfId="0" applyNumberFormat="1" applyFont="1" applyAlignment="1">
      <alignment/>
    </xf>
    <xf numFmtId="166" fontId="125" fillId="0" borderId="0" xfId="45" applyNumberFormat="1" applyFont="1" applyAlignment="1">
      <alignment/>
    </xf>
    <xf numFmtId="166" fontId="125" fillId="0" borderId="0" xfId="0" applyNumberFormat="1" applyFont="1" applyAlignment="1">
      <alignment/>
    </xf>
    <xf numFmtId="44" fontId="125" fillId="0" borderId="0" xfId="45" applyFont="1" applyAlignment="1">
      <alignment/>
    </xf>
    <xf numFmtId="165" fontId="125" fillId="0" borderId="0" xfId="42" applyNumberFormat="1" applyFont="1" applyAlignment="1">
      <alignment/>
    </xf>
    <xf numFmtId="0" fontId="126" fillId="0" borderId="0" xfId="0" applyFont="1" applyAlignment="1">
      <alignment/>
    </xf>
    <xf numFmtId="43" fontId="112" fillId="0" borderId="0" xfId="42" applyFont="1" applyAlignment="1">
      <alignment/>
    </xf>
    <xf numFmtId="43" fontId="110" fillId="0" borderId="0" xfId="0" applyNumberFormat="1" applyFont="1" applyFill="1" applyAlignment="1">
      <alignment/>
    </xf>
    <xf numFmtId="166" fontId="110" fillId="0" borderId="0" xfId="45" applyNumberFormat="1" applyFont="1" applyFill="1" applyAlignment="1">
      <alignment/>
    </xf>
    <xf numFmtId="0" fontId="127" fillId="0" borderId="0" xfId="0" applyFont="1" applyAlignment="1">
      <alignment horizontal="left"/>
    </xf>
    <xf numFmtId="165" fontId="0" fillId="0" borderId="0" xfId="0" applyNumberFormat="1" applyFill="1" applyAlignment="1">
      <alignment/>
    </xf>
    <xf numFmtId="164" fontId="113" fillId="0" borderId="0" xfId="63" applyNumberFormat="1" applyFont="1" applyAlignment="1">
      <alignment/>
    </xf>
    <xf numFmtId="164" fontId="114" fillId="0" borderId="0" xfId="63" applyNumberFormat="1" applyFont="1" applyAlignment="1">
      <alignment/>
    </xf>
    <xf numFmtId="164" fontId="3" fillId="0" borderId="12" xfId="63" applyNumberFormat="1" applyFont="1" applyBorder="1" applyAlignment="1">
      <alignment/>
    </xf>
    <xf numFmtId="43" fontId="13" fillId="0" borderId="0" xfId="42" applyFont="1" applyBorder="1" applyAlignment="1" applyProtection="1">
      <alignment horizontal="right"/>
      <protection locked="0"/>
    </xf>
    <xf numFmtId="43" fontId="3" fillId="0" borderId="0" xfId="0" applyNumberFormat="1" applyFont="1" applyAlignment="1">
      <alignment/>
    </xf>
    <xf numFmtId="164" fontId="4" fillId="0" borderId="12" xfId="63" applyNumberFormat="1" applyFont="1" applyBorder="1" applyAlignment="1">
      <alignment/>
    </xf>
    <xf numFmtId="165" fontId="14" fillId="0" borderId="0" xfId="0" applyNumberFormat="1" applyFont="1" applyAlignment="1">
      <alignment/>
    </xf>
    <xf numFmtId="166" fontId="37" fillId="0" borderId="0" xfId="45" applyNumberFormat="1" applyFont="1" applyAlignment="1">
      <alignment/>
    </xf>
    <xf numFmtId="166" fontId="37" fillId="0" borderId="0" xfId="0" applyNumberFormat="1" applyFont="1" applyAlignment="1">
      <alignment/>
    </xf>
    <xf numFmtId="0" fontId="33" fillId="0" borderId="0" xfId="0" applyFont="1" applyAlignment="1">
      <alignment/>
    </xf>
    <xf numFmtId="164" fontId="39" fillId="0" borderId="0" xfId="63" applyNumberFormat="1" applyFont="1" applyAlignment="1">
      <alignment/>
    </xf>
    <xf numFmtId="166" fontId="39" fillId="0" borderId="0" xfId="45" applyNumberFormat="1" applyFont="1" applyAlignment="1">
      <alignment/>
    </xf>
    <xf numFmtId="166" fontId="33" fillId="0" borderId="0" xfId="45" applyNumberFormat="1" applyFont="1" applyAlignment="1">
      <alignment/>
    </xf>
    <xf numFmtId="166" fontId="116" fillId="0" borderId="0" xfId="45" applyNumberFormat="1" applyFont="1" applyAlignment="1">
      <alignment/>
    </xf>
    <xf numFmtId="166" fontId="33" fillId="0" borderId="0" xfId="0" applyNumberFormat="1" applyFont="1" applyAlignment="1">
      <alignment/>
    </xf>
    <xf numFmtId="166" fontId="34" fillId="0" borderId="0" xfId="45" applyNumberFormat="1" applyFont="1" applyAlignment="1">
      <alignment/>
    </xf>
    <xf numFmtId="166" fontId="128" fillId="0" borderId="0" xfId="45" applyNumberFormat="1" applyFont="1" applyAlignment="1">
      <alignment/>
    </xf>
    <xf numFmtId="166" fontId="34" fillId="0" borderId="0" xfId="0" applyNumberFormat="1" applyFont="1" applyAlignment="1">
      <alignment/>
    </xf>
    <xf numFmtId="44" fontId="0" fillId="0" borderId="27" xfId="45" applyFont="1" applyFill="1" applyBorder="1" applyAlignment="1" applyProtection="1">
      <alignment/>
      <protection locked="0"/>
    </xf>
    <xf numFmtId="44" fontId="129" fillId="0" borderId="0" xfId="0" applyNumberFormat="1" applyFont="1" applyAlignment="1">
      <alignment/>
    </xf>
    <xf numFmtId="0" fontId="130" fillId="0" borderId="0" xfId="0" applyFont="1" applyAlignment="1">
      <alignment/>
    </xf>
    <xf numFmtId="0" fontId="0" fillId="0" borderId="27" xfId="0" applyFont="1" applyBorder="1" applyAlignment="1">
      <alignment/>
    </xf>
    <xf numFmtId="44" fontId="0" fillId="0" borderId="0" xfId="0" applyNumberFormat="1" applyFont="1" applyFill="1" applyBorder="1" applyAlignment="1">
      <alignment/>
    </xf>
    <xf numFmtId="0" fontId="0" fillId="33" borderId="27" xfId="0" applyFont="1" applyFill="1" applyBorder="1" applyAlignment="1">
      <alignment/>
    </xf>
    <xf numFmtId="0" fontId="0" fillId="0" borderId="27" xfId="0" applyFont="1" applyFill="1" applyBorder="1" applyAlignment="1">
      <alignment/>
    </xf>
    <xf numFmtId="0" fontId="0" fillId="0" borderId="0" xfId="0" applyFont="1" applyAlignment="1">
      <alignment horizontal="right"/>
    </xf>
    <xf numFmtId="0" fontId="0" fillId="0" borderId="0" xfId="0" applyFont="1" applyFill="1" applyBorder="1" applyAlignment="1">
      <alignment/>
    </xf>
    <xf numFmtId="164" fontId="0" fillId="0" borderId="0" xfId="0" applyNumberFormat="1" applyFont="1" applyAlignment="1">
      <alignment/>
    </xf>
    <xf numFmtId="43" fontId="0" fillId="0" borderId="0" xfId="0" applyNumberFormat="1" applyFont="1" applyAlignment="1">
      <alignment/>
    </xf>
    <xf numFmtId="43" fontId="119" fillId="0" borderId="0" xfId="44" applyFont="1" applyAlignment="1">
      <alignment/>
    </xf>
    <xf numFmtId="0" fontId="122" fillId="0" borderId="0" xfId="0" applyFont="1" applyFill="1" applyBorder="1" applyAlignment="1">
      <alignment/>
    </xf>
    <xf numFmtId="0" fontId="122" fillId="0" borderId="0" xfId="0" applyFont="1" applyAlignment="1">
      <alignment/>
    </xf>
    <xf numFmtId="0" fontId="131" fillId="0" borderId="0" xfId="0" applyFont="1" applyAlignment="1">
      <alignment/>
    </xf>
    <xf numFmtId="164" fontId="119" fillId="0" borderId="0" xfId="63" applyNumberFormat="1" applyFont="1" applyAlignment="1">
      <alignment/>
    </xf>
    <xf numFmtId="43" fontId="119" fillId="0" borderId="0" xfId="42" applyFont="1" applyAlignment="1">
      <alignment/>
    </xf>
    <xf numFmtId="171" fontId="0" fillId="0" borderId="0" xfId="0" applyNumberFormat="1" applyAlignment="1">
      <alignment/>
    </xf>
    <xf numFmtId="171" fontId="17" fillId="34" borderId="19" xfId="0" applyNumberFormat="1" applyFont="1" applyFill="1" applyBorder="1" applyAlignment="1">
      <alignment/>
    </xf>
    <xf numFmtId="171" fontId="17" fillId="34" borderId="20" xfId="0" applyNumberFormat="1" applyFont="1" applyFill="1" applyBorder="1" applyAlignment="1">
      <alignment/>
    </xf>
    <xf numFmtId="171" fontId="17" fillId="34" borderId="21" xfId="0" applyNumberFormat="1" applyFont="1" applyFill="1" applyBorder="1" applyAlignment="1">
      <alignment/>
    </xf>
    <xf numFmtId="171" fontId="17" fillId="0" borderId="0" xfId="0" applyNumberFormat="1" applyFont="1" applyAlignment="1">
      <alignment/>
    </xf>
    <xf numFmtId="165" fontId="17" fillId="0" borderId="0" xfId="42" applyNumberFormat="1" applyFont="1" applyAlignment="1">
      <alignment/>
    </xf>
    <xf numFmtId="171" fontId="17" fillId="34" borderId="26" xfId="0" applyNumberFormat="1" applyFont="1" applyFill="1" applyBorder="1" applyAlignment="1">
      <alignment horizontal="center"/>
    </xf>
    <xf numFmtId="171" fontId="17" fillId="34" borderId="28" xfId="0" applyNumberFormat="1" applyFont="1" applyFill="1" applyBorder="1" applyAlignment="1">
      <alignment horizontal="center"/>
    </xf>
    <xf numFmtId="44" fontId="17" fillId="34" borderId="28" xfId="45" applyFont="1" applyFill="1" applyBorder="1" applyAlignment="1">
      <alignment horizontal="center"/>
    </xf>
    <xf numFmtId="171" fontId="18" fillId="0" borderId="0" xfId="0" applyNumberFormat="1" applyFont="1" applyAlignment="1">
      <alignment horizontal="center"/>
    </xf>
    <xf numFmtId="171" fontId="19" fillId="0" borderId="19" xfId="0" applyNumberFormat="1" applyFont="1" applyBorder="1" applyAlignment="1">
      <alignment/>
    </xf>
    <xf numFmtId="171" fontId="19" fillId="0" borderId="20" xfId="0" applyNumberFormat="1" applyFont="1" applyBorder="1" applyAlignment="1">
      <alignment/>
    </xf>
    <xf numFmtId="171" fontId="19" fillId="0" borderId="21" xfId="0" applyNumberFormat="1" applyFont="1" applyBorder="1" applyAlignment="1">
      <alignment/>
    </xf>
    <xf numFmtId="171" fontId="19" fillId="0" borderId="29" xfId="0" applyNumberFormat="1" applyFont="1" applyBorder="1" applyAlignment="1">
      <alignment/>
    </xf>
    <xf numFmtId="44" fontId="19" fillId="0" borderId="29" xfId="45" applyFont="1" applyBorder="1" applyAlignment="1">
      <alignment/>
    </xf>
    <xf numFmtId="10" fontId="19" fillId="0" borderId="29" xfId="63" applyNumberFormat="1" applyFont="1" applyBorder="1" applyAlignment="1">
      <alignment/>
    </xf>
    <xf numFmtId="171" fontId="19" fillId="0" borderId="0" xfId="0" applyNumberFormat="1" applyFont="1" applyAlignment="1">
      <alignment/>
    </xf>
    <xf numFmtId="165" fontId="19" fillId="0" borderId="0" xfId="42" applyNumberFormat="1" applyFont="1" applyAlignment="1">
      <alignment/>
    </xf>
    <xf numFmtId="171" fontId="17" fillId="0" borderId="22" xfId="0" applyNumberFormat="1" applyFont="1" applyBorder="1" applyAlignment="1">
      <alignment/>
    </xf>
    <xf numFmtId="171" fontId="19" fillId="0" borderId="0" xfId="0" applyNumberFormat="1" applyFont="1" applyBorder="1" applyAlignment="1">
      <alignment/>
    </xf>
    <xf numFmtId="171" fontId="19" fillId="0" borderId="23" xfId="0" applyNumberFormat="1" applyFont="1" applyBorder="1" applyAlignment="1">
      <alignment/>
    </xf>
    <xf numFmtId="171" fontId="19" fillId="35" borderId="30" xfId="0" applyNumberFormat="1" applyFont="1" applyFill="1" applyBorder="1" applyAlignment="1">
      <alignment/>
    </xf>
    <xf numFmtId="10" fontId="19" fillId="0" borderId="30" xfId="63" applyNumberFormat="1" applyFont="1" applyBorder="1" applyAlignment="1">
      <alignment/>
    </xf>
    <xf numFmtId="44" fontId="19" fillId="35" borderId="30" xfId="45" applyFont="1" applyFill="1" applyBorder="1" applyAlignment="1">
      <alignment/>
    </xf>
    <xf numFmtId="164" fontId="19" fillId="0" borderId="0" xfId="63" applyNumberFormat="1" applyFont="1" applyAlignment="1">
      <alignment/>
    </xf>
    <xf numFmtId="172" fontId="19" fillId="0" borderId="0" xfId="0" applyNumberFormat="1" applyFont="1" applyAlignment="1">
      <alignment/>
    </xf>
    <xf numFmtId="44" fontId="19" fillId="0" borderId="30" xfId="45" applyFont="1" applyBorder="1" applyAlignment="1">
      <alignment/>
    </xf>
    <xf numFmtId="164" fontId="20" fillId="0" borderId="0" xfId="63" applyNumberFormat="1" applyFont="1" applyAlignment="1">
      <alignment/>
    </xf>
    <xf numFmtId="171" fontId="18" fillId="0" borderId="22" xfId="0" applyNumberFormat="1" applyFont="1" applyBorder="1" applyAlignment="1">
      <alignment/>
    </xf>
    <xf numFmtId="171" fontId="19" fillId="0" borderId="30" xfId="0" applyNumberFormat="1" applyFont="1" applyBorder="1" applyAlignment="1">
      <alignment/>
    </xf>
    <xf numFmtId="164" fontId="22" fillId="0" borderId="0" xfId="63" applyNumberFormat="1" applyFont="1" applyAlignment="1">
      <alignment/>
    </xf>
    <xf numFmtId="10" fontId="19" fillId="0" borderId="0" xfId="63" applyNumberFormat="1" applyFont="1" applyAlignment="1">
      <alignment/>
    </xf>
    <xf numFmtId="171" fontId="19" fillId="0" borderId="22" xfId="0" applyNumberFormat="1" applyFont="1" applyBorder="1" applyAlignment="1">
      <alignment/>
    </xf>
    <xf numFmtId="171" fontId="19" fillId="0" borderId="23" xfId="0" applyNumberFormat="1" applyFont="1" applyBorder="1" applyAlignment="1">
      <alignment horizontal="right"/>
    </xf>
    <xf numFmtId="44" fontId="23" fillId="0" borderId="30" xfId="45" applyFont="1" applyBorder="1" applyAlignment="1">
      <alignment/>
    </xf>
    <xf numFmtId="44" fontId="19" fillId="0" borderId="30" xfId="45" applyFont="1" applyFill="1" applyBorder="1" applyAlignment="1">
      <alignment/>
    </xf>
    <xf numFmtId="44" fontId="19" fillId="35" borderId="30" xfId="45" applyNumberFormat="1" applyFont="1" applyFill="1" applyBorder="1" applyAlignment="1">
      <alignment/>
    </xf>
    <xf numFmtId="44" fontId="19" fillId="0" borderId="0" xfId="45" applyFont="1" applyBorder="1" applyAlignment="1">
      <alignment/>
    </xf>
    <xf numFmtId="171" fontId="19" fillId="0" borderId="24" xfId="0" applyNumberFormat="1" applyFont="1" applyBorder="1" applyAlignment="1">
      <alignment/>
    </xf>
    <xf numFmtId="171" fontId="19" fillId="0" borderId="25" xfId="0" applyNumberFormat="1" applyFont="1" applyBorder="1" applyAlignment="1">
      <alignment/>
    </xf>
    <xf numFmtId="171" fontId="19" fillId="0" borderId="26" xfId="0" applyNumberFormat="1" applyFont="1" applyBorder="1" applyAlignment="1">
      <alignment/>
    </xf>
    <xf numFmtId="171" fontId="19" fillId="0" borderId="31" xfId="0" applyNumberFormat="1" applyFont="1" applyBorder="1" applyAlignment="1">
      <alignment/>
    </xf>
    <xf numFmtId="44" fontId="21" fillId="0" borderId="31" xfId="45" applyFont="1" applyBorder="1" applyAlignment="1">
      <alignment/>
    </xf>
    <xf numFmtId="44" fontId="19" fillId="0" borderId="31" xfId="45" applyFont="1" applyBorder="1" applyAlignment="1">
      <alignment/>
    </xf>
    <xf numFmtId="10" fontId="19" fillId="0" borderId="31" xfId="63" applyNumberFormat="1" applyFont="1" applyBorder="1" applyAlignment="1">
      <alignment/>
    </xf>
    <xf numFmtId="44" fontId="19" fillId="0" borderId="0" xfId="45" applyFont="1" applyAlignment="1">
      <alignment/>
    </xf>
    <xf numFmtId="171" fontId="24" fillId="0" borderId="0" xfId="0" applyNumberFormat="1" applyFont="1" applyAlignment="1">
      <alignment/>
    </xf>
    <xf numFmtId="166" fontId="19" fillId="0" borderId="0" xfId="45" applyNumberFormat="1" applyFont="1" applyAlignment="1">
      <alignment/>
    </xf>
    <xf numFmtId="0" fontId="1" fillId="0" borderId="32" xfId="0" applyFont="1" applyBorder="1" applyAlignment="1" applyProtection="1">
      <alignment/>
      <protection/>
    </xf>
    <xf numFmtId="0" fontId="1" fillId="0" borderId="33" xfId="0" applyFont="1" applyBorder="1" applyAlignment="1" applyProtection="1">
      <alignment/>
      <protection/>
    </xf>
    <xf numFmtId="0" fontId="0" fillId="0" borderId="34" xfId="0" applyFont="1" applyBorder="1" applyAlignment="1" applyProtection="1">
      <alignment/>
      <protection/>
    </xf>
    <xf numFmtId="0" fontId="0" fillId="0" borderId="0" xfId="0" applyFont="1" applyAlignment="1" applyProtection="1">
      <alignment/>
      <protection/>
    </xf>
    <xf numFmtId="0" fontId="0" fillId="36" borderId="0" xfId="0" applyFont="1" applyFill="1" applyAlignment="1" applyProtection="1">
      <alignment/>
      <protection/>
    </xf>
    <xf numFmtId="0" fontId="1" fillId="0" borderId="35" xfId="0" applyFont="1" applyBorder="1" applyAlignment="1" applyProtection="1">
      <alignment/>
      <protection/>
    </xf>
    <xf numFmtId="0" fontId="1" fillId="0" borderId="0" xfId="0" applyFont="1" applyAlignment="1" applyProtection="1">
      <alignment/>
      <protection/>
    </xf>
    <xf numFmtId="0" fontId="0" fillId="0" borderId="36" xfId="0" applyFont="1" applyBorder="1" applyAlignment="1" applyProtection="1">
      <alignment/>
      <protection/>
    </xf>
    <xf numFmtId="0" fontId="1" fillId="0" borderId="37" xfId="0" applyFont="1" applyBorder="1" applyAlignment="1" applyProtection="1">
      <alignment/>
      <protection/>
    </xf>
    <xf numFmtId="0" fontId="0" fillId="0" borderId="38" xfId="0" applyFont="1" applyBorder="1" applyAlignment="1" applyProtection="1">
      <alignment/>
      <protection/>
    </xf>
    <xf numFmtId="0" fontId="0" fillId="0" borderId="39"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center"/>
      <protection/>
    </xf>
    <xf numFmtId="0" fontId="0" fillId="0" borderId="21" xfId="0" applyFont="1" applyBorder="1" applyAlignment="1" applyProtection="1">
      <alignment/>
      <protection/>
    </xf>
    <xf numFmtId="44" fontId="0" fillId="0" borderId="0" xfId="47" applyFont="1" applyAlignment="1" applyProtection="1">
      <alignment/>
      <protection/>
    </xf>
    <xf numFmtId="0" fontId="1" fillId="0" borderId="22" xfId="0" applyFont="1" applyBorder="1" applyAlignment="1" applyProtection="1">
      <alignment/>
      <protection/>
    </xf>
    <xf numFmtId="0" fontId="1" fillId="0" borderId="0" xfId="0" applyFont="1" applyBorder="1" applyAlignment="1" applyProtection="1">
      <alignment/>
      <protection/>
    </xf>
    <xf numFmtId="0" fontId="1" fillId="0" borderId="38" xfId="0" applyFont="1" applyBorder="1" applyAlignment="1" applyProtection="1">
      <alignment horizontal="center"/>
      <protection/>
    </xf>
    <xf numFmtId="39" fontId="7" fillId="0" borderId="23" xfId="0" applyNumberFormat="1" applyFont="1" applyBorder="1" applyAlignment="1" applyProtection="1">
      <alignment horizontal="center"/>
      <protection/>
    </xf>
    <xf numFmtId="44" fontId="0" fillId="0" borderId="38" xfId="47" applyFont="1" applyBorder="1" applyAlignment="1" applyProtection="1">
      <alignment/>
      <protection/>
    </xf>
    <xf numFmtId="0" fontId="1" fillId="0" borderId="22" xfId="0" applyFont="1" applyBorder="1" applyAlignment="1" applyProtection="1">
      <alignment horizontal="right"/>
      <protection/>
    </xf>
    <xf numFmtId="0" fontId="1" fillId="0" borderId="0" xfId="0" applyFont="1" applyBorder="1" applyAlignment="1" applyProtection="1">
      <alignment horizontal="left"/>
      <protection/>
    </xf>
    <xf numFmtId="43" fontId="1" fillId="0" borderId="0" xfId="44" applyFont="1" applyBorder="1" applyAlignment="1" applyProtection="1">
      <alignment/>
      <protection/>
    </xf>
    <xf numFmtId="164" fontId="1" fillId="0" borderId="23" xfId="64" applyNumberFormat="1" applyFont="1" applyBorder="1" applyAlignment="1" applyProtection="1">
      <alignment horizontal="center"/>
      <protection/>
    </xf>
    <xf numFmtId="44" fontId="0" fillId="0" borderId="0" xfId="47" applyFont="1" applyBorder="1" applyAlignment="1" applyProtection="1">
      <alignment/>
      <protection/>
    </xf>
    <xf numFmtId="44" fontId="1" fillId="0" borderId="40" xfId="47" applyFont="1" applyBorder="1" applyAlignment="1" applyProtection="1">
      <alignment/>
      <protection/>
    </xf>
    <xf numFmtId="43" fontId="0" fillId="0" borderId="0" xfId="44" applyFont="1" applyAlignment="1" applyProtection="1">
      <alignment/>
      <protection/>
    </xf>
    <xf numFmtId="9" fontId="0" fillId="0" borderId="0" xfId="63" applyFont="1" applyAlignment="1" applyProtection="1">
      <alignment/>
      <protection/>
    </xf>
    <xf numFmtId="43" fontId="1" fillId="0" borderId="0" xfId="44" applyFont="1" applyAlignment="1" applyProtection="1">
      <alignment/>
      <protection/>
    </xf>
    <xf numFmtId="0" fontId="1" fillId="36" borderId="0" xfId="0" applyFont="1" applyFill="1" applyAlignment="1" applyProtection="1">
      <alignment/>
      <protection/>
    </xf>
    <xf numFmtId="43" fontId="8" fillId="0" borderId="0" xfId="44" applyFont="1" applyBorder="1" applyAlignment="1" applyProtection="1">
      <alignment/>
      <protection/>
    </xf>
    <xf numFmtId="164" fontId="7" fillId="0" borderId="23" xfId="64" applyNumberFormat="1" applyFont="1" applyBorder="1" applyAlignment="1" applyProtection="1">
      <alignment horizontal="center"/>
      <protection/>
    </xf>
    <xf numFmtId="10" fontId="0" fillId="0" borderId="0" xfId="64" applyNumberFormat="1" applyFont="1" applyAlignment="1" applyProtection="1">
      <alignment/>
      <protection/>
    </xf>
    <xf numFmtId="0" fontId="1" fillId="0" borderId="24" xfId="0" applyFont="1" applyBorder="1" applyAlignment="1" applyProtection="1">
      <alignment horizontal="right"/>
      <protection/>
    </xf>
    <xf numFmtId="0" fontId="0" fillId="0" borderId="25" xfId="0" applyFont="1" applyBorder="1" applyAlignment="1" applyProtection="1">
      <alignment/>
      <protection/>
    </xf>
    <xf numFmtId="43" fontId="14" fillId="0" borderId="25" xfId="44" applyFont="1" applyBorder="1" applyAlignment="1" applyProtection="1">
      <alignment/>
      <protection/>
    </xf>
    <xf numFmtId="164" fontId="5" fillId="0" borderId="26" xfId="64" applyNumberFormat="1" applyFont="1" applyBorder="1" applyAlignment="1" applyProtection="1">
      <alignment horizontal="center"/>
      <protection/>
    </xf>
    <xf numFmtId="0" fontId="0" fillId="37" borderId="0" xfId="0" applyFont="1" applyFill="1" applyAlignment="1" applyProtection="1">
      <alignment/>
      <protection/>
    </xf>
    <xf numFmtId="0" fontId="0" fillId="37" borderId="0" xfId="0" applyFont="1" applyFill="1" applyBorder="1" applyAlignment="1" applyProtection="1">
      <alignment/>
      <protection/>
    </xf>
    <xf numFmtId="0" fontId="0" fillId="37" borderId="41" xfId="0" applyFont="1" applyFill="1" applyBorder="1" applyAlignment="1" applyProtection="1">
      <alignment/>
      <protection/>
    </xf>
    <xf numFmtId="39" fontId="0" fillId="37" borderId="41" xfId="0" applyNumberFormat="1" applyFont="1" applyFill="1" applyBorder="1" applyAlignment="1" applyProtection="1">
      <alignment/>
      <protection/>
    </xf>
    <xf numFmtId="37" fontId="1" fillId="0" borderId="42" xfId="0" applyNumberFormat="1" applyFont="1" applyBorder="1" applyAlignment="1" applyProtection="1">
      <alignment/>
      <protection/>
    </xf>
    <xf numFmtId="173" fontId="1" fillId="0" borderId="42" xfId="47" applyNumberFormat="1" applyFont="1"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9" fontId="25" fillId="0" borderId="0" xfId="64" applyFont="1" applyBorder="1" applyAlignment="1" applyProtection="1">
      <alignment horizontal="center"/>
      <protection/>
    </xf>
    <xf numFmtId="165" fontId="0" fillId="0" borderId="0" xfId="0" applyNumberFormat="1" applyFont="1" applyAlignment="1" applyProtection="1">
      <alignment/>
      <protection/>
    </xf>
    <xf numFmtId="165" fontId="0" fillId="0" borderId="0" xfId="44" applyNumberFormat="1" applyFont="1" applyFill="1" applyAlignment="1" applyProtection="1">
      <alignment/>
      <protection/>
    </xf>
    <xf numFmtId="166" fontId="0" fillId="0" borderId="0" xfId="0" applyNumberFormat="1" applyFont="1" applyAlignment="1" applyProtection="1">
      <alignment/>
      <protection/>
    </xf>
    <xf numFmtId="166" fontId="0" fillId="0" borderId="0" xfId="47" applyNumberFormat="1" applyFont="1" applyAlignment="1" applyProtection="1">
      <alignment/>
      <protection/>
    </xf>
    <xf numFmtId="44" fontId="15" fillId="0" borderId="0" xfId="47" applyFont="1" applyAlignment="1" applyProtection="1">
      <alignment horizontal="right"/>
      <protection/>
    </xf>
    <xf numFmtId="165" fontId="3" fillId="0" borderId="0" xfId="44" applyNumberFormat="1" applyFont="1" applyFill="1" applyAlignment="1" applyProtection="1">
      <alignment/>
      <protection/>
    </xf>
    <xf numFmtId="0" fontId="3" fillId="0" borderId="0" xfId="0" applyFont="1" applyAlignment="1" applyProtection="1">
      <alignment/>
      <protection/>
    </xf>
    <xf numFmtId="166" fontId="3" fillId="0" borderId="0" xfId="0" applyNumberFormat="1" applyFont="1" applyAlignment="1" applyProtection="1">
      <alignment/>
      <protection/>
    </xf>
    <xf numFmtId="166" fontId="3" fillId="0" borderId="0" xfId="47" applyNumberFormat="1" applyFont="1" applyAlignment="1" applyProtection="1">
      <alignment/>
      <protection/>
    </xf>
    <xf numFmtId="5" fontId="0" fillId="0" borderId="0" xfId="0" applyNumberFormat="1" applyFont="1" applyAlignment="1" applyProtection="1">
      <alignment/>
      <protection/>
    </xf>
    <xf numFmtId="165" fontId="14" fillId="0" borderId="0" xfId="0" applyNumberFormat="1" applyFont="1" applyBorder="1" applyAlignment="1" applyProtection="1">
      <alignment/>
      <protection/>
    </xf>
    <xf numFmtId="5" fontId="14" fillId="0" borderId="0" xfId="0" applyNumberFormat="1" applyFont="1" applyBorder="1" applyAlignment="1" applyProtection="1">
      <alignment/>
      <protection/>
    </xf>
    <xf numFmtId="166" fontId="14" fillId="0" borderId="0" xfId="47" applyNumberFormat="1" applyFont="1" applyBorder="1" applyAlignment="1" applyProtection="1">
      <alignment/>
      <protection/>
    </xf>
    <xf numFmtId="44" fontId="1" fillId="0" borderId="0" xfId="0" applyNumberFormat="1" applyFont="1" applyAlignment="1" applyProtection="1">
      <alignment/>
      <protection/>
    </xf>
    <xf numFmtId="44" fontId="14" fillId="0" borderId="0" xfId="0" applyNumberFormat="1" applyFont="1" applyAlignment="1" applyProtection="1">
      <alignment/>
      <protection/>
    </xf>
    <xf numFmtId="0" fontId="1" fillId="37" borderId="0" xfId="0" applyFont="1" applyFill="1" applyAlignment="1" applyProtection="1">
      <alignment/>
      <protection/>
    </xf>
    <xf numFmtId="7" fontId="1" fillId="37" borderId="0" xfId="0" applyNumberFormat="1" applyFont="1" applyFill="1" applyAlignment="1" applyProtection="1">
      <alignment/>
      <protection/>
    </xf>
    <xf numFmtId="0" fontId="1" fillId="37" borderId="29" xfId="0" applyFont="1" applyFill="1" applyBorder="1" applyAlignment="1" applyProtection="1">
      <alignment/>
      <protection/>
    </xf>
    <xf numFmtId="0" fontId="0" fillId="38" borderId="0" xfId="0" applyFont="1" applyFill="1" applyAlignment="1" applyProtection="1">
      <alignment/>
      <protection/>
    </xf>
    <xf numFmtId="0" fontId="1" fillId="38" borderId="0" xfId="0" applyFont="1" applyFill="1" applyAlignment="1" applyProtection="1">
      <alignment horizontal="center"/>
      <protection/>
    </xf>
    <xf numFmtId="0" fontId="1" fillId="38" borderId="0" xfId="0" applyFont="1" applyFill="1" applyAlignment="1" applyProtection="1" quotePrefix="1">
      <alignment horizontal="center"/>
      <protection/>
    </xf>
    <xf numFmtId="0" fontId="27" fillId="0" borderId="30" xfId="0" applyFont="1" applyBorder="1" applyAlignment="1" applyProtection="1">
      <alignment horizontal="center"/>
      <protection/>
    </xf>
    <xf numFmtId="0" fontId="0" fillId="39" borderId="0" xfId="0" applyFont="1" applyFill="1" applyAlignment="1" applyProtection="1">
      <alignment/>
      <protection/>
    </xf>
    <xf numFmtId="0" fontId="0" fillId="0" borderId="0" xfId="0" applyFont="1" applyBorder="1" applyAlignment="1" applyProtection="1">
      <alignment/>
      <protection/>
    </xf>
    <xf numFmtId="37" fontId="0" fillId="0" borderId="0" xfId="0" applyNumberFormat="1" applyFont="1" applyBorder="1" applyAlignment="1" applyProtection="1">
      <alignment/>
      <protection/>
    </xf>
    <xf numFmtId="37" fontId="1" fillId="0" borderId="38" xfId="0" applyNumberFormat="1" applyFont="1" applyBorder="1" applyAlignment="1" applyProtection="1">
      <alignment horizontal="center"/>
      <protection/>
    </xf>
    <xf numFmtId="37" fontId="1" fillId="0" borderId="38" xfId="0" applyNumberFormat="1" applyFont="1" applyBorder="1" applyAlignment="1" applyProtection="1" quotePrefix="1">
      <alignment horizontal="center"/>
      <protection/>
    </xf>
    <xf numFmtId="37" fontId="1" fillId="0" borderId="43" xfId="0" applyNumberFormat="1" applyFont="1" applyBorder="1" applyAlignment="1" applyProtection="1">
      <alignment horizontal="center"/>
      <protection/>
    </xf>
    <xf numFmtId="37" fontId="0" fillId="0" borderId="0" xfId="0" applyNumberFormat="1" applyFont="1" applyAlignment="1" applyProtection="1">
      <alignment/>
      <protection/>
    </xf>
    <xf numFmtId="166" fontId="0" fillId="40" borderId="0" xfId="47" applyNumberFormat="1" applyFont="1" applyFill="1" applyAlignment="1" applyProtection="1">
      <alignment/>
      <protection/>
    </xf>
    <xf numFmtId="166" fontId="0" fillId="0" borderId="30" xfId="47" applyNumberFormat="1" applyFont="1" applyBorder="1" applyAlignment="1" applyProtection="1">
      <alignment/>
      <protection/>
    </xf>
    <xf numFmtId="166" fontId="0" fillId="0" borderId="0" xfId="47" applyNumberFormat="1" applyFont="1" applyBorder="1" applyAlignment="1" applyProtection="1">
      <alignment/>
      <protection/>
    </xf>
    <xf numFmtId="0" fontId="0" fillId="0" borderId="0" xfId="0" applyFont="1" applyAlignment="1" applyProtection="1">
      <alignment/>
      <protection/>
    </xf>
    <xf numFmtId="9" fontId="1" fillId="0" borderId="0" xfId="64" applyFont="1" applyAlignment="1" applyProtection="1">
      <alignment horizontal="center"/>
      <protection/>
    </xf>
    <xf numFmtId="165" fontId="0" fillId="40" borderId="0" xfId="44" applyNumberFormat="1" applyFont="1" applyFill="1" applyAlignment="1" applyProtection="1">
      <alignment/>
      <protection/>
    </xf>
    <xf numFmtId="165" fontId="0" fillId="0" borderId="30" xfId="44" applyNumberFormat="1" applyFont="1" applyBorder="1" applyAlignment="1" applyProtection="1">
      <alignment/>
      <protection/>
    </xf>
    <xf numFmtId="166" fontId="0" fillId="0" borderId="38" xfId="47" applyNumberFormat="1" applyFont="1" applyBorder="1" applyAlignment="1" applyProtection="1">
      <alignment/>
      <protection/>
    </xf>
    <xf numFmtId="166" fontId="0" fillId="0" borderId="44" xfId="47" applyNumberFormat="1" applyFont="1" applyBorder="1" applyAlignment="1" applyProtection="1">
      <alignment/>
      <protection/>
    </xf>
    <xf numFmtId="166" fontId="0" fillId="0" borderId="45" xfId="47" applyNumberFormat="1" applyFont="1" applyBorder="1" applyAlignment="1" applyProtection="1">
      <alignment/>
      <protection/>
    </xf>
    <xf numFmtId="166" fontId="0" fillId="0" borderId="43" xfId="47" applyNumberFormat="1" applyFont="1" applyBorder="1" applyAlignment="1" applyProtection="1">
      <alignment/>
      <protection/>
    </xf>
    <xf numFmtId="166" fontId="1" fillId="0" borderId="0" xfId="47" applyNumberFormat="1" applyFont="1" applyAlignment="1" applyProtection="1">
      <alignment/>
      <protection/>
    </xf>
    <xf numFmtId="166" fontId="1" fillId="0" borderId="0" xfId="47" applyNumberFormat="1" applyFont="1" applyBorder="1" applyAlignment="1" applyProtection="1">
      <alignment/>
      <protection/>
    </xf>
    <xf numFmtId="166" fontId="1" fillId="0" borderId="30" xfId="47" applyNumberFormat="1" applyFont="1" applyBorder="1" applyAlignment="1" applyProtection="1">
      <alignment/>
      <protection/>
    </xf>
    <xf numFmtId="5" fontId="1" fillId="0" borderId="0" xfId="0" applyNumberFormat="1" applyFont="1" applyAlignment="1" applyProtection="1">
      <alignment/>
      <protection/>
    </xf>
    <xf numFmtId="165" fontId="0" fillId="0" borderId="0" xfId="44" applyNumberFormat="1" applyFont="1" applyAlignment="1" applyProtection="1">
      <alignment/>
      <protection/>
    </xf>
    <xf numFmtId="165" fontId="0" fillId="0" borderId="0" xfId="44" applyNumberFormat="1" applyFont="1" applyBorder="1" applyAlignment="1" applyProtection="1">
      <alignment/>
      <protection/>
    </xf>
    <xf numFmtId="165" fontId="0" fillId="0" borderId="38" xfId="44" applyNumberFormat="1" applyFont="1" applyBorder="1" applyAlignment="1" applyProtection="1">
      <alignment/>
      <protection/>
    </xf>
    <xf numFmtId="165" fontId="0" fillId="0" borderId="38" xfId="44" applyNumberFormat="1" applyFont="1" applyFill="1" applyBorder="1" applyAlignment="1" applyProtection="1">
      <alignment/>
      <protection/>
    </xf>
    <xf numFmtId="165" fontId="0" fillId="0" borderId="44" xfId="44" applyNumberFormat="1" applyFont="1" applyFill="1" applyBorder="1" applyAlignment="1" applyProtection="1">
      <alignment/>
      <protection/>
    </xf>
    <xf numFmtId="165" fontId="0" fillId="0" borderId="45" xfId="44" applyNumberFormat="1" applyFont="1" applyFill="1" applyBorder="1" applyAlignment="1" applyProtection="1">
      <alignment/>
      <protection/>
    </xf>
    <xf numFmtId="165" fontId="122" fillId="0" borderId="46" xfId="44" applyNumberFormat="1" applyFont="1" applyBorder="1" applyAlignment="1" applyProtection="1">
      <alignment/>
      <protection/>
    </xf>
    <xf numFmtId="165" fontId="0" fillId="0" borderId="31" xfId="44" applyNumberFormat="1" applyFont="1" applyBorder="1" applyAlignment="1" applyProtection="1">
      <alignment/>
      <protection/>
    </xf>
    <xf numFmtId="165" fontId="0" fillId="41" borderId="0" xfId="44" applyNumberFormat="1" applyFont="1" applyFill="1" applyAlignment="1" applyProtection="1">
      <alignment/>
      <protection/>
    </xf>
    <xf numFmtId="165" fontId="0" fillId="41" borderId="30" xfId="44" applyNumberFormat="1" applyFont="1" applyFill="1" applyBorder="1" applyAlignment="1" applyProtection="1">
      <alignment/>
      <protection/>
    </xf>
    <xf numFmtId="44" fontId="1" fillId="0" borderId="47" xfId="47" applyFont="1" applyBorder="1" applyAlignment="1" applyProtection="1">
      <alignment/>
      <protection/>
    </xf>
    <xf numFmtId="0" fontId="1" fillId="0" borderId="38" xfId="0" applyFont="1" applyBorder="1" applyAlignment="1" applyProtection="1">
      <alignment/>
      <protection/>
    </xf>
    <xf numFmtId="44" fontId="0" fillId="0" borderId="30" xfId="47" applyNumberFormat="1" applyFont="1" applyBorder="1" applyAlignment="1" applyProtection="1">
      <alignment/>
      <protection/>
    </xf>
    <xf numFmtId="0" fontId="26" fillId="0" borderId="0" xfId="0" applyFont="1" applyAlignment="1" applyProtection="1" quotePrefix="1">
      <alignment/>
      <protection/>
    </xf>
    <xf numFmtId="44" fontId="0" fillId="0" borderId="46" xfId="47" applyFont="1" applyBorder="1" applyAlignment="1" applyProtection="1">
      <alignment/>
      <protection/>
    </xf>
    <xf numFmtId="44" fontId="0" fillId="0" borderId="0" xfId="0" applyNumberFormat="1" applyFont="1" applyAlignment="1" applyProtection="1">
      <alignment/>
      <protection/>
    </xf>
    <xf numFmtId="44" fontId="1" fillId="0" borderId="48" xfId="47" applyFont="1" applyBorder="1" applyAlignment="1" applyProtection="1">
      <alignment/>
      <protection/>
    </xf>
    <xf numFmtId="9" fontId="0" fillId="0" borderId="0" xfId="64" applyFont="1" applyAlignment="1" applyProtection="1">
      <alignment/>
      <protection/>
    </xf>
    <xf numFmtId="44" fontId="1" fillId="0" borderId="0" xfId="47" applyFont="1" applyBorder="1" applyAlignment="1" applyProtection="1">
      <alignment/>
      <protection/>
    </xf>
    <xf numFmtId="44" fontId="1" fillId="0" borderId="30" xfId="47" applyFont="1" applyBorder="1" applyAlignment="1" applyProtection="1">
      <alignment/>
      <protection/>
    </xf>
    <xf numFmtId="166" fontId="0" fillId="0" borderId="0" xfId="45" applyNumberFormat="1" applyFont="1" applyBorder="1" applyAlignment="1" applyProtection="1">
      <alignment/>
      <protection/>
    </xf>
    <xf numFmtId="44" fontId="0" fillId="0" borderId="30" xfId="47" applyFont="1" applyBorder="1" applyAlignment="1" applyProtection="1">
      <alignment/>
      <protection/>
    </xf>
    <xf numFmtId="0" fontId="0" fillId="0" borderId="0" xfId="0" applyFont="1" applyAlignment="1" applyProtection="1">
      <alignment wrapText="1"/>
      <protection/>
    </xf>
    <xf numFmtId="164" fontId="1" fillId="0" borderId="0" xfId="64" applyNumberFormat="1" applyFont="1" applyAlignment="1" applyProtection="1">
      <alignment horizontal="center"/>
      <protection/>
    </xf>
    <xf numFmtId="44" fontId="0" fillId="0" borderId="46" xfId="47" applyNumberFormat="1" applyFont="1" applyBorder="1" applyAlignment="1" applyProtection="1">
      <alignment/>
      <protection/>
    </xf>
    <xf numFmtId="44" fontId="1" fillId="0" borderId="40" xfId="47" applyFont="1" applyBorder="1" applyAlignment="1" applyProtection="1">
      <alignment horizontal="right"/>
      <protection/>
    </xf>
    <xf numFmtId="44" fontId="1" fillId="0" borderId="49" xfId="47" applyFont="1" applyBorder="1" applyAlignment="1" applyProtection="1">
      <alignment/>
      <protection/>
    </xf>
    <xf numFmtId="44" fontId="1" fillId="0" borderId="50" xfId="47" applyFont="1" applyBorder="1" applyAlignment="1" applyProtection="1">
      <alignment/>
      <protection/>
    </xf>
    <xf numFmtId="44" fontId="1" fillId="0" borderId="48" xfId="47" applyNumberFormat="1" applyFont="1" applyBorder="1" applyAlignment="1" applyProtection="1">
      <alignment/>
      <protection/>
    </xf>
    <xf numFmtId="44" fontId="0" fillId="0" borderId="0" xfId="45" applyFont="1" applyAlignment="1" applyProtection="1">
      <alignment/>
      <protection/>
    </xf>
    <xf numFmtId="44" fontId="1" fillId="0" borderId="0" xfId="47" applyFont="1" applyBorder="1" applyAlignment="1" applyProtection="1">
      <alignment horizontal="right"/>
      <protection/>
    </xf>
    <xf numFmtId="44" fontId="1" fillId="0" borderId="51" xfId="47" applyFont="1" applyBorder="1" applyAlignment="1" applyProtection="1">
      <alignment/>
      <protection/>
    </xf>
    <xf numFmtId="7" fontId="1" fillId="0" borderId="0" xfId="0" applyNumberFormat="1" applyFont="1" applyBorder="1" applyAlignment="1" applyProtection="1">
      <alignment/>
      <protection/>
    </xf>
    <xf numFmtId="43" fontId="1" fillId="0" borderId="40" xfId="44" applyFont="1" applyBorder="1" applyAlignment="1" applyProtection="1">
      <alignment/>
      <protection/>
    </xf>
    <xf numFmtId="43" fontId="1" fillId="0" borderId="49" xfId="44" applyFont="1" applyBorder="1" applyAlignment="1" applyProtection="1">
      <alignment/>
      <protection/>
    </xf>
    <xf numFmtId="43" fontId="1" fillId="0" borderId="49" xfId="0" applyNumberFormat="1" applyFont="1" applyBorder="1" applyAlignment="1" applyProtection="1">
      <alignment horizontal="right"/>
      <protection/>
    </xf>
    <xf numFmtId="43" fontId="1" fillId="0" borderId="0" xfId="0" applyNumberFormat="1" applyFont="1" applyBorder="1" applyAlignment="1" applyProtection="1">
      <alignment/>
      <protection/>
    </xf>
    <xf numFmtId="164" fontId="28" fillId="0" borderId="0" xfId="0" applyNumberFormat="1" applyFont="1" applyBorder="1" applyAlignment="1" applyProtection="1">
      <alignment/>
      <protection/>
    </xf>
    <xf numFmtId="10" fontId="28" fillId="0" borderId="0" xfId="0" applyNumberFormat="1" applyFont="1" applyBorder="1" applyAlignment="1" applyProtection="1">
      <alignment/>
      <protection/>
    </xf>
    <xf numFmtId="7" fontId="1" fillId="0" borderId="0" xfId="0" applyNumberFormat="1" applyFont="1" applyBorder="1" applyAlignment="1" applyProtection="1">
      <alignment horizontal="right"/>
      <protection/>
    </xf>
    <xf numFmtId="165" fontId="1" fillId="0" borderId="40" xfId="44" applyNumberFormat="1" applyFont="1" applyBorder="1" applyAlignment="1" applyProtection="1">
      <alignment/>
      <protection/>
    </xf>
    <xf numFmtId="165" fontId="1" fillId="0" borderId="49" xfId="44" applyNumberFormat="1" applyFont="1" applyBorder="1" applyAlignment="1" applyProtection="1">
      <alignment/>
      <protection/>
    </xf>
    <xf numFmtId="165" fontId="1" fillId="0" borderId="49" xfId="0" applyNumberFormat="1" applyFont="1" applyBorder="1" applyAlignment="1" applyProtection="1">
      <alignment horizontal="right"/>
      <protection/>
    </xf>
    <xf numFmtId="0" fontId="29" fillId="0" borderId="0" xfId="0" applyFont="1" applyAlignment="1" applyProtection="1">
      <alignment/>
      <protection/>
    </xf>
    <xf numFmtId="0" fontId="30" fillId="0" borderId="0" xfId="0" applyFont="1" applyAlignment="1" applyProtection="1">
      <alignment/>
      <protection/>
    </xf>
    <xf numFmtId="7" fontId="5" fillId="0" borderId="0" xfId="0" applyNumberFormat="1" applyFont="1" applyBorder="1" applyAlignment="1" applyProtection="1">
      <alignment/>
      <protection/>
    </xf>
    <xf numFmtId="43" fontId="5" fillId="0" borderId="0" xfId="44" applyFont="1" applyBorder="1" applyAlignment="1" applyProtection="1">
      <alignment/>
      <protection/>
    </xf>
    <xf numFmtId="43" fontId="5" fillId="0" borderId="0" xfId="44" applyNumberFormat="1" applyFont="1" applyFill="1" applyBorder="1" applyAlignment="1" applyProtection="1">
      <alignment/>
      <protection/>
    </xf>
    <xf numFmtId="43" fontId="0" fillId="0" borderId="0" xfId="63" applyNumberFormat="1" applyFont="1" applyAlignment="1" applyProtection="1">
      <alignment/>
      <protection/>
    </xf>
    <xf numFmtId="43" fontId="5" fillId="0" borderId="0" xfId="0" applyNumberFormat="1" applyFont="1" applyBorder="1" applyAlignment="1" applyProtection="1">
      <alignment/>
      <protection/>
    </xf>
    <xf numFmtId="44" fontId="5" fillId="0" borderId="0" xfId="47" applyFont="1" applyBorder="1" applyAlignment="1" applyProtection="1">
      <alignment/>
      <protection/>
    </xf>
    <xf numFmtId="44" fontId="14" fillId="0" borderId="0" xfId="47" applyFont="1" applyBorder="1" applyAlignment="1" applyProtection="1">
      <alignment/>
      <protection/>
    </xf>
    <xf numFmtId="44" fontId="0" fillId="0" borderId="44" xfId="47" applyFont="1" applyBorder="1" applyAlignment="1" applyProtection="1">
      <alignment/>
      <protection/>
    </xf>
    <xf numFmtId="7" fontId="0" fillId="0" borderId="0" xfId="0" applyNumberFormat="1" applyFont="1" applyAlignment="1" applyProtection="1">
      <alignment/>
      <protection/>
    </xf>
    <xf numFmtId="44" fontId="0" fillId="0" borderId="44" xfId="0" applyNumberFormat="1" applyFont="1" applyBorder="1" applyAlignment="1" applyProtection="1">
      <alignment/>
      <protection/>
    </xf>
    <xf numFmtId="165" fontId="3" fillId="0" borderId="0" xfId="0" applyNumberFormat="1" applyFont="1" applyAlignment="1" applyProtection="1">
      <alignment/>
      <protection/>
    </xf>
    <xf numFmtId="164" fontId="31" fillId="0" borderId="0" xfId="63" applyNumberFormat="1" applyFont="1" applyBorder="1" applyAlignment="1" applyProtection="1">
      <alignment/>
      <protection/>
    </xf>
    <xf numFmtId="44" fontId="14" fillId="0" borderId="0" xfId="45" applyFont="1" applyBorder="1" applyAlignment="1" applyProtection="1">
      <alignment/>
      <protection/>
    </xf>
    <xf numFmtId="5" fontId="1" fillId="37" borderId="0" xfId="0" applyNumberFormat="1" applyFont="1" applyFill="1" applyBorder="1" applyAlignment="1" applyProtection="1">
      <alignment/>
      <protection/>
    </xf>
    <xf numFmtId="164" fontId="26" fillId="0" borderId="0" xfId="64" applyNumberFormat="1" applyFont="1" applyBorder="1" applyAlignment="1" applyProtection="1">
      <alignment/>
      <protection/>
    </xf>
    <xf numFmtId="166" fontId="0" fillId="0" borderId="46" xfId="47" applyNumberFormat="1" applyFont="1" applyBorder="1" applyAlignment="1" applyProtection="1">
      <alignment/>
      <protection/>
    </xf>
    <xf numFmtId="44" fontId="1" fillId="0" borderId="49" xfId="0" applyNumberFormat="1" applyFont="1" applyBorder="1" applyAlignment="1" applyProtection="1">
      <alignment/>
      <protection/>
    </xf>
    <xf numFmtId="164" fontId="0" fillId="0" borderId="0" xfId="63" applyNumberFormat="1" applyFont="1" applyAlignment="1" applyProtection="1">
      <alignment/>
      <protection/>
    </xf>
    <xf numFmtId="44" fontId="1" fillId="0" borderId="0" xfId="0" applyNumberFormat="1" applyFont="1" applyBorder="1" applyAlignment="1" applyProtection="1">
      <alignment/>
      <protection/>
    </xf>
    <xf numFmtId="39" fontId="7" fillId="0" borderId="0" xfId="0" applyNumberFormat="1" applyFont="1" applyBorder="1" applyAlignment="1" applyProtection="1">
      <alignment horizontal="center"/>
      <protection/>
    </xf>
    <xf numFmtId="164" fontId="1" fillId="0" borderId="0" xfId="64" applyNumberFormat="1" applyFont="1" applyBorder="1" applyAlignment="1" applyProtection="1">
      <alignment horizontal="center"/>
      <protection/>
    </xf>
    <xf numFmtId="164" fontId="7" fillId="0" borderId="0" xfId="64" applyNumberFormat="1" applyFont="1" applyBorder="1" applyAlignment="1" applyProtection="1">
      <alignment horizontal="center"/>
      <protection/>
    </xf>
    <xf numFmtId="164" fontId="5" fillId="0" borderId="0" xfId="64" applyNumberFormat="1" applyFont="1" applyBorder="1" applyAlignment="1" applyProtection="1">
      <alignment horizontal="center"/>
      <protection/>
    </xf>
    <xf numFmtId="9" fontId="0" fillId="0" borderId="0" xfId="63" applyFont="1" applyAlignment="1">
      <alignment/>
    </xf>
    <xf numFmtId="43" fontId="32" fillId="0" borderId="0" xfId="0" applyNumberFormat="1" applyFont="1" applyAlignment="1">
      <alignment/>
    </xf>
    <xf numFmtId="0" fontId="32" fillId="0" borderId="0" xfId="0" applyFont="1" applyAlignment="1">
      <alignment/>
    </xf>
    <xf numFmtId="164" fontId="32" fillId="0" borderId="0" xfId="63" applyNumberFormat="1" applyFont="1" applyAlignment="1">
      <alignment/>
    </xf>
    <xf numFmtId="164" fontId="1" fillId="0" borderId="0" xfId="63" applyNumberFormat="1" applyFont="1" applyAlignment="1" applyProtection="1">
      <alignment/>
      <protection/>
    </xf>
    <xf numFmtId="164" fontId="1" fillId="0" borderId="0" xfId="0" applyNumberFormat="1" applyFont="1" applyAlignment="1" applyProtection="1">
      <alignment/>
      <protection/>
    </xf>
    <xf numFmtId="0" fontId="1" fillId="0" borderId="0" xfId="0" applyFont="1" applyBorder="1" applyAlignment="1" applyProtection="1">
      <alignment horizontal="right"/>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left"/>
      <protection/>
    </xf>
    <xf numFmtId="0" fontId="0" fillId="0" borderId="24" xfId="0" applyFont="1" applyBorder="1" applyAlignment="1" applyProtection="1">
      <alignment/>
      <protection/>
    </xf>
    <xf numFmtId="0" fontId="1" fillId="0" borderId="0" xfId="0" applyFont="1" applyAlignment="1">
      <alignment horizontal="center"/>
    </xf>
    <xf numFmtId="0" fontId="40" fillId="0" borderId="0" xfId="0" applyFont="1" applyAlignment="1">
      <alignment/>
    </xf>
    <xf numFmtId="0" fontId="132" fillId="0" borderId="0" xfId="0" applyFont="1" applyAlignment="1" quotePrefix="1">
      <alignment horizontal="left"/>
    </xf>
    <xf numFmtId="0" fontId="24" fillId="0" borderId="0" xfId="0" applyFont="1" applyAlignment="1">
      <alignment horizontal="left"/>
    </xf>
    <xf numFmtId="166" fontId="0" fillId="0" borderId="0" xfId="45" applyNumberFormat="1" applyFont="1" applyAlignment="1">
      <alignment/>
    </xf>
    <xf numFmtId="0" fontId="116" fillId="0" borderId="0" xfId="0" applyFont="1" applyAlignment="1">
      <alignment horizontal="center" wrapText="1"/>
    </xf>
    <xf numFmtId="44" fontId="33" fillId="0" borderId="0" xfId="45" applyFont="1" applyAlignment="1">
      <alignment horizontal="center"/>
    </xf>
    <xf numFmtId="0" fontId="109" fillId="0" borderId="0" xfId="0" applyFont="1" applyAlignment="1">
      <alignment horizontal="center"/>
    </xf>
    <xf numFmtId="44" fontId="34" fillId="0" borderId="0" xfId="45" applyFont="1" applyAlignment="1">
      <alignment horizontal="center"/>
    </xf>
    <xf numFmtId="0" fontId="111" fillId="0" borderId="0" xfId="0" applyFont="1" applyAlignment="1">
      <alignment horizontal="center"/>
    </xf>
    <xf numFmtId="0" fontId="111" fillId="0" borderId="0" xfId="0" applyFont="1" applyBorder="1" applyAlignment="1">
      <alignment horizontal="center"/>
    </xf>
    <xf numFmtId="165" fontId="114" fillId="0" borderId="0" xfId="0" applyNumberFormat="1" applyFont="1" applyBorder="1" applyAlignment="1">
      <alignment horizontal="center"/>
    </xf>
    <xf numFmtId="37" fontId="113" fillId="0" borderId="0" xfId="0" applyNumberFormat="1" applyFont="1" applyAlignment="1">
      <alignment/>
    </xf>
    <xf numFmtId="165" fontId="114" fillId="0" borderId="0" xfId="0" applyNumberFormat="1" applyFont="1" applyBorder="1" applyAlignment="1">
      <alignment/>
    </xf>
    <xf numFmtId="165" fontId="114" fillId="0" borderId="0" xfId="0" applyNumberFormat="1" applyFont="1" applyAlignment="1">
      <alignment/>
    </xf>
    <xf numFmtId="166" fontId="114" fillId="0" borderId="0" xfId="0" applyNumberFormat="1" applyFont="1" applyAlignment="1">
      <alignment horizontal="right"/>
    </xf>
    <xf numFmtId="166" fontId="114" fillId="0" borderId="0" xfId="0" applyNumberFormat="1" applyFont="1" applyAlignment="1">
      <alignment/>
    </xf>
    <xf numFmtId="166" fontId="109" fillId="0" borderId="0" xfId="45" applyNumberFormat="1" applyFont="1" applyAlignment="1">
      <alignment horizontal="right"/>
    </xf>
    <xf numFmtId="166" fontId="133" fillId="0" borderId="0" xfId="0" applyNumberFormat="1" applyFont="1" applyAlignment="1">
      <alignment/>
    </xf>
    <xf numFmtId="166" fontId="94" fillId="0" borderId="0" xfId="0" applyNumberFormat="1" applyFont="1" applyAlignment="1">
      <alignment/>
    </xf>
    <xf numFmtId="166" fontId="94" fillId="0" borderId="0" xfId="45" applyNumberFormat="1" applyFont="1" applyAlignment="1">
      <alignment/>
    </xf>
    <xf numFmtId="166" fontId="124" fillId="0" borderId="0" xfId="45" applyNumberFormat="1" applyFont="1" applyAlignment="1">
      <alignment horizontal="right"/>
    </xf>
    <xf numFmtId="166" fontId="134" fillId="0" borderId="0" xfId="0" applyNumberFormat="1" applyFont="1" applyAlignment="1">
      <alignment/>
    </xf>
    <xf numFmtId="166" fontId="112" fillId="0" borderId="0" xfId="0" applyNumberFormat="1" applyFont="1" applyAlignment="1">
      <alignment/>
    </xf>
    <xf numFmtId="166" fontId="112" fillId="0" borderId="0" xfId="45" applyNumberFormat="1" applyFont="1" applyAlignment="1">
      <alignment/>
    </xf>
    <xf numFmtId="166" fontId="114" fillId="0" borderId="0" xfId="45" applyNumberFormat="1" applyFont="1" applyAlignment="1">
      <alignment horizontal="right"/>
    </xf>
    <xf numFmtId="166" fontId="114" fillId="0" borderId="0" xfId="45" applyNumberFormat="1" applyFont="1" applyBorder="1" applyAlignment="1">
      <alignment horizontal="center"/>
    </xf>
    <xf numFmtId="166" fontId="34" fillId="0" borderId="0" xfId="45" applyNumberFormat="1" applyFont="1" applyFill="1" applyAlignment="1">
      <alignment horizontal="center"/>
    </xf>
    <xf numFmtId="166" fontId="124" fillId="0" borderId="0" xfId="0" applyNumberFormat="1" applyFont="1" applyAlignment="1">
      <alignment/>
    </xf>
    <xf numFmtId="166" fontId="124" fillId="0" borderId="0" xfId="45" applyNumberFormat="1" applyFont="1" applyAlignment="1">
      <alignment/>
    </xf>
    <xf numFmtId="166" fontId="111" fillId="0" borderId="0" xfId="45" applyNumberFormat="1" applyFont="1" applyBorder="1" applyAlignment="1">
      <alignment horizontal="center"/>
    </xf>
    <xf numFmtId="166" fontId="35" fillId="0" borderId="0" xfId="45" applyNumberFormat="1" applyFont="1" applyAlignment="1">
      <alignment horizontal="right"/>
    </xf>
    <xf numFmtId="166" fontId="36" fillId="0" borderId="0" xfId="45" applyNumberFormat="1" applyFont="1" applyAlignment="1">
      <alignment horizontal="right"/>
    </xf>
    <xf numFmtId="166" fontId="37" fillId="0" borderId="0" xfId="45" applyNumberFormat="1" applyFont="1" applyAlignment="1">
      <alignment horizontal="right"/>
    </xf>
    <xf numFmtId="166" fontId="34" fillId="0" borderId="0" xfId="45" applyNumberFormat="1" applyFont="1" applyAlignment="1">
      <alignment horizontal="right"/>
    </xf>
    <xf numFmtId="166" fontId="38" fillId="0" borderId="0" xfId="45" applyNumberFormat="1" applyFont="1" applyAlignment="1">
      <alignment horizontal="right"/>
    </xf>
    <xf numFmtId="164" fontId="38" fillId="0" borderId="0" xfId="63" applyNumberFormat="1" applyFont="1" applyAlignment="1">
      <alignment horizontal="center"/>
    </xf>
    <xf numFmtId="43" fontId="38" fillId="0" borderId="0" xfId="42" applyFont="1" applyAlignment="1">
      <alignment horizontal="center"/>
    </xf>
    <xf numFmtId="44" fontId="38" fillId="0" borderId="0" xfId="45" applyFont="1" applyAlignment="1">
      <alignment horizontal="center"/>
    </xf>
    <xf numFmtId="0" fontId="35" fillId="0" borderId="0" xfId="0" applyFont="1" applyFill="1" applyAlignment="1">
      <alignment/>
    </xf>
    <xf numFmtId="0" fontId="35" fillId="0" borderId="0" xfId="0" applyFont="1" applyAlignment="1">
      <alignment/>
    </xf>
    <xf numFmtId="166" fontId="35" fillId="0" borderId="0" xfId="45" applyNumberFormat="1" applyFont="1" applyAlignment="1">
      <alignment/>
    </xf>
    <xf numFmtId="164" fontId="135" fillId="0" borderId="0" xfId="63" applyNumberFormat="1" applyFont="1" applyAlignment="1">
      <alignment/>
    </xf>
    <xf numFmtId="9" fontId="135" fillId="0" borderId="0" xfId="63" applyFont="1" applyAlignment="1">
      <alignment/>
    </xf>
    <xf numFmtId="0" fontId="35" fillId="0" borderId="0" xfId="0" applyFont="1" applyAlignment="1">
      <alignment horizontal="right"/>
    </xf>
    <xf numFmtId="166" fontId="35" fillId="0" borderId="0" xfId="0" applyNumberFormat="1" applyFont="1" applyAlignment="1">
      <alignment/>
    </xf>
    <xf numFmtId="166" fontId="35" fillId="0" borderId="0" xfId="0" applyNumberFormat="1" applyFont="1" applyFill="1" applyAlignment="1">
      <alignment/>
    </xf>
    <xf numFmtId="0" fontId="36" fillId="0" borderId="0" xfId="0" applyFont="1" applyFill="1" applyAlignment="1">
      <alignment/>
    </xf>
    <xf numFmtId="166" fontId="36" fillId="0" borderId="0" xfId="0" applyNumberFormat="1" applyFont="1" applyAlignment="1">
      <alignment/>
    </xf>
    <xf numFmtId="166" fontId="36" fillId="0" borderId="0" xfId="45" applyNumberFormat="1" applyFont="1" applyAlignment="1">
      <alignment/>
    </xf>
    <xf numFmtId="166" fontId="136" fillId="0" borderId="0" xfId="0" applyNumberFormat="1" applyFont="1" applyAlignment="1">
      <alignment/>
    </xf>
    <xf numFmtId="9" fontId="111" fillId="0" borderId="0" xfId="63" applyFont="1" applyBorder="1" applyAlignment="1">
      <alignment horizontal="center"/>
    </xf>
    <xf numFmtId="166" fontId="137" fillId="0" borderId="0" xfId="45" applyNumberFormat="1" applyFont="1" applyAlignment="1">
      <alignment horizontal="right"/>
    </xf>
    <xf numFmtId="6" fontId="33" fillId="0" borderId="0" xfId="45" applyNumberFormat="1" applyFont="1" applyAlignment="1">
      <alignment horizontal="right"/>
    </xf>
    <xf numFmtId="0" fontId="33" fillId="0" borderId="0" xfId="0" applyFont="1" applyAlignment="1">
      <alignment horizontal="center"/>
    </xf>
    <xf numFmtId="14" fontId="33" fillId="0" borderId="0" xfId="0" applyNumberFormat="1" applyFont="1" applyAlignment="1">
      <alignment horizontal="center"/>
    </xf>
    <xf numFmtId="0" fontId="39" fillId="0" borderId="0" xfId="0" applyFont="1" applyAlignment="1">
      <alignment horizontal="center"/>
    </xf>
    <xf numFmtId="166" fontId="37" fillId="0" borderId="0" xfId="45" applyNumberFormat="1" applyFont="1" applyAlignment="1">
      <alignment/>
    </xf>
    <xf numFmtId="43" fontId="94" fillId="0" borderId="0" xfId="42" applyFont="1" applyAlignment="1">
      <alignment/>
    </xf>
    <xf numFmtId="43" fontId="35" fillId="0" borderId="0" xfId="0" applyNumberFormat="1" applyFont="1" applyAlignment="1">
      <alignment/>
    </xf>
    <xf numFmtId="44" fontId="11" fillId="0" borderId="27" xfId="45" applyFont="1" applyFill="1" applyBorder="1" applyAlignment="1" applyProtection="1">
      <alignment/>
      <protection locked="0"/>
    </xf>
    <xf numFmtId="44" fontId="11" fillId="0" borderId="27" xfId="47" applyFont="1" applyFill="1" applyBorder="1" applyAlignment="1" applyProtection="1">
      <alignment/>
      <protection locked="0"/>
    </xf>
    <xf numFmtId="44" fontId="0" fillId="0" borderId="27" xfId="47" applyFont="1" applyFill="1" applyBorder="1" applyAlignment="1" applyProtection="1">
      <alignment/>
      <protection locked="0"/>
    </xf>
    <xf numFmtId="44" fontId="0" fillId="0" borderId="27" xfId="47" applyFont="1" applyFill="1" applyBorder="1" applyAlignment="1">
      <alignment/>
    </xf>
    <xf numFmtId="43" fontId="0" fillId="0" borderId="0" xfId="44" applyFont="1" applyBorder="1" applyAlignment="1" applyProtection="1">
      <alignment horizontal="right"/>
      <protection locked="0"/>
    </xf>
    <xf numFmtId="164" fontId="0" fillId="0" borderId="12" xfId="64" applyNumberFormat="1" applyFont="1" applyBorder="1" applyAlignment="1">
      <alignment/>
    </xf>
    <xf numFmtId="164" fontId="0" fillId="0" borderId="12" xfId="64" applyNumberFormat="1" applyFont="1" applyBorder="1" applyAlignment="1">
      <alignment/>
    </xf>
    <xf numFmtId="43" fontId="3" fillId="0" borderId="0" xfId="44" applyFont="1" applyBorder="1" applyAlignment="1" applyProtection="1">
      <alignment horizontal="right"/>
      <protection locked="0"/>
    </xf>
    <xf numFmtId="164" fontId="4" fillId="0" borderId="12" xfId="64" applyNumberFormat="1" applyFont="1" applyBorder="1" applyAlignment="1">
      <alignment/>
    </xf>
    <xf numFmtId="164" fontId="4" fillId="0" borderId="12" xfId="64" applyNumberFormat="1" applyFont="1" applyBorder="1" applyAlignment="1">
      <alignment horizontal="right"/>
    </xf>
    <xf numFmtId="43" fontId="121" fillId="0" borderId="0" xfId="0" applyNumberFormat="1" applyFont="1" applyAlignment="1">
      <alignment/>
    </xf>
    <xf numFmtId="165" fontId="3" fillId="0" borderId="0" xfId="0" applyNumberFormat="1" applyFont="1" applyAlignment="1">
      <alignment/>
    </xf>
    <xf numFmtId="43" fontId="112" fillId="0" borderId="0" xfId="42" applyFont="1" applyAlignment="1">
      <alignment/>
    </xf>
    <xf numFmtId="43" fontId="0" fillId="0" borderId="0" xfId="42" applyFont="1" applyBorder="1" applyAlignment="1" applyProtection="1">
      <alignment/>
      <protection locked="0"/>
    </xf>
    <xf numFmtId="43" fontId="0" fillId="0" borderId="0" xfId="42" applyNumberFormat="1" applyFont="1" applyAlignment="1">
      <alignment/>
    </xf>
    <xf numFmtId="43" fontId="3" fillId="0" borderId="0" xfId="42" applyFont="1" applyBorder="1" applyAlignment="1" applyProtection="1">
      <alignment/>
      <protection locked="0"/>
    </xf>
    <xf numFmtId="43" fontId="1" fillId="0" borderId="0" xfId="0" applyNumberFormat="1" applyFont="1" applyAlignment="1">
      <alignment/>
    </xf>
    <xf numFmtId="166" fontId="14" fillId="0" borderId="0" xfId="45" applyNumberFormat="1" applyFont="1" applyBorder="1" applyAlignment="1" applyProtection="1">
      <alignment/>
      <protection/>
    </xf>
    <xf numFmtId="166" fontId="0" fillId="40" borderId="0" xfId="45" applyNumberFormat="1" applyFont="1" applyFill="1" applyAlignment="1" applyProtection="1">
      <alignment/>
      <protection/>
    </xf>
    <xf numFmtId="166" fontId="0" fillId="0" borderId="30" xfId="45" applyNumberFormat="1" applyFont="1" applyBorder="1" applyAlignment="1" applyProtection="1">
      <alignment/>
      <protection/>
    </xf>
    <xf numFmtId="165" fontId="4" fillId="0" borderId="0" xfId="42" applyNumberFormat="1" applyFont="1" applyAlignment="1" applyProtection="1">
      <alignment/>
      <protection/>
    </xf>
    <xf numFmtId="44" fontId="116" fillId="0" borderId="0" xfId="45" applyFont="1" applyAlignment="1">
      <alignment horizontal="center" wrapText="1"/>
    </xf>
    <xf numFmtId="3" fontId="116" fillId="0" borderId="0" xfId="0" applyNumberFormat="1" applyFont="1" applyAlignment="1">
      <alignment horizontal="center" wrapText="1"/>
    </xf>
    <xf numFmtId="3" fontId="116" fillId="0" borderId="0" xfId="0" applyNumberFormat="1" applyFont="1" applyAlignment="1">
      <alignment horizontal="center"/>
    </xf>
    <xf numFmtId="44" fontId="33" fillId="0" borderId="0" xfId="45" applyFont="1" applyAlignment="1">
      <alignment horizontal="center"/>
    </xf>
    <xf numFmtId="3" fontId="33" fillId="0" borderId="0" xfId="0" applyNumberFormat="1" applyFont="1" applyAlignment="1">
      <alignment horizontal="center"/>
    </xf>
    <xf numFmtId="44" fontId="34" fillId="0" borderId="0" xfId="45" applyFont="1" applyAlignment="1">
      <alignment horizontal="center"/>
    </xf>
    <xf numFmtId="0" fontId="111" fillId="0" borderId="0" xfId="0" applyFont="1" applyBorder="1" applyAlignment="1">
      <alignment horizontal="center"/>
    </xf>
    <xf numFmtId="0" fontId="111" fillId="0" borderId="0" xfId="0" applyFont="1" applyFill="1" applyBorder="1" applyAlignment="1">
      <alignment horizontal="center"/>
    </xf>
    <xf numFmtId="165" fontId="114" fillId="0" borderId="0" xfId="0" applyNumberFormat="1" applyFont="1" applyBorder="1" applyAlignment="1">
      <alignment horizontal="center"/>
    </xf>
    <xf numFmtId="165" fontId="114" fillId="0" borderId="0" xfId="42" applyNumberFormat="1" applyFont="1" applyAlignment="1">
      <alignment/>
    </xf>
    <xf numFmtId="164" fontId="123" fillId="0" borderId="0" xfId="63" applyNumberFormat="1" applyFont="1" applyAlignment="1">
      <alignment/>
    </xf>
    <xf numFmtId="164" fontId="123" fillId="0" borderId="0" xfId="0" applyNumberFormat="1" applyFont="1" applyAlignment="1">
      <alignment/>
    </xf>
    <xf numFmtId="164" fontId="123" fillId="0" borderId="0" xfId="0" applyNumberFormat="1" applyFont="1" applyBorder="1" applyAlignment="1">
      <alignment horizontal="center"/>
    </xf>
    <xf numFmtId="165" fontId="114" fillId="0" borderId="0" xfId="0" applyNumberFormat="1" applyFont="1" applyBorder="1" applyAlignment="1">
      <alignment/>
    </xf>
    <xf numFmtId="165" fontId="113" fillId="0" borderId="0" xfId="0" applyNumberFormat="1" applyFont="1" applyBorder="1" applyAlignment="1">
      <alignment/>
    </xf>
    <xf numFmtId="166" fontId="114" fillId="0" borderId="0" xfId="0" applyNumberFormat="1" applyFont="1" applyAlignment="1">
      <alignment horizontal="right"/>
    </xf>
    <xf numFmtId="166" fontId="114" fillId="0" borderId="0" xfId="0" applyNumberFormat="1" applyFont="1" applyAlignment="1">
      <alignment horizontal="center"/>
    </xf>
    <xf numFmtId="166" fontId="114" fillId="0" borderId="0" xfId="0" applyNumberFormat="1" applyFont="1" applyAlignment="1">
      <alignment/>
    </xf>
    <xf numFmtId="0" fontId="0" fillId="0" borderId="0" xfId="0" applyAlignment="1">
      <alignment horizontal="right"/>
    </xf>
    <xf numFmtId="44" fontId="94" fillId="0" borderId="0" xfId="45" applyFont="1" applyAlignment="1">
      <alignment horizontal="right"/>
    </xf>
    <xf numFmtId="0" fontId="0" fillId="0" borderId="0" xfId="0" applyAlignment="1">
      <alignment horizontal="center"/>
    </xf>
    <xf numFmtId="0" fontId="114" fillId="0" borderId="0" xfId="0" applyFont="1" applyAlignment="1">
      <alignment/>
    </xf>
    <xf numFmtId="9" fontId="116" fillId="0" borderId="0" xfId="63" applyNumberFormat="1" applyFont="1" applyAlignment="1">
      <alignment horizontal="center" wrapText="1"/>
    </xf>
    <xf numFmtId="166" fontId="114" fillId="0" borderId="0" xfId="45" applyNumberFormat="1" applyFont="1" applyAlignment="1">
      <alignment horizontal="right"/>
    </xf>
    <xf numFmtId="9" fontId="111" fillId="0" borderId="0" xfId="63" applyFont="1" applyBorder="1" applyAlignment="1">
      <alignment horizontal="center"/>
    </xf>
    <xf numFmtId="0" fontId="39" fillId="0" borderId="0" xfId="0" applyFont="1" applyAlignment="1">
      <alignment wrapText="1"/>
    </xf>
    <xf numFmtId="44" fontId="111" fillId="0" borderId="0" xfId="0" applyNumberFormat="1" applyFont="1" applyBorder="1" applyAlignment="1">
      <alignment horizontal="center"/>
    </xf>
    <xf numFmtId="166" fontId="34" fillId="0" borderId="0" xfId="45" applyNumberFormat="1" applyFont="1" applyFill="1" applyAlignment="1">
      <alignment horizontal="center"/>
    </xf>
    <xf numFmtId="166" fontId="128" fillId="0" borderId="0" xfId="0" applyNumberFormat="1" applyFont="1" applyAlignment="1">
      <alignment/>
    </xf>
    <xf numFmtId="166" fontId="124" fillId="0" borderId="0" xfId="0" applyNumberFormat="1" applyFont="1" applyAlignment="1">
      <alignment/>
    </xf>
    <xf numFmtId="166" fontId="111" fillId="0" borderId="0" xfId="45" applyNumberFormat="1" applyFont="1" applyBorder="1" applyAlignment="1">
      <alignment horizontal="center"/>
    </xf>
    <xf numFmtId="166" fontId="35" fillId="0" borderId="0" xfId="45" applyNumberFormat="1" applyFont="1" applyAlignment="1">
      <alignment horizontal="right"/>
    </xf>
    <xf numFmtId="166" fontId="116" fillId="0" borderId="0" xfId="0" applyNumberFormat="1" applyFont="1" applyAlignment="1">
      <alignment/>
    </xf>
    <xf numFmtId="166" fontId="109" fillId="0" borderId="0" xfId="0" applyNumberFormat="1" applyFont="1" applyAlignment="1">
      <alignment/>
    </xf>
    <xf numFmtId="165" fontId="35" fillId="0" borderId="0" xfId="42" applyNumberFormat="1" applyFont="1" applyAlignment="1">
      <alignment horizontal="right"/>
    </xf>
    <xf numFmtId="165" fontId="36" fillId="0" borderId="0" xfId="42" applyNumberFormat="1" applyFont="1" applyAlignment="1">
      <alignment horizontal="right"/>
    </xf>
    <xf numFmtId="6" fontId="33" fillId="0" borderId="0" xfId="45" applyNumberFormat="1" applyFont="1" applyAlignment="1">
      <alignment horizontal="right"/>
    </xf>
    <xf numFmtId="44" fontId="33" fillId="0" borderId="0" xfId="45" applyFont="1" applyAlignment="1">
      <alignment horizontal="right"/>
    </xf>
    <xf numFmtId="2" fontId="0" fillId="0" borderId="0" xfId="0" applyNumberFormat="1" applyBorder="1" applyAlignment="1">
      <alignment horizontal="center"/>
    </xf>
    <xf numFmtId="166" fontId="37" fillId="0" borderId="0" xfId="45" applyNumberFormat="1" applyFont="1" applyAlignment="1">
      <alignment horizontal="right"/>
    </xf>
    <xf numFmtId="166" fontId="34" fillId="0" borderId="0" xfId="45" applyNumberFormat="1" applyFont="1" applyAlignment="1">
      <alignment horizontal="right"/>
    </xf>
    <xf numFmtId="166" fontId="38" fillId="0" borderId="0" xfId="45" applyNumberFormat="1" applyFont="1" applyAlignment="1">
      <alignment horizontal="right"/>
    </xf>
    <xf numFmtId="6" fontId="116" fillId="0" borderId="0" xfId="45" applyNumberFormat="1" applyFont="1" applyAlignment="1">
      <alignment horizontal="right"/>
    </xf>
    <xf numFmtId="44" fontId="116" fillId="0" borderId="0" xfId="45" applyFont="1" applyAlignment="1">
      <alignment horizontal="right"/>
    </xf>
    <xf numFmtId="2" fontId="0" fillId="0" borderId="0" xfId="0" applyNumberFormat="1" applyAlignment="1">
      <alignment horizontal="center"/>
    </xf>
    <xf numFmtId="0" fontId="33" fillId="0" borderId="0" xfId="0" applyFont="1" applyAlignment="1">
      <alignment horizontal="center" wrapText="1"/>
    </xf>
    <xf numFmtId="164" fontId="83" fillId="0" borderId="0" xfId="63" applyNumberFormat="1" applyFont="1" applyAlignment="1">
      <alignment horizontal="center"/>
    </xf>
    <xf numFmtId="0" fontId="138" fillId="0" borderId="0" xfId="0" applyFont="1" applyFill="1" applyAlignment="1">
      <alignment/>
    </xf>
    <xf numFmtId="164" fontId="38" fillId="0" borderId="0" xfId="63" applyNumberFormat="1" applyFont="1" applyAlignment="1">
      <alignment horizontal="center"/>
    </xf>
    <xf numFmtId="43" fontId="38" fillId="0" borderId="0" xfId="42" applyFont="1" applyAlignment="1">
      <alignment horizontal="center"/>
    </xf>
    <xf numFmtId="44" fontId="38" fillId="0" borderId="0" xfId="45" applyFont="1" applyAlignment="1">
      <alignment horizontal="center"/>
    </xf>
    <xf numFmtId="44" fontId="114" fillId="0" borderId="0" xfId="0" applyNumberFormat="1" applyFont="1" applyAlignment="1">
      <alignment/>
    </xf>
    <xf numFmtId="44" fontId="109" fillId="13" borderId="20" xfId="45" applyFont="1" applyFill="1" applyBorder="1" applyAlignment="1">
      <alignment horizontal="center" wrapText="1"/>
    </xf>
    <xf numFmtId="0" fontId="111" fillId="13" borderId="19" xfId="0" applyFont="1" applyFill="1" applyBorder="1" applyAlignment="1">
      <alignment wrapText="1"/>
    </xf>
    <xf numFmtId="0" fontId="111" fillId="13" borderId="20" xfId="0" applyFont="1" applyFill="1" applyBorder="1" applyAlignment="1">
      <alignment horizontal="center" wrapText="1"/>
    </xf>
    <xf numFmtId="44" fontId="111" fillId="13" borderId="20" xfId="45" applyFont="1" applyFill="1" applyBorder="1" applyAlignment="1">
      <alignment horizontal="center" wrapText="1"/>
    </xf>
    <xf numFmtId="0" fontId="111" fillId="13" borderId="21" xfId="0" applyFont="1" applyFill="1" applyBorder="1" applyAlignment="1">
      <alignment horizontal="center" wrapText="1"/>
    </xf>
    <xf numFmtId="0" fontId="0" fillId="13" borderId="0" xfId="0" applyFill="1" applyBorder="1" applyAlignment="1">
      <alignment horizontal="right" wrapText="1"/>
    </xf>
    <xf numFmtId="44" fontId="94" fillId="13" borderId="0" xfId="45" applyFont="1" applyFill="1" applyBorder="1" applyAlignment="1">
      <alignment horizontal="center" wrapText="1"/>
    </xf>
    <xf numFmtId="166" fontId="94" fillId="13" borderId="23" xfId="45" applyNumberFormat="1" applyFont="1" applyFill="1" applyBorder="1" applyAlignment="1">
      <alignment horizontal="center" wrapText="1"/>
    </xf>
    <xf numFmtId="166" fontId="112" fillId="13" borderId="23" xfId="45" applyNumberFormat="1" applyFont="1" applyFill="1" applyBorder="1" applyAlignment="1">
      <alignment horizontal="center" wrapText="1"/>
    </xf>
    <xf numFmtId="0" fontId="33" fillId="13" borderId="24" xfId="0" applyFont="1" applyFill="1" applyBorder="1" applyAlignment="1">
      <alignment wrapText="1"/>
    </xf>
    <xf numFmtId="165" fontId="37" fillId="13" borderId="25" xfId="42" applyNumberFormat="1" applyFont="1" applyFill="1" applyBorder="1" applyAlignment="1">
      <alignment horizontal="center" wrapText="1"/>
    </xf>
    <xf numFmtId="44" fontId="33" fillId="13" borderId="25" xfId="45" applyFont="1" applyFill="1" applyBorder="1" applyAlignment="1">
      <alignment horizontal="center" wrapText="1"/>
    </xf>
    <xf numFmtId="166" fontId="37" fillId="13" borderId="26" xfId="45" applyNumberFormat="1" applyFont="1" applyFill="1" applyBorder="1" applyAlignment="1">
      <alignment horizontal="center" wrapText="1"/>
    </xf>
    <xf numFmtId="44" fontId="94" fillId="0" borderId="0" xfId="45" applyFont="1" applyAlignment="1">
      <alignment horizontal="right" wrapText="1"/>
    </xf>
    <xf numFmtId="0" fontId="0" fillId="0" borderId="0" xfId="0" applyAlignment="1">
      <alignment horizontal="center" wrapText="1"/>
    </xf>
    <xf numFmtId="165" fontId="94" fillId="0" borderId="0" xfId="42" applyNumberFormat="1" applyFont="1" applyAlignment="1">
      <alignment/>
    </xf>
    <xf numFmtId="0" fontId="139" fillId="0" borderId="0" xfId="0" applyFont="1" applyBorder="1" applyAlignment="1">
      <alignment/>
    </xf>
    <xf numFmtId="0" fontId="86" fillId="0" borderId="0" xfId="0" applyFont="1" applyAlignment="1" quotePrefix="1">
      <alignment wrapText="1"/>
    </xf>
    <xf numFmtId="0" fontId="0" fillId="13" borderId="22" xfId="0" applyFont="1" applyFill="1" applyBorder="1" applyAlignment="1">
      <alignment wrapText="1"/>
    </xf>
    <xf numFmtId="0" fontId="0" fillId="0" borderId="0" xfId="0" applyFont="1" applyBorder="1" applyAlignment="1">
      <alignment/>
    </xf>
    <xf numFmtId="166" fontId="1" fillId="0" borderId="0" xfId="45" applyNumberFormat="1" applyFont="1" applyAlignment="1">
      <alignment/>
    </xf>
    <xf numFmtId="166" fontId="1" fillId="0" borderId="0" xfId="0" applyNumberFormat="1" applyFont="1" applyAlignment="1">
      <alignment/>
    </xf>
    <xf numFmtId="166" fontId="14" fillId="0" borderId="0" xfId="45" applyNumberFormat="1" applyFont="1" applyAlignment="1">
      <alignment/>
    </xf>
    <xf numFmtId="0" fontId="14" fillId="0" borderId="0" xfId="0" applyFont="1" applyAlignment="1">
      <alignment/>
    </xf>
    <xf numFmtId="166" fontId="14" fillId="0" borderId="0" xfId="0" applyNumberFormat="1" applyFont="1" applyAlignment="1">
      <alignment/>
    </xf>
    <xf numFmtId="164" fontId="5" fillId="0" borderId="0" xfId="63" applyNumberFormat="1" applyFont="1" applyAlignment="1">
      <alignment/>
    </xf>
    <xf numFmtId="165" fontId="0" fillId="0" borderId="0" xfId="0" applyNumberFormat="1" applyFont="1" applyAlignment="1">
      <alignment/>
    </xf>
    <xf numFmtId="10" fontId="0" fillId="0" borderId="0" xfId="63" applyNumberFormat="1" applyFont="1" applyAlignment="1">
      <alignment/>
    </xf>
    <xf numFmtId="9" fontId="1" fillId="0" borderId="0" xfId="63" applyFont="1" applyAlignment="1">
      <alignment/>
    </xf>
    <xf numFmtId="166" fontId="38" fillId="0" borderId="0" xfId="45" applyNumberFormat="1" applyFont="1" applyAlignment="1">
      <alignment horizontal="center"/>
    </xf>
    <xf numFmtId="7" fontId="19" fillId="0" borderId="30" xfId="45" applyNumberFormat="1" applyFont="1" applyBorder="1" applyAlignment="1">
      <alignment/>
    </xf>
    <xf numFmtId="0" fontId="111" fillId="0" borderId="0" xfId="0" applyFont="1" applyAlignment="1">
      <alignment horizontal="center"/>
    </xf>
    <xf numFmtId="0" fontId="115" fillId="0" borderId="0" xfId="0" applyFont="1" applyAlignment="1">
      <alignment/>
    </xf>
    <xf numFmtId="0" fontId="111" fillId="0" borderId="0" xfId="0" applyFont="1" applyAlignment="1">
      <alignment/>
    </xf>
    <xf numFmtId="165" fontId="111" fillId="0" borderId="0" xfId="42" applyNumberFormat="1" applyFont="1" applyAlignment="1" quotePrefix="1">
      <alignment horizontal="center"/>
    </xf>
    <xf numFmtId="0" fontId="140" fillId="0" borderId="0" xfId="0" applyFont="1" applyAlignment="1">
      <alignment/>
    </xf>
    <xf numFmtId="0" fontId="88" fillId="0" borderId="0" xfId="0" applyFont="1" applyBorder="1" applyAlignment="1">
      <alignment/>
    </xf>
    <xf numFmtId="0" fontId="35" fillId="0" borderId="0" xfId="0" applyFont="1" applyBorder="1" applyAlignment="1">
      <alignment/>
    </xf>
    <xf numFmtId="165" fontId="0" fillId="0" borderId="0" xfId="0" applyNumberFormat="1" applyBorder="1" applyAlignment="1">
      <alignment/>
    </xf>
    <xf numFmtId="3" fontId="0" fillId="0" borderId="0" xfId="0" applyNumberFormat="1" applyBorder="1" applyAlignment="1">
      <alignment/>
    </xf>
    <xf numFmtId="165" fontId="112" fillId="0" borderId="0" xfId="0" applyNumberFormat="1" applyFont="1" applyBorder="1" applyAlignment="1">
      <alignment/>
    </xf>
    <xf numFmtId="3" fontId="141" fillId="0" borderId="0" xfId="0" applyNumberFormat="1" applyFont="1" applyBorder="1" applyAlignment="1">
      <alignment/>
    </xf>
    <xf numFmtId="0" fontId="33" fillId="0" borderId="0" xfId="0" applyFont="1" applyBorder="1" applyAlignment="1">
      <alignment/>
    </xf>
    <xf numFmtId="0" fontId="88" fillId="0" borderId="0" xfId="0" applyFont="1" applyBorder="1" applyAlignment="1">
      <alignment horizontal="left"/>
    </xf>
    <xf numFmtId="3" fontId="109" fillId="0" borderId="0" xfId="0" applyNumberFormat="1" applyFont="1" applyBorder="1" applyAlignment="1">
      <alignment/>
    </xf>
    <xf numFmtId="0" fontId="141" fillId="0" borderId="0" xfId="0" applyFont="1" applyBorder="1" applyAlignment="1">
      <alignment/>
    </xf>
    <xf numFmtId="3" fontId="111" fillId="0" borderId="0" xfId="0" applyNumberFormat="1" applyFont="1" applyBorder="1" applyAlignment="1">
      <alignment/>
    </xf>
    <xf numFmtId="0" fontId="90" fillId="0" borderId="0" xfId="0" applyFont="1" applyBorder="1" applyAlignment="1">
      <alignment horizontal="left"/>
    </xf>
    <xf numFmtId="3" fontId="113" fillId="0" borderId="0" xfId="0" applyNumberFormat="1" applyFont="1" applyBorder="1" applyAlignment="1">
      <alignment/>
    </xf>
    <xf numFmtId="3" fontId="109" fillId="0" borderId="0" xfId="0" applyNumberFormat="1" applyFont="1" applyAlignment="1">
      <alignment/>
    </xf>
    <xf numFmtId="3" fontId="113" fillId="0" borderId="0" xfId="0" applyNumberFormat="1" applyFont="1" applyAlignment="1">
      <alignment/>
    </xf>
    <xf numFmtId="164" fontId="111" fillId="0" borderId="0" xfId="0" applyNumberFormat="1" applyFont="1" applyAlignment="1">
      <alignment/>
    </xf>
    <xf numFmtId="164" fontId="113" fillId="0" borderId="0" xfId="0" applyNumberFormat="1" applyFont="1" applyAlignment="1">
      <alignment/>
    </xf>
    <xf numFmtId="3" fontId="0" fillId="0" borderId="0" xfId="0" applyNumberFormat="1" applyAlignment="1">
      <alignment/>
    </xf>
    <xf numFmtId="165" fontId="0" fillId="0" borderId="0" xfId="42" applyNumberFormat="1" applyFont="1" applyAlignment="1">
      <alignment/>
    </xf>
    <xf numFmtId="164" fontId="112" fillId="0" borderId="0" xfId="63" applyNumberFormat="1" applyFont="1" applyAlignment="1">
      <alignment/>
    </xf>
    <xf numFmtId="0" fontId="118" fillId="0" borderId="0" xfId="0" applyFont="1" applyAlignment="1">
      <alignment horizontal="center"/>
    </xf>
    <xf numFmtId="165" fontId="109" fillId="0" borderId="0" xfId="42" applyNumberFormat="1" applyFont="1" applyAlignment="1">
      <alignment horizontal="center"/>
    </xf>
    <xf numFmtId="165" fontId="111" fillId="0" borderId="0" xfId="42" applyNumberFormat="1" applyFont="1" applyAlignment="1">
      <alignment horizontal="center"/>
    </xf>
    <xf numFmtId="3" fontId="141" fillId="0" borderId="0" xfId="0" applyNumberFormat="1" applyFont="1" applyAlignment="1">
      <alignment/>
    </xf>
    <xf numFmtId="3" fontId="111" fillId="0" borderId="0" xfId="0" applyNumberFormat="1" applyFont="1" applyAlignment="1">
      <alignment/>
    </xf>
    <xf numFmtId="165" fontId="111" fillId="0" borderId="0" xfId="42" applyNumberFormat="1" applyFont="1" applyAlignment="1">
      <alignment/>
    </xf>
    <xf numFmtId="165" fontId="113" fillId="0" borderId="0" xfId="42" applyNumberFormat="1" applyFont="1" applyAlignment="1">
      <alignment/>
    </xf>
    <xf numFmtId="171" fontId="16" fillId="0" borderId="0" xfId="0" applyNumberFormat="1" applyFont="1" applyAlignment="1">
      <alignment horizontal="center"/>
    </xf>
    <xf numFmtId="171" fontId="17" fillId="34" borderId="52" xfId="0" applyNumberFormat="1" applyFont="1" applyFill="1" applyBorder="1" applyAlignment="1">
      <alignment horizontal="center"/>
    </xf>
    <xf numFmtId="171" fontId="17" fillId="34" borderId="53" xfId="0" applyNumberFormat="1" applyFont="1" applyFill="1" applyBorder="1" applyAlignment="1">
      <alignment horizontal="center"/>
    </xf>
    <xf numFmtId="171" fontId="17" fillId="34" borderId="54" xfId="0" applyNumberFormat="1" applyFont="1" applyFill="1" applyBorder="1" applyAlignment="1">
      <alignment horizontal="center"/>
    </xf>
    <xf numFmtId="171" fontId="17" fillId="34" borderId="24" xfId="0" applyNumberFormat="1" applyFont="1" applyFill="1" applyBorder="1" applyAlignment="1">
      <alignment horizontal="center"/>
    </xf>
    <xf numFmtId="171" fontId="17" fillId="34" borderId="25" xfId="0" applyNumberFormat="1" applyFont="1" applyFill="1" applyBorder="1" applyAlignment="1">
      <alignment horizontal="center"/>
    </xf>
    <xf numFmtId="171" fontId="17" fillId="34" borderId="26" xfId="0" applyNumberFormat="1" applyFont="1" applyFill="1" applyBorder="1" applyAlignment="1">
      <alignment horizontal="center"/>
    </xf>
    <xf numFmtId="171" fontId="24" fillId="0" borderId="0" xfId="0" applyNumberFormat="1" applyFont="1" applyAlignment="1">
      <alignment vertical="top" wrapText="1"/>
    </xf>
    <xf numFmtId="0" fontId="109" fillId="0" borderId="0" xfId="0" applyFont="1" applyAlignment="1">
      <alignment vertical="top" wrapText="1"/>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2" fillId="0" borderId="0" xfId="0" applyFont="1" applyFill="1" applyAlignment="1">
      <alignment horizontal="center"/>
    </xf>
    <xf numFmtId="0" fontId="7" fillId="0" borderId="0" xfId="0" applyFont="1" applyAlignment="1">
      <alignment horizontal="center"/>
    </xf>
    <xf numFmtId="0" fontId="142" fillId="0" borderId="0" xfId="0" applyFont="1" applyAlignment="1">
      <alignment horizontal="center"/>
    </xf>
    <xf numFmtId="0" fontId="1" fillId="33" borderId="55" xfId="0" applyFont="1" applyFill="1" applyBorder="1" applyAlignment="1">
      <alignment horizontal="center"/>
    </xf>
    <xf numFmtId="0" fontId="1" fillId="33" borderId="56" xfId="0" applyFont="1" applyFill="1" applyBorder="1" applyAlignment="1">
      <alignment horizontal="center"/>
    </xf>
    <xf numFmtId="0" fontId="1" fillId="33" borderId="57" xfId="0" applyFont="1" applyFill="1" applyBorder="1" applyAlignment="1">
      <alignment horizontal="center"/>
    </xf>
    <xf numFmtId="0" fontId="92" fillId="0" borderId="0" xfId="0" applyFont="1" applyAlignment="1">
      <alignment horizontal="center" wrapText="1"/>
    </xf>
    <xf numFmtId="0" fontId="143" fillId="0" borderId="0" xfId="0" applyFont="1" applyAlignment="1">
      <alignment horizontal="center"/>
    </xf>
    <xf numFmtId="0" fontId="111" fillId="0" borderId="0" xfId="0" applyFont="1" applyAlignment="1">
      <alignment horizontal="center"/>
    </xf>
    <xf numFmtId="3" fontId="111" fillId="0" borderId="0" xfId="0" applyNumberFormat="1" applyFont="1" applyAlignment="1">
      <alignment horizontal="center"/>
    </xf>
    <xf numFmtId="0" fontId="118"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5 2" xfId="48"/>
    <cellStyle name="Currency 6"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weinst\Documents\WUTC%20Rate%20Cases\WUTC%20Commodity%20Rebates%20-%20Puget%20Sound\2015%20Commodity%20Rebates\Commodity%20Credit%20Workpapers_111515%20_%20Final(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Sheet Summary"/>
      <sheetName val="NS(SC) Deferred Acct."/>
      <sheetName val="NS (KC) Deferred Acct."/>
      <sheetName val="Sea.(SS) Deferred Acct."/>
      <sheetName val="2016-2017 KC Budget"/>
      <sheetName val="2016 -2017 SC Budget"/>
      <sheetName val="KC Financial Incentive"/>
      <sheetName val="SC Financial Incentive"/>
      <sheetName val="2014-2015 RSA Budget vs. Actual"/>
      <sheetName val="2014-2015 RSA"/>
      <sheetName val="CRC Prices &amp; Revenue"/>
      <sheetName val="Customer Counts"/>
      <sheetName val="2014-2015 Composition"/>
    </sheetNames>
    <sheetDataSet>
      <sheetData sheetId="8">
        <row r="45">
          <cell r="M45">
            <v>126519.10687418391</v>
          </cell>
          <cell r="N45">
            <v>93887.32669815079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selection activeCell="O8" sqref="O8"/>
    </sheetView>
  </sheetViews>
  <sheetFormatPr defaultColWidth="9.140625" defaultRowHeight="12.75"/>
  <cols>
    <col min="1" max="1" width="4.57421875" style="187" customWidth="1"/>
    <col min="2" max="2" width="18.8515625" style="187" bestFit="1" customWidth="1"/>
    <col min="3" max="3" width="12.140625" style="187" customWidth="1"/>
    <col min="4" max="4" width="10.8515625" style="187" bestFit="1" customWidth="1"/>
    <col min="5" max="5" width="11.140625" style="125" bestFit="1" customWidth="1"/>
    <col min="6" max="6" width="12.7109375" style="187" bestFit="1" customWidth="1"/>
    <col min="7" max="7" width="11.00390625" style="187" bestFit="1" customWidth="1"/>
    <col min="8" max="8" width="10.00390625" style="187" bestFit="1" customWidth="1"/>
    <col min="9" max="9" width="12.7109375" style="187" bestFit="1" customWidth="1"/>
    <col min="10" max="10" width="10.7109375" style="187" bestFit="1" customWidth="1"/>
    <col min="11" max="11" width="9.57421875" style="187" bestFit="1" customWidth="1"/>
    <col min="12" max="12" width="12.7109375" style="187" bestFit="1" customWidth="1"/>
    <col min="13" max="13" width="7.7109375" style="187" customWidth="1"/>
    <col min="14" max="14" width="8.00390625" style="187" customWidth="1"/>
    <col min="15" max="15" width="10.28125" style="187" customWidth="1"/>
    <col min="16" max="16" width="9.8515625" style="187" customWidth="1"/>
    <col min="17" max="17" width="9.7109375" style="187" customWidth="1"/>
    <col min="18" max="18" width="8.8515625" style="187" customWidth="1"/>
    <col min="19" max="19" width="11.00390625" style="99" bestFit="1" customWidth="1"/>
    <col min="20" max="20" width="9.140625" style="187" customWidth="1"/>
    <col min="21" max="21" width="14.140625" style="187" bestFit="1" customWidth="1"/>
    <col min="22" max="22" width="9.140625" style="187" customWidth="1"/>
    <col min="23" max="23" width="12.7109375" style="187" bestFit="1" customWidth="1"/>
    <col min="24" max="24" width="9.7109375" style="187" bestFit="1" customWidth="1"/>
    <col min="25" max="16384" width="9.140625" style="187" customWidth="1"/>
  </cols>
  <sheetData>
    <row r="1" spans="1:12" ht="23.25">
      <c r="A1" s="602" t="s">
        <v>155</v>
      </c>
      <c r="B1" s="602"/>
      <c r="C1" s="602"/>
      <c r="D1" s="602"/>
      <c r="E1" s="602"/>
      <c r="F1" s="602"/>
      <c r="G1" s="602"/>
      <c r="H1" s="602"/>
      <c r="I1" s="602"/>
      <c r="J1" s="602"/>
      <c r="K1" s="602"/>
      <c r="L1" s="602"/>
    </row>
    <row r="2" ht="15.75" thickBot="1"/>
    <row r="3" spans="1:256" ht="16.5" thickBot="1">
      <c r="A3" s="188"/>
      <c r="B3" s="189"/>
      <c r="C3" s="190"/>
      <c r="D3" s="603" t="s">
        <v>156</v>
      </c>
      <c r="E3" s="604"/>
      <c r="F3" s="605"/>
      <c r="G3" s="603" t="s">
        <v>157</v>
      </c>
      <c r="H3" s="604"/>
      <c r="I3" s="605"/>
      <c r="J3" s="603" t="s">
        <v>158</v>
      </c>
      <c r="K3" s="604"/>
      <c r="L3" s="605"/>
      <c r="M3" s="191"/>
      <c r="N3" s="191"/>
      <c r="O3" s="191"/>
      <c r="P3" s="191"/>
      <c r="Q3" s="191"/>
      <c r="R3" s="191"/>
      <c r="S3" s="192"/>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6.5" thickBot="1">
      <c r="A4" s="606" t="s">
        <v>159</v>
      </c>
      <c r="B4" s="607"/>
      <c r="C4" s="608"/>
      <c r="D4" s="194" t="s">
        <v>160</v>
      </c>
      <c r="E4" s="195" t="s">
        <v>161</v>
      </c>
      <c r="F4" s="194" t="s">
        <v>162</v>
      </c>
      <c r="G4" s="194" t="s">
        <v>160</v>
      </c>
      <c r="H4" s="194" t="s">
        <v>161</v>
      </c>
      <c r="I4" s="194" t="s">
        <v>162</v>
      </c>
      <c r="J4" s="194" t="s">
        <v>160</v>
      </c>
      <c r="K4" s="194" t="s">
        <v>161</v>
      </c>
      <c r="L4" s="193" t="s">
        <v>162</v>
      </c>
      <c r="M4" s="191"/>
      <c r="N4" s="191"/>
      <c r="O4" s="196" t="s">
        <v>163</v>
      </c>
      <c r="P4" s="196" t="s">
        <v>98</v>
      </c>
      <c r="Q4" s="196" t="s">
        <v>100</v>
      </c>
      <c r="R4" s="191"/>
      <c r="S4" s="192"/>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256" ht="15">
      <c r="A5" s="197"/>
      <c r="B5" s="198"/>
      <c r="C5" s="199"/>
      <c r="D5" s="200"/>
      <c r="E5" s="201"/>
      <c r="F5" s="200"/>
      <c r="G5" s="200"/>
      <c r="H5" s="200"/>
      <c r="I5" s="200"/>
      <c r="J5" s="200"/>
      <c r="K5" s="200"/>
      <c r="L5" s="202"/>
      <c r="M5" s="203"/>
      <c r="N5" s="203"/>
      <c r="O5" s="203"/>
      <c r="P5" s="203"/>
      <c r="Q5" s="203"/>
      <c r="R5" s="203"/>
      <c r="S5" s="204"/>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03"/>
      <c r="EB5" s="203"/>
      <c r="EC5" s="203"/>
      <c r="ED5" s="203"/>
      <c r="EE5" s="203"/>
      <c r="EF5" s="203"/>
      <c r="EG5" s="203"/>
      <c r="EH5" s="203"/>
      <c r="EI5" s="203"/>
      <c r="EJ5" s="203"/>
      <c r="EK5" s="203"/>
      <c r="EL5" s="203"/>
      <c r="EM5" s="203"/>
      <c r="EN5" s="203"/>
      <c r="EO5" s="203"/>
      <c r="EP5" s="203"/>
      <c r="EQ5" s="203"/>
      <c r="ER5" s="203"/>
      <c r="ES5" s="203"/>
      <c r="ET5" s="203"/>
      <c r="EU5" s="203"/>
      <c r="EV5" s="203"/>
      <c r="EW5" s="203"/>
      <c r="EX5" s="203"/>
      <c r="EY5" s="203"/>
      <c r="EZ5" s="203"/>
      <c r="FA5" s="203"/>
      <c r="FB5" s="203"/>
      <c r="FC5" s="203"/>
      <c r="FD5" s="203"/>
      <c r="FE5" s="20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c r="IL5" s="203"/>
      <c r="IM5" s="203"/>
      <c r="IN5" s="203"/>
      <c r="IO5" s="203"/>
      <c r="IP5" s="203"/>
      <c r="IQ5" s="203"/>
      <c r="IR5" s="203"/>
      <c r="IS5" s="203"/>
      <c r="IT5" s="203"/>
      <c r="IU5" s="203"/>
      <c r="IV5" s="203"/>
    </row>
    <row r="6" spans="1:256" ht="15.75">
      <c r="A6" s="205" t="s">
        <v>164</v>
      </c>
      <c r="B6" s="206"/>
      <c r="C6" s="207"/>
      <c r="D6" s="208">
        <f>+'NS(SC) Deferred Acct.'!Z69</f>
        <v>1.9000000000000001</v>
      </c>
      <c r="E6" s="213">
        <v>0.54</v>
      </c>
      <c r="F6" s="209">
        <f>-1+D6/E6</f>
        <v>2.5185185185185186</v>
      </c>
      <c r="G6" s="210">
        <f>+'NS(KC) Deferred Acct.'!Z65</f>
        <v>1.62</v>
      </c>
      <c r="H6" s="213">
        <v>0.62</v>
      </c>
      <c r="I6" s="209">
        <f>-1+G6/H6</f>
        <v>1.612903225806452</v>
      </c>
      <c r="J6" s="210">
        <f>+'Sea_SS Deferred Acct.'!Z65</f>
        <v>1.42</v>
      </c>
      <c r="K6" s="569">
        <v>0.48999999999999977</v>
      </c>
      <c r="L6" s="209">
        <f>-1+J6/K6</f>
        <v>1.8979591836734708</v>
      </c>
      <c r="M6" s="203"/>
      <c r="N6" s="203"/>
      <c r="O6" s="211">
        <f>+'2016-2017 Recy. Tons &amp; Revenue'!C143</f>
        <v>0.36764187848786545</v>
      </c>
      <c r="P6" s="211">
        <f>+'2016-2017 Recy. Tons &amp; Revenue'!D143</f>
        <v>0.6323581215121342</v>
      </c>
      <c r="Q6" s="211">
        <f>+P6+O6</f>
        <v>0.9999999999999997</v>
      </c>
      <c r="R6" s="203"/>
      <c r="S6" s="204"/>
      <c r="T6" s="203"/>
      <c r="U6" s="212"/>
      <c r="V6" s="203"/>
      <c r="W6" s="212"/>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row>
    <row r="7" spans="1:256" ht="15.75">
      <c r="A7" s="205"/>
      <c r="B7" s="206"/>
      <c r="C7" s="207" t="s">
        <v>105</v>
      </c>
      <c r="D7" s="208">
        <f>+'NS(SC) Deferred Acct.'!Z71</f>
        <v>2.72</v>
      </c>
      <c r="E7" s="213">
        <v>1.35</v>
      </c>
      <c r="F7" s="209">
        <f>-1+D7/E7</f>
        <v>1.0148148148148146</v>
      </c>
      <c r="G7" s="213"/>
      <c r="H7" s="213"/>
      <c r="I7" s="209"/>
      <c r="J7" s="213"/>
      <c r="K7" s="213"/>
      <c r="L7" s="209"/>
      <c r="M7" s="203"/>
      <c r="N7" s="203"/>
      <c r="O7" s="214">
        <f>+I6</f>
        <v>1.612903225806452</v>
      </c>
      <c r="P7" s="214">
        <f>+L6</f>
        <v>1.8979591836734708</v>
      </c>
      <c r="Q7" s="211"/>
      <c r="R7" s="203"/>
      <c r="S7" s="204"/>
      <c r="T7" s="203"/>
      <c r="U7" s="212"/>
      <c r="V7" s="203"/>
      <c r="W7" s="212"/>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row>
    <row r="8" spans="1:256" ht="15.75">
      <c r="A8" s="215" t="s">
        <v>165</v>
      </c>
      <c r="B8" s="206"/>
      <c r="C8" s="207"/>
      <c r="D8" s="216"/>
      <c r="E8" s="221"/>
      <c r="F8" s="216"/>
      <c r="G8" s="213"/>
      <c r="H8" s="213"/>
      <c r="I8" s="209"/>
      <c r="J8" s="213"/>
      <c r="K8" s="213"/>
      <c r="L8" s="209"/>
      <c r="M8" s="203"/>
      <c r="N8" s="203"/>
      <c r="O8" s="217">
        <f>+O6*O7</f>
        <v>0.5929707717546218</v>
      </c>
      <c r="P8" s="217">
        <f>+P6*P7</f>
        <v>1.2001899040944597</v>
      </c>
      <c r="Q8" s="217">
        <f>+P8+O8</f>
        <v>1.7931606758490815</v>
      </c>
      <c r="R8" s="203"/>
      <c r="S8" s="204"/>
      <c r="T8" s="203"/>
      <c r="U8" s="212"/>
      <c r="V8" s="203"/>
      <c r="W8" s="212"/>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row>
    <row r="9" spans="1:256" ht="15.75">
      <c r="A9" s="215"/>
      <c r="B9" s="206" t="s">
        <v>166</v>
      </c>
      <c r="C9" s="207"/>
      <c r="D9" s="213">
        <f>+ROUND(E9*(1+$F$6),3)</f>
        <v>0.07</v>
      </c>
      <c r="E9" s="221">
        <v>0.02</v>
      </c>
      <c r="F9" s="209">
        <f>-1+D9/E9</f>
        <v>2.5000000000000004</v>
      </c>
      <c r="G9" s="213"/>
      <c r="H9" s="213"/>
      <c r="I9" s="209"/>
      <c r="J9" s="213"/>
      <c r="K9" s="213"/>
      <c r="L9" s="209"/>
      <c r="M9" s="203"/>
      <c r="N9" s="203"/>
      <c r="O9" s="203"/>
      <c r="P9" s="203"/>
      <c r="Q9" s="203"/>
      <c r="R9" s="203"/>
      <c r="S9" s="204"/>
      <c r="T9" s="203"/>
      <c r="U9" s="212"/>
      <c r="V9" s="203"/>
      <c r="W9" s="212"/>
      <c r="X9" s="218"/>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row>
    <row r="10" spans="1:256" ht="15">
      <c r="A10" s="219"/>
      <c r="B10" s="206" t="s">
        <v>167</v>
      </c>
      <c r="C10" s="220"/>
      <c r="D10" s="213">
        <f aca="true" t="shared" si="0" ref="D10:D20">+ROUND(E10*(1+$F$6),3)</f>
        <v>0.07</v>
      </c>
      <c r="E10" s="221">
        <v>0.02</v>
      </c>
      <c r="F10" s="209">
        <f>-1+D10/E10</f>
        <v>2.5000000000000004</v>
      </c>
      <c r="G10" s="213">
        <f aca="true" t="shared" si="1" ref="G10:G15">ROUND(+H10*(1+$I$6),2)</f>
        <v>0.05</v>
      </c>
      <c r="H10" s="213">
        <v>0.02</v>
      </c>
      <c r="I10" s="209">
        <f>-1+G10/H10</f>
        <v>1.5</v>
      </c>
      <c r="J10" s="213">
        <f aca="true" t="shared" si="2" ref="J10:J15">ROUND(+K10*(1+$L$6),2)</f>
        <v>0.06</v>
      </c>
      <c r="K10" s="213">
        <v>0.02</v>
      </c>
      <c r="L10" s="209">
        <f>-1+J10/K10</f>
        <v>2</v>
      </c>
      <c r="M10" s="203"/>
      <c r="N10" s="203"/>
      <c r="O10" s="203"/>
      <c r="P10" s="203"/>
      <c r="Q10" s="203"/>
      <c r="R10" s="203"/>
      <c r="S10" s="204"/>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row>
    <row r="11" spans="1:256" ht="15">
      <c r="A11" s="219"/>
      <c r="B11" s="206" t="s">
        <v>168</v>
      </c>
      <c r="C11" s="220"/>
      <c r="D11" s="213">
        <f t="shared" si="0"/>
        <v>0.07</v>
      </c>
      <c r="E11" s="221">
        <v>0.02</v>
      </c>
      <c r="F11" s="209">
        <f aca="true" t="shared" si="3" ref="F11:F20">-1+D11/E11</f>
        <v>2.5000000000000004</v>
      </c>
      <c r="G11" s="213">
        <f t="shared" si="1"/>
        <v>0.05</v>
      </c>
      <c r="H11" s="213">
        <v>0.02</v>
      </c>
      <c r="I11" s="209">
        <f>-1+G11/H11</f>
        <v>1.5</v>
      </c>
      <c r="J11" s="213">
        <f t="shared" si="2"/>
        <v>0.06</v>
      </c>
      <c r="K11" s="213">
        <v>0.02</v>
      </c>
      <c r="L11" s="209">
        <f>-1+J11/K11</f>
        <v>2</v>
      </c>
      <c r="M11" s="203"/>
      <c r="N11" s="203"/>
      <c r="O11" s="203"/>
      <c r="P11" s="203"/>
      <c r="Q11" s="203"/>
      <c r="R11" s="203"/>
      <c r="S11" s="204"/>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row>
    <row r="12" spans="1:256" ht="15">
      <c r="A12" s="219"/>
      <c r="B12" s="206" t="s">
        <v>169</v>
      </c>
      <c r="C12" s="220"/>
      <c r="D12" s="213">
        <f t="shared" si="0"/>
        <v>0.141</v>
      </c>
      <c r="E12" s="221">
        <v>0.04</v>
      </c>
      <c r="F12" s="209">
        <f t="shared" si="3"/>
        <v>2.5249999999999995</v>
      </c>
      <c r="G12" s="213">
        <f t="shared" si="1"/>
        <v>0.1</v>
      </c>
      <c r="H12" s="213">
        <v>0.04</v>
      </c>
      <c r="I12" s="209">
        <f>-1+G12/H12</f>
        <v>1.5</v>
      </c>
      <c r="J12" s="213">
        <f t="shared" si="2"/>
        <v>0.09</v>
      </c>
      <c r="K12" s="213">
        <v>0.03</v>
      </c>
      <c r="L12" s="209">
        <f>-1+J12/K12</f>
        <v>2</v>
      </c>
      <c r="M12" s="203"/>
      <c r="N12" s="203"/>
      <c r="O12" s="203"/>
      <c r="P12" s="203"/>
      <c r="Q12" s="203"/>
      <c r="R12" s="203"/>
      <c r="S12" s="204"/>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row>
    <row r="13" spans="1:256" ht="15">
      <c r="A13" s="219"/>
      <c r="B13" s="206" t="s">
        <v>170</v>
      </c>
      <c r="C13" s="207"/>
      <c r="D13" s="213">
        <f t="shared" si="0"/>
        <v>0.211</v>
      </c>
      <c r="E13" s="221">
        <v>0.06</v>
      </c>
      <c r="F13" s="209">
        <f t="shared" si="3"/>
        <v>2.5166666666666666</v>
      </c>
      <c r="G13" s="213">
        <f t="shared" si="1"/>
        <v>0.16</v>
      </c>
      <c r="H13" s="213">
        <v>0.06</v>
      </c>
      <c r="I13" s="209">
        <f>-1+G13/H13</f>
        <v>1.666666666666667</v>
      </c>
      <c r="J13" s="213">
        <f t="shared" si="2"/>
        <v>0.14</v>
      </c>
      <c r="K13" s="213">
        <v>0.05</v>
      </c>
      <c r="L13" s="209">
        <f>-1+J13/K13</f>
        <v>1.8000000000000003</v>
      </c>
      <c r="M13" s="203"/>
      <c r="N13" s="203"/>
      <c r="O13" s="203"/>
      <c r="P13" s="203"/>
      <c r="Q13" s="203"/>
      <c r="R13" s="203"/>
      <c r="S13" s="204"/>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row>
    <row r="14" spans="1:256" ht="15">
      <c r="A14" s="219"/>
      <c r="B14" s="206" t="s">
        <v>171</v>
      </c>
      <c r="C14" s="207"/>
      <c r="D14" s="213">
        <f t="shared" si="0"/>
        <v>0.457</v>
      </c>
      <c r="E14" s="221">
        <v>0.13</v>
      </c>
      <c r="F14" s="209">
        <f t="shared" si="3"/>
        <v>2.5153846153846153</v>
      </c>
      <c r="G14" s="213">
        <f t="shared" si="1"/>
        <v>0.37</v>
      </c>
      <c r="H14" s="213">
        <v>0.14</v>
      </c>
      <c r="I14" s="209">
        <f aca="true" t="shared" si="4" ref="I14:I21">-1+G14/H14</f>
        <v>1.6428571428571428</v>
      </c>
      <c r="J14" s="213">
        <f t="shared" si="2"/>
        <v>0.29</v>
      </c>
      <c r="K14" s="213">
        <v>0.1</v>
      </c>
      <c r="L14" s="209">
        <f aca="true" t="shared" si="5" ref="L14:L20">-1+J14/K14</f>
        <v>1.8999999999999995</v>
      </c>
      <c r="M14" s="203"/>
      <c r="N14" s="203"/>
      <c r="O14" s="203"/>
      <c r="P14" s="203"/>
      <c r="Q14" s="203"/>
      <c r="R14" s="203"/>
      <c r="S14" s="204"/>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row>
    <row r="15" spans="1:256" ht="15">
      <c r="A15" s="219"/>
      <c r="B15" s="206" t="s">
        <v>172</v>
      </c>
      <c r="C15" s="207"/>
      <c r="D15" s="213">
        <f t="shared" si="0"/>
        <v>0.704</v>
      </c>
      <c r="E15" s="221">
        <v>0.2</v>
      </c>
      <c r="F15" s="209">
        <f t="shared" si="3"/>
        <v>2.5199999999999996</v>
      </c>
      <c r="G15" s="213">
        <f t="shared" si="1"/>
        <v>0.52</v>
      </c>
      <c r="H15" s="213">
        <v>0.2</v>
      </c>
      <c r="I15" s="209">
        <f t="shared" si="4"/>
        <v>1.6</v>
      </c>
      <c r="J15" s="213">
        <f t="shared" si="2"/>
        <v>0.43</v>
      </c>
      <c r="K15" s="213">
        <v>0.15</v>
      </c>
      <c r="L15" s="209">
        <f t="shared" si="5"/>
        <v>1.8666666666666667</v>
      </c>
      <c r="M15" s="203"/>
      <c r="N15" s="203"/>
      <c r="O15" s="203"/>
      <c r="P15" s="203"/>
      <c r="Q15" s="203"/>
      <c r="R15" s="203"/>
      <c r="S15" s="204"/>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row>
    <row r="16" spans="1:256" ht="15">
      <c r="A16" s="219"/>
      <c r="B16" s="206" t="s">
        <v>173</v>
      </c>
      <c r="C16" s="207"/>
      <c r="D16" s="213">
        <f t="shared" si="0"/>
        <v>0.95</v>
      </c>
      <c r="E16" s="221">
        <v>0.27</v>
      </c>
      <c r="F16" s="209">
        <f t="shared" si="3"/>
        <v>2.518518518518518</v>
      </c>
      <c r="G16" s="213">
        <f>+G14*2</f>
        <v>0.74</v>
      </c>
      <c r="H16" s="213">
        <v>0.28</v>
      </c>
      <c r="I16" s="209">
        <f t="shared" si="4"/>
        <v>1.6428571428571428</v>
      </c>
      <c r="J16" s="213">
        <f>+J14*2</f>
        <v>0.58</v>
      </c>
      <c r="K16" s="213">
        <v>0.2</v>
      </c>
      <c r="L16" s="209">
        <f t="shared" si="5"/>
        <v>1.8999999999999995</v>
      </c>
      <c r="M16" s="203"/>
      <c r="N16" s="203"/>
      <c r="O16" s="203"/>
      <c r="P16" s="203"/>
      <c r="Q16" s="203"/>
      <c r="R16" s="203"/>
      <c r="S16" s="204"/>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c r="IV16" s="203"/>
    </row>
    <row r="17" spans="1:256" ht="15">
      <c r="A17" s="219"/>
      <c r="B17" s="206" t="s">
        <v>174</v>
      </c>
      <c r="C17" s="207"/>
      <c r="D17" s="213">
        <f t="shared" si="0"/>
        <v>1.407</v>
      </c>
      <c r="E17" s="221">
        <v>0.4</v>
      </c>
      <c r="F17" s="209">
        <f t="shared" si="3"/>
        <v>2.5175</v>
      </c>
      <c r="G17" s="213">
        <f>+G14*3</f>
        <v>1.1099999999999999</v>
      </c>
      <c r="H17" s="213">
        <v>0.42000000000000004</v>
      </c>
      <c r="I17" s="209">
        <f t="shared" si="4"/>
        <v>1.6428571428571423</v>
      </c>
      <c r="J17" s="213">
        <f>+J14*3</f>
        <v>0.8699999999999999</v>
      </c>
      <c r="K17" s="213">
        <v>0.30000000000000004</v>
      </c>
      <c r="L17" s="209">
        <f t="shared" si="5"/>
        <v>1.899999999999999</v>
      </c>
      <c r="M17" s="203"/>
      <c r="N17" s="203"/>
      <c r="O17" s="203"/>
      <c r="P17" s="203"/>
      <c r="Q17" s="203"/>
      <c r="R17" s="203"/>
      <c r="S17" s="204"/>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row>
    <row r="18" spans="1:256" ht="15">
      <c r="A18" s="219"/>
      <c r="B18" s="206" t="s">
        <v>175</v>
      </c>
      <c r="C18" s="207"/>
      <c r="D18" s="213">
        <f t="shared" si="0"/>
        <v>1.865</v>
      </c>
      <c r="E18" s="221">
        <v>0.53</v>
      </c>
      <c r="F18" s="209">
        <f t="shared" si="3"/>
        <v>2.5188679245283017</v>
      </c>
      <c r="G18" s="213">
        <f>+G14*4</f>
        <v>1.48</v>
      </c>
      <c r="H18" s="213">
        <v>0.56</v>
      </c>
      <c r="I18" s="209">
        <f t="shared" si="4"/>
        <v>1.6428571428571428</v>
      </c>
      <c r="J18" s="213">
        <f>+J14*4</f>
        <v>1.16</v>
      </c>
      <c r="K18" s="213">
        <v>0.4</v>
      </c>
      <c r="L18" s="209">
        <f t="shared" si="5"/>
        <v>1.8999999999999995</v>
      </c>
      <c r="M18" s="203"/>
      <c r="N18" s="203"/>
      <c r="O18" s="203"/>
      <c r="P18" s="203"/>
      <c r="Q18" s="203"/>
      <c r="R18" s="203"/>
      <c r="S18" s="204"/>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row>
    <row r="19" spans="1:256" ht="15">
      <c r="A19" s="219"/>
      <c r="B19" s="206" t="s">
        <v>176</v>
      </c>
      <c r="C19" s="207"/>
      <c r="D19" s="213">
        <f t="shared" si="0"/>
        <v>2.815</v>
      </c>
      <c r="E19" s="221">
        <v>0.8</v>
      </c>
      <c r="F19" s="209">
        <f t="shared" si="3"/>
        <v>2.51875</v>
      </c>
      <c r="G19" s="213">
        <f>+G14*6</f>
        <v>2.2199999999999998</v>
      </c>
      <c r="H19" s="213">
        <v>0.8400000000000001</v>
      </c>
      <c r="I19" s="209">
        <f t="shared" si="4"/>
        <v>1.6428571428571423</v>
      </c>
      <c r="J19" s="213">
        <f>+J14*6</f>
        <v>1.7399999999999998</v>
      </c>
      <c r="K19" s="213">
        <v>0.6000000000000001</v>
      </c>
      <c r="L19" s="209">
        <f t="shared" si="5"/>
        <v>1.899999999999999</v>
      </c>
      <c r="M19" s="203"/>
      <c r="N19" s="203"/>
      <c r="O19" s="203"/>
      <c r="P19" s="203"/>
      <c r="Q19" s="203"/>
      <c r="R19" s="203"/>
      <c r="S19" s="204"/>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row>
    <row r="20" spans="1:256" ht="15">
      <c r="A20" s="219"/>
      <c r="B20" s="206" t="s">
        <v>177</v>
      </c>
      <c r="C20" s="207"/>
      <c r="D20" s="213">
        <f t="shared" si="0"/>
        <v>3.73</v>
      </c>
      <c r="E20" s="221">
        <v>1.06</v>
      </c>
      <c r="F20" s="209">
        <f t="shared" si="3"/>
        <v>2.5188679245283017</v>
      </c>
      <c r="G20" s="213">
        <f>+G14*8</f>
        <v>2.96</v>
      </c>
      <c r="H20" s="213">
        <v>1.12</v>
      </c>
      <c r="I20" s="209">
        <f t="shared" si="4"/>
        <v>1.6428571428571428</v>
      </c>
      <c r="J20" s="213">
        <f>+J14*8</f>
        <v>2.32</v>
      </c>
      <c r="K20" s="213">
        <v>0.8</v>
      </c>
      <c r="L20" s="209">
        <f t="shared" si="5"/>
        <v>1.8999999999999995</v>
      </c>
      <c r="M20" s="203"/>
      <c r="N20" s="203"/>
      <c r="O20" s="203"/>
      <c r="P20" s="203"/>
      <c r="Q20" s="203"/>
      <c r="R20" s="203"/>
      <c r="S20" s="204"/>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row>
    <row r="21" spans="1:256" ht="15">
      <c r="A21" s="219"/>
      <c r="B21" s="206" t="s">
        <v>178</v>
      </c>
      <c r="C21" s="207"/>
      <c r="D21" s="216"/>
      <c r="E21" s="213"/>
      <c r="F21" s="216"/>
      <c r="G21" s="213">
        <f>ROUND(+H21*(1+$I$6),1)</f>
        <v>5.7</v>
      </c>
      <c r="H21" s="213">
        <v>2.2</v>
      </c>
      <c r="I21" s="209">
        <f t="shared" si="4"/>
        <v>1.5909090909090908</v>
      </c>
      <c r="J21" s="213"/>
      <c r="K21" s="213"/>
      <c r="L21" s="209"/>
      <c r="M21" s="203"/>
      <c r="N21" s="203"/>
      <c r="O21" s="203"/>
      <c r="P21" s="203"/>
      <c r="Q21" s="203"/>
      <c r="R21" s="203"/>
      <c r="S21" s="204"/>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ht="15">
      <c r="A22" s="219"/>
      <c r="B22" s="206"/>
      <c r="C22" s="207"/>
      <c r="D22" s="216"/>
      <c r="E22" s="213"/>
      <c r="F22" s="216"/>
      <c r="G22" s="213"/>
      <c r="H22" s="213"/>
      <c r="I22" s="209"/>
      <c r="J22" s="213"/>
      <c r="K22" s="213"/>
      <c r="L22" s="209"/>
      <c r="M22" s="203"/>
      <c r="N22" s="203"/>
      <c r="O22" s="203"/>
      <c r="P22" s="203"/>
      <c r="Q22" s="203"/>
      <c r="R22" s="203"/>
      <c r="S22" s="204"/>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row>
    <row r="23" spans="1:256" ht="15.75">
      <c r="A23" s="215" t="s">
        <v>179</v>
      </c>
      <c r="B23" s="206"/>
      <c r="C23" s="207"/>
      <c r="D23" s="216"/>
      <c r="E23" s="213"/>
      <c r="F23" s="216"/>
      <c r="G23" s="213"/>
      <c r="H23" s="213"/>
      <c r="I23" s="209"/>
      <c r="J23" s="213"/>
      <c r="K23" s="213"/>
      <c r="L23" s="209"/>
      <c r="M23" s="203"/>
      <c r="N23" s="203"/>
      <c r="O23" s="203"/>
      <c r="P23" s="203"/>
      <c r="Q23" s="203"/>
      <c r="R23" s="203"/>
      <c r="S23" s="204"/>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c r="IV23" s="203"/>
    </row>
    <row r="24" spans="1:256" ht="15.75">
      <c r="A24" s="215"/>
      <c r="B24" s="206" t="s">
        <v>166</v>
      </c>
      <c r="C24" s="207"/>
      <c r="D24" s="222">
        <f>ROUND(+E24+E24*F$7,3)</f>
        <v>0.06</v>
      </c>
      <c r="E24" s="213">
        <v>0.03</v>
      </c>
      <c r="F24" s="209">
        <f>-1+D24/E24</f>
        <v>1</v>
      </c>
      <c r="G24" s="213"/>
      <c r="H24" s="213"/>
      <c r="I24" s="209"/>
      <c r="J24" s="213"/>
      <c r="K24" s="213"/>
      <c r="L24" s="209"/>
      <c r="M24" s="203"/>
      <c r="N24" s="203"/>
      <c r="O24" s="203"/>
      <c r="P24" s="203"/>
      <c r="Q24" s="203"/>
      <c r="R24" s="203"/>
      <c r="S24" s="204"/>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c r="II24" s="203"/>
      <c r="IJ24" s="203"/>
      <c r="IK24" s="203"/>
      <c r="IL24" s="203"/>
      <c r="IM24" s="203"/>
      <c r="IN24" s="203"/>
      <c r="IO24" s="203"/>
      <c r="IP24" s="203"/>
      <c r="IQ24" s="203"/>
      <c r="IR24" s="203"/>
      <c r="IS24" s="203"/>
      <c r="IT24" s="203"/>
      <c r="IU24" s="203"/>
      <c r="IV24" s="203"/>
    </row>
    <row r="25" spans="1:256" ht="15">
      <c r="A25" s="219"/>
      <c r="B25" s="206" t="s">
        <v>167</v>
      </c>
      <c r="C25" s="220"/>
      <c r="D25" s="222">
        <f aca="true" t="shared" si="6" ref="D25:D35">ROUND(+E25+E25*F$7,3)</f>
        <v>0.081</v>
      </c>
      <c r="E25" s="213">
        <v>0.04</v>
      </c>
      <c r="F25" s="209">
        <f>-1+D25/E25</f>
        <v>1.025</v>
      </c>
      <c r="G25" s="213"/>
      <c r="H25" s="213"/>
      <c r="I25" s="209"/>
      <c r="J25" s="213"/>
      <c r="K25" s="213"/>
      <c r="L25" s="209"/>
      <c r="M25" s="203"/>
      <c r="N25" s="203"/>
      <c r="O25" s="203"/>
      <c r="P25" s="203"/>
      <c r="Q25" s="203"/>
      <c r="R25" s="203"/>
      <c r="S25" s="204"/>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3"/>
      <c r="IN25" s="203"/>
      <c r="IO25" s="203"/>
      <c r="IP25" s="203"/>
      <c r="IQ25" s="203"/>
      <c r="IR25" s="203"/>
      <c r="IS25" s="203"/>
      <c r="IT25" s="203"/>
      <c r="IU25" s="203"/>
      <c r="IV25" s="203"/>
    </row>
    <row r="26" spans="1:256" ht="15">
      <c r="A26" s="219"/>
      <c r="B26" s="206" t="s">
        <v>168</v>
      </c>
      <c r="C26" s="220"/>
      <c r="D26" s="222">
        <f t="shared" si="6"/>
        <v>0.081</v>
      </c>
      <c r="E26" s="213">
        <v>0.04</v>
      </c>
      <c r="F26" s="209">
        <f>-1+D26/E26</f>
        <v>1.025</v>
      </c>
      <c r="G26" s="213"/>
      <c r="H26" s="213"/>
      <c r="I26" s="209"/>
      <c r="J26" s="213"/>
      <c r="K26" s="213"/>
      <c r="L26" s="209"/>
      <c r="M26" s="203"/>
      <c r="N26" s="203"/>
      <c r="O26" s="203"/>
      <c r="P26" s="203"/>
      <c r="Q26" s="203"/>
      <c r="R26" s="203"/>
      <c r="S26" s="204"/>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row>
    <row r="27" spans="1:256" ht="15">
      <c r="A27" s="219"/>
      <c r="B27" s="206" t="s">
        <v>169</v>
      </c>
      <c r="C27" s="220"/>
      <c r="D27" s="222">
        <f t="shared" si="6"/>
        <v>0.161</v>
      </c>
      <c r="E27" s="213">
        <v>0.08</v>
      </c>
      <c r="F27" s="209">
        <f>-1+D27/E27</f>
        <v>1.0125000000000002</v>
      </c>
      <c r="G27" s="213"/>
      <c r="H27" s="213"/>
      <c r="I27" s="209"/>
      <c r="J27" s="213"/>
      <c r="K27" s="213"/>
      <c r="L27" s="209"/>
      <c r="M27" s="203"/>
      <c r="N27" s="203"/>
      <c r="O27" s="203"/>
      <c r="P27" s="203"/>
      <c r="Q27" s="203"/>
      <c r="R27" s="203"/>
      <c r="S27" s="204"/>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c r="IS27" s="203"/>
      <c r="IT27" s="203"/>
      <c r="IU27" s="203"/>
      <c r="IV27" s="203"/>
    </row>
    <row r="28" spans="1:256" ht="15">
      <c r="A28" s="219"/>
      <c r="B28" s="206" t="s">
        <v>170</v>
      </c>
      <c r="C28" s="207"/>
      <c r="D28" s="222">
        <f t="shared" si="6"/>
        <v>0.262</v>
      </c>
      <c r="E28" s="213">
        <v>0.13</v>
      </c>
      <c r="F28" s="209">
        <f>-1+D28/E28</f>
        <v>1.0153846153846153</v>
      </c>
      <c r="G28" s="213"/>
      <c r="H28" s="213"/>
      <c r="I28" s="209"/>
      <c r="J28" s="213"/>
      <c r="K28" s="213"/>
      <c r="L28" s="209"/>
      <c r="M28" s="203"/>
      <c r="N28" s="203"/>
      <c r="O28" s="203"/>
      <c r="P28" s="203"/>
      <c r="Q28" s="203"/>
      <c r="R28" s="203"/>
      <c r="S28" s="204"/>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c r="IV28" s="203"/>
    </row>
    <row r="29" spans="1:256" ht="15">
      <c r="A29" s="219"/>
      <c r="B29" s="206" t="s">
        <v>171</v>
      </c>
      <c r="C29" s="207"/>
      <c r="D29" s="222">
        <f t="shared" si="6"/>
        <v>0.665</v>
      </c>
      <c r="E29" s="221">
        <v>0.33</v>
      </c>
      <c r="F29" s="209">
        <f aca="true" t="shared" si="7" ref="F29:F35">-1+D29/E29</f>
        <v>1.0151515151515151</v>
      </c>
      <c r="G29" s="213"/>
      <c r="H29" s="213"/>
      <c r="I29" s="209"/>
      <c r="J29" s="213"/>
      <c r="K29" s="213"/>
      <c r="L29" s="209"/>
      <c r="M29" s="203"/>
      <c r="N29" s="203"/>
      <c r="O29" s="203"/>
      <c r="P29" s="203"/>
      <c r="Q29" s="203"/>
      <c r="R29" s="203"/>
      <c r="S29" s="204"/>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c r="IV29" s="203"/>
    </row>
    <row r="30" spans="1:256" ht="15">
      <c r="A30" s="219"/>
      <c r="B30" s="206" t="s">
        <v>172</v>
      </c>
      <c r="C30" s="207"/>
      <c r="D30" s="222">
        <f t="shared" si="6"/>
        <v>1.028</v>
      </c>
      <c r="E30" s="221">
        <v>0.51</v>
      </c>
      <c r="F30" s="209">
        <f t="shared" si="7"/>
        <v>1.0156862745098039</v>
      </c>
      <c r="G30" s="213"/>
      <c r="H30" s="213"/>
      <c r="I30" s="209"/>
      <c r="J30" s="213"/>
      <c r="K30" s="213"/>
      <c r="L30" s="209"/>
      <c r="M30" s="203"/>
      <c r="N30" s="203"/>
      <c r="O30" s="203"/>
      <c r="P30" s="203"/>
      <c r="Q30" s="203"/>
      <c r="R30" s="203"/>
      <c r="S30" s="204"/>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203"/>
      <c r="IG30" s="203"/>
      <c r="IH30" s="203"/>
      <c r="II30" s="203"/>
      <c r="IJ30" s="203"/>
      <c r="IK30" s="203"/>
      <c r="IL30" s="203"/>
      <c r="IM30" s="203"/>
      <c r="IN30" s="203"/>
      <c r="IO30" s="203"/>
      <c r="IP30" s="203"/>
      <c r="IQ30" s="203"/>
      <c r="IR30" s="203"/>
      <c r="IS30" s="203"/>
      <c r="IT30" s="203"/>
      <c r="IU30" s="203"/>
      <c r="IV30" s="203"/>
    </row>
    <row r="31" spans="1:256" ht="15">
      <c r="A31" s="219"/>
      <c r="B31" s="206" t="s">
        <v>173</v>
      </c>
      <c r="C31" s="207"/>
      <c r="D31" s="222">
        <f t="shared" si="6"/>
        <v>1.35</v>
      </c>
      <c r="E31" s="221">
        <v>0.67</v>
      </c>
      <c r="F31" s="209">
        <f t="shared" si="7"/>
        <v>1.0149253731343282</v>
      </c>
      <c r="G31" s="213"/>
      <c r="H31" s="213"/>
      <c r="I31" s="209"/>
      <c r="J31" s="213"/>
      <c r="K31" s="213"/>
      <c r="L31" s="209"/>
      <c r="M31" s="203"/>
      <c r="N31" s="203"/>
      <c r="O31" s="203"/>
      <c r="P31" s="203"/>
      <c r="Q31" s="203"/>
      <c r="R31" s="203"/>
      <c r="S31" s="204"/>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c r="HP31" s="203"/>
      <c r="HQ31" s="203"/>
      <c r="HR31" s="203"/>
      <c r="HS31" s="203"/>
      <c r="HT31" s="203"/>
      <c r="HU31" s="203"/>
      <c r="HV31" s="203"/>
      <c r="HW31" s="203"/>
      <c r="HX31" s="203"/>
      <c r="HY31" s="203"/>
      <c r="HZ31" s="203"/>
      <c r="IA31" s="203"/>
      <c r="IB31" s="203"/>
      <c r="IC31" s="203"/>
      <c r="ID31" s="203"/>
      <c r="IE31" s="203"/>
      <c r="IF31" s="203"/>
      <c r="IG31" s="203"/>
      <c r="IH31" s="203"/>
      <c r="II31" s="203"/>
      <c r="IJ31" s="203"/>
      <c r="IK31" s="203"/>
      <c r="IL31" s="203"/>
      <c r="IM31" s="203"/>
      <c r="IN31" s="203"/>
      <c r="IO31" s="203"/>
      <c r="IP31" s="203"/>
      <c r="IQ31" s="203"/>
      <c r="IR31" s="203"/>
      <c r="IS31" s="203"/>
      <c r="IT31" s="203"/>
      <c r="IU31" s="203"/>
      <c r="IV31" s="203"/>
    </row>
    <row r="32" spans="1:256" ht="15">
      <c r="A32" s="219"/>
      <c r="B32" s="206" t="s">
        <v>174</v>
      </c>
      <c r="C32" s="207"/>
      <c r="D32" s="222">
        <f t="shared" si="6"/>
        <v>2.035</v>
      </c>
      <c r="E32" s="221">
        <v>1.01</v>
      </c>
      <c r="F32" s="209">
        <f t="shared" si="7"/>
        <v>1.0148514851485149</v>
      </c>
      <c r="G32" s="213"/>
      <c r="H32" s="213"/>
      <c r="I32" s="209"/>
      <c r="J32" s="213"/>
      <c r="K32" s="213"/>
      <c r="L32" s="209"/>
      <c r="M32" s="203"/>
      <c r="N32" s="203"/>
      <c r="O32" s="203"/>
      <c r="P32" s="203"/>
      <c r="Q32" s="203"/>
      <c r="R32" s="203"/>
      <c r="S32" s="204"/>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row>
    <row r="33" spans="1:256" ht="15">
      <c r="A33" s="219"/>
      <c r="B33" s="206" t="s">
        <v>175</v>
      </c>
      <c r="C33" s="207"/>
      <c r="D33" s="222">
        <f t="shared" si="6"/>
        <v>2.7</v>
      </c>
      <c r="E33" s="221">
        <v>1.34</v>
      </c>
      <c r="F33" s="209">
        <f t="shared" si="7"/>
        <v>1.0149253731343282</v>
      </c>
      <c r="G33" s="213"/>
      <c r="H33" s="213"/>
      <c r="I33" s="209"/>
      <c r="J33" s="213"/>
      <c r="K33" s="213"/>
      <c r="L33" s="209"/>
      <c r="M33" s="203"/>
      <c r="N33" s="203"/>
      <c r="O33" s="203"/>
      <c r="P33" s="203"/>
      <c r="Q33" s="203"/>
      <c r="R33" s="203"/>
      <c r="S33" s="204"/>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row>
    <row r="34" spans="1:256" ht="15">
      <c r="A34" s="219"/>
      <c r="B34" s="206" t="s">
        <v>176</v>
      </c>
      <c r="C34" s="207"/>
      <c r="D34" s="222">
        <f t="shared" si="6"/>
        <v>4.05</v>
      </c>
      <c r="E34" s="221">
        <v>2.01</v>
      </c>
      <c r="F34" s="209">
        <f t="shared" si="7"/>
        <v>1.0149253731343286</v>
      </c>
      <c r="G34" s="213"/>
      <c r="H34" s="213"/>
      <c r="I34" s="209"/>
      <c r="J34" s="213"/>
      <c r="K34" s="213"/>
      <c r="L34" s="209"/>
      <c r="M34" s="203"/>
      <c r="N34" s="203"/>
      <c r="O34" s="203"/>
      <c r="P34" s="203"/>
      <c r="Q34" s="203"/>
      <c r="R34" s="203"/>
      <c r="S34" s="204"/>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row>
    <row r="35" spans="1:256" ht="15">
      <c r="A35" s="219"/>
      <c r="B35" s="206" t="s">
        <v>177</v>
      </c>
      <c r="C35" s="207"/>
      <c r="D35" s="222">
        <f t="shared" si="6"/>
        <v>5.4</v>
      </c>
      <c r="E35" s="221">
        <v>2.68</v>
      </c>
      <c r="F35" s="209">
        <f t="shared" si="7"/>
        <v>1.0149253731343282</v>
      </c>
      <c r="G35" s="213"/>
      <c r="H35" s="213"/>
      <c r="I35" s="209"/>
      <c r="J35" s="213"/>
      <c r="K35" s="213"/>
      <c r="L35" s="209"/>
      <c r="M35" s="203"/>
      <c r="N35" s="203"/>
      <c r="O35" s="203"/>
      <c r="P35" s="203"/>
      <c r="Q35" s="203"/>
      <c r="R35" s="203"/>
      <c r="S35" s="204"/>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row>
    <row r="36" spans="1:256" ht="15">
      <c r="A36" s="219"/>
      <c r="B36" s="206"/>
      <c r="C36" s="207"/>
      <c r="D36" s="216"/>
      <c r="E36" s="213"/>
      <c r="F36" s="216"/>
      <c r="G36" s="213"/>
      <c r="H36" s="221"/>
      <c r="I36" s="209"/>
      <c r="J36" s="213"/>
      <c r="K36" s="221"/>
      <c r="L36" s="209"/>
      <c r="M36" s="203"/>
      <c r="N36" s="203"/>
      <c r="O36" s="203"/>
      <c r="P36" s="203"/>
      <c r="Q36" s="203"/>
      <c r="R36" s="203"/>
      <c r="S36" s="204"/>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row>
    <row r="37" spans="1:256" ht="15.75">
      <c r="A37" s="215" t="s">
        <v>180</v>
      </c>
      <c r="B37" s="206"/>
      <c r="C37" s="207"/>
      <c r="D37" s="216"/>
      <c r="E37" s="213"/>
      <c r="F37" s="216"/>
      <c r="G37" s="213"/>
      <c r="H37" s="221"/>
      <c r="I37" s="209"/>
      <c r="J37" s="213"/>
      <c r="K37" s="221"/>
      <c r="L37" s="209"/>
      <c r="M37" s="203"/>
      <c r="N37" s="203"/>
      <c r="O37" s="203"/>
      <c r="P37" s="203"/>
      <c r="Q37" s="203"/>
      <c r="R37" s="203"/>
      <c r="S37" s="204"/>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row>
    <row r="38" spans="1:256" ht="15">
      <c r="A38" s="219"/>
      <c r="B38" s="206" t="s">
        <v>181</v>
      </c>
      <c r="C38" s="207"/>
      <c r="D38" s="216"/>
      <c r="E38" s="213"/>
      <c r="F38" s="216"/>
      <c r="G38" s="223">
        <f>ROUND(+H38+H38*Q$8,2)</f>
        <v>0.11</v>
      </c>
      <c r="H38" s="221">
        <v>0.04</v>
      </c>
      <c r="I38" s="209">
        <f>-1+G38/H38</f>
        <v>1.75</v>
      </c>
      <c r="J38" s="210">
        <f>+G38</f>
        <v>0.11</v>
      </c>
      <c r="K38" s="213">
        <v>0.04</v>
      </c>
      <c r="L38" s="209">
        <f>-1+J38/K38</f>
        <v>1.75</v>
      </c>
      <c r="M38" s="203"/>
      <c r="N38" s="203"/>
      <c r="O38" s="203"/>
      <c r="P38" s="203"/>
      <c r="Q38" s="203"/>
      <c r="R38" s="203"/>
      <c r="S38" s="204"/>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row>
    <row r="39" spans="1:256" ht="15">
      <c r="A39" s="219"/>
      <c r="B39" s="206" t="s">
        <v>182</v>
      </c>
      <c r="C39" s="207"/>
      <c r="D39" s="216"/>
      <c r="E39" s="213"/>
      <c r="F39" s="216"/>
      <c r="G39" s="223">
        <f>ROUND(+H39+H39*Q$8,2)</f>
        <v>0.06</v>
      </c>
      <c r="H39" s="221">
        <v>0.02</v>
      </c>
      <c r="I39" s="209">
        <f>-1+G39/H39</f>
        <v>2</v>
      </c>
      <c r="J39" s="210">
        <f>+G39</f>
        <v>0.06</v>
      </c>
      <c r="K39" s="213">
        <v>0.02</v>
      </c>
      <c r="L39" s="209">
        <f>-1+J39/K39</f>
        <v>2</v>
      </c>
      <c r="M39" s="203"/>
      <c r="N39" s="203"/>
      <c r="O39" s="203"/>
      <c r="P39" s="203"/>
      <c r="Q39" s="203"/>
      <c r="R39" s="203"/>
      <c r="S39" s="204"/>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c r="IV39" s="203"/>
    </row>
    <row r="40" spans="1:256" ht="15">
      <c r="A40" s="219"/>
      <c r="B40" s="206"/>
      <c r="C40" s="207"/>
      <c r="D40" s="216"/>
      <c r="E40" s="213"/>
      <c r="F40" s="216"/>
      <c r="G40" s="213"/>
      <c r="H40" s="213"/>
      <c r="I40" s="209"/>
      <c r="J40" s="213"/>
      <c r="K40" s="224"/>
      <c r="L40" s="209"/>
      <c r="M40" s="203"/>
      <c r="N40" s="203"/>
      <c r="O40" s="203"/>
      <c r="P40" s="203"/>
      <c r="Q40" s="203"/>
      <c r="R40" s="203"/>
      <c r="S40" s="204"/>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3"/>
      <c r="IT40" s="203"/>
      <c r="IU40" s="203"/>
      <c r="IV40" s="203"/>
    </row>
    <row r="41" spans="1:256" ht="15">
      <c r="A41" s="219"/>
      <c r="B41" s="206" t="s">
        <v>169</v>
      </c>
      <c r="C41" s="207"/>
      <c r="D41" s="222">
        <f>ROUND(+E41+E41*F$6,3)</f>
        <v>0.211</v>
      </c>
      <c r="E41" s="221">
        <v>0.06</v>
      </c>
      <c r="F41" s="209">
        <f aca="true" t="shared" si="8" ref="F41:F49">-1+D41/E41</f>
        <v>2.5166666666666666</v>
      </c>
      <c r="G41" s="213"/>
      <c r="H41" s="213"/>
      <c r="I41" s="209"/>
      <c r="J41" s="213"/>
      <c r="K41" s="224"/>
      <c r="L41" s="209"/>
      <c r="M41" s="203"/>
      <c r="N41" s="203"/>
      <c r="O41" s="203"/>
      <c r="P41" s="203"/>
      <c r="Q41" s="203"/>
      <c r="R41" s="203"/>
      <c r="S41" s="204"/>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c r="HP41" s="203"/>
      <c r="HQ41" s="203"/>
      <c r="HR41" s="203"/>
      <c r="HS41" s="203"/>
      <c r="HT41" s="203"/>
      <c r="HU41" s="203"/>
      <c r="HV41" s="203"/>
      <c r="HW41" s="203"/>
      <c r="HX41" s="203"/>
      <c r="HY41" s="203"/>
      <c r="HZ41" s="203"/>
      <c r="IA41" s="203"/>
      <c r="IB41" s="203"/>
      <c r="IC41" s="203"/>
      <c r="ID41" s="203"/>
      <c r="IE41" s="203"/>
      <c r="IF41" s="203"/>
      <c r="IG41" s="203"/>
      <c r="IH41" s="203"/>
      <c r="II41" s="203"/>
      <c r="IJ41" s="203"/>
      <c r="IK41" s="203"/>
      <c r="IL41" s="203"/>
      <c r="IM41" s="203"/>
      <c r="IN41" s="203"/>
      <c r="IO41" s="203"/>
      <c r="IP41" s="203"/>
      <c r="IQ41" s="203"/>
      <c r="IR41" s="203"/>
      <c r="IS41" s="203"/>
      <c r="IT41" s="203"/>
      <c r="IU41" s="203"/>
      <c r="IV41" s="203"/>
    </row>
    <row r="42" spans="1:256" ht="15">
      <c r="A42" s="219"/>
      <c r="B42" s="206" t="s">
        <v>170</v>
      </c>
      <c r="C42" s="207"/>
      <c r="D42" s="222">
        <f aca="true" t="shared" si="9" ref="D42:D49">ROUND(+E42+E42*F$6,3)</f>
        <v>0.317</v>
      </c>
      <c r="E42" s="221">
        <v>0.09</v>
      </c>
      <c r="F42" s="209">
        <f t="shared" si="8"/>
        <v>2.5222222222222226</v>
      </c>
      <c r="G42" s="213"/>
      <c r="H42" s="213"/>
      <c r="I42" s="209"/>
      <c r="J42" s="213"/>
      <c r="K42" s="224"/>
      <c r="L42" s="209"/>
      <c r="M42" s="203"/>
      <c r="N42" s="203"/>
      <c r="O42" s="203"/>
      <c r="P42" s="203"/>
      <c r="Q42" s="203"/>
      <c r="R42" s="203"/>
      <c r="S42" s="204"/>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c r="HP42" s="203"/>
      <c r="HQ42" s="203"/>
      <c r="HR42" s="203"/>
      <c r="HS42" s="203"/>
      <c r="HT42" s="203"/>
      <c r="HU42" s="203"/>
      <c r="HV42" s="203"/>
      <c r="HW42" s="203"/>
      <c r="HX42" s="203"/>
      <c r="HY42" s="203"/>
      <c r="HZ42" s="203"/>
      <c r="IA42" s="203"/>
      <c r="IB42" s="203"/>
      <c r="IC42" s="203"/>
      <c r="ID42" s="203"/>
      <c r="IE42" s="203"/>
      <c r="IF42" s="203"/>
      <c r="IG42" s="203"/>
      <c r="IH42" s="203"/>
      <c r="II42" s="203"/>
      <c r="IJ42" s="203"/>
      <c r="IK42" s="203"/>
      <c r="IL42" s="203"/>
      <c r="IM42" s="203"/>
      <c r="IN42" s="203"/>
      <c r="IO42" s="203"/>
      <c r="IP42" s="203"/>
      <c r="IQ42" s="203"/>
      <c r="IR42" s="203"/>
      <c r="IS42" s="203"/>
      <c r="IT42" s="203"/>
      <c r="IU42" s="203"/>
      <c r="IV42" s="203"/>
    </row>
    <row r="43" spans="1:256" ht="15">
      <c r="A43" s="219"/>
      <c r="B43" s="206" t="s">
        <v>171</v>
      </c>
      <c r="C43" s="207"/>
      <c r="D43" s="222">
        <f t="shared" si="9"/>
        <v>0.669</v>
      </c>
      <c r="E43" s="221">
        <v>0.19</v>
      </c>
      <c r="F43" s="209">
        <f t="shared" si="8"/>
        <v>2.5210526315789474</v>
      </c>
      <c r="G43" s="213"/>
      <c r="H43" s="213"/>
      <c r="I43" s="209"/>
      <c r="J43" s="213"/>
      <c r="K43" s="213"/>
      <c r="L43" s="209"/>
      <c r="M43" s="203"/>
      <c r="N43" s="203"/>
      <c r="O43" s="203"/>
      <c r="P43" s="203"/>
      <c r="Q43" s="203"/>
      <c r="R43" s="203"/>
      <c r="S43" s="204"/>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c r="HP43" s="203"/>
      <c r="HQ43" s="203"/>
      <c r="HR43" s="203"/>
      <c r="HS43" s="203"/>
      <c r="HT43" s="203"/>
      <c r="HU43" s="203"/>
      <c r="HV43" s="203"/>
      <c r="HW43" s="203"/>
      <c r="HX43" s="203"/>
      <c r="HY43" s="203"/>
      <c r="HZ43" s="203"/>
      <c r="IA43" s="203"/>
      <c r="IB43" s="203"/>
      <c r="IC43" s="203"/>
      <c r="ID43" s="203"/>
      <c r="IE43" s="203"/>
      <c r="IF43" s="203"/>
      <c r="IG43" s="203"/>
      <c r="IH43" s="203"/>
      <c r="II43" s="203"/>
      <c r="IJ43" s="203"/>
      <c r="IK43" s="203"/>
      <c r="IL43" s="203"/>
      <c r="IM43" s="203"/>
      <c r="IN43" s="203"/>
      <c r="IO43" s="203"/>
      <c r="IP43" s="203"/>
      <c r="IQ43" s="203"/>
      <c r="IR43" s="203"/>
      <c r="IS43" s="203"/>
      <c r="IT43" s="203"/>
      <c r="IU43" s="203"/>
      <c r="IV43" s="203"/>
    </row>
    <row r="44" spans="1:256" ht="15">
      <c r="A44" s="219"/>
      <c r="B44" s="206" t="s">
        <v>172</v>
      </c>
      <c r="C44" s="207"/>
      <c r="D44" s="222">
        <f t="shared" si="9"/>
        <v>0.844</v>
      </c>
      <c r="E44" s="221">
        <v>0.24</v>
      </c>
      <c r="F44" s="209">
        <f t="shared" si="8"/>
        <v>2.5166666666666666</v>
      </c>
      <c r="G44" s="213"/>
      <c r="H44" s="213"/>
      <c r="I44" s="209"/>
      <c r="J44" s="213"/>
      <c r="K44" s="213"/>
      <c r="L44" s="209"/>
      <c r="M44" s="203"/>
      <c r="N44" s="203"/>
      <c r="O44" s="203"/>
      <c r="P44" s="203"/>
      <c r="Q44" s="203"/>
      <c r="R44" s="203"/>
      <c r="S44" s="204"/>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c r="HP44" s="203"/>
      <c r="HQ44" s="203"/>
      <c r="HR44" s="203"/>
      <c r="HS44" s="203"/>
      <c r="HT44" s="203"/>
      <c r="HU44" s="203"/>
      <c r="HV44" s="203"/>
      <c r="HW44" s="203"/>
      <c r="HX44" s="203"/>
      <c r="HY44" s="203"/>
      <c r="HZ44" s="203"/>
      <c r="IA44" s="203"/>
      <c r="IB44" s="203"/>
      <c r="IC44" s="203"/>
      <c r="ID44" s="203"/>
      <c r="IE44" s="203"/>
      <c r="IF44" s="203"/>
      <c r="IG44" s="203"/>
      <c r="IH44" s="203"/>
      <c r="II44" s="203"/>
      <c r="IJ44" s="203"/>
      <c r="IK44" s="203"/>
      <c r="IL44" s="203"/>
      <c r="IM44" s="203"/>
      <c r="IN44" s="203"/>
      <c r="IO44" s="203"/>
      <c r="IP44" s="203"/>
      <c r="IQ44" s="203"/>
      <c r="IR44" s="203"/>
      <c r="IS44" s="203"/>
      <c r="IT44" s="203"/>
      <c r="IU44" s="203"/>
      <c r="IV44" s="203"/>
    </row>
    <row r="45" spans="1:256" ht="15">
      <c r="A45" s="219"/>
      <c r="B45" s="206" t="s">
        <v>173</v>
      </c>
      <c r="C45" s="207"/>
      <c r="D45" s="222">
        <f t="shared" si="9"/>
        <v>1.02</v>
      </c>
      <c r="E45" s="221">
        <v>0.29</v>
      </c>
      <c r="F45" s="209">
        <f t="shared" si="8"/>
        <v>2.517241379310345</v>
      </c>
      <c r="G45" s="213"/>
      <c r="H45" s="224"/>
      <c r="I45" s="209"/>
      <c r="J45" s="213"/>
      <c r="K45" s="213"/>
      <c r="L45" s="209"/>
      <c r="M45" s="203"/>
      <c r="N45" s="203"/>
      <c r="O45" s="203"/>
      <c r="P45" s="203"/>
      <c r="Q45" s="203"/>
      <c r="R45" s="203"/>
      <c r="S45" s="204"/>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c r="HP45" s="203"/>
      <c r="HQ45" s="203"/>
      <c r="HR45" s="203"/>
      <c r="HS45" s="203"/>
      <c r="HT45" s="203"/>
      <c r="HU45" s="203"/>
      <c r="HV45" s="203"/>
      <c r="HW45" s="203"/>
      <c r="HX45" s="203"/>
      <c r="HY45" s="203"/>
      <c r="HZ45" s="203"/>
      <c r="IA45" s="203"/>
      <c r="IB45" s="203"/>
      <c r="IC45" s="203"/>
      <c r="ID45" s="203"/>
      <c r="IE45" s="203"/>
      <c r="IF45" s="203"/>
      <c r="IG45" s="203"/>
      <c r="IH45" s="203"/>
      <c r="II45" s="203"/>
      <c r="IJ45" s="203"/>
      <c r="IK45" s="203"/>
      <c r="IL45" s="203"/>
      <c r="IM45" s="203"/>
      <c r="IN45" s="203"/>
      <c r="IO45" s="203"/>
      <c r="IP45" s="203"/>
      <c r="IQ45" s="203"/>
      <c r="IR45" s="203"/>
      <c r="IS45" s="203"/>
      <c r="IT45" s="203"/>
      <c r="IU45" s="203"/>
      <c r="IV45" s="203"/>
    </row>
    <row r="46" spans="1:256" ht="15">
      <c r="A46" s="219"/>
      <c r="B46" s="206" t="s">
        <v>174</v>
      </c>
      <c r="C46" s="207"/>
      <c r="D46" s="222">
        <f t="shared" si="9"/>
        <v>1.443</v>
      </c>
      <c r="E46" s="221">
        <v>0.41</v>
      </c>
      <c r="F46" s="209">
        <f t="shared" si="8"/>
        <v>2.5195121951219517</v>
      </c>
      <c r="G46" s="213"/>
      <c r="H46" s="224"/>
      <c r="I46" s="209"/>
      <c r="J46" s="213"/>
      <c r="K46" s="213"/>
      <c r="L46" s="209"/>
      <c r="M46" s="203"/>
      <c r="N46" s="203"/>
      <c r="O46" s="203"/>
      <c r="P46" s="203"/>
      <c r="Q46" s="203"/>
      <c r="R46" s="203"/>
      <c r="S46" s="204"/>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c r="HP46" s="203"/>
      <c r="HQ46" s="203"/>
      <c r="HR46" s="203"/>
      <c r="HS46" s="203"/>
      <c r="HT46" s="203"/>
      <c r="HU46" s="203"/>
      <c r="HV46" s="203"/>
      <c r="HW46" s="203"/>
      <c r="HX46" s="203"/>
      <c r="HY46" s="203"/>
      <c r="HZ46" s="203"/>
      <c r="IA46" s="203"/>
      <c r="IB46" s="203"/>
      <c r="IC46" s="203"/>
      <c r="ID46" s="203"/>
      <c r="IE46" s="203"/>
      <c r="IF46" s="203"/>
      <c r="IG46" s="203"/>
      <c r="IH46" s="203"/>
      <c r="II46" s="203"/>
      <c r="IJ46" s="203"/>
      <c r="IK46" s="203"/>
      <c r="IL46" s="203"/>
      <c r="IM46" s="203"/>
      <c r="IN46" s="203"/>
      <c r="IO46" s="203"/>
      <c r="IP46" s="203"/>
      <c r="IQ46" s="203"/>
      <c r="IR46" s="203"/>
      <c r="IS46" s="203"/>
      <c r="IT46" s="203"/>
      <c r="IU46" s="203"/>
      <c r="IV46" s="203"/>
    </row>
    <row r="47" spans="1:256" ht="15">
      <c r="A47" s="219"/>
      <c r="B47" s="206" t="s">
        <v>175</v>
      </c>
      <c r="C47" s="207"/>
      <c r="D47" s="222">
        <f t="shared" si="9"/>
        <v>1.654</v>
      </c>
      <c r="E47" s="221">
        <v>0.47</v>
      </c>
      <c r="F47" s="209">
        <f t="shared" si="8"/>
        <v>2.519148936170213</v>
      </c>
      <c r="G47" s="213"/>
      <c r="H47" s="213"/>
      <c r="I47" s="209"/>
      <c r="J47" s="213"/>
      <c r="K47" s="213"/>
      <c r="L47" s="209"/>
      <c r="M47" s="203"/>
      <c r="N47" s="203"/>
      <c r="O47" s="203"/>
      <c r="P47" s="203"/>
      <c r="Q47" s="203"/>
      <c r="R47" s="203"/>
      <c r="S47" s="204"/>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c r="HP47" s="203"/>
      <c r="HQ47" s="203"/>
      <c r="HR47" s="203"/>
      <c r="HS47" s="203"/>
      <c r="HT47" s="203"/>
      <c r="HU47" s="203"/>
      <c r="HV47" s="203"/>
      <c r="HW47" s="203"/>
      <c r="HX47" s="203"/>
      <c r="HY47" s="203"/>
      <c r="HZ47" s="203"/>
      <c r="IA47" s="203"/>
      <c r="IB47" s="203"/>
      <c r="IC47" s="203"/>
      <c r="ID47" s="203"/>
      <c r="IE47" s="203"/>
      <c r="IF47" s="203"/>
      <c r="IG47" s="203"/>
      <c r="IH47" s="203"/>
      <c r="II47" s="203"/>
      <c r="IJ47" s="203"/>
      <c r="IK47" s="203"/>
      <c r="IL47" s="203"/>
      <c r="IM47" s="203"/>
      <c r="IN47" s="203"/>
      <c r="IO47" s="203"/>
      <c r="IP47" s="203"/>
      <c r="IQ47" s="203"/>
      <c r="IR47" s="203"/>
      <c r="IS47" s="203"/>
      <c r="IT47" s="203"/>
      <c r="IU47" s="203"/>
      <c r="IV47" s="203"/>
    </row>
    <row r="48" spans="1:256" ht="15">
      <c r="A48" s="219"/>
      <c r="B48" s="206" t="s">
        <v>176</v>
      </c>
      <c r="C48" s="207"/>
      <c r="D48" s="222">
        <f t="shared" si="9"/>
        <v>1.865</v>
      </c>
      <c r="E48" s="221">
        <v>0.53</v>
      </c>
      <c r="F48" s="209">
        <f t="shared" si="8"/>
        <v>2.5188679245283017</v>
      </c>
      <c r="G48" s="213"/>
      <c r="H48" s="213"/>
      <c r="I48" s="209"/>
      <c r="J48" s="213"/>
      <c r="K48" s="213"/>
      <c r="L48" s="209"/>
      <c r="M48" s="203"/>
      <c r="N48" s="203"/>
      <c r="O48" s="203"/>
      <c r="P48" s="203"/>
      <c r="Q48" s="203"/>
      <c r="R48" s="203"/>
      <c r="S48" s="204"/>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row>
    <row r="49" spans="1:256" ht="15">
      <c r="A49" s="219"/>
      <c r="B49" s="206" t="s">
        <v>177</v>
      </c>
      <c r="C49" s="207"/>
      <c r="D49" s="222">
        <f t="shared" si="9"/>
        <v>2.111</v>
      </c>
      <c r="E49" s="221">
        <v>0.6</v>
      </c>
      <c r="F49" s="209">
        <f t="shared" si="8"/>
        <v>2.518333333333334</v>
      </c>
      <c r="G49" s="213"/>
      <c r="H49" s="213"/>
      <c r="I49" s="209"/>
      <c r="J49" s="213"/>
      <c r="K49" s="213"/>
      <c r="L49" s="209"/>
      <c r="M49" s="203"/>
      <c r="N49" s="203"/>
      <c r="O49" s="203"/>
      <c r="P49" s="203"/>
      <c r="Q49" s="203"/>
      <c r="R49" s="203"/>
      <c r="S49" s="204"/>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c r="HP49" s="203"/>
      <c r="HQ49" s="203"/>
      <c r="HR49" s="203"/>
      <c r="HS49" s="203"/>
      <c r="HT49" s="203"/>
      <c r="HU49" s="203"/>
      <c r="HV49" s="203"/>
      <c r="HW49" s="203"/>
      <c r="HX49" s="203"/>
      <c r="HY49" s="203"/>
      <c r="HZ49" s="203"/>
      <c r="IA49" s="203"/>
      <c r="IB49" s="203"/>
      <c r="IC49" s="203"/>
      <c r="ID49" s="203"/>
      <c r="IE49" s="203"/>
      <c r="IF49" s="203"/>
      <c r="IG49" s="203"/>
      <c r="IH49" s="203"/>
      <c r="II49" s="203"/>
      <c r="IJ49" s="203"/>
      <c r="IK49" s="203"/>
      <c r="IL49" s="203"/>
      <c r="IM49" s="203"/>
      <c r="IN49" s="203"/>
      <c r="IO49" s="203"/>
      <c r="IP49" s="203"/>
      <c r="IQ49" s="203"/>
      <c r="IR49" s="203"/>
      <c r="IS49" s="203"/>
      <c r="IT49" s="203"/>
      <c r="IU49" s="203"/>
      <c r="IV49" s="203"/>
    </row>
    <row r="50" spans="1:256" ht="15">
      <c r="A50" s="219"/>
      <c r="B50" s="206"/>
      <c r="C50" s="207"/>
      <c r="D50" s="213"/>
      <c r="E50" s="221"/>
      <c r="F50" s="209"/>
      <c r="G50" s="213"/>
      <c r="H50" s="213"/>
      <c r="I50" s="209"/>
      <c r="J50" s="213"/>
      <c r="K50" s="213"/>
      <c r="L50" s="209"/>
      <c r="M50" s="203"/>
      <c r="N50" s="203"/>
      <c r="O50" s="203"/>
      <c r="P50" s="203"/>
      <c r="Q50" s="203"/>
      <c r="R50" s="203"/>
      <c r="S50" s="204"/>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c r="FJ50" s="203"/>
      <c r="FK50" s="203"/>
      <c r="FL50" s="203"/>
      <c r="FM50" s="203"/>
      <c r="FN50" s="203"/>
      <c r="FO50" s="203"/>
      <c r="FP50" s="203"/>
      <c r="FQ50" s="203"/>
      <c r="FR50" s="203"/>
      <c r="FS50" s="203"/>
      <c r="FT50" s="203"/>
      <c r="FU50" s="203"/>
      <c r="FV50" s="203"/>
      <c r="FW50" s="203"/>
      <c r="FX50" s="203"/>
      <c r="FY50" s="203"/>
      <c r="FZ50" s="203"/>
      <c r="GA50" s="203"/>
      <c r="GB50" s="203"/>
      <c r="GC50" s="203"/>
      <c r="GD50" s="203"/>
      <c r="GE50" s="203"/>
      <c r="GF50" s="203"/>
      <c r="GG50" s="203"/>
      <c r="GH50" s="203"/>
      <c r="GI50" s="203"/>
      <c r="GJ50" s="203"/>
      <c r="GK50" s="203"/>
      <c r="GL50" s="203"/>
      <c r="GM50" s="203"/>
      <c r="GN50" s="203"/>
      <c r="GO50" s="203"/>
      <c r="GP50" s="203"/>
      <c r="GQ50" s="203"/>
      <c r="GR50" s="203"/>
      <c r="GS50" s="203"/>
      <c r="GT50" s="203"/>
      <c r="GU50" s="203"/>
      <c r="GV50" s="203"/>
      <c r="GW50" s="203"/>
      <c r="GX50" s="203"/>
      <c r="GY50" s="203"/>
      <c r="GZ50" s="203"/>
      <c r="HA50" s="203"/>
      <c r="HB50" s="203"/>
      <c r="HC50" s="203"/>
      <c r="HD50" s="203"/>
      <c r="HE50" s="203"/>
      <c r="HF50" s="203"/>
      <c r="HG50" s="203"/>
      <c r="HH50" s="203"/>
      <c r="HI50" s="203"/>
      <c r="HJ50" s="203"/>
      <c r="HK50" s="203"/>
      <c r="HL50" s="203"/>
      <c r="HM50" s="203"/>
      <c r="HN50" s="203"/>
      <c r="HO50" s="203"/>
      <c r="HP50" s="203"/>
      <c r="HQ50" s="203"/>
      <c r="HR50" s="203"/>
      <c r="HS50" s="203"/>
      <c r="HT50" s="203"/>
      <c r="HU50" s="203"/>
      <c r="HV50" s="203"/>
      <c r="HW50" s="203"/>
      <c r="HX50" s="203"/>
      <c r="HY50" s="203"/>
      <c r="HZ50" s="203"/>
      <c r="IA50" s="203"/>
      <c r="IB50" s="203"/>
      <c r="IC50" s="203"/>
      <c r="ID50" s="203"/>
      <c r="IE50" s="203"/>
      <c r="IF50" s="203"/>
      <c r="IG50" s="203"/>
      <c r="IH50" s="203"/>
      <c r="II50" s="203"/>
      <c r="IJ50" s="203"/>
      <c r="IK50" s="203"/>
      <c r="IL50" s="203"/>
      <c r="IM50" s="203"/>
      <c r="IN50" s="203"/>
      <c r="IO50" s="203"/>
      <c r="IP50" s="203"/>
      <c r="IQ50" s="203"/>
      <c r="IR50" s="203"/>
      <c r="IS50" s="203"/>
      <c r="IT50" s="203"/>
      <c r="IU50" s="203"/>
      <c r="IV50" s="203"/>
    </row>
    <row r="51" spans="1:256" ht="15">
      <c r="A51" s="219"/>
      <c r="B51" s="206"/>
      <c r="C51" s="207"/>
      <c r="D51" s="213"/>
      <c r="E51" s="221"/>
      <c r="F51" s="209"/>
      <c r="G51" s="213"/>
      <c r="H51" s="213"/>
      <c r="I51" s="209"/>
      <c r="J51" s="213"/>
      <c r="K51" s="213"/>
      <c r="L51" s="209"/>
      <c r="M51" s="203"/>
      <c r="N51" s="203"/>
      <c r="O51" s="203"/>
      <c r="P51" s="203"/>
      <c r="Q51" s="203"/>
      <c r="R51" s="203"/>
      <c r="S51" s="204"/>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c r="FL51" s="203"/>
      <c r="FM51" s="203"/>
      <c r="FN51" s="203"/>
      <c r="FO51" s="203"/>
      <c r="FP51" s="203"/>
      <c r="FQ51" s="203"/>
      <c r="FR51" s="203"/>
      <c r="FS51" s="203"/>
      <c r="FT51" s="203"/>
      <c r="FU51" s="203"/>
      <c r="FV51" s="203"/>
      <c r="FW51" s="203"/>
      <c r="FX51" s="203"/>
      <c r="FY51" s="203"/>
      <c r="FZ51" s="203"/>
      <c r="GA51" s="203"/>
      <c r="GB51" s="203"/>
      <c r="GC51" s="203"/>
      <c r="GD51" s="203"/>
      <c r="GE51" s="203"/>
      <c r="GF51" s="203"/>
      <c r="GG51" s="203"/>
      <c r="GH51" s="203"/>
      <c r="GI51" s="203"/>
      <c r="GJ51" s="203"/>
      <c r="GK51" s="203"/>
      <c r="GL51" s="203"/>
      <c r="GM51" s="203"/>
      <c r="GN51" s="203"/>
      <c r="GO51" s="203"/>
      <c r="GP51" s="203"/>
      <c r="GQ51" s="203"/>
      <c r="GR51" s="203"/>
      <c r="GS51" s="203"/>
      <c r="GT51" s="203"/>
      <c r="GU51" s="203"/>
      <c r="GV51" s="203"/>
      <c r="GW51" s="203"/>
      <c r="GX51" s="203"/>
      <c r="GY51" s="203"/>
      <c r="GZ51" s="203"/>
      <c r="HA51" s="203"/>
      <c r="HB51" s="203"/>
      <c r="HC51" s="203"/>
      <c r="HD51" s="203"/>
      <c r="HE51" s="203"/>
      <c r="HF51" s="203"/>
      <c r="HG51" s="203"/>
      <c r="HH51" s="203"/>
      <c r="HI51" s="203"/>
      <c r="HJ51" s="203"/>
      <c r="HK51" s="203"/>
      <c r="HL51" s="203"/>
      <c r="HM51" s="203"/>
      <c r="HN51" s="203"/>
      <c r="HO51" s="203"/>
      <c r="HP51" s="203"/>
      <c r="HQ51" s="203"/>
      <c r="HR51" s="203"/>
      <c r="HS51" s="203"/>
      <c r="HT51" s="203"/>
      <c r="HU51" s="203"/>
      <c r="HV51" s="203"/>
      <c r="HW51" s="203"/>
      <c r="HX51" s="203"/>
      <c r="HY51" s="203"/>
      <c r="HZ51" s="203"/>
      <c r="IA51" s="203"/>
      <c r="IB51" s="203"/>
      <c r="IC51" s="203"/>
      <c r="ID51" s="203"/>
      <c r="IE51" s="203"/>
      <c r="IF51" s="203"/>
      <c r="IG51" s="203"/>
      <c r="IH51" s="203"/>
      <c r="II51" s="203"/>
      <c r="IJ51" s="203"/>
      <c r="IK51" s="203"/>
      <c r="IL51" s="203"/>
      <c r="IM51" s="203"/>
      <c r="IN51" s="203"/>
      <c r="IO51" s="203"/>
      <c r="IP51" s="203"/>
      <c r="IQ51" s="203"/>
      <c r="IR51" s="203"/>
      <c r="IS51" s="203"/>
      <c r="IT51" s="203"/>
      <c r="IU51" s="203"/>
      <c r="IV51" s="203"/>
    </row>
    <row r="52" spans="1:256" ht="15.75">
      <c r="A52" s="215" t="s">
        <v>183</v>
      </c>
      <c r="B52" s="206"/>
      <c r="C52" s="207"/>
      <c r="D52" s="213"/>
      <c r="E52" s="221"/>
      <c r="F52" s="209"/>
      <c r="G52" s="213"/>
      <c r="H52" s="213"/>
      <c r="I52" s="209"/>
      <c r="J52" s="213"/>
      <c r="K52" s="213"/>
      <c r="L52" s="209"/>
      <c r="M52" s="203"/>
      <c r="N52" s="203"/>
      <c r="O52" s="203"/>
      <c r="P52" s="203"/>
      <c r="Q52" s="203"/>
      <c r="R52" s="203"/>
      <c r="S52" s="204"/>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3"/>
      <c r="GI52" s="203"/>
      <c r="GJ52" s="203"/>
      <c r="GK52" s="203"/>
      <c r="GL52" s="203"/>
      <c r="GM52" s="203"/>
      <c r="GN52" s="203"/>
      <c r="GO52" s="203"/>
      <c r="GP52" s="203"/>
      <c r="GQ52" s="203"/>
      <c r="GR52" s="203"/>
      <c r="GS52" s="203"/>
      <c r="GT52" s="203"/>
      <c r="GU52" s="203"/>
      <c r="GV52" s="203"/>
      <c r="GW52" s="203"/>
      <c r="GX52" s="203"/>
      <c r="GY52" s="203"/>
      <c r="GZ52" s="203"/>
      <c r="HA52" s="203"/>
      <c r="HB52" s="203"/>
      <c r="HC52" s="203"/>
      <c r="HD52" s="203"/>
      <c r="HE52" s="203"/>
      <c r="HF52" s="203"/>
      <c r="HG52" s="203"/>
      <c r="HH52" s="203"/>
      <c r="HI52" s="203"/>
      <c r="HJ52" s="203"/>
      <c r="HK52" s="203"/>
      <c r="HL52" s="203"/>
      <c r="HM52" s="203"/>
      <c r="HN52" s="203"/>
      <c r="HO52" s="203"/>
      <c r="HP52" s="203"/>
      <c r="HQ52" s="203"/>
      <c r="HR52" s="203"/>
      <c r="HS52" s="203"/>
      <c r="HT52" s="203"/>
      <c r="HU52" s="203"/>
      <c r="HV52" s="203"/>
      <c r="HW52" s="203"/>
      <c r="HX52" s="203"/>
      <c r="HY52" s="203"/>
      <c r="HZ52" s="203"/>
      <c r="IA52" s="203"/>
      <c r="IB52" s="203"/>
      <c r="IC52" s="203"/>
      <c r="ID52" s="203"/>
      <c r="IE52" s="203"/>
      <c r="IF52" s="203"/>
      <c r="IG52" s="203"/>
      <c r="IH52" s="203"/>
      <c r="II52" s="203"/>
      <c r="IJ52" s="203"/>
      <c r="IK52" s="203"/>
      <c r="IL52" s="203"/>
      <c r="IM52" s="203"/>
      <c r="IN52" s="203"/>
      <c r="IO52" s="203"/>
      <c r="IP52" s="203"/>
      <c r="IQ52" s="203"/>
      <c r="IR52" s="203"/>
      <c r="IS52" s="203"/>
      <c r="IT52" s="203"/>
      <c r="IU52" s="203"/>
      <c r="IV52" s="203"/>
    </row>
    <row r="53" spans="1:256" ht="15">
      <c r="A53" s="219"/>
      <c r="B53" s="206" t="s">
        <v>169</v>
      </c>
      <c r="C53" s="207"/>
      <c r="D53" s="222">
        <f>ROUND(+E53+E53*F$7,3)</f>
        <v>0.322</v>
      </c>
      <c r="E53" s="221">
        <v>0.16</v>
      </c>
      <c r="F53" s="209">
        <f aca="true" t="shared" si="10" ref="F53:F61">-1+D53/E53</f>
        <v>1.0125000000000002</v>
      </c>
      <c r="G53" s="213"/>
      <c r="H53" s="213"/>
      <c r="I53" s="209"/>
      <c r="J53" s="213"/>
      <c r="K53" s="213"/>
      <c r="L53" s="209"/>
      <c r="M53" s="203"/>
      <c r="N53" s="203"/>
      <c r="O53" s="203"/>
      <c r="P53" s="203"/>
      <c r="Q53" s="203"/>
      <c r="R53" s="203"/>
      <c r="S53" s="204"/>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3"/>
      <c r="GJ53" s="203"/>
      <c r="GK53" s="203"/>
      <c r="GL53" s="203"/>
      <c r="GM53" s="203"/>
      <c r="GN53" s="203"/>
      <c r="GO53" s="203"/>
      <c r="GP53" s="203"/>
      <c r="GQ53" s="203"/>
      <c r="GR53" s="203"/>
      <c r="GS53" s="203"/>
      <c r="GT53" s="203"/>
      <c r="GU53" s="203"/>
      <c r="GV53" s="203"/>
      <c r="GW53" s="203"/>
      <c r="GX53" s="203"/>
      <c r="GY53" s="203"/>
      <c r="GZ53" s="203"/>
      <c r="HA53" s="203"/>
      <c r="HB53" s="203"/>
      <c r="HC53" s="203"/>
      <c r="HD53" s="203"/>
      <c r="HE53" s="203"/>
      <c r="HF53" s="203"/>
      <c r="HG53" s="203"/>
      <c r="HH53" s="203"/>
      <c r="HI53" s="203"/>
      <c r="HJ53" s="203"/>
      <c r="HK53" s="203"/>
      <c r="HL53" s="203"/>
      <c r="HM53" s="203"/>
      <c r="HN53" s="203"/>
      <c r="HO53" s="203"/>
      <c r="HP53" s="203"/>
      <c r="HQ53" s="203"/>
      <c r="HR53" s="203"/>
      <c r="HS53" s="203"/>
      <c r="HT53" s="203"/>
      <c r="HU53" s="203"/>
      <c r="HV53" s="203"/>
      <c r="HW53" s="203"/>
      <c r="HX53" s="203"/>
      <c r="HY53" s="203"/>
      <c r="HZ53" s="203"/>
      <c r="IA53" s="203"/>
      <c r="IB53" s="203"/>
      <c r="IC53" s="203"/>
      <c r="ID53" s="203"/>
      <c r="IE53" s="203"/>
      <c r="IF53" s="203"/>
      <c r="IG53" s="203"/>
      <c r="IH53" s="203"/>
      <c r="II53" s="203"/>
      <c r="IJ53" s="203"/>
      <c r="IK53" s="203"/>
      <c r="IL53" s="203"/>
      <c r="IM53" s="203"/>
      <c r="IN53" s="203"/>
      <c r="IO53" s="203"/>
      <c r="IP53" s="203"/>
      <c r="IQ53" s="203"/>
      <c r="IR53" s="203"/>
      <c r="IS53" s="203"/>
      <c r="IT53" s="203"/>
      <c r="IU53" s="203"/>
      <c r="IV53" s="203"/>
    </row>
    <row r="54" spans="1:256" ht="15">
      <c r="A54" s="219"/>
      <c r="B54" s="206" t="s">
        <v>170</v>
      </c>
      <c r="C54" s="207"/>
      <c r="D54" s="222">
        <f aca="true" t="shared" si="11" ref="D54:D61">ROUND(+E54+E54*F$7,3)</f>
        <v>0.484</v>
      </c>
      <c r="E54" s="221">
        <v>0.24</v>
      </c>
      <c r="F54" s="209">
        <f t="shared" si="10"/>
        <v>1.0166666666666666</v>
      </c>
      <c r="G54" s="213"/>
      <c r="H54" s="213"/>
      <c r="I54" s="209"/>
      <c r="J54" s="213"/>
      <c r="K54" s="213"/>
      <c r="L54" s="209"/>
      <c r="M54" s="203"/>
      <c r="N54" s="203"/>
      <c r="O54" s="203"/>
      <c r="P54" s="203"/>
      <c r="Q54" s="203"/>
      <c r="R54" s="203"/>
      <c r="S54" s="204"/>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c r="FF54" s="203"/>
      <c r="FG54" s="203"/>
      <c r="FH54" s="203"/>
      <c r="FI54" s="203"/>
      <c r="FJ54" s="203"/>
      <c r="FK54" s="203"/>
      <c r="FL54" s="203"/>
      <c r="FM54" s="203"/>
      <c r="FN54" s="203"/>
      <c r="FO54" s="203"/>
      <c r="FP54" s="203"/>
      <c r="FQ54" s="203"/>
      <c r="FR54" s="203"/>
      <c r="FS54" s="203"/>
      <c r="FT54" s="203"/>
      <c r="FU54" s="203"/>
      <c r="FV54" s="203"/>
      <c r="FW54" s="203"/>
      <c r="FX54" s="203"/>
      <c r="FY54" s="203"/>
      <c r="FZ54" s="203"/>
      <c r="GA54" s="203"/>
      <c r="GB54" s="203"/>
      <c r="GC54" s="203"/>
      <c r="GD54" s="203"/>
      <c r="GE54" s="203"/>
      <c r="GF54" s="203"/>
      <c r="GG54" s="203"/>
      <c r="GH54" s="203"/>
      <c r="GI54" s="203"/>
      <c r="GJ54" s="203"/>
      <c r="GK54" s="203"/>
      <c r="GL54" s="203"/>
      <c r="GM54" s="203"/>
      <c r="GN54" s="203"/>
      <c r="GO54" s="203"/>
      <c r="GP54" s="203"/>
      <c r="GQ54" s="203"/>
      <c r="GR54" s="203"/>
      <c r="GS54" s="203"/>
      <c r="GT54" s="203"/>
      <c r="GU54" s="203"/>
      <c r="GV54" s="203"/>
      <c r="GW54" s="203"/>
      <c r="GX54" s="203"/>
      <c r="GY54" s="203"/>
      <c r="GZ54" s="203"/>
      <c r="HA54" s="203"/>
      <c r="HB54" s="203"/>
      <c r="HC54" s="203"/>
      <c r="HD54" s="203"/>
      <c r="HE54" s="203"/>
      <c r="HF54" s="203"/>
      <c r="HG54" s="203"/>
      <c r="HH54" s="203"/>
      <c r="HI54" s="203"/>
      <c r="HJ54" s="203"/>
      <c r="HK54" s="203"/>
      <c r="HL54" s="203"/>
      <c r="HM54" s="203"/>
      <c r="HN54" s="203"/>
      <c r="HO54" s="203"/>
      <c r="HP54" s="203"/>
      <c r="HQ54" s="203"/>
      <c r="HR54" s="203"/>
      <c r="HS54" s="203"/>
      <c r="HT54" s="203"/>
      <c r="HU54" s="203"/>
      <c r="HV54" s="203"/>
      <c r="HW54" s="203"/>
      <c r="HX54" s="203"/>
      <c r="HY54" s="203"/>
      <c r="HZ54" s="203"/>
      <c r="IA54" s="203"/>
      <c r="IB54" s="203"/>
      <c r="IC54" s="203"/>
      <c r="ID54" s="203"/>
      <c r="IE54" s="203"/>
      <c r="IF54" s="203"/>
      <c r="IG54" s="203"/>
      <c r="IH54" s="203"/>
      <c r="II54" s="203"/>
      <c r="IJ54" s="203"/>
      <c r="IK54" s="203"/>
      <c r="IL54" s="203"/>
      <c r="IM54" s="203"/>
      <c r="IN54" s="203"/>
      <c r="IO54" s="203"/>
      <c r="IP54" s="203"/>
      <c r="IQ54" s="203"/>
      <c r="IR54" s="203"/>
      <c r="IS54" s="203"/>
      <c r="IT54" s="203"/>
      <c r="IU54" s="203"/>
      <c r="IV54" s="203"/>
    </row>
    <row r="55" spans="1:256" ht="15">
      <c r="A55" s="219"/>
      <c r="B55" s="206" t="s">
        <v>171</v>
      </c>
      <c r="C55" s="207"/>
      <c r="D55" s="222">
        <f t="shared" si="11"/>
        <v>1.048</v>
      </c>
      <c r="E55" s="221">
        <v>0.52</v>
      </c>
      <c r="F55" s="209">
        <f t="shared" si="10"/>
        <v>1.0153846153846153</v>
      </c>
      <c r="G55" s="213"/>
      <c r="H55" s="213"/>
      <c r="I55" s="209"/>
      <c r="J55" s="213"/>
      <c r="K55" s="213"/>
      <c r="L55" s="209"/>
      <c r="M55" s="203"/>
      <c r="N55" s="203"/>
      <c r="O55" s="203"/>
      <c r="P55" s="203"/>
      <c r="Q55" s="203"/>
      <c r="R55" s="203"/>
      <c r="S55" s="204"/>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3"/>
      <c r="EV55" s="203"/>
      <c r="EW55" s="203"/>
      <c r="EX55" s="203"/>
      <c r="EY55" s="203"/>
      <c r="EZ55" s="203"/>
      <c r="FA55" s="203"/>
      <c r="FB55" s="203"/>
      <c r="FC55" s="203"/>
      <c r="FD55" s="203"/>
      <c r="FE55" s="203"/>
      <c r="FF55" s="203"/>
      <c r="FG55" s="203"/>
      <c r="FH55" s="203"/>
      <c r="FI55" s="203"/>
      <c r="FJ55" s="203"/>
      <c r="FK55" s="203"/>
      <c r="FL55" s="203"/>
      <c r="FM55" s="203"/>
      <c r="FN55" s="203"/>
      <c r="FO55" s="203"/>
      <c r="FP55" s="203"/>
      <c r="FQ55" s="203"/>
      <c r="FR55" s="203"/>
      <c r="FS55" s="203"/>
      <c r="FT55" s="203"/>
      <c r="FU55" s="203"/>
      <c r="FV55" s="203"/>
      <c r="FW55" s="203"/>
      <c r="FX55" s="203"/>
      <c r="FY55" s="203"/>
      <c r="FZ55" s="203"/>
      <c r="GA55" s="203"/>
      <c r="GB55" s="203"/>
      <c r="GC55" s="203"/>
      <c r="GD55" s="203"/>
      <c r="GE55" s="203"/>
      <c r="GF55" s="203"/>
      <c r="GG55" s="203"/>
      <c r="GH55" s="203"/>
      <c r="GI55" s="203"/>
      <c r="GJ55" s="203"/>
      <c r="GK55" s="203"/>
      <c r="GL55" s="203"/>
      <c r="GM55" s="203"/>
      <c r="GN55" s="203"/>
      <c r="GO55" s="203"/>
      <c r="GP55" s="203"/>
      <c r="GQ55" s="203"/>
      <c r="GR55" s="203"/>
      <c r="GS55" s="203"/>
      <c r="GT55" s="203"/>
      <c r="GU55" s="203"/>
      <c r="GV55" s="203"/>
      <c r="GW55" s="203"/>
      <c r="GX55" s="203"/>
      <c r="GY55" s="203"/>
      <c r="GZ55" s="203"/>
      <c r="HA55" s="203"/>
      <c r="HB55" s="203"/>
      <c r="HC55" s="203"/>
      <c r="HD55" s="203"/>
      <c r="HE55" s="203"/>
      <c r="HF55" s="203"/>
      <c r="HG55" s="203"/>
      <c r="HH55" s="203"/>
      <c r="HI55" s="203"/>
      <c r="HJ55" s="203"/>
      <c r="HK55" s="203"/>
      <c r="HL55" s="203"/>
      <c r="HM55" s="203"/>
      <c r="HN55" s="203"/>
      <c r="HO55" s="203"/>
      <c r="HP55" s="203"/>
      <c r="HQ55" s="203"/>
      <c r="HR55" s="203"/>
      <c r="HS55" s="203"/>
      <c r="HT55" s="203"/>
      <c r="HU55" s="203"/>
      <c r="HV55" s="203"/>
      <c r="HW55" s="203"/>
      <c r="HX55" s="203"/>
      <c r="HY55" s="203"/>
      <c r="HZ55" s="203"/>
      <c r="IA55" s="203"/>
      <c r="IB55" s="203"/>
      <c r="IC55" s="203"/>
      <c r="ID55" s="203"/>
      <c r="IE55" s="203"/>
      <c r="IF55" s="203"/>
      <c r="IG55" s="203"/>
      <c r="IH55" s="203"/>
      <c r="II55" s="203"/>
      <c r="IJ55" s="203"/>
      <c r="IK55" s="203"/>
      <c r="IL55" s="203"/>
      <c r="IM55" s="203"/>
      <c r="IN55" s="203"/>
      <c r="IO55" s="203"/>
      <c r="IP55" s="203"/>
      <c r="IQ55" s="203"/>
      <c r="IR55" s="203"/>
      <c r="IS55" s="203"/>
      <c r="IT55" s="203"/>
      <c r="IU55" s="203"/>
      <c r="IV55" s="203"/>
    </row>
    <row r="56" spans="1:256" ht="15">
      <c r="A56" s="219"/>
      <c r="B56" s="206" t="s">
        <v>172</v>
      </c>
      <c r="C56" s="207"/>
      <c r="D56" s="222">
        <f t="shared" si="11"/>
        <v>1.31</v>
      </c>
      <c r="E56" s="221">
        <v>0.65</v>
      </c>
      <c r="F56" s="209">
        <f t="shared" si="10"/>
        <v>1.0153846153846153</v>
      </c>
      <c r="G56" s="213"/>
      <c r="H56" s="213"/>
      <c r="I56" s="209"/>
      <c r="J56" s="213"/>
      <c r="K56" s="213"/>
      <c r="L56" s="209"/>
      <c r="M56" s="203"/>
      <c r="N56" s="203"/>
      <c r="O56" s="203"/>
      <c r="P56" s="203"/>
      <c r="Q56" s="203"/>
      <c r="R56" s="203"/>
      <c r="S56" s="204"/>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c r="FL56" s="203"/>
      <c r="FM56" s="203"/>
      <c r="FN56" s="203"/>
      <c r="FO56" s="203"/>
      <c r="FP56" s="203"/>
      <c r="FQ56" s="203"/>
      <c r="FR56" s="203"/>
      <c r="FS56" s="203"/>
      <c r="FT56" s="203"/>
      <c r="FU56" s="203"/>
      <c r="FV56" s="203"/>
      <c r="FW56" s="203"/>
      <c r="FX56" s="203"/>
      <c r="FY56" s="203"/>
      <c r="FZ56" s="203"/>
      <c r="GA56" s="203"/>
      <c r="GB56" s="203"/>
      <c r="GC56" s="203"/>
      <c r="GD56" s="203"/>
      <c r="GE56" s="203"/>
      <c r="GF56" s="203"/>
      <c r="GG56" s="203"/>
      <c r="GH56" s="203"/>
      <c r="GI56" s="203"/>
      <c r="GJ56" s="203"/>
      <c r="GK56" s="203"/>
      <c r="GL56" s="203"/>
      <c r="GM56" s="203"/>
      <c r="GN56" s="203"/>
      <c r="GO56" s="203"/>
      <c r="GP56" s="203"/>
      <c r="GQ56" s="203"/>
      <c r="GR56" s="203"/>
      <c r="GS56" s="203"/>
      <c r="GT56" s="203"/>
      <c r="GU56" s="203"/>
      <c r="GV56" s="203"/>
      <c r="GW56" s="203"/>
      <c r="GX56" s="203"/>
      <c r="GY56" s="203"/>
      <c r="GZ56" s="203"/>
      <c r="HA56" s="203"/>
      <c r="HB56" s="203"/>
      <c r="HC56" s="203"/>
      <c r="HD56" s="203"/>
      <c r="HE56" s="203"/>
      <c r="HF56" s="203"/>
      <c r="HG56" s="203"/>
      <c r="HH56" s="203"/>
      <c r="HI56" s="203"/>
      <c r="HJ56" s="203"/>
      <c r="HK56" s="203"/>
      <c r="HL56" s="203"/>
      <c r="HM56" s="203"/>
      <c r="HN56" s="203"/>
      <c r="HO56" s="203"/>
      <c r="HP56" s="203"/>
      <c r="HQ56" s="203"/>
      <c r="HR56" s="203"/>
      <c r="HS56" s="203"/>
      <c r="HT56" s="203"/>
      <c r="HU56" s="203"/>
      <c r="HV56" s="203"/>
      <c r="HW56" s="203"/>
      <c r="HX56" s="203"/>
      <c r="HY56" s="203"/>
      <c r="HZ56" s="203"/>
      <c r="IA56" s="203"/>
      <c r="IB56" s="203"/>
      <c r="IC56" s="203"/>
      <c r="ID56" s="203"/>
      <c r="IE56" s="203"/>
      <c r="IF56" s="203"/>
      <c r="IG56" s="203"/>
      <c r="IH56" s="203"/>
      <c r="II56" s="203"/>
      <c r="IJ56" s="203"/>
      <c r="IK56" s="203"/>
      <c r="IL56" s="203"/>
      <c r="IM56" s="203"/>
      <c r="IN56" s="203"/>
      <c r="IO56" s="203"/>
      <c r="IP56" s="203"/>
      <c r="IQ56" s="203"/>
      <c r="IR56" s="203"/>
      <c r="IS56" s="203"/>
      <c r="IT56" s="203"/>
      <c r="IU56" s="203"/>
      <c r="IV56" s="203"/>
    </row>
    <row r="57" spans="1:256" ht="15">
      <c r="A57" s="219"/>
      <c r="B57" s="206" t="s">
        <v>173</v>
      </c>
      <c r="C57" s="207"/>
      <c r="D57" s="222">
        <f t="shared" si="11"/>
        <v>1.592</v>
      </c>
      <c r="E57" s="221">
        <v>0.79</v>
      </c>
      <c r="F57" s="209">
        <f t="shared" si="10"/>
        <v>1.0151898734177216</v>
      </c>
      <c r="G57" s="213"/>
      <c r="H57" s="213"/>
      <c r="I57" s="209"/>
      <c r="J57" s="213"/>
      <c r="K57" s="213"/>
      <c r="L57" s="209"/>
      <c r="M57" s="203"/>
      <c r="N57" s="203"/>
      <c r="O57" s="203"/>
      <c r="P57" s="203"/>
      <c r="Q57" s="203"/>
      <c r="R57" s="203"/>
      <c r="S57" s="204"/>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c r="IH57" s="203"/>
      <c r="II57" s="203"/>
      <c r="IJ57" s="203"/>
      <c r="IK57" s="203"/>
      <c r="IL57" s="203"/>
      <c r="IM57" s="203"/>
      <c r="IN57" s="203"/>
      <c r="IO57" s="203"/>
      <c r="IP57" s="203"/>
      <c r="IQ57" s="203"/>
      <c r="IR57" s="203"/>
      <c r="IS57" s="203"/>
      <c r="IT57" s="203"/>
      <c r="IU57" s="203"/>
      <c r="IV57" s="203"/>
    </row>
    <row r="58" spans="1:256" ht="15">
      <c r="A58" s="219"/>
      <c r="B58" s="206" t="s">
        <v>174</v>
      </c>
      <c r="C58" s="207"/>
      <c r="D58" s="222">
        <f t="shared" si="11"/>
        <v>2.196</v>
      </c>
      <c r="E58" s="221">
        <v>1.09</v>
      </c>
      <c r="F58" s="209">
        <f t="shared" si="10"/>
        <v>1.0146788990825688</v>
      </c>
      <c r="G58" s="213"/>
      <c r="H58" s="213"/>
      <c r="I58" s="209"/>
      <c r="J58" s="213"/>
      <c r="K58" s="213"/>
      <c r="L58" s="209"/>
      <c r="M58" s="203"/>
      <c r="N58" s="203"/>
      <c r="O58" s="203"/>
      <c r="P58" s="203"/>
      <c r="Q58" s="203"/>
      <c r="R58" s="203"/>
      <c r="S58" s="204"/>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c r="FF58" s="203"/>
      <c r="FG58" s="203"/>
      <c r="FH58" s="203"/>
      <c r="FI58" s="203"/>
      <c r="FJ58" s="203"/>
      <c r="FK58" s="203"/>
      <c r="FL58" s="203"/>
      <c r="FM58" s="203"/>
      <c r="FN58" s="203"/>
      <c r="FO58" s="203"/>
      <c r="FP58" s="203"/>
      <c r="FQ58" s="203"/>
      <c r="FR58" s="203"/>
      <c r="FS58" s="203"/>
      <c r="FT58" s="203"/>
      <c r="FU58" s="203"/>
      <c r="FV58" s="203"/>
      <c r="FW58" s="203"/>
      <c r="FX58" s="203"/>
      <c r="FY58" s="203"/>
      <c r="FZ58" s="203"/>
      <c r="GA58" s="203"/>
      <c r="GB58" s="203"/>
      <c r="GC58" s="203"/>
      <c r="GD58" s="203"/>
      <c r="GE58" s="203"/>
      <c r="GF58" s="203"/>
      <c r="GG58" s="203"/>
      <c r="GH58" s="203"/>
      <c r="GI58" s="203"/>
      <c r="GJ58" s="203"/>
      <c r="GK58" s="203"/>
      <c r="GL58" s="203"/>
      <c r="GM58" s="203"/>
      <c r="GN58" s="203"/>
      <c r="GO58" s="203"/>
      <c r="GP58" s="203"/>
      <c r="GQ58" s="203"/>
      <c r="GR58" s="203"/>
      <c r="GS58" s="203"/>
      <c r="GT58" s="203"/>
      <c r="GU58" s="203"/>
      <c r="GV58" s="203"/>
      <c r="GW58" s="203"/>
      <c r="GX58" s="203"/>
      <c r="GY58" s="203"/>
      <c r="GZ58" s="203"/>
      <c r="HA58" s="203"/>
      <c r="HB58" s="203"/>
      <c r="HC58" s="203"/>
      <c r="HD58" s="203"/>
      <c r="HE58" s="203"/>
      <c r="HF58" s="203"/>
      <c r="HG58" s="203"/>
      <c r="HH58" s="203"/>
      <c r="HI58" s="203"/>
      <c r="HJ58" s="203"/>
      <c r="HK58" s="203"/>
      <c r="HL58" s="203"/>
      <c r="HM58" s="203"/>
      <c r="HN58" s="203"/>
      <c r="HO58" s="203"/>
      <c r="HP58" s="203"/>
      <c r="HQ58" s="203"/>
      <c r="HR58" s="203"/>
      <c r="HS58" s="203"/>
      <c r="HT58" s="203"/>
      <c r="HU58" s="203"/>
      <c r="HV58" s="203"/>
      <c r="HW58" s="203"/>
      <c r="HX58" s="203"/>
      <c r="HY58" s="203"/>
      <c r="HZ58" s="203"/>
      <c r="IA58" s="203"/>
      <c r="IB58" s="203"/>
      <c r="IC58" s="203"/>
      <c r="ID58" s="203"/>
      <c r="IE58" s="203"/>
      <c r="IF58" s="203"/>
      <c r="IG58" s="203"/>
      <c r="IH58" s="203"/>
      <c r="II58" s="203"/>
      <c r="IJ58" s="203"/>
      <c r="IK58" s="203"/>
      <c r="IL58" s="203"/>
      <c r="IM58" s="203"/>
      <c r="IN58" s="203"/>
      <c r="IO58" s="203"/>
      <c r="IP58" s="203"/>
      <c r="IQ58" s="203"/>
      <c r="IR58" s="203"/>
      <c r="IS58" s="203"/>
      <c r="IT58" s="203"/>
      <c r="IU58" s="203"/>
      <c r="IV58" s="203"/>
    </row>
    <row r="59" spans="1:256" ht="15">
      <c r="A59" s="219"/>
      <c r="B59" s="206" t="s">
        <v>175</v>
      </c>
      <c r="C59" s="207"/>
      <c r="D59" s="222">
        <f t="shared" si="11"/>
        <v>2.559</v>
      </c>
      <c r="E59" s="221">
        <v>1.27</v>
      </c>
      <c r="F59" s="209">
        <f t="shared" si="10"/>
        <v>1.01496062992126</v>
      </c>
      <c r="G59" s="213"/>
      <c r="H59" s="213"/>
      <c r="I59" s="209"/>
      <c r="J59" s="213"/>
      <c r="K59" s="213"/>
      <c r="L59" s="209"/>
      <c r="M59" s="203"/>
      <c r="N59" s="203"/>
      <c r="O59" s="203"/>
      <c r="P59" s="203"/>
      <c r="Q59" s="203"/>
      <c r="R59" s="203"/>
      <c r="S59" s="204"/>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c r="FF59" s="203"/>
      <c r="FG59" s="203"/>
      <c r="FH59" s="203"/>
      <c r="FI59" s="203"/>
      <c r="FJ59" s="203"/>
      <c r="FK59" s="203"/>
      <c r="FL59" s="203"/>
      <c r="FM59" s="203"/>
      <c r="FN59" s="203"/>
      <c r="FO59" s="203"/>
      <c r="FP59" s="203"/>
      <c r="FQ59" s="203"/>
      <c r="FR59" s="203"/>
      <c r="FS59" s="203"/>
      <c r="FT59" s="203"/>
      <c r="FU59" s="203"/>
      <c r="FV59" s="203"/>
      <c r="FW59" s="203"/>
      <c r="FX59" s="203"/>
      <c r="FY59" s="203"/>
      <c r="FZ59" s="203"/>
      <c r="GA59" s="203"/>
      <c r="GB59" s="203"/>
      <c r="GC59" s="203"/>
      <c r="GD59" s="203"/>
      <c r="GE59" s="203"/>
      <c r="GF59" s="203"/>
      <c r="GG59" s="203"/>
      <c r="GH59" s="203"/>
      <c r="GI59" s="203"/>
      <c r="GJ59" s="203"/>
      <c r="GK59" s="203"/>
      <c r="GL59" s="203"/>
      <c r="GM59" s="203"/>
      <c r="GN59" s="203"/>
      <c r="GO59" s="203"/>
      <c r="GP59" s="203"/>
      <c r="GQ59" s="203"/>
      <c r="GR59" s="203"/>
      <c r="GS59" s="203"/>
      <c r="GT59" s="203"/>
      <c r="GU59" s="203"/>
      <c r="GV59" s="203"/>
      <c r="GW59" s="203"/>
      <c r="GX59" s="203"/>
      <c r="GY59" s="203"/>
      <c r="GZ59" s="203"/>
      <c r="HA59" s="203"/>
      <c r="HB59" s="203"/>
      <c r="HC59" s="203"/>
      <c r="HD59" s="203"/>
      <c r="HE59" s="203"/>
      <c r="HF59" s="203"/>
      <c r="HG59" s="203"/>
      <c r="HH59" s="203"/>
      <c r="HI59" s="203"/>
      <c r="HJ59" s="203"/>
      <c r="HK59" s="203"/>
      <c r="HL59" s="203"/>
      <c r="HM59" s="203"/>
      <c r="HN59" s="203"/>
      <c r="HO59" s="203"/>
      <c r="HP59" s="203"/>
      <c r="HQ59" s="203"/>
      <c r="HR59" s="203"/>
      <c r="HS59" s="203"/>
      <c r="HT59" s="203"/>
      <c r="HU59" s="203"/>
      <c r="HV59" s="203"/>
      <c r="HW59" s="203"/>
      <c r="HX59" s="203"/>
      <c r="HY59" s="203"/>
      <c r="HZ59" s="203"/>
      <c r="IA59" s="203"/>
      <c r="IB59" s="203"/>
      <c r="IC59" s="203"/>
      <c r="ID59" s="203"/>
      <c r="IE59" s="203"/>
      <c r="IF59" s="203"/>
      <c r="IG59" s="203"/>
      <c r="IH59" s="203"/>
      <c r="II59" s="203"/>
      <c r="IJ59" s="203"/>
      <c r="IK59" s="203"/>
      <c r="IL59" s="203"/>
      <c r="IM59" s="203"/>
      <c r="IN59" s="203"/>
      <c r="IO59" s="203"/>
      <c r="IP59" s="203"/>
      <c r="IQ59" s="203"/>
      <c r="IR59" s="203"/>
      <c r="IS59" s="203"/>
      <c r="IT59" s="203"/>
      <c r="IU59" s="203"/>
      <c r="IV59" s="203"/>
    </row>
    <row r="60" spans="1:256" ht="15">
      <c r="A60" s="219"/>
      <c r="B60" s="206" t="s">
        <v>176</v>
      </c>
      <c r="C60" s="207"/>
      <c r="D60" s="222">
        <f t="shared" si="11"/>
        <v>2.901</v>
      </c>
      <c r="E60" s="221">
        <v>1.44</v>
      </c>
      <c r="F60" s="209">
        <f t="shared" si="10"/>
        <v>1.0145833333333334</v>
      </c>
      <c r="G60" s="213"/>
      <c r="H60" s="213"/>
      <c r="I60" s="209"/>
      <c r="J60" s="213"/>
      <c r="K60" s="213"/>
      <c r="L60" s="209"/>
      <c r="M60" s="203"/>
      <c r="N60" s="203"/>
      <c r="O60" s="203"/>
      <c r="P60" s="203"/>
      <c r="Q60" s="203"/>
      <c r="R60" s="203"/>
      <c r="S60" s="204"/>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c r="FF60" s="203"/>
      <c r="FG60" s="203"/>
      <c r="FH60" s="203"/>
      <c r="FI60" s="203"/>
      <c r="FJ60" s="203"/>
      <c r="FK60" s="203"/>
      <c r="FL60" s="203"/>
      <c r="FM60" s="203"/>
      <c r="FN60" s="203"/>
      <c r="FO60" s="203"/>
      <c r="FP60" s="203"/>
      <c r="FQ60" s="203"/>
      <c r="FR60" s="203"/>
      <c r="FS60" s="203"/>
      <c r="FT60" s="203"/>
      <c r="FU60" s="203"/>
      <c r="FV60" s="203"/>
      <c r="FW60" s="203"/>
      <c r="FX60" s="203"/>
      <c r="FY60" s="203"/>
      <c r="FZ60" s="203"/>
      <c r="GA60" s="203"/>
      <c r="GB60" s="203"/>
      <c r="GC60" s="203"/>
      <c r="GD60" s="203"/>
      <c r="GE60" s="203"/>
      <c r="GF60" s="203"/>
      <c r="GG60" s="203"/>
      <c r="GH60" s="203"/>
      <c r="GI60" s="203"/>
      <c r="GJ60" s="203"/>
      <c r="GK60" s="203"/>
      <c r="GL60" s="203"/>
      <c r="GM60" s="203"/>
      <c r="GN60" s="203"/>
      <c r="GO60" s="203"/>
      <c r="GP60" s="203"/>
      <c r="GQ60" s="203"/>
      <c r="GR60" s="203"/>
      <c r="GS60" s="203"/>
      <c r="GT60" s="203"/>
      <c r="GU60" s="203"/>
      <c r="GV60" s="203"/>
      <c r="GW60" s="203"/>
      <c r="GX60" s="203"/>
      <c r="GY60" s="203"/>
      <c r="GZ60" s="203"/>
      <c r="HA60" s="203"/>
      <c r="HB60" s="203"/>
      <c r="HC60" s="203"/>
      <c r="HD60" s="203"/>
      <c r="HE60" s="203"/>
      <c r="HF60" s="203"/>
      <c r="HG60" s="203"/>
      <c r="HH60" s="203"/>
      <c r="HI60" s="203"/>
      <c r="HJ60" s="203"/>
      <c r="HK60" s="203"/>
      <c r="HL60" s="203"/>
      <c r="HM60" s="203"/>
      <c r="HN60" s="203"/>
      <c r="HO60" s="203"/>
      <c r="HP60" s="203"/>
      <c r="HQ60" s="203"/>
      <c r="HR60" s="203"/>
      <c r="HS60" s="203"/>
      <c r="HT60" s="203"/>
      <c r="HU60" s="203"/>
      <c r="HV60" s="203"/>
      <c r="HW60" s="203"/>
      <c r="HX60" s="203"/>
      <c r="HY60" s="203"/>
      <c r="HZ60" s="203"/>
      <c r="IA60" s="203"/>
      <c r="IB60" s="203"/>
      <c r="IC60" s="203"/>
      <c r="ID60" s="203"/>
      <c r="IE60" s="203"/>
      <c r="IF60" s="203"/>
      <c r="IG60" s="203"/>
      <c r="IH60" s="203"/>
      <c r="II60" s="203"/>
      <c r="IJ60" s="203"/>
      <c r="IK60" s="203"/>
      <c r="IL60" s="203"/>
      <c r="IM60" s="203"/>
      <c r="IN60" s="203"/>
      <c r="IO60" s="203"/>
      <c r="IP60" s="203"/>
      <c r="IQ60" s="203"/>
      <c r="IR60" s="203"/>
      <c r="IS60" s="203"/>
      <c r="IT60" s="203"/>
      <c r="IU60" s="203"/>
      <c r="IV60" s="203"/>
    </row>
    <row r="61" spans="1:256" ht="15">
      <c r="A61" s="219"/>
      <c r="B61" s="206" t="s">
        <v>177</v>
      </c>
      <c r="C61" s="207"/>
      <c r="D61" s="222">
        <f t="shared" si="11"/>
        <v>3.304</v>
      </c>
      <c r="E61" s="221">
        <v>1.64</v>
      </c>
      <c r="F61" s="209">
        <f t="shared" si="10"/>
        <v>1.0146341463414634</v>
      </c>
      <c r="G61" s="213"/>
      <c r="H61" s="213"/>
      <c r="I61" s="209"/>
      <c r="J61" s="213"/>
      <c r="K61" s="213"/>
      <c r="L61" s="209"/>
      <c r="M61" s="203"/>
      <c r="N61" s="203"/>
      <c r="O61" s="203"/>
      <c r="P61" s="203"/>
      <c r="Q61" s="203"/>
      <c r="R61" s="203"/>
      <c r="S61" s="204"/>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c r="EO61" s="203"/>
      <c r="EP61" s="203"/>
      <c r="EQ61" s="203"/>
      <c r="ER61" s="203"/>
      <c r="ES61" s="203"/>
      <c r="ET61" s="203"/>
      <c r="EU61" s="203"/>
      <c r="EV61" s="203"/>
      <c r="EW61" s="203"/>
      <c r="EX61" s="203"/>
      <c r="EY61" s="203"/>
      <c r="EZ61" s="203"/>
      <c r="FA61" s="203"/>
      <c r="FB61" s="203"/>
      <c r="FC61" s="203"/>
      <c r="FD61" s="203"/>
      <c r="FE61" s="203"/>
      <c r="FF61" s="203"/>
      <c r="FG61" s="203"/>
      <c r="FH61" s="203"/>
      <c r="FI61" s="203"/>
      <c r="FJ61" s="203"/>
      <c r="FK61" s="203"/>
      <c r="FL61" s="203"/>
      <c r="FM61" s="203"/>
      <c r="FN61" s="203"/>
      <c r="FO61" s="203"/>
      <c r="FP61" s="203"/>
      <c r="FQ61" s="203"/>
      <c r="FR61" s="203"/>
      <c r="FS61" s="203"/>
      <c r="FT61" s="203"/>
      <c r="FU61" s="203"/>
      <c r="FV61" s="203"/>
      <c r="FW61" s="203"/>
      <c r="FX61" s="203"/>
      <c r="FY61" s="203"/>
      <c r="FZ61" s="203"/>
      <c r="GA61" s="203"/>
      <c r="GB61" s="203"/>
      <c r="GC61" s="203"/>
      <c r="GD61" s="203"/>
      <c r="GE61" s="203"/>
      <c r="GF61" s="203"/>
      <c r="GG61" s="203"/>
      <c r="GH61" s="203"/>
      <c r="GI61" s="203"/>
      <c r="GJ61" s="203"/>
      <c r="GK61" s="203"/>
      <c r="GL61" s="203"/>
      <c r="GM61" s="203"/>
      <c r="GN61" s="203"/>
      <c r="GO61" s="203"/>
      <c r="GP61" s="203"/>
      <c r="GQ61" s="203"/>
      <c r="GR61" s="203"/>
      <c r="GS61" s="203"/>
      <c r="GT61" s="203"/>
      <c r="GU61" s="203"/>
      <c r="GV61" s="203"/>
      <c r="GW61" s="203"/>
      <c r="GX61" s="203"/>
      <c r="GY61" s="203"/>
      <c r="GZ61" s="203"/>
      <c r="HA61" s="203"/>
      <c r="HB61" s="203"/>
      <c r="HC61" s="203"/>
      <c r="HD61" s="203"/>
      <c r="HE61" s="203"/>
      <c r="HF61" s="203"/>
      <c r="HG61" s="203"/>
      <c r="HH61" s="203"/>
      <c r="HI61" s="203"/>
      <c r="HJ61" s="203"/>
      <c r="HK61" s="203"/>
      <c r="HL61" s="203"/>
      <c r="HM61" s="203"/>
      <c r="HN61" s="203"/>
      <c r="HO61" s="203"/>
      <c r="HP61" s="203"/>
      <c r="HQ61" s="203"/>
      <c r="HR61" s="203"/>
      <c r="HS61" s="203"/>
      <c r="HT61" s="203"/>
      <c r="HU61" s="203"/>
      <c r="HV61" s="203"/>
      <c r="HW61" s="203"/>
      <c r="HX61" s="203"/>
      <c r="HY61" s="203"/>
      <c r="HZ61" s="203"/>
      <c r="IA61" s="203"/>
      <c r="IB61" s="203"/>
      <c r="IC61" s="203"/>
      <c r="ID61" s="203"/>
      <c r="IE61" s="203"/>
      <c r="IF61" s="203"/>
      <c r="IG61" s="203"/>
      <c r="IH61" s="203"/>
      <c r="II61" s="203"/>
      <c r="IJ61" s="203"/>
      <c r="IK61" s="203"/>
      <c r="IL61" s="203"/>
      <c r="IM61" s="203"/>
      <c r="IN61" s="203"/>
      <c r="IO61" s="203"/>
      <c r="IP61" s="203"/>
      <c r="IQ61" s="203"/>
      <c r="IR61" s="203"/>
      <c r="IS61" s="203"/>
      <c r="IT61" s="203"/>
      <c r="IU61" s="203"/>
      <c r="IV61" s="203"/>
    </row>
    <row r="62" spans="1:256" ht="15.75" thickBot="1">
      <c r="A62" s="225"/>
      <c r="B62" s="226"/>
      <c r="C62" s="227"/>
      <c r="D62" s="228"/>
      <c r="E62" s="229"/>
      <c r="F62" s="228"/>
      <c r="G62" s="230"/>
      <c r="H62" s="230"/>
      <c r="I62" s="231"/>
      <c r="J62" s="230"/>
      <c r="K62" s="230"/>
      <c r="L62" s="231"/>
      <c r="M62" s="203"/>
      <c r="N62" s="203"/>
      <c r="O62" s="203"/>
      <c r="P62" s="203"/>
      <c r="Q62" s="203"/>
      <c r="R62" s="203"/>
      <c r="S62" s="204"/>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c r="EO62" s="203"/>
      <c r="EP62" s="203"/>
      <c r="EQ62" s="203"/>
      <c r="ER62" s="203"/>
      <c r="ES62" s="203"/>
      <c r="ET62" s="203"/>
      <c r="EU62" s="203"/>
      <c r="EV62" s="203"/>
      <c r="EW62" s="203"/>
      <c r="EX62" s="203"/>
      <c r="EY62" s="203"/>
      <c r="EZ62" s="203"/>
      <c r="FA62" s="203"/>
      <c r="FB62" s="203"/>
      <c r="FC62" s="203"/>
      <c r="FD62" s="203"/>
      <c r="FE62" s="203"/>
      <c r="FF62" s="203"/>
      <c r="FG62" s="203"/>
      <c r="FH62" s="203"/>
      <c r="FI62" s="203"/>
      <c r="FJ62" s="203"/>
      <c r="FK62" s="203"/>
      <c r="FL62" s="203"/>
      <c r="FM62" s="203"/>
      <c r="FN62" s="203"/>
      <c r="FO62" s="203"/>
      <c r="FP62" s="203"/>
      <c r="FQ62" s="203"/>
      <c r="FR62" s="203"/>
      <c r="FS62" s="203"/>
      <c r="FT62" s="203"/>
      <c r="FU62" s="203"/>
      <c r="FV62" s="203"/>
      <c r="FW62" s="203"/>
      <c r="FX62" s="203"/>
      <c r="FY62" s="203"/>
      <c r="FZ62" s="203"/>
      <c r="GA62" s="203"/>
      <c r="GB62" s="203"/>
      <c r="GC62" s="203"/>
      <c r="GD62" s="203"/>
      <c r="GE62" s="203"/>
      <c r="GF62" s="203"/>
      <c r="GG62" s="203"/>
      <c r="GH62" s="203"/>
      <c r="GI62" s="203"/>
      <c r="GJ62" s="203"/>
      <c r="GK62" s="203"/>
      <c r="GL62" s="203"/>
      <c r="GM62" s="203"/>
      <c r="GN62" s="203"/>
      <c r="GO62" s="203"/>
      <c r="GP62" s="203"/>
      <c r="GQ62" s="203"/>
      <c r="GR62" s="203"/>
      <c r="GS62" s="203"/>
      <c r="GT62" s="203"/>
      <c r="GU62" s="203"/>
      <c r="GV62" s="203"/>
      <c r="GW62" s="203"/>
      <c r="GX62" s="203"/>
      <c r="GY62" s="203"/>
      <c r="GZ62" s="203"/>
      <c r="HA62" s="203"/>
      <c r="HB62" s="203"/>
      <c r="HC62" s="203"/>
      <c r="HD62" s="203"/>
      <c r="HE62" s="203"/>
      <c r="HF62" s="203"/>
      <c r="HG62" s="203"/>
      <c r="HH62" s="203"/>
      <c r="HI62" s="203"/>
      <c r="HJ62" s="203"/>
      <c r="HK62" s="203"/>
      <c r="HL62" s="203"/>
      <c r="HM62" s="203"/>
      <c r="HN62" s="203"/>
      <c r="HO62" s="203"/>
      <c r="HP62" s="203"/>
      <c r="HQ62" s="203"/>
      <c r="HR62" s="203"/>
      <c r="HS62" s="203"/>
      <c r="HT62" s="203"/>
      <c r="HU62" s="203"/>
      <c r="HV62" s="203"/>
      <c r="HW62" s="203"/>
      <c r="HX62" s="203"/>
      <c r="HY62" s="203"/>
      <c r="HZ62" s="203"/>
      <c r="IA62" s="203"/>
      <c r="IB62" s="203"/>
      <c r="IC62" s="203"/>
      <c r="ID62" s="203"/>
      <c r="IE62" s="203"/>
      <c r="IF62" s="203"/>
      <c r="IG62" s="203"/>
      <c r="IH62" s="203"/>
      <c r="II62" s="203"/>
      <c r="IJ62" s="203"/>
      <c r="IK62" s="203"/>
      <c r="IL62" s="203"/>
      <c r="IM62" s="203"/>
      <c r="IN62" s="203"/>
      <c r="IO62" s="203"/>
      <c r="IP62" s="203"/>
      <c r="IQ62" s="203"/>
      <c r="IR62" s="203"/>
      <c r="IS62" s="203"/>
      <c r="IT62" s="203"/>
      <c r="IU62" s="203"/>
      <c r="IV62" s="203"/>
    </row>
    <row r="63" spans="1:256" ht="15">
      <c r="A63" s="203"/>
      <c r="B63" s="203"/>
      <c r="C63" s="203"/>
      <c r="D63" s="203"/>
      <c r="E63" s="232"/>
      <c r="F63" s="203"/>
      <c r="G63" s="203"/>
      <c r="H63" s="232"/>
      <c r="I63" s="203"/>
      <c r="J63" s="203"/>
      <c r="K63" s="203"/>
      <c r="L63" s="218"/>
      <c r="M63" s="203"/>
      <c r="N63" s="203"/>
      <c r="O63" s="203"/>
      <c r="P63" s="203"/>
      <c r="Q63" s="203"/>
      <c r="R63" s="203"/>
      <c r="S63" s="204"/>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c r="EO63" s="203"/>
      <c r="EP63" s="203"/>
      <c r="EQ63" s="203"/>
      <c r="ER63" s="203"/>
      <c r="ES63" s="203"/>
      <c r="ET63" s="203"/>
      <c r="EU63" s="203"/>
      <c r="EV63" s="203"/>
      <c r="EW63" s="203"/>
      <c r="EX63" s="203"/>
      <c r="EY63" s="203"/>
      <c r="EZ63" s="203"/>
      <c r="FA63" s="203"/>
      <c r="FB63" s="203"/>
      <c r="FC63" s="203"/>
      <c r="FD63" s="203"/>
      <c r="FE63" s="203"/>
      <c r="FF63" s="203"/>
      <c r="FG63" s="203"/>
      <c r="FH63" s="203"/>
      <c r="FI63" s="203"/>
      <c r="FJ63" s="203"/>
      <c r="FK63" s="203"/>
      <c r="FL63" s="203"/>
      <c r="FM63" s="203"/>
      <c r="FN63" s="203"/>
      <c r="FO63" s="203"/>
      <c r="FP63" s="203"/>
      <c r="FQ63" s="203"/>
      <c r="FR63" s="203"/>
      <c r="FS63" s="203"/>
      <c r="FT63" s="203"/>
      <c r="FU63" s="203"/>
      <c r="FV63" s="203"/>
      <c r="FW63" s="203"/>
      <c r="FX63" s="203"/>
      <c r="FY63" s="203"/>
      <c r="FZ63" s="203"/>
      <c r="GA63" s="203"/>
      <c r="GB63" s="203"/>
      <c r="GC63" s="203"/>
      <c r="GD63" s="203"/>
      <c r="GE63" s="203"/>
      <c r="GF63" s="203"/>
      <c r="GG63" s="203"/>
      <c r="GH63" s="203"/>
      <c r="GI63" s="203"/>
      <c r="GJ63" s="203"/>
      <c r="GK63" s="203"/>
      <c r="GL63" s="203"/>
      <c r="GM63" s="203"/>
      <c r="GN63" s="203"/>
      <c r="GO63" s="203"/>
      <c r="GP63" s="203"/>
      <c r="GQ63" s="203"/>
      <c r="GR63" s="203"/>
      <c r="GS63" s="203"/>
      <c r="GT63" s="203"/>
      <c r="GU63" s="203"/>
      <c r="GV63" s="203"/>
      <c r="GW63" s="203"/>
      <c r="GX63" s="203"/>
      <c r="GY63" s="203"/>
      <c r="GZ63" s="203"/>
      <c r="HA63" s="203"/>
      <c r="HB63" s="203"/>
      <c r="HC63" s="203"/>
      <c r="HD63" s="203"/>
      <c r="HE63" s="203"/>
      <c r="HF63" s="203"/>
      <c r="HG63" s="203"/>
      <c r="HH63" s="203"/>
      <c r="HI63" s="203"/>
      <c r="HJ63" s="203"/>
      <c r="HK63" s="203"/>
      <c r="HL63" s="203"/>
      <c r="HM63" s="203"/>
      <c r="HN63" s="203"/>
      <c r="HO63" s="203"/>
      <c r="HP63" s="203"/>
      <c r="HQ63" s="203"/>
      <c r="HR63" s="203"/>
      <c r="HS63" s="203"/>
      <c r="HT63" s="203"/>
      <c r="HU63" s="203"/>
      <c r="HV63" s="203"/>
      <c r="HW63" s="203"/>
      <c r="HX63" s="203"/>
      <c r="HY63" s="203"/>
      <c r="HZ63" s="203"/>
      <c r="IA63" s="203"/>
      <c r="IB63" s="203"/>
      <c r="IC63" s="203"/>
      <c r="ID63" s="203"/>
      <c r="IE63" s="203"/>
      <c r="IF63" s="203"/>
      <c r="IG63" s="203"/>
      <c r="IH63" s="203"/>
      <c r="II63" s="203"/>
      <c r="IJ63" s="203"/>
      <c r="IK63" s="203"/>
      <c r="IL63" s="203"/>
      <c r="IM63" s="203"/>
      <c r="IN63" s="203"/>
      <c r="IO63" s="203"/>
      <c r="IP63" s="203"/>
      <c r="IQ63" s="203"/>
      <c r="IR63" s="203"/>
      <c r="IS63" s="203"/>
      <c r="IT63" s="203"/>
      <c r="IU63" s="203"/>
      <c r="IV63" s="203"/>
    </row>
    <row r="64" spans="1:256" ht="15.75">
      <c r="A64" s="233" t="s">
        <v>184</v>
      </c>
      <c r="B64" s="609" t="s">
        <v>185</v>
      </c>
      <c r="C64" s="610"/>
      <c r="D64" s="610"/>
      <c r="E64" s="610"/>
      <c r="F64" s="610"/>
      <c r="G64" s="610"/>
      <c r="H64" s="610"/>
      <c r="I64" s="610"/>
      <c r="J64" s="610"/>
      <c r="K64" s="610"/>
      <c r="L64" s="610"/>
      <c r="M64" s="203"/>
      <c r="N64" s="203"/>
      <c r="O64" s="203"/>
      <c r="P64" s="203"/>
      <c r="Q64" s="203"/>
      <c r="R64" s="203"/>
      <c r="S64" s="204"/>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c r="EO64" s="203"/>
      <c r="EP64" s="203"/>
      <c r="EQ64" s="203"/>
      <c r="ER64" s="203"/>
      <c r="ES64" s="203"/>
      <c r="ET64" s="203"/>
      <c r="EU64" s="203"/>
      <c r="EV64" s="203"/>
      <c r="EW64" s="203"/>
      <c r="EX64" s="203"/>
      <c r="EY64" s="203"/>
      <c r="EZ64" s="203"/>
      <c r="FA64" s="203"/>
      <c r="FB64" s="203"/>
      <c r="FC64" s="203"/>
      <c r="FD64" s="203"/>
      <c r="FE64" s="203"/>
      <c r="FF64" s="203"/>
      <c r="FG64" s="203"/>
      <c r="FH64" s="203"/>
      <c r="FI64" s="203"/>
      <c r="FJ64" s="203"/>
      <c r="FK64" s="203"/>
      <c r="FL64" s="203"/>
      <c r="FM64" s="203"/>
      <c r="FN64" s="203"/>
      <c r="FO64" s="203"/>
      <c r="FP64" s="203"/>
      <c r="FQ64" s="203"/>
      <c r="FR64" s="203"/>
      <c r="FS64" s="203"/>
      <c r="FT64" s="203"/>
      <c r="FU64" s="203"/>
      <c r="FV64" s="203"/>
      <c r="FW64" s="203"/>
      <c r="FX64" s="203"/>
      <c r="FY64" s="203"/>
      <c r="FZ64" s="203"/>
      <c r="GA64" s="203"/>
      <c r="GB64" s="203"/>
      <c r="GC64" s="203"/>
      <c r="GD64" s="203"/>
      <c r="GE64" s="203"/>
      <c r="GF64" s="203"/>
      <c r="GG64" s="203"/>
      <c r="GH64" s="203"/>
      <c r="GI64" s="203"/>
      <c r="GJ64" s="203"/>
      <c r="GK64" s="203"/>
      <c r="GL64" s="203"/>
      <c r="GM64" s="203"/>
      <c r="GN64" s="203"/>
      <c r="GO64" s="203"/>
      <c r="GP64" s="203"/>
      <c r="GQ64" s="203"/>
      <c r="GR64" s="203"/>
      <c r="GS64" s="203"/>
      <c r="GT64" s="203"/>
      <c r="GU64" s="203"/>
      <c r="GV64" s="203"/>
      <c r="GW64" s="203"/>
      <c r="GX64" s="203"/>
      <c r="GY64" s="203"/>
      <c r="GZ64" s="203"/>
      <c r="HA64" s="203"/>
      <c r="HB64" s="203"/>
      <c r="HC64" s="203"/>
      <c r="HD64" s="203"/>
      <c r="HE64" s="203"/>
      <c r="HF64" s="203"/>
      <c r="HG64" s="203"/>
      <c r="HH64" s="203"/>
      <c r="HI64" s="203"/>
      <c r="HJ64" s="203"/>
      <c r="HK64" s="203"/>
      <c r="HL64" s="203"/>
      <c r="HM64" s="203"/>
      <c r="HN64" s="203"/>
      <c r="HO64" s="203"/>
      <c r="HP64" s="203"/>
      <c r="HQ64" s="203"/>
      <c r="HR64" s="203"/>
      <c r="HS64" s="203"/>
      <c r="HT64" s="203"/>
      <c r="HU64" s="203"/>
      <c r="HV64" s="203"/>
      <c r="HW64" s="203"/>
      <c r="HX64" s="203"/>
      <c r="HY64" s="203"/>
      <c r="HZ64" s="203"/>
      <c r="IA64" s="203"/>
      <c r="IB64" s="203"/>
      <c r="IC64" s="203"/>
      <c r="ID64" s="203"/>
      <c r="IE64" s="203"/>
      <c r="IF64" s="203"/>
      <c r="IG64" s="203"/>
      <c r="IH64" s="203"/>
      <c r="II64" s="203"/>
      <c r="IJ64" s="203"/>
      <c r="IK64" s="203"/>
      <c r="IL64" s="203"/>
      <c r="IM64" s="203"/>
      <c r="IN64" s="203"/>
      <c r="IO64" s="203"/>
      <c r="IP64" s="203"/>
      <c r="IQ64" s="203"/>
      <c r="IR64" s="203"/>
      <c r="IS64" s="203"/>
      <c r="IT64" s="203"/>
      <c r="IU64" s="203"/>
      <c r="IV64" s="203"/>
    </row>
    <row r="65" spans="1:256" ht="15">
      <c r="A65" s="203"/>
      <c r="B65" s="610"/>
      <c r="C65" s="610"/>
      <c r="D65" s="610"/>
      <c r="E65" s="610"/>
      <c r="F65" s="610"/>
      <c r="G65" s="610"/>
      <c r="H65" s="610"/>
      <c r="I65" s="610"/>
      <c r="J65" s="610"/>
      <c r="K65" s="610"/>
      <c r="L65" s="610"/>
      <c r="M65" s="203"/>
      <c r="N65" s="203"/>
      <c r="O65" s="203"/>
      <c r="P65" s="203"/>
      <c r="Q65" s="203"/>
      <c r="R65" s="203"/>
      <c r="S65" s="204"/>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c r="EO65" s="203"/>
      <c r="EP65" s="203"/>
      <c r="EQ65" s="203"/>
      <c r="ER65" s="203"/>
      <c r="ES65" s="203"/>
      <c r="ET65" s="203"/>
      <c r="EU65" s="203"/>
      <c r="EV65" s="203"/>
      <c r="EW65" s="203"/>
      <c r="EX65" s="203"/>
      <c r="EY65" s="203"/>
      <c r="EZ65" s="203"/>
      <c r="FA65" s="203"/>
      <c r="FB65" s="203"/>
      <c r="FC65" s="203"/>
      <c r="FD65" s="203"/>
      <c r="FE65" s="203"/>
      <c r="FF65" s="203"/>
      <c r="FG65" s="203"/>
      <c r="FH65" s="203"/>
      <c r="FI65" s="203"/>
      <c r="FJ65" s="203"/>
      <c r="FK65" s="203"/>
      <c r="FL65" s="203"/>
      <c r="FM65" s="203"/>
      <c r="FN65" s="203"/>
      <c r="FO65" s="203"/>
      <c r="FP65" s="203"/>
      <c r="FQ65" s="203"/>
      <c r="FR65" s="203"/>
      <c r="FS65" s="203"/>
      <c r="FT65" s="203"/>
      <c r="FU65" s="203"/>
      <c r="FV65" s="203"/>
      <c r="FW65" s="203"/>
      <c r="FX65" s="203"/>
      <c r="FY65" s="203"/>
      <c r="FZ65" s="203"/>
      <c r="GA65" s="203"/>
      <c r="GB65" s="203"/>
      <c r="GC65" s="203"/>
      <c r="GD65" s="203"/>
      <c r="GE65" s="203"/>
      <c r="GF65" s="203"/>
      <c r="GG65" s="203"/>
      <c r="GH65" s="203"/>
      <c r="GI65" s="203"/>
      <c r="GJ65" s="203"/>
      <c r="GK65" s="203"/>
      <c r="GL65" s="203"/>
      <c r="GM65" s="203"/>
      <c r="GN65" s="203"/>
      <c r="GO65" s="203"/>
      <c r="GP65" s="203"/>
      <c r="GQ65" s="203"/>
      <c r="GR65" s="203"/>
      <c r="GS65" s="203"/>
      <c r="GT65" s="203"/>
      <c r="GU65" s="203"/>
      <c r="GV65" s="203"/>
      <c r="GW65" s="203"/>
      <c r="GX65" s="203"/>
      <c r="GY65" s="203"/>
      <c r="GZ65" s="203"/>
      <c r="HA65" s="203"/>
      <c r="HB65" s="203"/>
      <c r="HC65" s="203"/>
      <c r="HD65" s="203"/>
      <c r="HE65" s="203"/>
      <c r="HF65" s="203"/>
      <c r="HG65" s="203"/>
      <c r="HH65" s="203"/>
      <c r="HI65" s="203"/>
      <c r="HJ65" s="203"/>
      <c r="HK65" s="203"/>
      <c r="HL65" s="203"/>
      <c r="HM65" s="203"/>
      <c r="HN65" s="203"/>
      <c r="HO65" s="203"/>
      <c r="HP65" s="203"/>
      <c r="HQ65" s="203"/>
      <c r="HR65" s="203"/>
      <c r="HS65" s="203"/>
      <c r="HT65" s="203"/>
      <c r="HU65" s="203"/>
      <c r="HV65" s="203"/>
      <c r="HW65" s="203"/>
      <c r="HX65" s="203"/>
      <c r="HY65" s="203"/>
      <c r="HZ65" s="203"/>
      <c r="IA65" s="203"/>
      <c r="IB65" s="203"/>
      <c r="IC65" s="203"/>
      <c r="ID65" s="203"/>
      <c r="IE65" s="203"/>
      <c r="IF65" s="203"/>
      <c r="IG65" s="203"/>
      <c r="IH65" s="203"/>
      <c r="II65" s="203"/>
      <c r="IJ65" s="203"/>
      <c r="IK65" s="203"/>
      <c r="IL65" s="203"/>
      <c r="IM65" s="203"/>
      <c r="IN65" s="203"/>
      <c r="IO65" s="203"/>
      <c r="IP65" s="203"/>
      <c r="IQ65" s="203"/>
      <c r="IR65" s="203"/>
      <c r="IS65" s="203"/>
      <c r="IT65" s="203"/>
      <c r="IU65" s="203"/>
      <c r="IV65" s="203"/>
    </row>
    <row r="66" spans="1:256" ht="15">
      <c r="A66" s="203"/>
      <c r="B66" s="203"/>
      <c r="C66" s="203"/>
      <c r="D66" s="203"/>
      <c r="E66" s="232"/>
      <c r="F66" s="203"/>
      <c r="G66" s="203"/>
      <c r="H66" s="232"/>
      <c r="I66" s="203"/>
      <c r="J66" s="203"/>
      <c r="K66" s="203"/>
      <c r="L66" s="203"/>
      <c r="M66" s="203"/>
      <c r="N66" s="203"/>
      <c r="O66" s="203"/>
      <c r="P66" s="203"/>
      <c r="Q66" s="203"/>
      <c r="R66" s="203"/>
      <c r="S66" s="204"/>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c r="EO66" s="203"/>
      <c r="EP66" s="203"/>
      <c r="EQ66" s="203"/>
      <c r="ER66" s="203"/>
      <c r="ES66" s="203"/>
      <c r="ET66" s="203"/>
      <c r="EU66" s="203"/>
      <c r="EV66" s="203"/>
      <c r="EW66" s="203"/>
      <c r="EX66" s="203"/>
      <c r="EY66" s="203"/>
      <c r="EZ66" s="203"/>
      <c r="FA66" s="203"/>
      <c r="FB66" s="203"/>
      <c r="FC66" s="203"/>
      <c r="FD66" s="203"/>
      <c r="FE66" s="203"/>
      <c r="FF66" s="203"/>
      <c r="FG66" s="203"/>
      <c r="FH66" s="203"/>
      <c r="FI66" s="203"/>
      <c r="FJ66" s="203"/>
      <c r="FK66" s="203"/>
      <c r="FL66" s="203"/>
      <c r="FM66" s="203"/>
      <c r="FN66" s="203"/>
      <c r="FO66" s="203"/>
      <c r="FP66" s="203"/>
      <c r="FQ66" s="203"/>
      <c r="FR66" s="203"/>
      <c r="FS66" s="203"/>
      <c r="FT66" s="203"/>
      <c r="FU66" s="203"/>
      <c r="FV66" s="203"/>
      <c r="FW66" s="203"/>
      <c r="FX66" s="203"/>
      <c r="FY66" s="203"/>
      <c r="FZ66" s="203"/>
      <c r="GA66" s="203"/>
      <c r="GB66" s="203"/>
      <c r="GC66" s="203"/>
      <c r="GD66" s="203"/>
      <c r="GE66" s="203"/>
      <c r="GF66" s="203"/>
      <c r="GG66" s="203"/>
      <c r="GH66" s="203"/>
      <c r="GI66" s="203"/>
      <c r="GJ66" s="203"/>
      <c r="GK66" s="203"/>
      <c r="GL66" s="203"/>
      <c r="GM66" s="203"/>
      <c r="GN66" s="203"/>
      <c r="GO66" s="203"/>
      <c r="GP66" s="203"/>
      <c r="GQ66" s="203"/>
      <c r="GR66" s="203"/>
      <c r="GS66" s="203"/>
      <c r="GT66" s="203"/>
      <c r="GU66" s="203"/>
      <c r="GV66" s="203"/>
      <c r="GW66" s="203"/>
      <c r="GX66" s="203"/>
      <c r="GY66" s="203"/>
      <c r="GZ66" s="203"/>
      <c r="HA66" s="203"/>
      <c r="HB66" s="203"/>
      <c r="HC66" s="203"/>
      <c r="HD66" s="203"/>
      <c r="HE66" s="203"/>
      <c r="HF66" s="203"/>
      <c r="HG66" s="203"/>
      <c r="HH66" s="203"/>
      <c r="HI66" s="203"/>
      <c r="HJ66" s="203"/>
      <c r="HK66" s="203"/>
      <c r="HL66" s="203"/>
      <c r="HM66" s="203"/>
      <c r="HN66" s="203"/>
      <c r="HO66" s="203"/>
      <c r="HP66" s="203"/>
      <c r="HQ66" s="203"/>
      <c r="HR66" s="203"/>
      <c r="HS66" s="203"/>
      <c r="HT66" s="203"/>
      <c r="HU66" s="203"/>
      <c r="HV66" s="203"/>
      <c r="HW66" s="203"/>
      <c r="HX66" s="203"/>
      <c r="HY66" s="203"/>
      <c r="HZ66" s="203"/>
      <c r="IA66" s="203"/>
      <c r="IB66" s="203"/>
      <c r="IC66" s="203"/>
      <c r="ID66" s="203"/>
      <c r="IE66" s="203"/>
      <c r="IF66" s="203"/>
      <c r="IG66" s="203"/>
      <c r="IH66" s="203"/>
      <c r="II66" s="203"/>
      <c r="IJ66" s="203"/>
      <c r="IK66" s="203"/>
      <c r="IL66" s="203"/>
      <c r="IM66" s="203"/>
      <c r="IN66" s="203"/>
      <c r="IO66" s="203"/>
      <c r="IP66" s="203"/>
      <c r="IQ66" s="203"/>
      <c r="IR66" s="203"/>
      <c r="IS66" s="203"/>
      <c r="IT66" s="203"/>
      <c r="IU66" s="203"/>
      <c r="IV66" s="203"/>
    </row>
    <row r="67" spans="1:256" ht="15">
      <c r="A67" s="203"/>
      <c r="B67" s="203"/>
      <c r="C67" s="203"/>
      <c r="D67" s="203"/>
      <c r="E67" s="232"/>
      <c r="F67" s="203"/>
      <c r="G67" s="203"/>
      <c r="H67" s="232"/>
      <c r="I67" s="203"/>
      <c r="J67" s="203"/>
      <c r="K67" s="203"/>
      <c r="L67" s="203"/>
      <c r="M67" s="203"/>
      <c r="N67" s="203"/>
      <c r="O67" s="203"/>
      <c r="P67" s="203"/>
      <c r="Q67" s="203"/>
      <c r="R67" s="203"/>
      <c r="S67" s="204"/>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c r="FL67" s="203"/>
      <c r="FM67" s="203"/>
      <c r="FN67" s="203"/>
      <c r="FO67" s="203"/>
      <c r="FP67" s="203"/>
      <c r="FQ67" s="203"/>
      <c r="FR67" s="203"/>
      <c r="FS67" s="203"/>
      <c r="FT67" s="203"/>
      <c r="FU67" s="203"/>
      <c r="FV67" s="203"/>
      <c r="FW67" s="203"/>
      <c r="FX67" s="203"/>
      <c r="FY67" s="203"/>
      <c r="FZ67" s="203"/>
      <c r="GA67" s="203"/>
      <c r="GB67" s="203"/>
      <c r="GC67" s="203"/>
      <c r="GD67" s="203"/>
      <c r="GE67" s="203"/>
      <c r="GF67" s="203"/>
      <c r="GG67" s="203"/>
      <c r="GH67" s="203"/>
      <c r="GI67" s="203"/>
      <c r="GJ67" s="203"/>
      <c r="GK67" s="203"/>
      <c r="GL67" s="203"/>
      <c r="GM67" s="203"/>
      <c r="GN67" s="203"/>
      <c r="GO67" s="203"/>
      <c r="GP67" s="203"/>
      <c r="GQ67" s="203"/>
      <c r="GR67" s="203"/>
      <c r="GS67" s="203"/>
      <c r="GT67" s="203"/>
      <c r="GU67" s="203"/>
      <c r="GV67" s="203"/>
      <c r="GW67" s="203"/>
      <c r="GX67" s="203"/>
      <c r="GY67" s="203"/>
      <c r="GZ67" s="203"/>
      <c r="HA67" s="203"/>
      <c r="HB67" s="203"/>
      <c r="HC67" s="203"/>
      <c r="HD67" s="203"/>
      <c r="HE67" s="203"/>
      <c r="HF67" s="203"/>
      <c r="HG67" s="203"/>
      <c r="HH67" s="203"/>
      <c r="HI67" s="203"/>
      <c r="HJ67" s="203"/>
      <c r="HK67" s="203"/>
      <c r="HL67" s="203"/>
      <c r="HM67" s="203"/>
      <c r="HN67" s="203"/>
      <c r="HO67" s="203"/>
      <c r="HP67" s="203"/>
      <c r="HQ67" s="203"/>
      <c r="HR67" s="203"/>
      <c r="HS67" s="203"/>
      <c r="HT67" s="203"/>
      <c r="HU67" s="203"/>
      <c r="HV67" s="203"/>
      <c r="HW67" s="203"/>
      <c r="HX67" s="203"/>
      <c r="HY67" s="203"/>
      <c r="HZ67" s="203"/>
      <c r="IA67" s="203"/>
      <c r="IB67" s="203"/>
      <c r="IC67" s="203"/>
      <c r="ID67" s="203"/>
      <c r="IE67" s="203"/>
      <c r="IF67" s="203"/>
      <c r="IG67" s="203"/>
      <c r="IH67" s="203"/>
      <c r="II67" s="203"/>
      <c r="IJ67" s="203"/>
      <c r="IK67" s="203"/>
      <c r="IL67" s="203"/>
      <c r="IM67" s="203"/>
      <c r="IN67" s="203"/>
      <c r="IO67" s="203"/>
      <c r="IP67" s="203"/>
      <c r="IQ67" s="203"/>
      <c r="IR67" s="203"/>
      <c r="IS67" s="203"/>
      <c r="IT67" s="203"/>
      <c r="IU67" s="203"/>
      <c r="IV67" s="203"/>
    </row>
    <row r="68" spans="1:256" ht="15">
      <c r="A68" s="203"/>
      <c r="B68" s="203"/>
      <c r="C68" s="203"/>
      <c r="D68" s="203"/>
      <c r="E68" s="232"/>
      <c r="F68" s="203"/>
      <c r="G68" s="203"/>
      <c r="H68" s="232"/>
      <c r="I68" s="203"/>
      <c r="J68" s="203"/>
      <c r="K68" s="203"/>
      <c r="L68" s="203"/>
      <c r="M68" s="203"/>
      <c r="N68" s="203"/>
      <c r="O68" s="203"/>
      <c r="P68" s="203"/>
      <c r="Q68" s="203"/>
      <c r="R68" s="203"/>
      <c r="S68" s="204"/>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c r="EO68" s="203"/>
      <c r="EP68" s="203"/>
      <c r="EQ68" s="203"/>
      <c r="ER68" s="203"/>
      <c r="ES68" s="203"/>
      <c r="ET68" s="203"/>
      <c r="EU68" s="203"/>
      <c r="EV68" s="203"/>
      <c r="EW68" s="203"/>
      <c r="EX68" s="203"/>
      <c r="EY68" s="203"/>
      <c r="EZ68" s="203"/>
      <c r="FA68" s="203"/>
      <c r="FB68" s="203"/>
      <c r="FC68" s="203"/>
      <c r="FD68" s="203"/>
      <c r="FE68" s="203"/>
      <c r="FF68" s="203"/>
      <c r="FG68" s="203"/>
      <c r="FH68" s="203"/>
      <c r="FI68" s="203"/>
      <c r="FJ68" s="203"/>
      <c r="FK68" s="203"/>
      <c r="FL68" s="203"/>
      <c r="FM68" s="203"/>
      <c r="FN68" s="203"/>
      <c r="FO68" s="203"/>
      <c r="FP68" s="203"/>
      <c r="FQ68" s="203"/>
      <c r="FR68" s="203"/>
      <c r="FS68" s="203"/>
      <c r="FT68" s="203"/>
      <c r="FU68" s="203"/>
      <c r="FV68" s="203"/>
      <c r="FW68" s="203"/>
      <c r="FX68" s="203"/>
      <c r="FY68" s="203"/>
      <c r="FZ68" s="203"/>
      <c r="GA68" s="203"/>
      <c r="GB68" s="203"/>
      <c r="GC68" s="203"/>
      <c r="GD68" s="203"/>
      <c r="GE68" s="203"/>
      <c r="GF68" s="203"/>
      <c r="GG68" s="203"/>
      <c r="GH68" s="203"/>
      <c r="GI68" s="203"/>
      <c r="GJ68" s="203"/>
      <c r="GK68" s="203"/>
      <c r="GL68" s="203"/>
      <c r="GM68" s="203"/>
      <c r="GN68" s="203"/>
      <c r="GO68" s="203"/>
      <c r="GP68" s="203"/>
      <c r="GQ68" s="203"/>
      <c r="GR68" s="203"/>
      <c r="GS68" s="203"/>
      <c r="GT68" s="203"/>
      <c r="GU68" s="203"/>
      <c r="GV68" s="203"/>
      <c r="GW68" s="203"/>
      <c r="GX68" s="203"/>
      <c r="GY68" s="203"/>
      <c r="GZ68" s="203"/>
      <c r="HA68" s="203"/>
      <c r="HB68" s="203"/>
      <c r="HC68" s="203"/>
      <c r="HD68" s="203"/>
      <c r="HE68" s="203"/>
      <c r="HF68" s="203"/>
      <c r="HG68" s="203"/>
      <c r="HH68" s="203"/>
      <c r="HI68" s="203"/>
      <c r="HJ68" s="203"/>
      <c r="HK68" s="203"/>
      <c r="HL68" s="203"/>
      <c r="HM68" s="203"/>
      <c r="HN68" s="203"/>
      <c r="HO68" s="203"/>
      <c r="HP68" s="203"/>
      <c r="HQ68" s="203"/>
      <c r="HR68" s="203"/>
      <c r="HS68" s="203"/>
      <c r="HT68" s="203"/>
      <c r="HU68" s="203"/>
      <c r="HV68" s="203"/>
      <c r="HW68" s="203"/>
      <c r="HX68" s="203"/>
      <c r="HY68" s="203"/>
      <c r="HZ68" s="203"/>
      <c r="IA68" s="203"/>
      <c r="IB68" s="203"/>
      <c r="IC68" s="203"/>
      <c r="ID68" s="203"/>
      <c r="IE68" s="203"/>
      <c r="IF68" s="203"/>
      <c r="IG68" s="203"/>
      <c r="IH68" s="203"/>
      <c r="II68" s="203"/>
      <c r="IJ68" s="203"/>
      <c r="IK68" s="203"/>
      <c r="IL68" s="203"/>
      <c r="IM68" s="203"/>
      <c r="IN68" s="203"/>
      <c r="IO68" s="203"/>
      <c r="IP68" s="203"/>
      <c r="IQ68" s="203"/>
      <c r="IR68" s="203"/>
      <c r="IS68" s="203"/>
      <c r="IT68" s="203"/>
      <c r="IU68" s="203"/>
      <c r="IV68" s="203"/>
    </row>
    <row r="69" spans="1:256" ht="15">
      <c r="A69" s="234"/>
      <c r="B69" s="234"/>
      <c r="C69" s="234"/>
      <c r="D69" s="232"/>
      <c r="E69" s="232"/>
      <c r="F69" s="234"/>
      <c r="G69" s="234"/>
      <c r="H69" s="234"/>
      <c r="I69" s="234"/>
      <c r="J69" s="234"/>
      <c r="K69" s="234"/>
      <c r="L69" s="234"/>
      <c r="M69" s="234"/>
      <c r="N69" s="234"/>
      <c r="O69" s="234"/>
      <c r="P69" s="234"/>
      <c r="Q69" s="234"/>
      <c r="R69" s="234"/>
      <c r="S69" s="20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c r="CE69" s="234"/>
      <c r="CF69" s="234"/>
      <c r="CG69" s="234"/>
      <c r="CH69" s="234"/>
      <c r="CI69" s="234"/>
      <c r="CJ69" s="234"/>
      <c r="CK69" s="234"/>
      <c r="CL69" s="234"/>
      <c r="CM69" s="234"/>
      <c r="CN69" s="234"/>
      <c r="CO69" s="234"/>
      <c r="CP69" s="234"/>
      <c r="CQ69" s="234"/>
      <c r="CR69" s="234"/>
      <c r="CS69" s="234"/>
      <c r="CT69" s="234"/>
      <c r="CU69" s="234"/>
      <c r="CV69" s="234"/>
      <c r="CW69" s="234"/>
      <c r="CX69" s="234"/>
      <c r="CY69" s="234"/>
      <c r="CZ69" s="234"/>
      <c r="DA69" s="234"/>
      <c r="DB69" s="234"/>
      <c r="DC69" s="234"/>
      <c r="DD69" s="234"/>
      <c r="DE69" s="234"/>
      <c r="DF69" s="234"/>
      <c r="DG69" s="234"/>
      <c r="DH69" s="234"/>
      <c r="DI69" s="234"/>
      <c r="DJ69" s="234"/>
      <c r="DK69" s="234"/>
      <c r="DL69" s="234"/>
      <c r="DM69" s="234"/>
      <c r="DN69" s="234"/>
      <c r="DO69" s="234"/>
      <c r="DP69" s="234"/>
      <c r="DQ69" s="234"/>
      <c r="DR69" s="234"/>
      <c r="DS69" s="234"/>
      <c r="DT69" s="234"/>
      <c r="DU69" s="234"/>
      <c r="DV69" s="234"/>
      <c r="DW69" s="234"/>
      <c r="DX69" s="234"/>
      <c r="DY69" s="234"/>
      <c r="DZ69" s="234"/>
      <c r="EA69" s="234"/>
      <c r="EB69" s="234"/>
      <c r="EC69" s="234"/>
      <c r="ED69" s="234"/>
      <c r="EE69" s="234"/>
      <c r="EF69" s="234"/>
      <c r="EG69" s="234"/>
      <c r="EH69" s="234"/>
      <c r="EI69" s="234"/>
      <c r="EJ69" s="234"/>
      <c r="EK69" s="234"/>
      <c r="EL69" s="234"/>
      <c r="EM69" s="234"/>
      <c r="EN69" s="234"/>
      <c r="EO69" s="234"/>
      <c r="EP69" s="234"/>
      <c r="EQ69" s="234"/>
      <c r="ER69" s="234"/>
      <c r="ES69" s="234"/>
      <c r="ET69" s="234"/>
      <c r="EU69" s="234"/>
      <c r="EV69" s="234"/>
      <c r="EW69" s="234"/>
      <c r="EX69" s="234"/>
      <c r="EY69" s="234"/>
      <c r="EZ69" s="234"/>
      <c r="FA69" s="234"/>
      <c r="FB69" s="234"/>
      <c r="FC69" s="234"/>
      <c r="FD69" s="234"/>
      <c r="FE69" s="234"/>
      <c r="FF69" s="234"/>
      <c r="FG69" s="234"/>
      <c r="FH69" s="234"/>
      <c r="FI69" s="234"/>
      <c r="FJ69" s="234"/>
      <c r="FK69" s="234"/>
      <c r="FL69" s="234"/>
      <c r="FM69" s="234"/>
      <c r="FN69" s="234"/>
      <c r="FO69" s="234"/>
      <c r="FP69" s="234"/>
      <c r="FQ69" s="234"/>
      <c r="FR69" s="234"/>
      <c r="FS69" s="234"/>
      <c r="FT69" s="234"/>
      <c r="FU69" s="234"/>
      <c r="FV69" s="234"/>
      <c r="FW69" s="234"/>
      <c r="FX69" s="234"/>
      <c r="FY69" s="234"/>
      <c r="FZ69" s="234"/>
      <c r="GA69" s="234"/>
      <c r="GB69" s="234"/>
      <c r="GC69" s="234"/>
      <c r="GD69" s="234"/>
      <c r="GE69" s="234"/>
      <c r="GF69" s="234"/>
      <c r="GG69" s="234"/>
      <c r="GH69" s="234"/>
      <c r="GI69" s="234"/>
      <c r="GJ69" s="234"/>
      <c r="GK69" s="234"/>
      <c r="GL69" s="234"/>
      <c r="GM69" s="234"/>
      <c r="GN69" s="234"/>
      <c r="GO69" s="234"/>
      <c r="GP69" s="234"/>
      <c r="GQ69" s="234"/>
      <c r="GR69" s="234"/>
      <c r="GS69" s="234"/>
      <c r="GT69" s="234"/>
      <c r="GU69" s="234"/>
      <c r="GV69" s="234"/>
      <c r="GW69" s="234"/>
      <c r="GX69" s="234"/>
      <c r="GY69" s="234"/>
      <c r="GZ69" s="234"/>
      <c r="HA69" s="234"/>
      <c r="HB69" s="234"/>
      <c r="HC69" s="234"/>
      <c r="HD69" s="234"/>
      <c r="HE69" s="234"/>
      <c r="HF69" s="234"/>
      <c r="HG69" s="234"/>
      <c r="HH69" s="234"/>
      <c r="HI69" s="234"/>
      <c r="HJ69" s="234"/>
      <c r="HK69" s="234"/>
      <c r="HL69" s="234"/>
      <c r="HM69" s="234"/>
      <c r="HN69" s="234"/>
      <c r="HO69" s="234"/>
      <c r="HP69" s="234"/>
      <c r="HQ69" s="234"/>
      <c r="HR69" s="234"/>
      <c r="HS69" s="234"/>
      <c r="HT69" s="234"/>
      <c r="HU69" s="234"/>
      <c r="HV69" s="234"/>
      <c r="HW69" s="234"/>
      <c r="HX69" s="234"/>
      <c r="HY69" s="234"/>
      <c r="HZ69" s="234"/>
      <c r="IA69" s="234"/>
      <c r="IB69" s="234"/>
      <c r="IC69" s="234"/>
      <c r="ID69" s="234"/>
      <c r="IE69" s="234"/>
      <c r="IF69" s="234"/>
      <c r="IG69" s="234"/>
      <c r="IH69" s="234"/>
      <c r="II69" s="234"/>
      <c r="IJ69" s="234"/>
      <c r="IK69" s="234"/>
      <c r="IL69" s="234"/>
      <c r="IM69" s="234"/>
      <c r="IN69" s="234"/>
      <c r="IO69" s="234"/>
      <c r="IP69" s="234"/>
      <c r="IQ69" s="234"/>
      <c r="IR69" s="234"/>
      <c r="IS69" s="234"/>
      <c r="IT69" s="234"/>
      <c r="IU69" s="234"/>
      <c r="IV69" s="234"/>
    </row>
    <row r="70" spans="1:256" ht="15">
      <c r="A70" s="203"/>
      <c r="B70" s="203"/>
      <c r="C70" s="203"/>
      <c r="D70" s="203"/>
      <c r="E70" s="232"/>
      <c r="F70" s="203"/>
      <c r="G70" s="203"/>
      <c r="H70" s="232"/>
      <c r="I70" s="203"/>
      <c r="J70" s="203"/>
      <c r="K70" s="203"/>
      <c r="L70" s="203"/>
      <c r="M70" s="203"/>
      <c r="N70" s="203"/>
      <c r="O70" s="203"/>
      <c r="P70" s="203"/>
      <c r="Q70" s="203"/>
      <c r="R70" s="203"/>
      <c r="S70" s="204"/>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c r="EO70" s="203"/>
      <c r="EP70" s="203"/>
      <c r="EQ70" s="203"/>
      <c r="ER70" s="203"/>
      <c r="ES70" s="203"/>
      <c r="ET70" s="203"/>
      <c r="EU70" s="203"/>
      <c r="EV70" s="203"/>
      <c r="EW70" s="203"/>
      <c r="EX70" s="203"/>
      <c r="EY70" s="203"/>
      <c r="EZ70" s="203"/>
      <c r="FA70" s="203"/>
      <c r="FB70" s="203"/>
      <c r="FC70" s="203"/>
      <c r="FD70" s="203"/>
      <c r="FE70" s="203"/>
      <c r="FF70" s="203"/>
      <c r="FG70" s="203"/>
      <c r="FH70" s="203"/>
      <c r="FI70" s="203"/>
      <c r="FJ70" s="203"/>
      <c r="FK70" s="203"/>
      <c r="FL70" s="203"/>
      <c r="FM70" s="203"/>
      <c r="FN70" s="203"/>
      <c r="FO70" s="203"/>
      <c r="FP70" s="203"/>
      <c r="FQ70" s="203"/>
      <c r="FR70" s="203"/>
      <c r="FS70" s="203"/>
      <c r="FT70" s="203"/>
      <c r="FU70" s="203"/>
      <c r="FV70" s="203"/>
      <c r="FW70" s="203"/>
      <c r="FX70" s="203"/>
      <c r="FY70" s="203"/>
      <c r="FZ70" s="203"/>
      <c r="GA70" s="203"/>
      <c r="GB70" s="203"/>
      <c r="GC70" s="203"/>
      <c r="GD70" s="203"/>
      <c r="GE70" s="203"/>
      <c r="GF70" s="203"/>
      <c r="GG70" s="203"/>
      <c r="GH70" s="203"/>
      <c r="GI70" s="203"/>
      <c r="GJ70" s="203"/>
      <c r="GK70" s="203"/>
      <c r="GL70" s="203"/>
      <c r="GM70" s="203"/>
      <c r="GN70" s="203"/>
      <c r="GO70" s="203"/>
      <c r="GP70" s="203"/>
      <c r="GQ70" s="203"/>
      <c r="GR70" s="203"/>
      <c r="GS70" s="203"/>
      <c r="GT70" s="203"/>
      <c r="GU70" s="203"/>
      <c r="GV70" s="203"/>
      <c r="GW70" s="203"/>
      <c r="GX70" s="203"/>
      <c r="GY70" s="203"/>
      <c r="GZ70" s="203"/>
      <c r="HA70" s="203"/>
      <c r="HB70" s="203"/>
      <c r="HC70" s="203"/>
      <c r="HD70" s="203"/>
      <c r="HE70" s="203"/>
      <c r="HF70" s="203"/>
      <c r="HG70" s="203"/>
      <c r="HH70" s="203"/>
      <c r="HI70" s="203"/>
      <c r="HJ70" s="203"/>
      <c r="HK70" s="203"/>
      <c r="HL70" s="203"/>
      <c r="HM70" s="203"/>
      <c r="HN70" s="203"/>
      <c r="HO70" s="203"/>
      <c r="HP70" s="203"/>
      <c r="HQ70" s="203"/>
      <c r="HR70" s="203"/>
      <c r="HS70" s="203"/>
      <c r="HT70" s="203"/>
      <c r="HU70" s="203"/>
      <c r="HV70" s="203"/>
      <c r="HW70" s="203"/>
      <c r="HX70" s="203"/>
      <c r="HY70" s="203"/>
      <c r="HZ70" s="203"/>
      <c r="IA70" s="203"/>
      <c r="IB70" s="203"/>
      <c r="IC70" s="203"/>
      <c r="ID70" s="203"/>
      <c r="IE70" s="203"/>
      <c r="IF70" s="203"/>
      <c r="IG70" s="203"/>
      <c r="IH70" s="203"/>
      <c r="II70" s="203"/>
      <c r="IJ70" s="203"/>
      <c r="IK70" s="203"/>
      <c r="IL70" s="203"/>
      <c r="IM70" s="203"/>
      <c r="IN70" s="203"/>
      <c r="IO70" s="203"/>
      <c r="IP70" s="203"/>
      <c r="IQ70" s="203"/>
      <c r="IR70" s="203"/>
      <c r="IS70" s="203"/>
      <c r="IT70" s="203"/>
      <c r="IU70" s="203"/>
      <c r="IV70" s="203"/>
    </row>
    <row r="71" spans="1:256" ht="15">
      <c r="A71" s="204"/>
      <c r="B71" s="204"/>
      <c r="C71" s="204"/>
      <c r="D71" s="204"/>
      <c r="E71" s="232"/>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04"/>
      <c r="GZ71" s="204"/>
      <c r="HA71" s="204"/>
      <c r="HB71" s="204"/>
      <c r="HC71" s="204"/>
      <c r="HD71" s="204"/>
      <c r="HE71" s="204"/>
      <c r="HF71" s="204"/>
      <c r="HG71" s="204"/>
      <c r="HH71" s="204"/>
      <c r="HI71" s="204"/>
      <c r="HJ71" s="204"/>
      <c r="HK71" s="204"/>
      <c r="HL71" s="204"/>
      <c r="HM71" s="204"/>
      <c r="HN71" s="204"/>
      <c r="HO71" s="204"/>
      <c r="HP71" s="204"/>
      <c r="HQ71" s="204"/>
      <c r="HR71" s="204"/>
      <c r="HS71" s="204"/>
      <c r="HT71" s="204"/>
      <c r="HU71" s="204"/>
      <c r="HV71" s="204"/>
      <c r="HW71" s="204"/>
      <c r="HX71" s="204"/>
      <c r="HY71" s="204"/>
      <c r="HZ71" s="204"/>
      <c r="IA71" s="204"/>
      <c r="IB71" s="204"/>
      <c r="IC71" s="204"/>
      <c r="ID71" s="204"/>
      <c r="IE71" s="204"/>
      <c r="IF71" s="204"/>
      <c r="IG71" s="204"/>
      <c r="IH71" s="204"/>
      <c r="II71" s="204"/>
      <c r="IJ71" s="204"/>
      <c r="IK71" s="204"/>
      <c r="IL71" s="204"/>
      <c r="IM71" s="204"/>
      <c r="IN71" s="204"/>
      <c r="IO71" s="204"/>
      <c r="IP71" s="204"/>
      <c r="IQ71" s="204"/>
      <c r="IR71" s="204"/>
      <c r="IS71" s="204"/>
      <c r="IT71" s="204"/>
      <c r="IU71" s="204"/>
      <c r="IV71" s="204"/>
    </row>
    <row r="72" spans="1:256" ht="15">
      <c r="A72" s="203"/>
      <c r="B72" s="203"/>
      <c r="C72" s="203"/>
      <c r="D72" s="203"/>
      <c r="E72" s="232"/>
      <c r="F72" s="203"/>
      <c r="G72" s="203"/>
      <c r="H72" s="203"/>
      <c r="I72" s="203"/>
      <c r="J72" s="203"/>
      <c r="K72" s="203"/>
      <c r="L72" s="203"/>
      <c r="M72" s="203"/>
      <c r="N72" s="203"/>
      <c r="O72" s="203"/>
      <c r="P72" s="203"/>
      <c r="Q72" s="203"/>
      <c r="R72" s="203"/>
      <c r="S72" s="204"/>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c r="EO72" s="203"/>
      <c r="EP72" s="203"/>
      <c r="EQ72" s="203"/>
      <c r="ER72" s="203"/>
      <c r="ES72" s="203"/>
      <c r="ET72" s="203"/>
      <c r="EU72" s="203"/>
      <c r="EV72" s="203"/>
      <c r="EW72" s="203"/>
      <c r="EX72" s="203"/>
      <c r="EY72" s="203"/>
      <c r="EZ72" s="203"/>
      <c r="FA72" s="203"/>
      <c r="FB72" s="203"/>
      <c r="FC72" s="203"/>
      <c r="FD72" s="203"/>
      <c r="FE72" s="203"/>
      <c r="FF72" s="203"/>
      <c r="FG72" s="203"/>
      <c r="FH72" s="203"/>
      <c r="FI72" s="203"/>
      <c r="FJ72" s="203"/>
      <c r="FK72" s="203"/>
      <c r="FL72" s="203"/>
      <c r="FM72" s="203"/>
      <c r="FN72" s="203"/>
      <c r="FO72" s="203"/>
      <c r="FP72" s="203"/>
      <c r="FQ72" s="203"/>
      <c r="FR72" s="203"/>
      <c r="FS72" s="203"/>
      <c r="FT72" s="203"/>
      <c r="FU72" s="203"/>
      <c r="FV72" s="203"/>
      <c r="FW72" s="203"/>
      <c r="FX72" s="203"/>
      <c r="FY72" s="203"/>
      <c r="FZ72" s="203"/>
      <c r="GA72" s="203"/>
      <c r="GB72" s="203"/>
      <c r="GC72" s="203"/>
      <c r="GD72" s="203"/>
      <c r="GE72" s="203"/>
      <c r="GF72" s="203"/>
      <c r="GG72" s="203"/>
      <c r="GH72" s="203"/>
      <c r="GI72" s="203"/>
      <c r="GJ72" s="203"/>
      <c r="GK72" s="203"/>
      <c r="GL72" s="203"/>
      <c r="GM72" s="203"/>
      <c r="GN72" s="203"/>
      <c r="GO72" s="203"/>
      <c r="GP72" s="203"/>
      <c r="GQ72" s="203"/>
      <c r="GR72" s="203"/>
      <c r="GS72" s="203"/>
      <c r="GT72" s="203"/>
      <c r="GU72" s="203"/>
      <c r="GV72" s="203"/>
      <c r="GW72" s="203"/>
      <c r="GX72" s="203"/>
      <c r="GY72" s="203"/>
      <c r="GZ72" s="203"/>
      <c r="HA72" s="203"/>
      <c r="HB72" s="203"/>
      <c r="HC72" s="203"/>
      <c r="HD72" s="203"/>
      <c r="HE72" s="203"/>
      <c r="HF72" s="203"/>
      <c r="HG72" s="203"/>
      <c r="HH72" s="203"/>
      <c r="HI72" s="203"/>
      <c r="HJ72" s="203"/>
      <c r="HK72" s="203"/>
      <c r="HL72" s="203"/>
      <c r="HM72" s="203"/>
      <c r="HN72" s="203"/>
      <c r="HO72" s="203"/>
      <c r="HP72" s="203"/>
      <c r="HQ72" s="203"/>
      <c r="HR72" s="203"/>
      <c r="HS72" s="203"/>
      <c r="HT72" s="203"/>
      <c r="HU72" s="203"/>
      <c r="HV72" s="203"/>
      <c r="HW72" s="203"/>
      <c r="HX72" s="203"/>
      <c r="HY72" s="203"/>
      <c r="HZ72" s="203"/>
      <c r="IA72" s="203"/>
      <c r="IB72" s="203"/>
      <c r="IC72" s="203"/>
      <c r="ID72" s="203"/>
      <c r="IE72" s="203"/>
      <c r="IF72" s="203"/>
      <c r="IG72" s="203"/>
      <c r="IH72" s="203"/>
      <c r="II72" s="203"/>
      <c r="IJ72" s="203"/>
      <c r="IK72" s="203"/>
      <c r="IL72" s="203"/>
      <c r="IM72" s="203"/>
      <c r="IN72" s="203"/>
      <c r="IO72" s="203"/>
      <c r="IP72" s="203"/>
      <c r="IQ72" s="203"/>
      <c r="IR72" s="203"/>
      <c r="IS72" s="203"/>
      <c r="IT72" s="203"/>
      <c r="IU72" s="203"/>
      <c r="IV72" s="203"/>
    </row>
    <row r="73" spans="1:256" ht="15">
      <c r="A73" s="203"/>
      <c r="B73" s="203"/>
      <c r="C73" s="203"/>
      <c r="D73" s="203"/>
      <c r="E73" s="232"/>
      <c r="F73" s="203"/>
      <c r="G73" s="203"/>
      <c r="H73" s="203"/>
      <c r="I73" s="203"/>
      <c r="J73" s="203"/>
      <c r="K73" s="203"/>
      <c r="L73" s="203"/>
      <c r="M73" s="203"/>
      <c r="N73" s="203"/>
      <c r="O73" s="203"/>
      <c r="P73" s="203"/>
      <c r="Q73" s="203"/>
      <c r="R73" s="203"/>
      <c r="S73" s="204"/>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c r="EO73" s="203"/>
      <c r="EP73" s="203"/>
      <c r="EQ73" s="203"/>
      <c r="ER73" s="203"/>
      <c r="ES73" s="203"/>
      <c r="ET73" s="203"/>
      <c r="EU73" s="203"/>
      <c r="EV73" s="203"/>
      <c r="EW73" s="203"/>
      <c r="EX73" s="203"/>
      <c r="EY73" s="203"/>
      <c r="EZ73" s="203"/>
      <c r="FA73" s="203"/>
      <c r="FB73" s="203"/>
      <c r="FC73" s="203"/>
      <c r="FD73" s="203"/>
      <c r="FE73" s="203"/>
      <c r="FF73" s="203"/>
      <c r="FG73" s="203"/>
      <c r="FH73" s="203"/>
      <c r="FI73" s="203"/>
      <c r="FJ73" s="203"/>
      <c r="FK73" s="203"/>
      <c r="FL73" s="203"/>
      <c r="FM73" s="203"/>
      <c r="FN73" s="203"/>
      <c r="FO73" s="203"/>
      <c r="FP73" s="203"/>
      <c r="FQ73" s="203"/>
      <c r="FR73" s="203"/>
      <c r="FS73" s="203"/>
      <c r="FT73" s="203"/>
      <c r="FU73" s="203"/>
      <c r="FV73" s="203"/>
      <c r="FW73" s="203"/>
      <c r="FX73" s="203"/>
      <c r="FY73" s="203"/>
      <c r="FZ73" s="203"/>
      <c r="GA73" s="203"/>
      <c r="GB73" s="203"/>
      <c r="GC73" s="203"/>
      <c r="GD73" s="203"/>
      <c r="GE73" s="203"/>
      <c r="GF73" s="203"/>
      <c r="GG73" s="203"/>
      <c r="GH73" s="203"/>
      <c r="GI73" s="203"/>
      <c r="GJ73" s="203"/>
      <c r="GK73" s="203"/>
      <c r="GL73" s="203"/>
      <c r="GM73" s="203"/>
      <c r="GN73" s="203"/>
      <c r="GO73" s="203"/>
      <c r="GP73" s="203"/>
      <c r="GQ73" s="203"/>
      <c r="GR73" s="203"/>
      <c r="GS73" s="203"/>
      <c r="GT73" s="203"/>
      <c r="GU73" s="203"/>
      <c r="GV73" s="203"/>
      <c r="GW73" s="203"/>
      <c r="GX73" s="203"/>
      <c r="GY73" s="203"/>
      <c r="GZ73" s="203"/>
      <c r="HA73" s="203"/>
      <c r="HB73" s="203"/>
      <c r="HC73" s="203"/>
      <c r="HD73" s="203"/>
      <c r="HE73" s="203"/>
      <c r="HF73" s="203"/>
      <c r="HG73" s="203"/>
      <c r="HH73" s="203"/>
      <c r="HI73" s="203"/>
      <c r="HJ73" s="203"/>
      <c r="HK73" s="203"/>
      <c r="HL73" s="203"/>
      <c r="HM73" s="203"/>
      <c r="HN73" s="203"/>
      <c r="HO73" s="203"/>
      <c r="HP73" s="203"/>
      <c r="HQ73" s="203"/>
      <c r="HR73" s="203"/>
      <c r="HS73" s="203"/>
      <c r="HT73" s="203"/>
      <c r="HU73" s="203"/>
      <c r="HV73" s="203"/>
      <c r="HW73" s="203"/>
      <c r="HX73" s="203"/>
      <c r="HY73" s="203"/>
      <c r="HZ73" s="203"/>
      <c r="IA73" s="203"/>
      <c r="IB73" s="203"/>
      <c r="IC73" s="203"/>
      <c r="ID73" s="203"/>
      <c r="IE73" s="203"/>
      <c r="IF73" s="203"/>
      <c r="IG73" s="203"/>
      <c r="IH73" s="203"/>
      <c r="II73" s="203"/>
      <c r="IJ73" s="203"/>
      <c r="IK73" s="203"/>
      <c r="IL73" s="203"/>
      <c r="IM73" s="203"/>
      <c r="IN73" s="203"/>
      <c r="IO73" s="203"/>
      <c r="IP73" s="203"/>
      <c r="IQ73" s="203"/>
      <c r="IR73" s="203"/>
      <c r="IS73" s="203"/>
      <c r="IT73" s="203"/>
      <c r="IU73" s="203"/>
      <c r="IV73" s="203"/>
    </row>
    <row r="74" spans="1:256" ht="15">
      <c r="A74" s="203"/>
      <c r="B74" s="203"/>
      <c r="C74" s="203"/>
      <c r="D74" s="203"/>
      <c r="E74" s="232"/>
      <c r="F74" s="203"/>
      <c r="G74" s="203"/>
      <c r="H74" s="203"/>
      <c r="I74" s="203"/>
      <c r="J74" s="203"/>
      <c r="K74" s="203"/>
      <c r="L74" s="203"/>
      <c r="M74" s="203"/>
      <c r="N74" s="203"/>
      <c r="O74" s="203"/>
      <c r="P74" s="203"/>
      <c r="Q74" s="203"/>
      <c r="R74" s="203"/>
      <c r="S74" s="204"/>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3"/>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3"/>
      <c r="FE74" s="203"/>
      <c r="FF74" s="203"/>
      <c r="FG74" s="203"/>
      <c r="FH74" s="203"/>
      <c r="FI74" s="203"/>
      <c r="FJ74" s="203"/>
      <c r="FK74" s="203"/>
      <c r="FL74" s="203"/>
      <c r="FM74" s="203"/>
      <c r="FN74" s="203"/>
      <c r="FO74" s="203"/>
      <c r="FP74" s="203"/>
      <c r="FQ74" s="203"/>
      <c r="FR74" s="203"/>
      <c r="FS74" s="203"/>
      <c r="FT74" s="203"/>
      <c r="FU74" s="203"/>
      <c r="FV74" s="203"/>
      <c r="FW74" s="203"/>
      <c r="FX74" s="203"/>
      <c r="FY74" s="203"/>
      <c r="FZ74" s="203"/>
      <c r="GA74" s="203"/>
      <c r="GB74" s="203"/>
      <c r="GC74" s="203"/>
      <c r="GD74" s="203"/>
      <c r="GE74" s="203"/>
      <c r="GF74" s="203"/>
      <c r="GG74" s="203"/>
      <c r="GH74" s="203"/>
      <c r="GI74" s="203"/>
      <c r="GJ74" s="203"/>
      <c r="GK74" s="203"/>
      <c r="GL74" s="203"/>
      <c r="GM74" s="203"/>
      <c r="GN74" s="203"/>
      <c r="GO74" s="203"/>
      <c r="GP74" s="203"/>
      <c r="GQ74" s="203"/>
      <c r="GR74" s="203"/>
      <c r="GS74" s="203"/>
      <c r="GT74" s="203"/>
      <c r="GU74" s="203"/>
      <c r="GV74" s="203"/>
      <c r="GW74" s="203"/>
      <c r="GX74" s="203"/>
      <c r="GY74" s="203"/>
      <c r="GZ74" s="203"/>
      <c r="HA74" s="203"/>
      <c r="HB74" s="203"/>
      <c r="HC74" s="203"/>
      <c r="HD74" s="203"/>
      <c r="HE74" s="203"/>
      <c r="HF74" s="203"/>
      <c r="HG74" s="203"/>
      <c r="HH74" s="203"/>
      <c r="HI74" s="203"/>
      <c r="HJ74" s="203"/>
      <c r="HK74" s="203"/>
      <c r="HL74" s="203"/>
      <c r="HM74" s="203"/>
      <c r="HN74" s="203"/>
      <c r="HO74" s="203"/>
      <c r="HP74" s="203"/>
      <c r="HQ74" s="203"/>
      <c r="HR74" s="203"/>
      <c r="HS74" s="203"/>
      <c r="HT74" s="203"/>
      <c r="HU74" s="203"/>
      <c r="HV74" s="203"/>
      <c r="HW74" s="203"/>
      <c r="HX74" s="203"/>
      <c r="HY74" s="203"/>
      <c r="HZ74" s="203"/>
      <c r="IA74" s="203"/>
      <c r="IB74" s="203"/>
      <c r="IC74" s="203"/>
      <c r="ID74" s="203"/>
      <c r="IE74" s="203"/>
      <c r="IF74" s="203"/>
      <c r="IG74" s="203"/>
      <c r="IH74" s="203"/>
      <c r="II74" s="203"/>
      <c r="IJ74" s="203"/>
      <c r="IK74" s="203"/>
      <c r="IL74" s="203"/>
      <c r="IM74" s="203"/>
      <c r="IN74" s="203"/>
      <c r="IO74" s="203"/>
      <c r="IP74" s="203"/>
      <c r="IQ74" s="203"/>
      <c r="IR74" s="203"/>
      <c r="IS74" s="203"/>
      <c r="IT74" s="203"/>
      <c r="IU74" s="203"/>
      <c r="IV74" s="203"/>
    </row>
    <row r="75" spans="1:256" ht="15">
      <c r="A75" s="203"/>
      <c r="B75" s="203"/>
      <c r="C75" s="203"/>
      <c r="D75" s="203"/>
      <c r="E75" s="232"/>
      <c r="F75" s="203"/>
      <c r="G75" s="203"/>
      <c r="H75" s="203"/>
      <c r="I75" s="203"/>
      <c r="J75" s="203"/>
      <c r="K75" s="203"/>
      <c r="L75" s="203"/>
      <c r="M75" s="203"/>
      <c r="N75" s="203"/>
      <c r="O75" s="203"/>
      <c r="P75" s="203"/>
      <c r="Q75" s="203"/>
      <c r="R75" s="203"/>
      <c r="S75" s="204"/>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c r="DJ75" s="203"/>
      <c r="DK75" s="203"/>
      <c r="DL75" s="203"/>
      <c r="DM75" s="203"/>
      <c r="DN75" s="203"/>
      <c r="DO75" s="203"/>
      <c r="DP75" s="203"/>
      <c r="DQ75" s="203"/>
      <c r="DR75" s="203"/>
      <c r="DS75" s="203"/>
      <c r="DT75" s="203"/>
      <c r="DU75" s="203"/>
      <c r="DV75" s="203"/>
      <c r="DW75" s="203"/>
      <c r="DX75" s="203"/>
      <c r="DY75" s="203"/>
      <c r="DZ75" s="203"/>
      <c r="EA75" s="203"/>
      <c r="EB75" s="203"/>
      <c r="EC75" s="203"/>
      <c r="ED75" s="203"/>
      <c r="EE75" s="203"/>
      <c r="EF75" s="203"/>
      <c r="EG75" s="203"/>
      <c r="EH75" s="203"/>
      <c r="EI75" s="203"/>
      <c r="EJ75" s="203"/>
      <c r="EK75" s="203"/>
      <c r="EL75" s="203"/>
      <c r="EM75" s="203"/>
      <c r="EN75" s="203"/>
      <c r="EO75" s="203"/>
      <c r="EP75" s="203"/>
      <c r="EQ75" s="203"/>
      <c r="ER75" s="203"/>
      <c r="ES75" s="203"/>
      <c r="ET75" s="203"/>
      <c r="EU75" s="203"/>
      <c r="EV75" s="203"/>
      <c r="EW75" s="203"/>
      <c r="EX75" s="203"/>
      <c r="EY75" s="203"/>
      <c r="EZ75" s="203"/>
      <c r="FA75" s="203"/>
      <c r="FB75" s="203"/>
      <c r="FC75" s="203"/>
      <c r="FD75" s="203"/>
      <c r="FE75" s="203"/>
      <c r="FF75" s="203"/>
      <c r="FG75" s="203"/>
      <c r="FH75" s="203"/>
      <c r="FI75" s="203"/>
      <c r="FJ75" s="203"/>
      <c r="FK75" s="203"/>
      <c r="FL75" s="203"/>
      <c r="FM75" s="203"/>
      <c r="FN75" s="203"/>
      <c r="FO75" s="203"/>
      <c r="FP75" s="203"/>
      <c r="FQ75" s="203"/>
      <c r="FR75" s="203"/>
      <c r="FS75" s="203"/>
      <c r="FT75" s="203"/>
      <c r="FU75" s="203"/>
      <c r="FV75" s="203"/>
      <c r="FW75" s="203"/>
      <c r="FX75" s="203"/>
      <c r="FY75" s="203"/>
      <c r="FZ75" s="203"/>
      <c r="GA75" s="203"/>
      <c r="GB75" s="203"/>
      <c r="GC75" s="203"/>
      <c r="GD75" s="203"/>
      <c r="GE75" s="203"/>
      <c r="GF75" s="203"/>
      <c r="GG75" s="203"/>
      <c r="GH75" s="203"/>
      <c r="GI75" s="203"/>
      <c r="GJ75" s="203"/>
      <c r="GK75" s="203"/>
      <c r="GL75" s="203"/>
      <c r="GM75" s="203"/>
      <c r="GN75" s="203"/>
      <c r="GO75" s="203"/>
      <c r="GP75" s="203"/>
      <c r="GQ75" s="203"/>
      <c r="GR75" s="203"/>
      <c r="GS75" s="203"/>
      <c r="GT75" s="203"/>
      <c r="GU75" s="203"/>
      <c r="GV75" s="203"/>
      <c r="GW75" s="203"/>
      <c r="GX75" s="203"/>
      <c r="GY75" s="203"/>
      <c r="GZ75" s="203"/>
      <c r="HA75" s="203"/>
      <c r="HB75" s="203"/>
      <c r="HC75" s="203"/>
      <c r="HD75" s="203"/>
      <c r="HE75" s="203"/>
      <c r="HF75" s="203"/>
      <c r="HG75" s="203"/>
      <c r="HH75" s="203"/>
      <c r="HI75" s="203"/>
      <c r="HJ75" s="203"/>
      <c r="HK75" s="203"/>
      <c r="HL75" s="203"/>
      <c r="HM75" s="203"/>
      <c r="HN75" s="203"/>
      <c r="HO75" s="203"/>
      <c r="HP75" s="203"/>
      <c r="HQ75" s="203"/>
      <c r="HR75" s="203"/>
      <c r="HS75" s="203"/>
      <c r="HT75" s="203"/>
      <c r="HU75" s="203"/>
      <c r="HV75" s="203"/>
      <c r="HW75" s="203"/>
      <c r="HX75" s="203"/>
      <c r="HY75" s="203"/>
      <c r="HZ75" s="203"/>
      <c r="IA75" s="203"/>
      <c r="IB75" s="203"/>
      <c r="IC75" s="203"/>
      <c r="ID75" s="203"/>
      <c r="IE75" s="203"/>
      <c r="IF75" s="203"/>
      <c r="IG75" s="203"/>
      <c r="IH75" s="203"/>
      <c r="II75" s="203"/>
      <c r="IJ75" s="203"/>
      <c r="IK75" s="203"/>
      <c r="IL75" s="203"/>
      <c r="IM75" s="203"/>
      <c r="IN75" s="203"/>
      <c r="IO75" s="203"/>
      <c r="IP75" s="203"/>
      <c r="IQ75" s="203"/>
      <c r="IR75" s="203"/>
      <c r="IS75" s="203"/>
      <c r="IT75" s="203"/>
      <c r="IU75" s="203"/>
      <c r="IV75" s="203"/>
    </row>
    <row r="76" spans="1:256" ht="15">
      <c r="A76" s="203"/>
      <c r="B76" s="203"/>
      <c r="C76" s="203"/>
      <c r="D76" s="203"/>
      <c r="E76" s="232"/>
      <c r="F76" s="203"/>
      <c r="G76" s="203"/>
      <c r="H76" s="203"/>
      <c r="I76" s="203"/>
      <c r="J76" s="203"/>
      <c r="K76" s="203"/>
      <c r="L76" s="203"/>
      <c r="M76" s="203"/>
      <c r="N76" s="203"/>
      <c r="O76" s="203"/>
      <c r="P76" s="203"/>
      <c r="Q76" s="203"/>
      <c r="R76" s="203"/>
      <c r="S76" s="204"/>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c r="FL76" s="203"/>
      <c r="FM76" s="203"/>
      <c r="FN76" s="203"/>
      <c r="FO76" s="203"/>
      <c r="FP76" s="203"/>
      <c r="FQ76" s="203"/>
      <c r="FR76" s="203"/>
      <c r="FS76" s="203"/>
      <c r="FT76" s="203"/>
      <c r="FU76" s="203"/>
      <c r="FV76" s="203"/>
      <c r="FW76" s="203"/>
      <c r="FX76" s="203"/>
      <c r="FY76" s="203"/>
      <c r="FZ76" s="203"/>
      <c r="GA76" s="203"/>
      <c r="GB76" s="203"/>
      <c r="GC76" s="203"/>
      <c r="GD76" s="203"/>
      <c r="GE76" s="203"/>
      <c r="GF76" s="203"/>
      <c r="GG76" s="203"/>
      <c r="GH76" s="203"/>
      <c r="GI76" s="203"/>
      <c r="GJ76" s="203"/>
      <c r="GK76" s="203"/>
      <c r="GL76" s="203"/>
      <c r="GM76" s="203"/>
      <c r="GN76" s="203"/>
      <c r="GO76" s="203"/>
      <c r="GP76" s="203"/>
      <c r="GQ76" s="203"/>
      <c r="GR76" s="203"/>
      <c r="GS76" s="203"/>
      <c r="GT76" s="203"/>
      <c r="GU76" s="203"/>
      <c r="GV76" s="203"/>
      <c r="GW76" s="203"/>
      <c r="GX76" s="203"/>
      <c r="GY76" s="203"/>
      <c r="GZ76" s="203"/>
      <c r="HA76" s="203"/>
      <c r="HB76" s="203"/>
      <c r="HC76" s="203"/>
      <c r="HD76" s="203"/>
      <c r="HE76" s="203"/>
      <c r="HF76" s="203"/>
      <c r="HG76" s="203"/>
      <c r="HH76" s="203"/>
      <c r="HI76" s="203"/>
      <c r="HJ76" s="203"/>
      <c r="HK76" s="203"/>
      <c r="HL76" s="203"/>
      <c r="HM76" s="203"/>
      <c r="HN76" s="203"/>
      <c r="HO76" s="203"/>
      <c r="HP76" s="203"/>
      <c r="HQ76" s="203"/>
      <c r="HR76" s="203"/>
      <c r="HS76" s="203"/>
      <c r="HT76" s="203"/>
      <c r="HU76" s="203"/>
      <c r="HV76" s="203"/>
      <c r="HW76" s="203"/>
      <c r="HX76" s="203"/>
      <c r="HY76" s="203"/>
      <c r="HZ76" s="203"/>
      <c r="IA76" s="203"/>
      <c r="IB76" s="203"/>
      <c r="IC76" s="203"/>
      <c r="ID76" s="203"/>
      <c r="IE76" s="203"/>
      <c r="IF76" s="203"/>
      <c r="IG76" s="203"/>
      <c r="IH76" s="203"/>
      <c r="II76" s="203"/>
      <c r="IJ76" s="203"/>
      <c r="IK76" s="203"/>
      <c r="IL76" s="203"/>
      <c r="IM76" s="203"/>
      <c r="IN76" s="203"/>
      <c r="IO76" s="203"/>
      <c r="IP76" s="203"/>
      <c r="IQ76" s="203"/>
      <c r="IR76" s="203"/>
      <c r="IS76" s="203"/>
      <c r="IT76" s="203"/>
      <c r="IU76" s="203"/>
      <c r="IV76" s="203"/>
    </row>
    <row r="77" spans="1:256" ht="15">
      <c r="A77" s="203"/>
      <c r="B77" s="203"/>
      <c r="C77" s="203"/>
      <c r="D77" s="203"/>
      <c r="E77" s="232"/>
      <c r="F77" s="203"/>
      <c r="G77" s="203"/>
      <c r="H77" s="203"/>
      <c r="I77" s="203"/>
      <c r="J77" s="203"/>
      <c r="K77" s="203"/>
      <c r="L77" s="203"/>
      <c r="M77" s="203"/>
      <c r="N77" s="203"/>
      <c r="O77" s="203"/>
      <c r="P77" s="203"/>
      <c r="Q77" s="203"/>
      <c r="R77" s="203"/>
      <c r="S77" s="204"/>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c r="FL77" s="203"/>
      <c r="FM77" s="203"/>
      <c r="FN77" s="203"/>
      <c r="FO77" s="203"/>
      <c r="FP77" s="203"/>
      <c r="FQ77" s="203"/>
      <c r="FR77" s="203"/>
      <c r="FS77" s="203"/>
      <c r="FT77" s="203"/>
      <c r="FU77" s="203"/>
      <c r="FV77" s="203"/>
      <c r="FW77" s="203"/>
      <c r="FX77" s="203"/>
      <c r="FY77" s="203"/>
      <c r="FZ77" s="203"/>
      <c r="GA77" s="203"/>
      <c r="GB77" s="203"/>
      <c r="GC77" s="203"/>
      <c r="GD77" s="203"/>
      <c r="GE77" s="203"/>
      <c r="GF77" s="203"/>
      <c r="GG77" s="203"/>
      <c r="GH77" s="203"/>
      <c r="GI77" s="203"/>
      <c r="GJ77" s="203"/>
      <c r="GK77" s="203"/>
      <c r="GL77" s="203"/>
      <c r="GM77" s="203"/>
      <c r="GN77" s="203"/>
      <c r="GO77" s="203"/>
      <c r="GP77" s="203"/>
      <c r="GQ77" s="203"/>
      <c r="GR77" s="203"/>
      <c r="GS77" s="203"/>
      <c r="GT77" s="203"/>
      <c r="GU77" s="203"/>
      <c r="GV77" s="203"/>
      <c r="GW77" s="203"/>
      <c r="GX77" s="203"/>
      <c r="GY77" s="203"/>
      <c r="GZ77" s="203"/>
      <c r="HA77" s="203"/>
      <c r="HB77" s="203"/>
      <c r="HC77" s="203"/>
      <c r="HD77" s="203"/>
      <c r="HE77" s="203"/>
      <c r="HF77" s="203"/>
      <c r="HG77" s="203"/>
      <c r="HH77" s="203"/>
      <c r="HI77" s="203"/>
      <c r="HJ77" s="203"/>
      <c r="HK77" s="203"/>
      <c r="HL77" s="203"/>
      <c r="HM77" s="203"/>
      <c r="HN77" s="203"/>
      <c r="HO77" s="203"/>
      <c r="HP77" s="203"/>
      <c r="HQ77" s="203"/>
      <c r="HR77" s="203"/>
      <c r="HS77" s="203"/>
      <c r="HT77" s="203"/>
      <c r="HU77" s="203"/>
      <c r="HV77" s="203"/>
      <c r="HW77" s="203"/>
      <c r="HX77" s="203"/>
      <c r="HY77" s="203"/>
      <c r="HZ77" s="203"/>
      <c r="IA77" s="203"/>
      <c r="IB77" s="203"/>
      <c r="IC77" s="203"/>
      <c r="ID77" s="203"/>
      <c r="IE77" s="203"/>
      <c r="IF77" s="203"/>
      <c r="IG77" s="203"/>
      <c r="IH77" s="203"/>
      <c r="II77" s="203"/>
      <c r="IJ77" s="203"/>
      <c r="IK77" s="203"/>
      <c r="IL77" s="203"/>
      <c r="IM77" s="203"/>
      <c r="IN77" s="203"/>
      <c r="IO77" s="203"/>
      <c r="IP77" s="203"/>
      <c r="IQ77" s="203"/>
      <c r="IR77" s="203"/>
      <c r="IS77" s="203"/>
      <c r="IT77" s="203"/>
      <c r="IU77" s="203"/>
      <c r="IV77" s="203"/>
    </row>
    <row r="78" spans="1:256" ht="15">
      <c r="A78" s="203"/>
      <c r="B78" s="203"/>
      <c r="C78" s="203"/>
      <c r="D78" s="203"/>
      <c r="E78" s="232"/>
      <c r="F78" s="203"/>
      <c r="G78" s="203"/>
      <c r="H78" s="203"/>
      <c r="I78" s="203"/>
      <c r="J78" s="203"/>
      <c r="K78" s="203"/>
      <c r="L78" s="203"/>
      <c r="M78" s="203"/>
      <c r="N78" s="203"/>
      <c r="O78" s="203"/>
      <c r="P78" s="203"/>
      <c r="Q78" s="203"/>
      <c r="R78" s="203"/>
      <c r="S78" s="204"/>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3"/>
      <c r="CZ78" s="203"/>
      <c r="DA78" s="203"/>
      <c r="DB78" s="203"/>
      <c r="DC78" s="203"/>
      <c r="DD78" s="203"/>
      <c r="DE78" s="203"/>
      <c r="DF78" s="203"/>
      <c r="DG78" s="203"/>
      <c r="DH78" s="203"/>
      <c r="DI78" s="203"/>
      <c r="DJ78" s="203"/>
      <c r="DK78" s="203"/>
      <c r="DL78" s="203"/>
      <c r="DM78" s="203"/>
      <c r="DN78" s="203"/>
      <c r="DO78" s="203"/>
      <c r="DP78" s="203"/>
      <c r="DQ78" s="203"/>
      <c r="DR78" s="203"/>
      <c r="DS78" s="203"/>
      <c r="DT78" s="203"/>
      <c r="DU78" s="203"/>
      <c r="DV78" s="203"/>
      <c r="DW78" s="203"/>
      <c r="DX78" s="203"/>
      <c r="DY78" s="203"/>
      <c r="DZ78" s="203"/>
      <c r="EA78" s="203"/>
      <c r="EB78" s="203"/>
      <c r="EC78" s="203"/>
      <c r="ED78" s="203"/>
      <c r="EE78" s="203"/>
      <c r="EF78" s="203"/>
      <c r="EG78" s="203"/>
      <c r="EH78" s="203"/>
      <c r="EI78" s="203"/>
      <c r="EJ78" s="203"/>
      <c r="EK78" s="203"/>
      <c r="EL78" s="203"/>
      <c r="EM78" s="203"/>
      <c r="EN78" s="203"/>
      <c r="EO78" s="203"/>
      <c r="EP78" s="203"/>
      <c r="EQ78" s="203"/>
      <c r="ER78" s="203"/>
      <c r="ES78" s="203"/>
      <c r="ET78" s="203"/>
      <c r="EU78" s="203"/>
      <c r="EV78" s="203"/>
      <c r="EW78" s="203"/>
      <c r="EX78" s="203"/>
      <c r="EY78" s="203"/>
      <c r="EZ78" s="203"/>
      <c r="FA78" s="203"/>
      <c r="FB78" s="203"/>
      <c r="FC78" s="203"/>
      <c r="FD78" s="203"/>
      <c r="FE78" s="203"/>
      <c r="FF78" s="203"/>
      <c r="FG78" s="203"/>
      <c r="FH78" s="203"/>
      <c r="FI78" s="203"/>
      <c r="FJ78" s="203"/>
      <c r="FK78" s="203"/>
      <c r="FL78" s="203"/>
      <c r="FM78" s="203"/>
      <c r="FN78" s="203"/>
      <c r="FO78" s="203"/>
      <c r="FP78" s="203"/>
      <c r="FQ78" s="203"/>
      <c r="FR78" s="203"/>
      <c r="FS78" s="203"/>
      <c r="FT78" s="203"/>
      <c r="FU78" s="203"/>
      <c r="FV78" s="203"/>
      <c r="FW78" s="203"/>
      <c r="FX78" s="203"/>
      <c r="FY78" s="203"/>
      <c r="FZ78" s="203"/>
      <c r="GA78" s="203"/>
      <c r="GB78" s="203"/>
      <c r="GC78" s="203"/>
      <c r="GD78" s="203"/>
      <c r="GE78" s="203"/>
      <c r="GF78" s="203"/>
      <c r="GG78" s="203"/>
      <c r="GH78" s="203"/>
      <c r="GI78" s="203"/>
      <c r="GJ78" s="203"/>
      <c r="GK78" s="203"/>
      <c r="GL78" s="203"/>
      <c r="GM78" s="203"/>
      <c r="GN78" s="203"/>
      <c r="GO78" s="203"/>
      <c r="GP78" s="203"/>
      <c r="GQ78" s="203"/>
      <c r="GR78" s="203"/>
      <c r="GS78" s="203"/>
      <c r="GT78" s="203"/>
      <c r="GU78" s="203"/>
      <c r="GV78" s="203"/>
      <c r="GW78" s="203"/>
      <c r="GX78" s="203"/>
      <c r="GY78" s="203"/>
      <c r="GZ78" s="203"/>
      <c r="HA78" s="203"/>
      <c r="HB78" s="203"/>
      <c r="HC78" s="203"/>
      <c r="HD78" s="203"/>
      <c r="HE78" s="203"/>
      <c r="HF78" s="203"/>
      <c r="HG78" s="203"/>
      <c r="HH78" s="203"/>
      <c r="HI78" s="203"/>
      <c r="HJ78" s="203"/>
      <c r="HK78" s="203"/>
      <c r="HL78" s="203"/>
      <c r="HM78" s="203"/>
      <c r="HN78" s="203"/>
      <c r="HO78" s="203"/>
      <c r="HP78" s="203"/>
      <c r="HQ78" s="203"/>
      <c r="HR78" s="203"/>
      <c r="HS78" s="203"/>
      <c r="HT78" s="203"/>
      <c r="HU78" s="203"/>
      <c r="HV78" s="203"/>
      <c r="HW78" s="203"/>
      <c r="HX78" s="203"/>
      <c r="HY78" s="203"/>
      <c r="HZ78" s="203"/>
      <c r="IA78" s="203"/>
      <c r="IB78" s="203"/>
      <c r="IC78" s="203"/>
      <c r="ID78" s="203"/>
      <c r="IE78" s="203"/>
      <c r="IF78" s="203"/>
      <c r="IG78" s="203"/>
      <c r="IH78" s="203"/>
      <c r="II78" s="203"/>
      <c r="IJ78" s="203"/>
      <c r="IK78" s="203"/>
      <c r="IL78" s="203"/>
      <c r="IM78" s="203"/>
      <c r="IN78" s="203"/>
      <c r="IO78" s="203"/>
      <c r="IP78" s="203"/>
      <c r="IQ78" s="203"/>
      <c r="IR78" s="203"/>
      <c r="IS78" s="203"/>
      <c r="IT78" s="203"/>
      <c r="IU78" s="203"/>
      <c r="IV78" s="203"/>
    </row>
    <row r="79" spans="1:256" ht="15">
      <c r="A79" s="203"/>
      <c r="B79" s="203"/>
      <c r="C79" s="203"/>
      <c r="D79" s="203"/>
      <c r="E79" s="232"/>
      <c r="F79" s="203"/>
      <c r="G79" s="203"/>
      <c r="H79" s="203"/>
      <c r="I79" s="203"/>
      <c r="J79" s="203"/>
      <c r="K79" s="203"/>
      <c r="L79" s="203"/>
      <c r="M79" s="203"/>
      <c r="N79" s="203"/>
      <c r="O79" s="203"/>
      <c r="P79" s="203"/>
      <c r="Q79" s="203"/>
      <c r="R79" s="203"/>
      <c r="S79" s="204"/>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c r="CN79" s="203"/>
      <c r="CO79" s="203"/>
      <c r="CP79" s="203"/>
      <c r="CQ79" s="203"/>
      <c r="CR79" s="203"/>
      <c r="CS79" s="203"/>
      <c r="CT79" s="203"/>
      <c r="CU79" s="203"/>
      <c r="CV79" s="203"/>
      <c r="CW79" s="203"/>
      <c r="CX79" s="203"/>
      <c r="CY79" s="203"/>
      <c r="CZ79" s="203"/>
      <c r="DA79" s="203"/>
      <c r="DB79" s="203"/>
      <c r="DC79" s="203"/>
      <c r="DD79" s="203"/>
      <c r="DE79" s="203"/>
      <c r="DF79" s="203"/>
      <c r="DG79" s="203"/>
      <c r="DH79" s="203"/>
      <c r="DI79" s="203"/>
      <c r="DJ79" s="203"/>
      <c r="DK79" s="203"/>
      <c r="DL79" s="203"/>
      <c r="DM79" s="203"/>
      <c r="DN79" s="203"/>
      <c r="DO79" s="203"/>
      <c r="DP79" s="203"/>
      <c r="DQ79" s="203"/>
      <c r="DR79" s="203"/>
      <c r="DS79" s="203"/>
      <c r="DT79" s="203"/>
      <c r="DU79" s="203"/>
      <c r="DV79" s="203"/>
      <c r="DW79" s="203"/>
      <c r="DX79" s="203"/>
      <c r="DY79" s="203"/>
      <c r="DZ79" s="203"/>
      <c r="EA79" s="203"/>
      <c r="EB79" s="203"/>
      <c r="EC79" s="203"/>
      <c r="ED79" s="203"/>
      <c r="EE79" s="203"/>
      <c r="EF79" s="203"/>
      <c r="EG79" s="203"/>
      <c r="EH79" s="203"/>
      <c r="EI79" s="203"/>
      <c r="EJ79" s="203"/>
      <c r="EK79" s="203"/>
      <c r="EL79" s="203"/>
      <c r="EM79" s="203"/>
      <c r="EN79" s="203"/>
      <c r="EO79" s="203"/>
      <c r="EP79" s="203"/>
      <c r="EQ79" s="203"/>
      <c r="ER79" s="203"/>
      <c r="ES79" s="203"/>
      <c r="ET79" s="203"/>
      <c r="EU79" s="203"/>
      <c r="EV79" s="203"/>
      <c r="EW79" s="203"/>
      <c r="EX79" s="203"/>
      <c r="EY79" s="203"/>
      <c r="EZ79" s="203"/>
      <c r="FA79" s="203"/>
      <c r="FB79" s="203"/>
      <c r="FC79" s="203"/>
      <c r="FD79" s="203"/>
      <c r="FE79" s="203"/>
      <c r="FF79" s="203"/>
      <c r="FG79" s="203"/>
      <c r="FH79" s="203"/>
      <c r="FI79" s="203"/>
      <c r="FJ79" s="203"/>
      <c r="FK79" s="203"/>
      <c r="FL79" s="203"/>
      <c r="FM79" s="203"/>
      <c r="FN79" s="203"/>
      <c r="FO79" s="203"/>
      <c r="FP79" s="203"/>
      <c r="FQ79" s="203"/>
      <c r="FR79" s="203"/>
      <c r="FS79" s="203"/>
      <c r="FT79" s="203"/>
      <c r="FU79" s="203"/>
      <c r="FV79" s="203"/>
      <c r="FW79" s="203"/>
      <c r="FX79" s="203"/>
      <c r="FY79" s="203"/>
      <c r="FZ79" s="203"/>
      <c r="GA79" s="203"/>
      <c r="GB79" s="203"/>
      <c r="GC79" s="203"/>
      <c r="GD79" s="203"/>
      <c r="GE79" s="203"/>
      <c r="GF79" s="203"/>
      <c r="GG79" s="203"/>
      <c r="GH79" s="203"/>
      <c r="GI79" s="203"/>
      <c r="GJ79" s="203"/>
      <c r="GK79" s="203"/>
      <c r="GL79" s="203"/>
      <c r="GM79" s="203"/>
      <c r="GN79" s="203"/>
      <c r="GO79" s="203"/>
      <c r="GP79" s="203"/>
      <c r="GQ79" s="203"/>
      <c r="GR79" s="203"/>
      <c r="GS79" s="203"/>
      <c r="GT79" s="203"/>
      <c r="GU79" s="203"/>
      <c r="GV79" s="203"/>
      <c r="GW79" s="203"/>
      <c r="GX79" s="203"/>
      <c r="GY79" s="203"/>
      <c r="GZ79" s="203"/>
      <c r="HA79" s="203"/>
      <c r="HB79" s="203"/>
      <c r="HC79" s="203"/>
      <c r="HD79" s="203"/>
      <c r="HE79" s="203"/>
      <c r="HF79" s="203"/>
      <c r="HG79" s="203"/>
      <c r="HH79" s="203"/>
      <c r="HI79" s="203"/>
      <c r="HJ79" s="203"/>
      <c r="HK79" s="203"/>
      <c r="HL79" s="203"/>
      <c r="HM79" s="203"/>
      <c r="HN79" s="203"/>
      <c r="HO79" s="203"/>
      <c r="HP79" s="203"/>
      <c r="HQ79" s="203"/>
      <c r="HR79" s="203"/>
      <c r="HS79" s="203"/>
      <c r="HT79" s="203"/>
      <c r="HU79" s="203"/>
      <c r="HV79" s="203"/>
      <c r="HW79" s="203"/>
      <c r="HX79" s="203"/>
      <c r="HY79" s="203"/>
      <c r="HZ79" s="203"/>
      <c r="IA79" s="203"/>
      <c r="IB79" s="203"/>
      <c r="IC79" s="203"/>
      <c r="ID79" s="203"/>
      <c r="IE79" s="203"/>
      <c r="IF79" s="203"/>
      <c r="IG79" s="203"/>
      <c r="IH79" s="203"/>
      <c r="II79" s="203"/>
      <c r="IJ79" s="203"/>
      <c r="IK79" s="203"/>
      <c r="IL79" s="203"/>
      <c r="IM79" s="203"/>
      <c r="IN79" s="203"/>
      <c r="IO79" s="203"/>
      <c r="IP79" s="203"/>
      <c r="IQ79" s="203"/>
      <c r="IR79" s="203"/>
      <c r="IS79" s="203"/>
      <c r="IT79" s="203"/>
      <c r="IU79" s="203"/>
      <c r="IV79" s="203"/>
    </row>
    <row r="80" spans="1:256" ht="15">
      <c r="A80" s="203"/>
      <c r="B80" s="203"/>
      <c r="C80" s="203"/>
      <c r="D80" s="203"/>
      <c r="E80" s="232"/>
      <c r="F80" s="203"/>
      <c r="G80" s="203"/>
      <c r="H80" s="203"/>
      <c r="I80" s="203"/>
      <c r="J80" s="203"/>
      <c r="K80" s="203"/>
      <c r="L80" s="203"/>
      <c r="M80" s="203"/>
      <c r="N80" s="203"/>
      <c r="O80" s="203"/>
      <c r="P80" s="203"/>
      <c r="Q80" s="203"/>
      <c r="R80" s="203"/>
      <c r="S80" s="204"/>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c r="CE80" s="203"/>
      <c r="CF80" s="203"/>
      <c r="CG80" s="203"/>
      <c r="CH80" s="203"/>
      <c r="CI80" s="203"/>
      <c r="CJ80" s="203"/>
      <c r="CK80" s="203"/>
      <c r="CL80" s="203"/>
      <c r="CM80" s="203"/>
      <c r="CN80" s="203"/>
      <c r="CO80" s="203"/>
      <c r="CP80" s="203"/>
      <c r="CQ80" s="203"/>
      <c r="CR80" s="203"/>
      <c r="CS80" s="203"/>
      <c r="CT80" s="203"/>
      <c r="CU80" s="203"/>
      <c r="CV80" s="203"/>
      <c r="CW80" s="203"/>
      <c r="CX80" s="203"/>
      <c r="CY80" s="203"/>
      <c r="CZ80" s="203"/>
      <c r="DA80" s="203"/>
      <c r="DB80" s="203"/>
      <c r="DC80" s="203"/>
      <c r="DD80" s="203"/>
      <c r="DE80" s="203"/>
      <c r="DF80" s="203"/>
      <c r="DG80" s="203"/>
      <c r="DH80" s="203"/>
      <c r="DI80" s="203"/>
      <c r="DJ80" s="203"/>
      <c r="DK80" s="203"/>
      <c r="DL80" s="203"/>
      <c r="DM80" s="203"/>
      <c r="DN80" s="203"/>
      <c r="DO80" s="203"/>
      <c r="DP80" s="203"/>
      <c r="DQ80" s="203"/>
      <c r="DR80" s="203"/>
      <c r="DS80" s="203"/>
      <c r="DT80" s="203"/>
      <c r="DU80" s="203"/>
      <c r="DV80" s="203"/>
      <c r="DW80" s="203"/>
      <c r="DX80" s="203"/>
      <c r="DY80" s="203"/>
      <c r="DZ80" s="203"/>
      <c r="EA80" s="203"/>
      <c r="EB80" s="203"/>
      <c r="EC80" s="203"/>
      <c r="ED80" s="203"/>
      <c r="EE80" s="203"/>
      <c r="EF80" s="203"/>
      <c r="EG80" s="203"/>
      <c r="EH80" s="203"/>
      <c r="EI80" s="203"/>
      <c r="EJ80" s="203"/>
      <c r="EK80" s="203"/>
      <c r="EL80" s="203"/>
      <c r="EM80" s="203"/>
      <c r="EN80" s="203"/>
      <c r="EO80" s="203"/>
      <c r="EP80" s="203"/>
      <c r="EQ80" s="203"/>
      <c r="ER80" s="203"/>
      <c r="ES80" s="203"/>
      <c r="ET80" s="203"/>
      <c r="EU80" s="203"/>
      <c r="EV80" s="203"/>
      <c r="EW80" s="203"/>
      <c r="EX80" s="203"/>
      <c r="EY80" s="203"/>
      <c r="EZ80" s="203"/>
      <c r="FA80" s="203"/>
      <c r="FB80" s="203"/>
      <c r="FC80" s="203"/>
      <c r="FD80" s="203"/>
      <c r="FE80" s="203"/>
      <c r="FF80" s="203"/>
      <c r="FG80" s="203"/>
      <c r="FH80" s="203"/>
      <c r="FI80" s="203"/>
      <c r="FJ80" s="203"/>
      <c r="FK80" s="203"/>
      <c r="FL80" s="203"/>
      <c r="FM80" s="203"/>
      <c r="FN80" s="203"/>
      <c r="FO80" s="203"/>
      <c r="FP80" s="203"/>
      <c r="FQ80" s="203"/>
      <c r="FR80" s="203"/>
      <c r="FS80" s="203"/>
      <c r="FT80" s="203"/>
      <c r="FU80" s="203"/>
      <c r="FV80" s="203"/>
      <c r="FW80" s="203"/>
      <c r="FX80" s="203"/>
      <c r="FY80" s="203"/>
      <c r="FZ80" s="203"/>
      <c r="GA80" s="203"/>
      <c r="GB80" s="203"/>
      <c r="GC80" s="203"/>
      <c r="GD80" s="203"/>
      <c r="GE80" s="203"/>
      <c r="GF80" s="203"/>
      <c r="GG80" s="203"/>
      <c r="GH80" s="203"/>
      <c r="GI80" s="203"/>
      <c r="GJ80" s="203"/>
      <c r="GK80" s="203"/>
      <c r="GL80" s="203"/>
      <c r="GM80" s="203"/>
      <c r="GN80" s="203"/>
      <c r="GO80" s="203"/>
      <c r="GP80" s="203"/>
      <c r="GQ80" s="203"/>
      <c r="GR80" s="203"/>
      <c r="GS80" s="203"/>
      <c r="GT80" s="203"/>
      <c r="GU80" s="203"/>
      <c r="GV80" s="203"/>
      <c r="GW80" s="203"/>
      <c r="GX80" s="203"/>
      <c r="GY80" s="203"/>
      <c r="GZ80" s="203"/>
      <c r="HA80" s="203"/>
      <c r="HB80" s="203"/>
      <c r="HC80" s="203"/>
      <c r="HD80" s="203"/>
      <c r="HE80" s="203"/>
      <c r="HF80" s="203"/>
      <c r="HG80" s="203"/>
      <c r="HH80" s="203"/>
      <c r="HI80" s="203"/>
      <c r="HJ80" s="203"/>
      <c r="HK80" s="203"/>
      <c r="HL80" s="203"/>
      <c r="HM80" s="203"/>
      <c r="HN80" s="203"/>
      <c r="HO80" s="203"/>
      <c r="HP80" s="203"/>
      <c r="HQ80" s="203"/>
      <c r="HR80" s="203"/>
      <c r="HS80" s="203"/>
      <c r="HT80" s="203"/>
      <c r="HU80" s="203"/>
      <c r="HV80" s="203"/>
      <c r="HW80" s="203"/>
      <c r="HX80" s="203"/>
      <c r="HY80" s="203"/>
      <c r="HZ80" s="203"/>
      <c r="IA80" s="203"/>
      <c r="IB80" s="203"/>
      <c r="IC80" s="203"/>
      <c r="ID80" s="203"/>
      <c r="IE80" s="203"/>
      <c r="IF80" s="203"/>
      <c r="IG80" s="203"/>
      <c r="IH80" s="203"/>
      <c r="II80" s="203"/>
      <c r="IJ80" s="203"/>
      <c r="IK80" s="203"/>
      <c r="IL80" s="203"/>
      <c r="IM80" s="203"/>
      <c r="IN80" s="203"/>
      <c r="IO80" s="203"/>
      <c r="IP80" s="203"/>
      <c r="IQ80" s="203"/>
      <c r="IR80" s="203"/>
      <c r="IS80" s="203"/>
      <c r="IT80" s="203"/>
      <c r="IU80" s="203"/>
      <c r="IV80" s="203"/>
    </row>
    <row r="81" spans="1:256" ht="15">
      <c r="A81" s="203"/>
      <c r="B81" s="203"/>
      <c r="C81" s="203"/>
      <c r="D81" s="203"/>
      <c r="E81" s="232"/>
      <c r="F81" s="203"/>
      <c r="G81" s="203"/>
      <c r="H81" s="203"/>
      <c r="I81" s="203"/>
      <c r="J81" s="203"/>
      <c r="K81" s="203"/>
      <c r="L81" s="203"/>
      <c r="M81" s="203"/>
      <c r="N81" s="203"/>
      <c r="O81" s="203"/>
      <c r="P81" s="203"/>
      <c r="Q81" s="203"/>
      <c r="R81" s="203"/>
      <c r="S81" s="204"/>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DE81" s="203"/>
      <c r="DF81" s="203"/>
      <c r="DG81" s="203"/>
      <c r="DH81" s="203"/>
      <c r="DI81" s="203"/>
      <c r="DJ81" s="203"/>
      <c r="DK81" s="203"/>
      <c r="DL81" s="203"/>
      <c r="DM81" s="203"/>
      <c r="DN81" s="203"/>
      <c r="DO81" s="203"/>
      <c r="DP81" s="203"/>
      <c r="DQ81" s="203"/>
      <c r="DR81" s="203"/>
      <c r="DS81" s="203"/>
      <c r="DT81" s="203"/>
      <c r="DU81" s="203"/>
      <c r="DV81" s="203"/>
      <c r="DW81" s="203"/>
      <c r="DX81" s="203"/>
      <c r="DY81" s="203"/>
      <c r="DZ81" s="203"/>
      <c r="EA81" s="203"/>
      <c r="EB81" s="203"/>
      <c r="EC81" s="203"/>
      <c r="ED81" s="203"/>
      <c r="EE81" s="203"/>
      <c r="EF81" s="203"/>
      <c r="EG81" s="203"/>
      <c r="EH81" s="203"/>
      <c r="EI81" s="203"/>
      <c r="EJ81" s="203"/>
      <c r="EK81" s="203"/>
      <c r="EL81" s="203"/>
      <c r="EM81" s="203"/>
      <c r="EN81" s="203"/>
      <c r="EO81" s="203"/>
      <c r="EP81" s="203"/>
      <c r="EQ81" s="203"/>
      <c r="ER81" s="203"/>
      <c r="ES81" s="203"/>
      <c r="ET81" s="203"/>
      <c r="EU81" s="203"/>
      <c r="EV81" s="203"/>
      <c r="EW81" s="203"/>
      <c r="EX81" s="203"/>
      <c r="EY81" s="203"/>
      <c r="EZ81" s="203"/>
      <c r="FA81" s="203"/>
      <c r="FB81" s="203"/>
      <c r="FC81" s="203"/>
      <c r="FD81" s="203"/>
      <c r="FE81" s="203"/>
      <c r="FF81" s="203"/>
      <c r="FG81" s="203"/>
      <c r="FH81" s="203"/>
      <c r="FI81" s="203"/>
      <c r="FJ81" s="203"/>
      <c r="FK81" s="203"/>
      <c r="FL81" s="203"/>
      <c r="FM81" s="203"/>
      <c r="FN81" s="203"/>
      <c r="FO81" s="203"/>
      <c r="FP81" s="203"/>
      <c r="FQ81" s="203"/>
      <c r="FR81" s="203"/>
      <c r="FS81" s="203"/>
      <c r="FT81" s="203"/>
      <c r="FU81" s="203"/>
      <c r="FV81" s="203"/>
      <c r="FW81" s="203"/>
      <c r="FX81" s="203"/>
      <c r="FY81" s="203"/>
      <c r="FZ81" s="203"/>
      <c r="GA81" s="203"/>
      <c r="GB81" s="203"/>
      <c r="GC81" s="203"/>
      <c r="GD81" s="203"/>
      <c r="GE81" s="203"/>
      <c r="GF81" s="203"/>
      <c r="GG81" s="203"/>
      <c r="GH81" s="203"/>
      <c r="GI81" s="203"/>
      <c r="GJ81" s="203"/>
      <c r="GK81" s="203"/>
      <c r="GL81" s="203"/>
      <c r="GM81" s="203"/>
      <c r="GN81" s="203"/>
      <c r="GO81" s="203"/>
      <c r="GP81" s="203"/>
      <c r="GQ81" s="203"/>
      <c r="GR81" s="203"/>
      <c r="GS81" s="203"/>
      <c r="GT81" s="203"/>
      <c r="GU81" s="203"/>
      <c r="GV81" s="203"/>
      <c r="GW81" s="203"/>
      <c r="GX81" s="203"/>
      <c r="GY81" s="203"/>
      <c r="GZ81" s="203"/>
      <c r="HA81" s="203"/>
      <c r="HB81" s="203"/>
      <c r="HC81" s="203"/>
      <c r="HD81" s="203"/>
      <c r="HE81" s="203"/>
      <c r="HF81" s="203"/>
      <c r="HG81" s="203"/>
      <c r="HH81" s="203"/>
      <c r="HI81" s="203"/>
      <c r="HJ81" s="203"/>
      <c r="HK81" s="203"/>
      <c r="HL81" s="203"/>
      <c r="HM81" s="203"/>
      <c r="HN81" s="203"/>
      <c r="HO81" s="203"/>
      <c r="HP81" s="203"/>
      <c r="HQ81" s="203"/>
      <c r="HR81" s="203"/>
      <c r="HS81" s="203"/>
      <c r="HT81" s="203"/>
      <c r="HU81" s="203"/>
      <c r="HV81" s="203"/>
      <c r="HW81" s="203"/>
      <c r="HX81" s="203"/>
      <c r="HY81" s="203"/>
      <c r="HZ81" s="203"/>
      <c r="IA81" s="203"/>
      <c r="IB81" s="203"/>
      <c r="IC81" s="203"/>
      <c r="ID81" s="203"/>
      <c r="IE81" s="203"/>
      <c r="IF81" s="203"/>
      <c r="IG81" s="203"/>
      <c r="IH81" s="203"/>
      <c r="II81" s="203"/>
      <c r="IJ81" s="203"/>
      <c r="IK81" s="203"/>
      <c r="IL81" s="203"/>
      <c r="IM81" s="203"/>
      <c r="IN81" s="203"/>
      <c r="IO81" s="203"/>
      <c r="IP81" s="203"/>
      <c r="IQ81" s="203"/>
      <c r="IR81" s="203"/>
      <c r="IS81" s="203"/>
      <c r="IT81" s="203"/>
      <c r="IU81" s="203"/>
      <c r="IV81" s="203"/>
    </row>
    <row r="82" spans="1:256" ht="15">
      <c r="A82" s="203"/>
      <c r="B82" s="203"/>
      <c r="C82" s="203"/>
      <c r="D82" s="203"/>
      <c r="E82" s="232"/>
      <c r="F82" s="203"/>
      <c r="G82" s="203"/>
      <c r="H82" s="203"/>
      <c r="I82" s="203"/>
      <c r="J82" s="203"/>
      <c r="K82" s="203"/>
      <c r="L82" s="203"/>
      <c r="M82" s="203"/>
      <c r="N82" s="203"/>
      <c r="O82" s="203"/>
      <c r="P82" s="203"/>
      <c r="Q82" s="203"/>
      <c r="R82" s="203"/>
      <c r="S82" s="204"/>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c r="DJ82" s="203"/>
      <c r="DK82" s="203"/>
      <c r="DL82" s="203"/>
      <c r="DM82" s="203"/>
      <c r="DN82" s="203"/>
      <c r="DO82" s="203"/>
      <c r="DP82" s="203"/>
      <c r="DQ82" s="203"/>
      <c r="DR82" s="203"/>
      <c r="DS82" s="203"/>
      <c r="DT82" s="203"/>
      <c r="DU82" s="203"/>
      <c r="DV82" s="203"/>
      <c r="DW82" s="203"/>
      <c r="DX82" s="203"/>
      <c r="DY82" s="203"/>
      <c r="DZ82" s="203"/>
      <c r="EA82" s="203"/>
      <c r="EB82" s="203"/>
      <c r="EC82" s="203"/>
      <c r="ED82" s="203"/>
      <c r="EE82" s="203"/>
      <c r="EF82" s="203"/>
      <c r="EG82" s="203"/>
      <c r="EH82" s="203"/>
      <c r="EI82" s="203"/>
      <c r="EJ82" s="203"/>
      <c r="EK82" s="203"/>
      <c r="EL82" s="203"/>
      <c r="EM82" s="203"/>
      <c r="EN82" s="203"/>
      <c r="EO82" s="203"/>
      <c r="EP82" s="203"/>
      <c r="EQ82" s="203"/>
      <c r="ER82" s="203"/>
      <c r="ES82" s="203"/>
      <c r="ET82" s="203"/>
      <c r="EU82" s="203"/>
      <c r="EV82" s="203"/>
      <c r="EW82" s="203"/>
      <c r="EX82" s="203"/>
      <c r="EY82" s="203"/>
      <c r="EZ82" s="203"/>
      <c r="FA82" s="203"/>
      <c r="FB82" s="203"/>
      <c r="FC82" s="203"/>
      <c r="FD82" s="203"/>
      <c r="FE82" s="203"/>
      <c r="FF82" s="203"/>
      <c r="FG82" s="203"/>
      <c r="FH82" s="203"/>
      <c r="FI82" s="203"/>
      <c r="FJ82" s="203"/>
      <c r="FK82" s="203"/>
      <c r="FL82" s="203"/>
      <c r="FM82" s="203"/>
      <c r="FN82" s="203"/>
      <c r="FO82" s="203"/>
      <c r="FP82" s="203"/>
      <c r="FQ82" s="203"/>
      <c r="FR82" s="203"/>
      <c r="FS82" s="203"/>
      <c r="FT82" s="203"/>
      <c r="FU82" s="203"/>
      <c r="FV82" s="203"/>
      <c r="FW82" s="203"/>
      <c r="FX82" s="203"/>
      <c r="FY82" s="203"/>
      <c r="FZ82" s="203"/>
      <c r="GA82" s="203"/>
      <c r="GB82" s="203"/>
      <c r="GC82" s="203"/>
      <c r="GD82" s="203"/>
      <c r="GE82" s="203"/>
      <c r="GF82" s="203"/>
      <c r="GG82" s="203"/>
      <c r="GH82" s="203"/>
      <c r="GI82" s="203"/>
      <c r="GJ82" s="203"/>
      <c r="GK82" s="203"/>
      <c r="GL82" s="203"/>
      <c r="GM82" s="203"/>
      <c r="GN82" s="203"/>
      <c r="GO82" s="203"/>
      <c r="GP82" s="203"/>
      <c r="GQ82" s="203"/>
      <c r="GR82" s="203"/>
      <c r="GS82" s="203"/>
      <c r="GT82" s="203"/>
      <c r="GU82" s="203"/>
      <c r="GV82" s="203"/>
      <c r="GW82" s="203"/>
      <c r="GX82" s="203"/>
      <c r="GY82" s="203"/>
      <c r="GZ82" s="203"/>
      <c r="HA82" s="203"/>
      <c r="HB82" s="203"/>
      <c r="HC82" s="203"/>
      <c r="HD82" s="203"/>
      <c r="HE82" s="203"/>
      <c r="HF82" s="203"/>
      <c r="HG82" s="203"/>
      <c r="HH82" s="203"/>
      <c r="HI82" s="203"/>
      <c r="HJ82" s="203"/>
      <c r="HK82" s="203"/>
      <c r="HL82" s="203"/>
      <c r="HM82" s="203"/>
      <c r="HN82" s="203"/>
      <c r="HO82" s="203"/>
      <c r="HP82" s="203"/>
      <c r="HQ82" s="203"/>
      <c r="HR82" s="203"/>
      <c r="HS82" s="203"/>
      <c r="HT82" s="203"/>
      <c r="HU82" s="203"/>
      <c r="HV82" s="203"/>
      <c r="HW82" s="203"/>
      <c r="HX82" s="203"/>
      <c r="HY82" s="203"/>
      <c r="HZ82" s="203"/>
      <c r="IA82" s="203"/>
      <c r="IB82" s="203"/>
      <c r="IC82" s="203"/>
      <c r="ID82" s="203"/>
      <c r="IE82" s="203"/>
      <c r="IF82" s="203"/>
      <c r="IG82" s="203"/>
      <c r="IH82" s="203"/>
      <c r="II82" s="203"/>
      <c r="IJ82" s="203"/>
      <c r="IK82" s="203"/>
      <c r="IL82" s="203"/>
      <c r="IM82" s="203"/>
      <c r="IN82" s="203"/>
      <c r="IO82" s="203"/>
      <c r="IP82" s="203"/>
      <c r="IQ82" s="203"/>
      <c r="IR82" s="203"/>
      <c r="IS82" s="203"/>
      <c r="IT82" s="203"/>
      <c r="IU82" s="203"/>
      <c r="IV82" s="203"/>
    </row>
    <row r="83" spans="1:256" ht="15">
      <c r="A83" s="203"/>
      <c r="B83" s="203"/>
      <c r="C83" s="203"/>
      <c r="D83" s="203"/>
      <c r="E83" s="232"/>
      <c r="F83" s="203"/>
      <c r="G83" s="203"/>
      <c r="H83" s="203"/>
      <c r="I83" s="203"/>
      <c r="J83" s="203"/>
      <c r="K83" s="203"/>
      <c r="L83" s="203"/>
      <c r="M83" s="203"/>
      <c r="N83" s="203"/>
      <c r="O83" s="203"/>
      <c r="P83" s="203"/>
      <c r="Q83" s="203"/>
      <c r="R83" s="203"/>
      <c r="S83" s="204"/>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03"/>
      <c r="GR83" s="203"/>
      <c r="GS83" s="203"/>
      <c r="GT83" s="203"/>
      <c r="GU83" s="203"/>
      <c r="GV83" s="203"/>
      <c r="GW83" s="203"/>
      <c r="GX83" s="203"/>
      <c r="GY83" s="203"/>
      <c r="GZ83" s="203"/>
      <c r="HA83" s="203"/>
      <c r="HB83" s="203"/>
      <c r="HC83" s="203"/>
      <c r="HD83" s="203"/>
      <c r="HE83" s="203"/>
      <c r="HF83" s="203"/>
      <c r="HG83" s="203"/>
      <c r="HH83" s="203"/>
      <c r="HI83" s="203"/>
      <c r="HJ83" s="203"/>
      <c r="HK83" s="203"/>
      <c r="HL83" s="203"/>
      <c r="HM83" s="203"/>
      <c r="HN83" s="203"/>
      <c r="HO83" s="203"/>
      <c r="HP83" s="203"/>
      <c r="HQ83" s="203"/>
      <c r="HR83" s="203"/>
      <c r="HS83" s="203"/>
      <c r="HT83" s="203"/>
      <c r="HU83" s="203"/>
      <c r="HV83" s="203"/>
      <c r="HW83" s="203"/>
      <c r="HX83" s="203"/>
      <c r="HY83" s="203"/>
      <c r="HZ83" s="203"/>
      <c r="IA83" s="203"/>
      <c r="IB83" s="203"/>
      <c r="IC83" s="203"/>
      <c r="ID83" s="203"/>
      <c r="IE83" s="203"/>
      <c r="IF83" s="203"/>
      <c r="IG83" s="203"/>
      <c r="IH83" s="203"/>
      <c r="II83" s="203"/>
      <c r="IJ83" s="203"/>
      <c r="IK83" s="203"/>
      <c r="IL83" s="203"/>
      <c r="IM83" s="203"/>
      <c r="IN83" s="203"/>
      <c r="IO83" s="203"/>
      <c r="IP83" s="203"/>
      <c r="IQ83" s="203"/>
      <c r="IR83" s="203"/>
      <c r="IS83" s="203"/>
      <c r="IT83" s="203"/>
      <c r="IU83" s="203"/>
      <c r="IV83" s="203"/>
    </row>
  </sheetData>
  <sheetProtection/>
  <mergeCells count="6">
    <mergeCell ref="A1:L1"/>
    <mergeCell ref="D3:F3"/>
    <mergeCell ref="G3:I3"/>
    <mergeCell ref="J3:L3"/>
    <mergeCell ref="A4:C4"/>
    <mergeCell ref="B64:L65"/>
  </mergeCells>
  <printOptions/>
  <pageMargins left="0.7" right="0.7" top="0.75" bottom="0.75" header="0.3" footer="0.3"/>
  <pageSetup fitToHeight="1" fitToWidth="1" horizontalDpi="600" verticalDpi="600" orientation="portrait" scale="67" r:id="rId1"/>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D16" sqref="D16"/>
    </sheetView>
  </sheetViews>
  <sheetFormatPr defaultColWidth="9.140625" defaultRowHeight="12.75"/>
  <cols>
    <col min="1" max="1" width="87.8515625" style="0" bestFit="1" customWidth="1"/>
    <col min="2" max="2" width="11.00390625" style="0" bestFit="1" customWidth="1"/>
    <col min="3" max="3" width="11.28125" style="0" bestFit="1" customWidth="1"/>
    <col min="4" max="4" width="12.57421875" style="0" bestFit="1" customWidth="1"/>
    <col min="5" max="5" width="2.8515625" style="29" customWidth="1"/>
    <col min="6" max="6" width="12.7109375" style="0" customWidth="1"/>
    <col min="7" max="7" width="13.28125" style="0" bestFit="1" customWidth="1"/>
    <col min="8" max="8" width="3.7109375" style="0" customWidth="1"/>
    <col min="9" max="9" width="13.28125" style="410" bestFit="1" customWidth="1"/>
  </cols>
  <sheetData>
    <row r="1" spans="1:4" ht="23.25">
      <c r="A1" s="28" t="s">
        <v>12</v>
      </c>
      <c r="B1" s="28"/>
      <c r="C1" s="12"/>
      <c r="D1" s="12"/>
    </row>
    <row r="2" spans="1:4" ht="15.75">
      <c r="A2" s="30" t="s">
        <v>13</v>
      </c>
      <c r="B2" s="30"/>
      <c r="C2" s="31"/>
      <c r="D2" s="32"/>
    </row>
    <row r="3" spans="1:8" ht="15.75">
      <c r="A3" s="30"/>
      <c r="B3" s="30"/>
      <c r="C3" s="31"/>
      <c r="D3" s="411"/>
      <c r="E3" s="445"/>
      <c r="F3" s="446"/>
      <c r="G3" s="446"/>
      <c r="H3" s="446"/>
    </row>
    <row r="4" spans="1:8" ht="15">
      <c r="A4" s="33"/>
      <c r="B4" s="33"/>
      <c r="C4" s="31"/>
      <c r="D4" s="411"/>
      <c r="E4" s="445"/>
      <c r="F4" s="446"/>
      <c r="G4" s="446"/>
      <c r="H4" s="446"/>
    </row>
    <row r="5" spans="1:8" ht="15">
      <c r="A5" s="34"/>
      <c r="B5" s="34"/>
      <c r="C5" s="31"/>
      <c r="D5" s="412" t="s">
        <v>14</v>
      </c>
      <c r="E5" s="445"/>
      <c r="F5" s="413"/>
      <c r="G5" s="413" t="s">
        <v>15</v>
      </c>
      <c r="H5" s="446"/>
    </row>
    <row r="6" spans="1:8" ht="17.25">
      <c r="A6" s="12"/>
      <c r="B6" s="12"/>
      <c r="C6" s="31"/>
      <c r="D6" s="414" t="s">
        <v>16</v>
      </c>
      <c r="E6" s="445"/>
      <c r="F6" s="415" t="s">
        <v>17</v>
      </c>
      <c r="G6" s="415" t="s">
        <v>18</v>
      </c>
      <c r="H6" s="446"/>
    </row>
    <row r="7" spans="1:8" ht="15">
      <c r="A7" s="35" t="s">
        <v>19</v>
      </c>
      <c r="B7" s="35"/>
      <c r="C7" s="31"/>
      <c r="D7" s="416"/>
      <c r="E7" s="445"/>
      <c r="F7" s="446"/>
      <c r="G7" s="446"/>
      <c r="H7" s="446"/>
    </row>
    <row r="8" spans="1:8" ht="17.25">
      <c r="A8" s="12" t="s">
        <v>20</v>
      </c>
      <c r="B8" s="12"/>
      <c r="C8" s="31"/>
      <c r="D8" s="417">
        <v>37164</v>
      </c>
      <c r="E8" s="445"/>
      <c r="F8" s="418">
        <v>20597</v>
      </c>
      <c r="G8" s="418">
        <v>16567</v>
      </c>
      <c r="H8" s="446"/>
    </row>
    <row r="9" spans="1:8" ht="15">
      <c r="A9" s="12"/>
      <c r="B9" s="12"/>
      <c r="C9" s="31"/>
      <c r="D9" s="448"/>
      <c r="E9" s="445"/>
      <c r="F9" s="449">
        <f>+F8/D8</f>
        <v>0.5542191367990529</v>
      </c>
      <c r="G9" s="449">
        <f>+G8/D8</f>
        <v>0.4457808632009472</v>
      </c>
      <c r="H9" s="446"/>
    </row>
    <row r="10" spans="1:8" ht="15">
      <c r="A10" s="12"/>
      <c r="B10" s="12"/>
      <c r="C10" s="31"/>
      <c r="D10" s="448"/>
      <c r="E10" s="445"/>
      <c r="F10" s="446"/>
      <c r="G10" s="446"/>
      <c r="H10" s="446"/>
    </row>
    <row r="11" spans="1:8" ht="15">
      <c r="A11" s="35" t="s">
        <v>21</v>
      </c>
      <c r="B11" s="35"/>
      <c r="C11" s="31"/>
      <c r="D11" s="448"/>
      <c r="E11" s="445"/>
      <c r="F11" s="446"/>
      <c r="G11" s="446"/>
      <c r="H11" s="446"/>
    </row>
    <row r="12" spans="1:8" ht="17.25">
      <c r="A12" s="36" t="s">
        <v>22</v>
      </c>
      <c r="B12" s="36"/>
      <c r="C12" s="31"/>
      <c r="D12" s="419">
        <v>28764</v>
      </c>
      <c r="E12" s="445"/>
      <c r="F12" s="420">
        <v>16525</v>
      </c>
      <c r="G12" s="420">
        <v>12239</v>
      </c>
      <c r="H12" s="446"/>
    </row>
    <row r="13" spans="1:8" ht="15">
      <c r="A13" s="38"/>
      <c r="B13" s="38"/>
      <c r="C13" s="31"/>
      <c r="D13" s="448"/>
      <c r="E13" s="445"/>
      <c r="F13" s="449">
        <f>+F12/D12</f>
        <v>0.5745028507857044</v>
      </c>
      <c r="G13" s="449">
        <f>+G12/D12</f>
        <v>0.42549714921429566</v>
      </c>
      <c r="H13" s="446"/>
    </row>
    <row r="14" spans="1:8" ht="15">
      <c r="A14" s="38"/>
      <c r="B14" s="38"/>
      <c r="C14" s="31"/>
      <c r="D14" s="448"/>
      <c r="E14" s="445"/>
      <c r="F14" s="446"/>
      <c r="G14" s="446"/>
      <c r="H14" s="446"/>
    </row>
    <row r="15" spans="1:8" ht="21">
      <c r="A15" s="39" t="s">
        <v>23</v>
      </c>
      <c r="B15" s="39"/>
      <c r="C15" s="31"/>
      <c r="D15" s="416"/>
      <c r="E15" s="445"/>
      <c r="F15" s="446"/>
      <c r="G15" s="446"/>
      <c r="H15" s="446"/>
    </row>
    <row r="16" spans="1:8" ht="18" customHeight="1">
      <c r="A16" s="40" t="s">
        <v>24</v>
      </c>
      <c r="B16" s="40"/>
      <c r="C16" s="41"/>
      <c r="D16" s="421">
        <v>2332800</v>
      </c>
      <c r="E16" s="445"/>
      <c r="F16" s="422">
        <v>1342000</v>
      </c>
      <c r="G16" s="422">
        <v>991000</v>
      </c>
      <c r="H16" s="446"/>
    </row>
    <row r="17" spans="1:8" ht="15">
      <c r="A17" s="40"/>
      <c r="B17" s="40"/>
      <c r="C17" s="41"/>
      <c r="D17" s="450"/>
      <c r="E17" s="445"/>
      <c r="F17" s="449">
        <f>+F16/D16</f>
        <v>0.5752743484224966</v>
      </c>
      <c r="G17" s="449">
        <f>+G16/D16</f>
        <v>0.4248113854595336</v>
      </c>
      <c r="H17" s="446"/>
    </row>
    <row r="18" spans="1:8" ht="21">
      <c r="A18" s="39" t="s">
        <v>25</v>
      </c>
      <c r="B18" s="40"/>
      <c r="C18" s="41"/>
      <c r="D18" s="450"/>
      <c r="E18" s="445"/>
      <c r="F18" s="449"/>
      <c r="G18" s="449"/>
      <c r="H18" s="446"/>
    </row>
    <row r="19" spans="1:8" ht="15">
      <c r="A19" s="40" t="s">
        <v>26</v>
      </c>
      <c r="B19" s="40"/>
      <c r="C19" s="82">
        <v>0.475</v>
      </c>
      <c r="D19" s="423">
        <f>ROUND(+D16*C19,-2)</f>
        <v>1108100</v>
      </c>
      <c r="E19" s="424"/>
      <c r="F19" s="425">
        <f>ROUND(+$F$17*D19,-3)</f>
        <v>637000</v>
      </c>
      <c r="G19" s="426">
        <f>ROUND(+$G$17*D19,-3)</f>
        <v>471000</v>
      </c>
      <c r="H19" s="451"/>
    </row>
    <row r="20" spans="1:8" ht="15">
      <c r="A20" s="40" t="s">
        <v>148</v>
      </c>
      <c r="B20" s="40"/>
      <c r="C20" s="82"/>
      <c r="D20" s="423">
        <v>-32000</v>
      </c>
      <c r="E20" s="424"/>
      <c r="F20" s="425">
        <f>ROUND(+$F$17*D20,-3)</f>
        <v>-18000</v>
      </c>
      <c r="G20" s="426">
        <f>ROUND(+$G$17*D20,-3)</f>
        <v>-14000</v>
      </c>
      <c r="H20" s="451"/>
    </row>
    <row r="21" spans="1:8" ht="17.25">
      <c r="A21" s="40" t="s">
        <v>146</v>
      </c>
      <c r="B21" s="40"/>
      <c r="C21" s="82"/>
      <c r="D21" s="427">
        <v>252400</v>
      </c>
      <c r="E21" s="428"/>
      <c r="F21" s="429">
        <f>ROUND(+$F$17*D21,-3)</f>
        <v>145000</v>
      </c>
      <c r="G21" s="430">
        <f>ROUND(+$G$17*D21,-3)</f>
        <v>107000</v>
      </c>
      <c r="H21" s="451"/>
    </row>
    <row r="22" spans="1:8" ht="17.25">
      <c r="A22" s="40"/>
      <c r="B22" s="40"/>
      <c r="C22" s="82"/>
      <c r="D22" s="431">
        <f>SUM(D19:D21)</f>
        <v>1328500</v>
      </c>
      <c r="E22" s="431"/>
      <c r="F22" s="431">
        <f>SUM(F19:F21)</f>
        <v>764000</v>
      </c>
      <c r="G22" s="431">
        <f>SUM(G19:G21)</f>
        <v>564000</v>
      </c>
      <c r="H22" s="451"/>
    </row>
    <row r="23" spans="1:8" ht="17.25">
      <c r="A23" s="44"/>
      <c r="B23" s="44"/>
      <c r="C23" s="31"/>
      <c r="D23" s="432"/>
      <c r="E23" s="445"/>
      <c r="F23" s="446"/>
      <c r="G23" s="446"/>
      <c r="H23" s="446"/>
    </row>
    <row r="24" spans="1:8" ht="18.75">
      <c r="A24" s="46" t="s">
        <v>27</v>
      </c>
      <c r="B24" s="46"/>
      <c r="C24" s="31"/>
      <c r="D24" s="416"/>
      <c r="E24" s="445"/>
      <c r="F24" s="451"/>
      <c r="G24" s="446"/>
      <c r="H24" s="446"/>
    </row>
    <row r="25" spans="1:8" ht="17.25">
      <c r="A25" s="47" t="s">
        <v>28</v>
      </c>
      <c r="B25" s="47"/>
      <c r="C25" s="31"/>
      <c r="D25" s="433">
        <f>+D52</f>
        <v>342600</v>
      </c>
      <c r="E25" s="445"/>
      <c r="F25" s="434">
        <f>ROUND(+$F$17*D25,-3)</f>
        <v>197000</v>
      </c>
      <c r="G25" s="435">
        <f>ROUND(+$G$17*D25,-3)</f>
        <v>146000</v>
      </c>
      <c r="H25" s="446"/>
    </row>
    <row r="26" spans="1:8" ht="15">
      <c r="A26" s="47"/>
      <c r="B26" s="47"/>
      <c r="C26" s="48"/>
      <c r="D26" s="412"/>
      <c r="E26" s="445"/>
      <c r="F26" s="451"/>
      <c r="G26" s="426"/>
      <c r="H26" s="446"/>
    </row>
    <row r="27" spans="1:8" ht="15">
      <c r="A27" s="49" t="s">
        <v>29</v>
      </c>
      <c r="B27" s="49"/>
      <c r="C27" s="50"/>
      <c r="D27" s="436"/>
      <c r="E27" s="445"/>
      <c r="F27" s="451"/>
      <c r="G27" s="426"/>
      <c r="H27" s="446"/>
    </row>
    <row r="28" spans="1:8" ht="15">
      <c r="A28" s="51" t="s">
        <v>135</v>
      </c>
      <c r="B28" s="51"/>
      <c r="C28" s="52"/>
      <c r="D28" s="437">
        <v>0</v>
      </c>
      <c r="E28" s="445"/>
      <c r="F28" s="451">
        <f>ROUND(+$F$17*D28,-3)</f>
        <v>0</v>
      </c>
      <c r="G28" s="426">
        <f>ROUND(+$G$17*D28,-3)</f>
        <v>0</v>
      </c>
      <c r="H28" s="446"/>
    </row>
    <row r="29" spans="1:8" ht="15">
      <c r="A29" s="51" t="s">
        <v>136</v>
      </c>
      <c r="B29" s="51"/>
      <c r="C29" s="53"/>
      <c r="D29" s="437">
        <v>0</v>
      </c>
      <c r="E29" s="445"/>
      <c r="F29" s="451">
        <f>ROUND(+$F$17*D29,-3)</f>
        <v>0</v>
      </c>
      <c r="G29" s="426">
        <f>ROUND(+$G$17*D29,-3)</f>
        <v>0</v>
      </c>
      <c r="H29" s="446"/>
    </row>
    <row r="30" spans="1:8" ht="15">
      <c r="A30" s="54" t="s">
        <v>137</v>
      </c>
      <c r="B30" s="54"/>
      <c r="C30" s="53"/>
      <c r="D30" s="437">
        <f>680400</f>
        <v>680400</v>
      </c>
      <c r="E30" s="452"/>
      <c r="F30" s="451">
        <f>ROUND(+$F$17*D30,-3)</f>
        <v>391000</v>
      </c>
      <c r="G30" s="426">
        <f>ROUND(+$G$17*D30,-3)</f>
        <v>289000</v>
      </c>
      <c r="H30" s="446"/>
    </row>
    <row r="31" spans="1:8" ht="17.25">
      <c r="A31" s="54" t="s">
        <v>138</v>
      </c>
      <c r="B31" s="54"/>
      <c r="C31" s="56"/>
      <c r="D31" s="438">
        <v>242500</v>
      </c>
      <c r="E31" s="453"/>
      <c r="F31" s="454">
        <f>ROUND(+$F$17*D31,-3)</f>
        <v>140000</v>
      </c>
      <c r="G31" s="430">
        <f>ROUND(+$G$17*D31,-3)</f>
        <v>103000</v>
      </c>
      <c r="H31" s="446"/>
    </row>
    <row r="32" spans="1:8" ht="15">
      <c r="A32" s="47" t="s">
        <v>36</v>
      </c>
      <c r="B32" s="47"/>
      <c r="C32" s="57"/>
      <c r="D32" s="436">
        <f>SUM(D28:D31)</f>
        <v>922900</v>
      </c>
      <c r="E32" s="436"/>
      <c r="F32" s="436">
        <f>SUM(F28:F31)</f>
        <v>531000</v>
      </c>
      <c r="G32" s="436">
        <f>SUM(G28:G31)</f>
        <v>392000</v>
      </c>
      <c r="H32" s="446"/>
    </row>
    <row r="33" spans="1:8" ht="15">
      <c r="A33" s="47"/>
      <c r="B33" s="47"/>
      <c r="C33" s="57"/>
      <c r="D33" s="446"/>
      <c r="E33" s="446"/>
      <c r="F33" s="446"/>
      <c r="G33" s="446"/>
      <c r="H33" s="446"/>
    </row>
    <row r="34" spans="1:8" ht="17.25">
      <c r="A34" s="47" t="s">
        <v>37</v>
      </c>
      <c r="B34" s="47"/>
      <c r="C34" s="57"/>
      <c r="D34" s="439">
        <f>+D32+D25</f>
        <v>1265500</v>
      </c>
      <c r="E34" s="439"/>
      <c r="F34" s="439">
        <f>+F32+F25</f>
        <v>728000</v>
      </c>
      <c r="G34" s="439">
        <f>+G32+G25</f>
        <v>538000</v>
      </c>
      <c r="H34" s="446"/>
    </row>
    <row r="35" spans="1:8" ht="15">
      <c r="A35" s="47"/>
      <c r="B35" s="47"/>
      <c r="C35" s="57"/>
      <c r="D35" s="446"/>
      <c r="E35" s="446"/>
      <c r="F35" s="446"/>
      <c r="G35" s="446"/>
      <c r="H35" s="446"/>
    </row>
    <row r="36" spans="1:8" ht="17.25">
      <c r="A36" s="47" t="s">
        <v>38</v>
      </c>
      <c r="B36" s="47"/>
      <c r="C36" s="57"/>
      <c r="D36" s="440">
        <f>ROUND(+D34*0.05,-3)</f>
        <v>63000</v>
      </c>
      <c r="E36" s="440"/>
      <c r="F36" s="440">
        <f>ROUND(+F34*0.05,-3)</f>
        <v>36000</v>
      </c>
      <c r="G36" s="440">
        <f>ROUND(+G34*0.05,-3)</f>
        <v>27000</v>
      </c>
      <c r="H36" s="446"/>
    </row>
    <row r="37" spans="1:8" ht="15">
      <c r="A37" s="47"/>
      <c r="B37" s="47"/>
      <c r="C37" s="57"/>
      <c r="D37" s="441"/>
      <c r="E37" s="441"/>
      <c r="F37" s="441"/>
      <c r="G37" s="441"/>
      <c r="H37" s="446"/>
    </row>
    <row r="38" spans="1:8" ht="15">
      <c r="A38" s="47" t="s">
        <v>39</v>
      </c>
      <c r="B38" s="47"/>
      <c r="C38" s="58"/>
      <c r="D38" s="441">
        <f>+D36+D34</f>
        <v>1328500</v>
      </c>
      <c r="E38" s="441"/>
      <c r="F38" s="441">
        <f>+F36+F34</f>
        <v>764000</v>
      </c>
      <c r="G38" s="441">
        <f>+G36+G34</f>
        <v>565000</v>
      </c>
      <c r="H38" s="446"/>
    </row>
    <row r="39" spans="1:8" ht="15">
      <c r="A39" s="34"/>
      <c r="B39" s="34"/>
      <c r="C39" s="59"/>
      <c r="D39" s="442"/>
      <c r="E39" s="452"/>
      <c r="F39" s="446"/>
      <c r="G39" s="446"/>
      <c r="H39" s="446"/>
    </row>
    <row r="40" spans="1:8" ht="15">
      <c r="A40" s="47" t="s">
        <v>40</v>
      </c>
      <c r="B40" s="47"/>
      <c r="C40" s="59"/>
      <c r="D40" s="443">
        <f>+D12*2000/D8/24</f>
        <v>64.49790119470455</v>
      </c>
      <c r="E40" s="445"/>
      <c r="F40" s="446"/>
      <c r="G40" s="446"/>
      <c r="H40" s="446"/>
    </row>
    <row r="41" spans="3:8" ht="15">
      <c r="C41" s="59"/>
      <c r="D41" s="443"/>
      <c r="E41" s="445"/>
      <c r="F41" s="446"/>
      <c r="G41" s="446"/>
      <c r="H41" s="446"/>
    </row>
    <row r="42" spans="1:8" ht="15">
      <c r="A42" s="47" t="s">
        <v>41</v>
      </c>
      <c r="B42" s="47"/>
      <c r="C42" s="59"/>
      <c r="D42" s="444">
        <f>+D16/D12</f>
        <v>81.10137672090113</v>
      </c>
      <c r="E42" s="445"/>
      <c r="F42" s="446"/>
      <c r="G42" s="446"/>
      <c r="H42" s="446"/>
    </row>
    <row r="43" spans="1:4" ht="15.75" thickBot="1">
      <c r="A43" s="34"/>
      <c r="B43" s="34"/>
      <c r="C43" s="59"/>
      <c r="D43" s="60"/>
    </row>
    <row r="44" spans="1:4" ht="12.75">
      <c r="A44" s="61"/>
      <c r="B44" s="62"/>
      <c r="C44" s="63"/>
      <c r="D44" s="64"/>
    </row>
    <row r="45" spans="1:4" ht="15">
      <c r="A45" s="65" t="s">
        <v>42</v>
      </c>
      <c r="B45" s="66" t="s">
        <v>43</v>
      </c>
      <c r="C45" s="67" t="s">
        <v>44</v>
      </c>
      <c r="D45" s="68" t="s">
        <v>45</v>
      </c>
    </row>
    <row r="46" spans="1:4" ht="15">
      <c r="A46" s="69" t="s">
        <v>46</v>
      </c>
      <c r="B46" s="70">
        <v>700</v>
      </c>
      <c r="C46" s="71">
        <v>75</v>
      </c>
      <c r="D46" s="72">
        <f aca="true" t="shared" si="0" ref="D46:D51">ROUND(B46*C46,-2)</f>
        <v>52500</v>
      </c>
    </row>
    <row r="47" spans="1:4" ht="15">
      <c r="A47" s="69" t="s">
        <v>47</v>
      </c>
      <c r="B47" s="70">
        <v>500</v>
      </c>
      <c r="C47" s="71">
        <v>135</v>
      </c>
      <c r="D47" s="72">
        <f t="shared" si="0"/>
        <v>67500</v>
      </c>
    </row>
    <row r="48" spans="1:4" ht="15">
      <c r="A48" s="69" t="s">
        <v>48</v>
      </c>
      <c r="B48" s="70">
        <v>1000</v>
      </c>
      <c r="C48" s="71">
        <v>35</v>
      </c>
      <c r="D48" s="72">
        <f t="shared" si="0"/>
        <v>35000</v>
      </c>
    </row>
    <row r="49" spans="1:4" ht="15">
      <c r="A49" s="69" t="s">
        <v>49</v>
      </c>
      <c r="B49" s="70">
        <v>920</v>
      </c>
      <c r="C49" s="71">
        <v>105</v>
      </c>
      <c r="D49" s="72">
        <f t="shared" si="0"/>
        <v>96600</v>
      </c>
    </row>
    <row r="50" spans="1:4" ht="15">
      <c r="A50" s="69" t="s">
        <v>50</v>
      </c>
      <c r="B50" s="70">
        <v>950</v>
      </c>
      <c r="C50" s="71">
        <v>75</v>
      </c>
      <c r="D50" s="72">
        <f t="shared" si="0"/>
        <v>71300</v>
      </c>
    </row>
    <row r="51" spans="1:4" ht="17.25">
      <c r="A51" s="69" t="s">
        <v>51</v>
      </c>
      <c r="B51" s="73">
        <v>188</v>
      </c>
      <c r="C51" s="71">
        <v>105</v>
      </c>
      <c r="D51" s="74">
        <f t="shared" si="0"/>
        <v>19700</v>
      </c>
    </row>
    <row r="52" spans="1:4" ht="17.25">
      <c r="A52" s="75" t="s">
        <v>52</v>
      </c>
      <c r="B52" s="76">
        <f>SUM(B46:B51)</f>
        <v>4258</v>
      </c>
      <c r="C52" s="71"/>
      <c r="D52" s="77">
        <f>SUM(D46:D51)</f>
        <v>342600</v>
      </c>
    </row>
    <row r="53" spans="1:4" ht="13.5" thickBot="1">
      <c r="A53" s="78"/>
      <c r="B53" s="79"/>
      <c r="C53" s="80"/>
      <c r="D53" s="81"/>
    </row>
    <row r="54" spans="1:4" ht="12.75">
      <c r="A54" s="51"/>
      <c r="B54" s="51"/>
      <c r="C54" s="52"/>
      <c r="D54" s="52"/>
    </row>
    <row r="55" spans="1:4" ht="12.75">
      <c r="A55" s="51"/>
      <c r="B55" s="51"/>
      <c r="C55" s="52"/>
      <c r="D55" s="52"/>
    </row>
  </sheetData>
  <sheetProtection/>
  <printOptions/>
  <pageMargins left="0.45" right="0.2" top="0.5" bottom="0.5" header="0.3" footer="0.3"/>
  <pageSetup fitToHeight="1" fitToWidth="1" horizontalDpi="600" verticalDpi="600" orientation="portrait" scale="59" r:id="rId1"/>
</worksheet>
</file>

<file path=xl/worksheets/sheet11.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6">
      <selection activeCell="A29" sqref="A29"/>
    </sheetView>
  </sheetViews>
  <sheetFormatPr defaultColWidth="9.140625" defaultRowHeight="12.75"/>
  <cols>
    <col min="1" max="1" width="86.00390625" style="0" bestFit="1" customWidth="1"/>
    <col min="2" max="2" width="11.00390625" style="0" bestFit="1" customWidth="1"/>
    <col min="3" max="3" width="11.28125" style="0" bestFit="1" customWidth="1"/>
    <col min="4" max="4" width="12.7109375" style="0" bestFit="1" customWidth="1"/>
    <col min="5" max="5" width="3.7109375" style="29" customWidth="1"/>
    <col min="6" max="6" width="12.28125" style="0" bestFit="1" customWidth="1"/>
  </cols>
  <sheetData>
    <row r="1" spans="1:4" ht="23.25">
      <c r="A1" s="28" t="s">
        <v>53</v>
      </c>
      <c r="B1" s="28"/>
      <c r="C1" s="12"/>
      <c r="D1" s="12"/>
    </row>
    <row r="2" spans="1:6" ht="15.75">
      <c r="A2" s="30" t="s">
        <v>13</v>
      </c>
      <c r="B2" s="30"/>
      <c r="C2" s="31"/>
      <c r="D2" s="411"/>
      <c r="E2" s="445"/>
      <c r="F2" s="460"/>
    </row>
    <row r="3" spans="1:6" ht="15">
      <c r="A3" s="34"/>
      <c r="B3" s="34"/>
      <c r="C3" s="31"/>
      <c r="D3" s="412" t="s">
        <v>54</v>
      </c>
      <c r="E3" s="445"/>
      <c r="F3" s="461"/>
    </row>
    <row r="4" spans="1:6" ht="15">
      <c r="A4" s="34"/>
      <c r="B4" s="34"/>
      <c r="C4" s="31"/>
      <c r="D4" s="412" t="s">
        <v>16</v>
      </c>
      <c r="E4" s="445"/>
      <c r="F4" s="460"/>
    </row>
    <row r="5" spans="1:6" ht="17.25">
      <c r="A5" s="12"/>
      <c r="B5" s="12"/>
      <c r="C5" s="31"/>
      <c r="D5" s="414" t="s">
        <v>290</v>
      </c>
      <c r="E5" s="445"/>
      <c r="F5" s="462"/>
    </row>
    <row r="6" spans="1:6" ht="15">
      <c r="A6" s="35" t="s">
        <v>19</v>
      </c>
      <c r="B6" s="35"/>
      <c r="C6" s="31"/>
      <c r="D6" s="416"/>
      <c r="E6" s="445"/>
      <c r="F6" s="446"/>
    </row>
    <row r="7" spans="1:6" ht="17.25">
      <c r="A7" s="12" t="s">
        <v>20</v>
      </c>
      <c r="B7" s="12"/>
      <c r="C7" s="31"/>
      <c r="D7" s="417">
        <v>91210</v>
      </c>
      <c r="E7" s="445"/>
      <c r="F7" s="446"/>
    </row>
    <row r="8" spans="1:6" ht="15">
      <c r="A8" s="12"/>
      <c r="B8" s="12"/>
      <c r="C8" s="31"/>
      <c r="D8" s="448"/>
      <c r="E8" s="445"/>
      <c r="F8" s="446"/>
    </row>
    <row r="9" spans="1:6" ht="15">
      <c r="A9" s="12"/>
      <c r="B9" s="12"/>
      <c r="C9" s="31"/>
      <c r="D9" s="448"/>
      <c r="E9" s="445"/>
      <c r="F9" s="446"/>
    </row>
    <row r="10" spans="1:6" ht="15">
      <c r="A10" s="35" t="s">
        <v>21</v>
      </c>
      <c r="B10" s="35"/>
      <c r="C10" s="31"/>
      <c r="D10" s="448"/>
      <c r="E10" s="445"/>
      <c r="F10" s="446"/>
    </row>
    <row r="11" spans="1:6" ht="17.25">
      <c r="A11" s="36" t="s">
        <v>22</v>
      </c>
      <c r="B11" s="36"/>
      <c r="C11" s="31"/>
      <c r="D11" s="419">
        <v>66420</v>
      </c>
      <c r="E11" s="445"/>
      <c r="F11" s="446"/>
    </row>
    <row r="12" spans="1:6" ht="15">
      <c r="A12" s="38"/>
      <c r="B12" s="38"/>
      <c r="C12" s="31"/>
      <c r="D12" s="448"/>
      <c r="E12" s="445"/>
      <c r="F12" s="446"/>
    </row>
    <row r="13" spans="1:6" ht="15">
      <c r="A13" s="38"/>
      <c r="B13" s="38"/>
      <c r="C13" s="31"/>
      <c r="D13" s="448"/>
      <c r="E13" s="445"/>
      <c r="F13" s="446"/>
    </row>
    <row r="14" spans="1:6" ht="21">
      <c r="A14" s="39" t="s">
        <v>23</v>
      </c>
      <c r="B14" s="39"/>
      <c r="C14" s="31"/>
      <c r="D14" s="416"/>
      <c r="E14" s="445"/>
      <c r="F14" s="446"/>
    </row>
    <row r="15" spans="1:6" ht="18" customHeight="1">
      <c r="A15" s="40" t="s">
        <v>24</v>
      </c>
      <c r="B15" s="40"/>
      <c r="C15" s="41"/>
      <c r="D15" s="421">
        <v>5403200</v>
      </c>
      <c r="E15" s="445"/>
      <c r="F15" s="451"/>
    </row>
    <row r="16" spans="1:6" ht="15">
      <c r="A16" s="40"/>
      <c r="B16" s="40"/>
      <c r="C16" s="41"/>
      <c r="D16" s="450"/>
      <c r="E16" s="445"/>
      <c r="F16" s="446"/>
    </row>
    <row r="17" spans="1:6" ht="21">
      <c r="A17" s="39" t="s">
        <v>25</v>
      </c>
      <c r="B17" s="40"/>
      <c r="C17" s="41"/>
      <c r="D17" s="450"/>
      <c r="E17" s="445"/>
      <c r="F17" s="446"/>
    </row>
    <row r="18" spans="1:6" ht="15">
      <c r="A18" s="40" t="s">
        <v>26</v>
      </c>
      <c r="B18" s="40"/>
      <c r="C18" s="82">
        <v>0.45</v>
      </c>
      <c r="D18" s="423">
        <f>ROUND(+D15*C18,-3)</f>
        <v>2431000</v>
      </c>
      <c r="E18" s="456"/>
      <c r="F18" s="451"/>
    </row>
    <row r="19" spans="1:6" ht="15">
      <c r="A19" s="40" t="s">
        <v>148</v>
      </c>
      <c r="B19" s="40"/>
      <c r="C19" s="82"/>
      <c r="D19" s="423">
        <v>-104000</v>
      </c>
      <c r="E19" s="456"/>
      <c r="F19" s="451"/>
    </row>
    <row r="20" spans="1:6" ht="17.25">
      <c r="A20" s="40" t="s">
        <v>139</v>
      </c>
      <c r="B20" s="40"/>
      <c r="C20" s="82"/>
      <c r="D20" s="427">
        <v>-21900</v>
      </c>
      <c r="E20" s="456"/>
      <c r="F20" s="451"/>
    </row>
    <row r="21" spans="1:6" ht="17.25">
      <c r="A21" s="40"/>
      <c r="B21" s="40"/>
      <c r="C21" s="82"/>
      <c r="D21" s="431">
        <f>+D18+D20+D19</f>
        <v>2305100</v>
      </c>
      <c r="E21" s="456"/>
      <c r="F21" s="451"/>
    </row>
    <row r="22" spans="1:6" ht="15">
      <c r="A22" s="12"/>
      <c r="B22" s="12"/>
      <c r="C22" s="31"/>
      <c r="D22" s="457"/>
      <c r="E22" s="445"/>
      <c r="F22" s="446"/>
    </row>
    <row r="23" spans="1:6" ht="18.75">
      <c r="A23" s="46" t="s">
        <v>27</v>
      </c>
      <c r="B23" s="46"/>
      <c r="C23" s="31"/>
      <c r="D23" s="416"/>
      <c r="E23" s="445"/>
      <c r="F23" s="451"/>
    </row>
    <row r="24" spans="1:6" ht="17.25">
      <c r="A24" s="47" t="s">
        <v>28</v>
      </c>
      <c r="B24" s="47"/>
      <c r="C24" s="31"/>
      <c r="D24" s="439">
        <f>+D56</f>
        <v>330000</v>
      </c>
      <c r="E24" s="445"/>
      <c r="F24" s="463"/>
    </row>
    <row r="25" spans="1:6" ht="17.25">
      <c r="A25" s="47"/>
      <c r="B25" s="47"/>
      <c r="C25" s="48"/>
      <c r="D25" s="458"/>
      <c r="E25" s="445"/>
      <c r="F25" s="446"/>
    </row>
    <row r="26" spans="1:6" ht="17.25">
      <c r="A26" s="49" t="s">
        <v>29</v>
      </c>
      <c r="B26" s="49"/>
      <c r="C26" s="50"/>
      <c r="D26" s="458"/>
      <c r="E26" s="445"/>
      <c r="F26" s="446"/>
    </row>
    <row r="27" spans="1:6" ht="15">
      <c r="A27" s="51" t="s">
        <v>30</v>
      </c>
      <c r="B27" s="51"/>
      <c r="C27" s="52"/>
      <c r="D27" s="437">
        <v>0</v>
      </c>
      <c r="E27" s="445"/>
      <c r="F27" s="446"/>
    </row>
    <row r="28" spans="1:6" ht="15">
      <c r="A28" s="51" t="s">
        <v>31</v>
      </c>
      <c r="B28" s="51"/>
      <c r="C28" s="53"/>
      <c r="D28" s="437">
        <v>0</v>
      </c>
      <c r="E28" s="445"/>
      <c r="F28" s="447"/>
    </row>
    <row r="29" spans="1:6" ht="15">
      <c r="A29" s="54" t="s">
        <v>32</v>
      </c>
      <c r="B29" s="54"/>
      <c r="C29" s="53"/>
      <c r="D29" s="437">
        <v>192500</v>
      </c>
      <c r="E29" s="445"/>
      <c r="F29" s="447"/>
    </row>
    <row r="30" spans="1:6" ht="15">
      <c r="A30" s="54" t="s">
        <v>55</v>
      </c>
      <c r="B30" s="54"/>
      <c r="C30" s="52"/>
      <c r="D30" s="437">
        <f>472500</f>
        <v>472500</v>
      </c>
      <c r="E30" s="445"/>
      <c r="F30" s="447"/>
    </row>
    <row r="31" spans="1:6" ht="15">
      <c r="A31" s="54" t="s">
        <v>56</v>
      </c>
      <c r="B31" s="54"/>
      <c r="C31" s="41"/>
      <c r="D31" s="437">
        <v>376250</v>
      </c>
      <c r="E31" s="445"/>
      <c r="F31" s="447"/>
    </row>
    <row r="32" spans="1:6" ht="15">
      <c r="A32" s="54" t="s">
        <v>33</v>
      </c>
      <c r="B32" s="54"/>
      <c r="C32" s="55"/>
      <c r="D32" s="437">
        <v>34000</v>
      </c>
      <c r="E32" s="445"/>
      <c r="F32" s="447"/>
    </row>
    <row r="33" spans="1:6" ht="15">
      <c r="A33" s="54" t="s">
        <v>34</v>
      </c>
      <c r="B33" s="54"/>
      <c r="C33" s="56"/>
      <c r="D33" s="437">
        <v>164500</v>
      </c>
      <c r="E33" s="445"/>
      <c r="F33" s="447"/>
    </row>
    <row r="34" spans="1:6" ht="15">
      <c r="A34" s="54" t="s">
        <v>35</v>
      </c>
      <c r="B34" s="54"/>
      <c r="C34" s="56"/>
      <c r="D34" s="437">
        <v>185000</v>
      </c>
      <c r="E34" s="445"/>
      <c r="F34" s="447"/>
    </row>
    <row r="35" spans="1:6" ht="17.25">
      <c r="A35" s="54" t="s">
        <v>57</v>
      </c>
      <c r="B35" s="54"/>
      <c r="C35" s="56"/>
      <c r="D35" s="438">
        <v>440350</v>
      </c>
      <c r="E35" s="445"/>
      <c r="F35" s="455"/>
    </row>
    <row r="36" spans="1:6" ht="17.25">
      <c r="A36" s="47" t="s">
        <v>36</v>
      </c>
      <c r="B36" s="47"/>
      <c r="C36" s="41"/>
      <c r="D36" s="440">
        <f>SUM(D27:D35)</f>
        <v>1865100</v>
      </c>
      <c r="E36" s="440"/>
      <c r="F36" s="440"/>
    </row>
    <row r="37" spans="1:6" ht="15">
      <c r="A37" s="47"/>
      <c r="B37" s="47"/>
      <c r="C37" s="57"/>
      <c r="D37" s="459"/>
      <c r="E37" s="459"/>
      <c r="F37" s="459"/>
    </row>
    <row r="38" spans="1:6" ht="17.25">
      <c r="A38" s="47" t="s">
        <v>37</v>
      </c>
      <c r="B38" s="47"/>
      <c r="C38" s="57"/>
      <c r="D38" s="439">
        <f>+D36+D24</f>
        <v>2195100</v>
      </c>
      <c r="E38" s="439"/>
      <c r="F38" s="439"/>
    </row>
    <row r="39" spans="1:6" ht="17.25">
      <c r="A39" s="47"/>
      <c r="B39" s="47"/>
      <c r="C39" s="57"/>
      <c r="D39" s="439"/>
      <c r="E39" s="445"/>
      <c r="F39" s="446"/>
    </row>
    <row r="40" spans="1:6" ht="17.25">
      <c r="A40" s="47" t="s">
        <v>38</v>
      </c>
      <c r="B40" s="47"/>
      <c r="C40" s="57"/>
      <c r="D40" s="440">
        <f>ROUND(+D38*0.05,-3)</f>
        <v>110000</v>
      </c>
      <c r="E40" s="440"/>
      <c r="F40" s="446"/>
    </row>
    <row r="41" spans="1:6" ht="15">
      <c r="A41" s="47"/>
      <c r="B41" s="47"/>
      <c r="C41" s="57"/>
      <c r="D41" s="441"/>
      <c r="E41" s="445"/>
      <c r="F41" s="446"/>
    </row>
    <row r="42" spans="1:6" ht="15">
      <c r="A42" s="47" t="s">
        <v>39</v>
      </c>
      <c r="B42" s="47"/>
      <c r="C42" s="58"/>
      <c r="D42" s="441">
        <f>+D40+D38</f>
        <v>2305100</v>
      </c>
      <c r="E42" s="445"/>
      <c r="F42" s="451"/>
    </row>
    <row r="43" spans="1:6" ht="15">
      <c r="A43" s="34"/>
      <c r="B43" s="34"/>
      <c r="C43" s="59"/>
      <c r="D43" s="442"/>
      <c r="E43" s="445"/>
      <c r="F43" s="446"/>
    </row>
    <row r="44" spans="1:6" ht="15">
      <c r="A44" s="47" t="s">
        <v>40</v>
      </c>
      <c r="B44" s="47"/>
      <c r="C44" s="59"/>
      <c r="D44" s="443">
        <f>+D11*2000/D7/24</f>
        <v>60.68413551145708</v>
      </c>
      <c r="E44" s="445"/>
      <c r="F44" s="446"/>
    </row>
    <row r="45" spans="3:6" ht="15">
      <c r="C45" s="59"/>
      <c r="D45" s="443"/>
      <c r="E45" s="445"/>
      <c r="F45" s="446"/>
    </row>
    <row r="46" spans="1:6" ht="15">
      <c r="A46" s="47" t="s">
        <v>41</v>
      </c>
      <c r="B46" s="47"/>
      <c r="C46" s="59"/>
      <c r="D46" s="444">
        <f>+D15/D11</f>
        <v>81.34899126769045</v>
      </c>
      <c r="E46" s="445"/>
      <c r="F46" s="446"/>
    </row>
    <row r="47" spans="1:4" ht="13.5" thickBot="1">
      <c r="A47" s="51"/>
      <c r="B47" s="51"/>
      <c r="C47" s="52"/>
      <c r="D47" s="52"/>
    </row>
    <row r="48" spans="1:4" ht="12.75">
      <c r="A48" s="61"/>
      <c r="B48" s="62"/>
      <c r="C48" s="63"/>
      <c r="D48" s="64"/>
    </row>
    <row r="49" spans="1:4" ht="15">
      <c r="A49" s="65" t="s">
        <v>42</v>
      </c>
      <c r="B49" s="66" t="s">
        <v>43</v>
      </c>
      <c r="C49" s="67" t="s">
        <v>44</v>
      </c>
      <c r="D49" s="68" t="s">
        <v>45</v>
      </c>
    </row>
    <row r="50" spans="1:4" ht="15">
      <c r="A50" s="69" t="s">
        <v>46</v>
      </c>
      <c r="B50" s="70">
        <v>700</v>
      </c>
      <c r="C50" s="71">
        <v>75</v>
      </c>
      <c r="D50" s="72">
        <f>C50*B50</f>
        <v>52500</v>
      </c>
    </row>
    <row r="51" spans="1:4" ht="15">
      <c r="A51" s="69" t="s">
        <v>47</v>
      </c>
      <c r="B51" s="70">
        <v>500</v>
      </c>
      <c r="C51" s="71">
        <v>135</v>
      </c>
      <c r="D51" s="72">
        <f>C51*B51</f>
        <v>67500</v>
      </c>
    </row>
    <row r="52" spans="1:4" ht="15">
      <c r="A52" s="69" t="s">
        <v>48</v>
      </c>
      <c r="B52" s="70">
        <v>1000</v>
      </c>
      <c r="C52" s="71">
        <v>35</v>
      </c>
      <c r="D52" s="72">
        <f>B52*C52</f>
        <v>35000</v>
      </c>
    </row>
    <row r="53" spans="1:4" ht="15">
      <c r="A53" s="69" t="s">
        <v>49</v>
      </c>
      <c r="B53" s="70">
        <v>800</v>
      </c>
      <c r="C53" s="71">
        <v>105</v>
      </c>
      <c r="D53" s="72">
        <f>B53*C53</f>
        <v>84000</v>
      </c>
    </row>
    <row r="54" spans="1:4" ht="15">
      <c r="A54" s="69" t="s">
        <v>50</v>
      </c>
      <c r="B54" s="70">
        <v>950</v>
      </c>
      <c r="C54" s="71">
        <v>75</v>
      </c>
      <c r="D54" s="72">
        <f>ROUND(B54*C54,-2)</f>
        <v>71300</v>
      </c>
    </row>
    <row r="55" spans="1:4" ht="17.25">
      <c r="A55" s="69" t="s">
        <v>51</v>
      </c>
      <c r="B55" s="73">
        <v>188</v>
      </c>
      <c r="C55" s="71">
        <v>105</v>
      </c>
      <c r="D55" s="74">
        <f>ROUND(B55*C55,-2)</f>
        <v>19700</v>
      </c>
    </row>
    <row r="56" spans="1:4" ht="17.25">
      <c r="A56" s="75" t="s">
        <v>52</v>
      </c>
      <c r="B56" s="76">
        <f>SUM(B50:B55)</f>
        <v>4138</v>
      </c>
      <c r="C56" s="71"/>
      <c r="D56" s="77">
        <f>SUM(D50:D55)</f>
        <v>330000</v>
      </c>
    </row>
    <row r="57" spans="1:4" ht="13.5" thickBot="1">
      <c r="A57" s="78"/>
      <c r="B57" s="79"/>
      <c r="C57" s="80"/>
      <c r="D57" s="81"/>
    </row>
    <row r="58" spans="1:4" ht="12.75">
      <c r="A58" s="51"/>
      <c r="B58" s="51"/>
      <c r="C58" s="52"/>
      <c r="D58" s="52"/>
    </row>
  </sheetData>
  <sheetProtection/>
  <printOptions/>
  <pageMargins left="0.7" right="0.7" top="0.75" bottom="0.75" header="0.3" footer="0.3"/>
  <pageSetup fitToHeight="1" fitToWidth="1" horizontalDpi="600" verticalDpi="600" orientation="portrait" scale="66" r:id="rId1"/>
</worksheet>
</file>

<file path=xl/worksheets/sheet12.xml><?xml version="1.0" encoding="utf-8"?>
<worksheet xmlns="http://schemas.openxmlformats.org/spreadsheetml/2006/main" xmlns:r="http://schemas.openxmlformats.org/officeDocument/2006/relationships">
  <dimension ref="A1:I53"/>
  <sheetViews>
    <sheetView zoomScalePageLayoutView="0" workbookViewId="0" topLeftCell="A1">
      <selection activeCell="D4" sqref="D4"/>
    </sheetView>
  </sheetViews>
  <sheetFormatPr defaultColWidth="9.140625" defaultRowHeight="12.75"/>
  <cols>
    <col min="1" max="1" width="62.28125" style="0" bestFit="1" customWidth="1"/>
    <col min="3" max="3" width="11.28125" style="0" bestFit="1" customWidth="1"/>
    <col min="4" max="4" width="12.57421875" style="0" bestFit="1" customWidth="1"/>
    <col min="5" max="5" width="2.7109375" style="0" customWidth="1"/>
    <col min="6" max="6" width="12.7109375" style="0" bestFit="1" customWidth="1"/>
    <col min="7" max="7" width="12.140625" style="0" bestFit="1" customWidth="1"/>
  </cols>
  <sheetData>
    <row r="1" spans="1:5" ht="23.25">
      <c r="A1" s="28" t="s">
        <v>12</v>
      </c>
      <c r="B1" s="28"/>
      <c r="C1" s="12"/>
      <c r="D1" s="12"/>
      <c r="E1" s="29"/>
    </row>
    <row r="2" spans="1:5" ht="15.75">
      <c r="A2" s="30" t="s">
        <v>313</v>
      </c>
      <c r="B2" s="30"/>
      <c r="C2" s="31"/>
      <c r="D2" s="32"/>
      <c r="E2" s="29"/>
    </row>
    <row r="3" spans="1:7" ht="15.75">
      <c r="A3" s="30"/>
      <c r="B3" s="30"/>
      <c r="C3" s="31"/>
      <c r="D3" s="411"/>
      <c r="E3" s="445"/>
      <c r="F3" s="446"/>
      <c r="G3" s="446"/>
    </row>
    <row r="4" spans="1:7" ht="15">
      <c r="A4" s="33"/>
      <c r="B4" s="33"/>
      <c r="C4" s="31"/>
      <c r="D4" s="411"/>
      <c r="E4" s="445"/>
      <c r="F4" s="446"/>
      <c r="G4" s="446"/>
    </row>
    <row r="5" spans="1:7" ht="15">
      <c r="A5" s="34"/>
      <c r="B5" s="34"/>
      <c r="C5" s="31"/>
      <c r="D5" s="412" t="s">
        <v>14</v>
      </c>
      <c r="E5" s="445"/>
      <c r="F5" s="413"/>
      <c r="G5" s="413" t="s">
        <v>15</v>
      </c>
    </row>
    <row r="6" spans="1:7" ht="17.25">
      <c r="A6" s="12"/>
      <c r="B6" s="12"/>
      <c r="C6" s="31"/>
      <c r="D6" s="414" t="s">
        <v>16</v>
      </c>
      <c r="E6" s="445"/>
      <c r="F6" s="415" t="s">
        <v>17</v>
      </c>
      <c r="G6" s="415" t="s">
        <v>18</v>
      </c>
    </row>
    <row r="7" spans="1:7" ht="15">
      <c r="A7" s="35" t="s">
        <v>19</v>
      </c>
      <c r="B7" s="35"/>
      <c r="C7" s="31"/>
      <c r="D7" s="416"/>
      <c r="E7" s="445"/>
      <c r="F7" s="446"/>
      <c r="G7" s="446"/>
    </row>
    <row r="8" spans="1:7" ht="17.25">
      <c r="A8" s="558" t="s">
        <v>312</v>
      </c>
      <c r="B8" s="12"/>
      <c r="C8" s="31"/>
      <c r="D8" s="417">
        <f>+'Budget vs. Actual'!G9</f>
        <v>37531.916666666664</v>
      </c>
      <c r="E8" s="445"/>
      <c r="F8" s="418">
        <f>+'Customer Counts'!F32</f>
        <v>20642.666666666668</v>
      </c>
      <c r="G8" s="418">
        <f>+D8-F8</f>
        <v>16889.249999999996</v>
      </c>
    </row>
    <row r="9" spans="1:7" ht="15">
      <c r="A9" s="12"/>
      <c r="B9" s="12"/>
      <c r="C9" s="31"/>
      <c r="D9" s="448"/>
      <c r="E9" s="445"/>
      <c r="F9" s="449">
        <f>+F8/D8</f>
        <v>0.5500029974488381</v>
      </c>
      <c r="G9" s="449">
        <f>+G8/D8</f>
        <v>0.44999700255116193</v>
      </c>
    </row>
    <row r="10" spans="1:7" ht="15">
      <c r="A10" s="12"/>
      <c r="B10" s="12"/>
      <c r="C10" s="31"/>
      <c r="D10" s="448"/>
      <c r="E10" s="445"/>
      <c r="F10" s="446"/>
      <c r="G10" s="446"/>
    </row>
    <row r="11" spans="1:7" ht="15">
      <c r="A11" s="35" t="s">
        <v>21</v>
      </c>
      <c r="B11" s="35"/>
      <c r="C11" s="31"/>
      <c r="D11" s="448"/>
      <c r="E11" s="445"/>
      <c r="F11" s="446"/>
      <c r="G11" s="446"/>
    </row>
    <row r="12" spans="1:7" ht="17.25">
      <c r="A12" s="36" t="s">
        <v>22</v>
      </c>
      <c r="B12" s="36"/>
      <c r="C12" s="31"/>
      <c r="D12" s="419">
        <f>+'Budget vs. Actual'!G13</f>
        <v>28835.890000000003</v>
      </c>
      <c r="E12" s="445"/>
      <c r="F12" s="420">
        <f>+D12*F9</f>
        <v>15859.825934104976</v>
      </c>
      <c r="G12" s="420">
        <f>+D12*G9</f>
        <v>12976.064065895027</v>
      </c>
    </row>
    <row r="13" spans="1:7" ht="15">
      <c r="A13" s="38"/>
      <c r="B13" s="38"/>
      <c r="C13" s="31"/>
      <c r="D13" s="448"/>
      <c r="E13" s="445"/>
      <c r="F13" s="449">
        <f>+F12/D12</f>
        <v>0.5500029974488381</v>
      </c>
      <c r="G13" s="449">
        <f>+G12/D12</f>
        <v>0.449997002551162</v>
      </c>
    </row>
    <row r="14" spans="1:7" ht="15">
      <c r="A14" s="38"/>
      <c r="B14" s="38"/>
      <c r="C14" s="31"/>
      <c r="D14" s="448"/>
      <c r="E14" s="445"/>
      <c r="F14" s="446"/>
      <c r="G14" s="446"/>
    </row>
    <row r="15" spans="1:7" ht="21">
      <c r="A15" s="39" t="s">
        <v>23</v>
      </c>
      <c r="B15" s="39"/>
      <c r="C15" s="31"/>
      <c r="D15" s="416"/>
      <c r="E15" s="445"/>
      <c r="F15" s="446"/>
      <c r="G15" s="446"/>
    </row>
    <row r="16" spans="1:7" ht="32.25">
      <c r="A16" s="40" t="s">
        <v>24</v>
      </c>
      <c r="B16" s="40"/>
      <c r="C16" s="41"/>
      <c r="D16" s="421">
        <f>+'Budget vs. Actual'!G17</f>
        <v>2122179.807110357</v>
      </c>
      <c r="E16" s="445"/>
      <c r="F16" s="422">
        <f>+D16*F13</f>
        <v>1167205.2550360933</v>
      </c>
      <c r="G16" s="422">
        <f>+D16*G13</f>
        <v>954974.5520742638</v>
      </c>
    </row>
    <row r="17" spans="1:7" ht="15">
      <c r="A17" s="40"/>
      <c r="B17" s="40"/>
      <c r="C17" s="41"/>
      <c r="D17" s="450"/>
      <c r="E17" s="445"/>
      <c r="F17" s="449">
        <f>+F16/D16</f>
        <v>0.5500029974488381</v>
      </c>
      <c r="G17" s="449">
        <f>+G16/D16</f>
        <v>0.449997002551162</v>
      </c>
    </row>
    <row r="18" spans="1:7" ht="21">
      <c r="A18" s="39" t="s">
        <v>25</v>
      </c>
      <c r="B18" s="40"/>
      <c r="C18" s="41"/>
      <c r="D18" s="450"/>
      <c r="E18" s="445"/>
      <c r="F18" s="449"/>
      <c r="G18" s="449"/>
    </row>
    <row r="19" spans="1:7" ht="15">
      <c r="A19" s="40" t="s">
        <v>26</v>
      </c>
      <c r="B19" s="40"/>
      <c r="C19" s="82">
        <v>0.5</v>
      </c>
      <c r="D19" s="423">
        <f>ROUND(+D16*C19,-2)</f>
        <v>1061100</v>
      </c>
      <c r="E19" s="424"/>
      <c r="F19" s="425">
        <f>ROUND(+D19*F17,-1)</f>
        <v>583610</v>
      </c>
      <c r="G19" s="426">
        <f>ROUND(+D19*G17,-1)</f>
        <v>477490</v>
      </c>
    </row>
    <row r="20" spans="1:7" ht="15">
      <c r="A20" s="40" t="s">
        <v>148</v>
      </c>
      <c r="B20" s="40"/>
      <c r="C20" s="82"/>
      <c r="D20" s="423">
        <f>-'Budget vs. Actual'!G41</f>
        <v>-47000</v>
      </c>
      <c r="E20" s="424"/>
      <c r="F20" s="425">
        <f>ROUND(+$F$17*D20,-3)</f>
        <v>-26000</v>
      </c>
      <c r="G20" s="426">
        <f>ROUND(+$G$17*D20,-3)</f>
        <v>-21000</v>
      </c>
    </row>
    <row r="21" spans="1:7" ht="17.25">
      <c r="A21" s="40" t="s">
        <v>316</v>
      </c>
      <c r="B21" s="40"/>
      <c r="C21" s="82"/>
      <c r="D21" s="427">
        <f>ROUND(-'Budget vs. Actual'!G45,-2)</f>
        <v>24800</v>
      </c>
      <c r="E21" s="428"/>
      <c r="F21" s="429">
        <f>+D21*F17</f>
        <v>13640.074336731184</v>
      </c>
      <c r="G21" s="430">
        <f>+D21*G17</f>
        <v>11159.925663268818</v>
      </c>
    </row>
    <row r="22" spans="1:7" ht="17.25">
      <c r="A22" s="40"/>
      <c r="B22" s="40"/>
      <c r="C22" s="82"/>
      <c r="D22" s="431">
        <f>SUM(D19:D21)</f>
        <v>1038900</v>
      </c>
      <c r="E22" s="431"/>
      <c r="F22" s="431">
        <f>SUM(F19:F21)</f>
        <v>571250.0743367312</v>
      </c>
      <c r="G22" s="431">
        <f>SUM(G19:G21)</f>
        <v>467649.92566326883</v>
      </c>
    </row>
    <row r="23" spans="1:7" ht="17.25">
      <c r="A23" s="44"/>
      <c r="B23" s="44"/>
      <c r="C23" s="31"/>
      <c r="D23" s="432"/>
      <c r="E23" s="445"/>
      <c r="F23" s="446"/>
      <c r="G23" s="446"/>
    </row>
    <row r="24" spans="1:7" ht="18.75">
      <c r="A24" s="46" t="s">
        <v>27</v>
      </c>
      <c r="B24" s="46"/>
      <c r="C24" s="31"/>
      <c r="D24" s="416"/>
      <c r="E24" s="445"/>
      <c r="F24" s="451"/>
      <c r="G24" s="446"/>
    </row>
    <row r="25" spans="1:7" ht="17.25">
      <c r="A25" s="47" t="s">
        <v>28</v>
      </c>
      <c r="B25" s="47"/>
      <c r="C25" s="31"/>
      <c r="D25" s="433">
        <f>+D51</f>
        <v>302800</v>
      </c>
      <c r="E25" s="445"/>
      <c r="F25" s="434">
        <f>ROUND(+$F$17*D25,-3)</f>
        <v>167000</v>
      </c>
      <c r="G25" s="435">
        <f>ROUND(+$G$17*D25,-3)</f>
        <v>136000</v>
      </c>
    </row>
    <row r="26" spans="1:7" ht="15">
      <c r="A26" s="47"/>
      <c r="B26" s="47"/>
      <c r="C26" s="48"/>
      <c r="D26" s="412"/>
      <c r="E26" s="445"/>
      <c r="F26" s="451"/>
      <c r="G26" s="426"/>
    </row>
    <row r="27" spans="1:7" ht="15">
      <c r="A27" s="49" t="s">
        <v>29</v>
      </c>
      <c r="B27" s="49"/>
      <c r="C27" s="50"/>
      <c r="D27" s="436"/>
      <c r="E27" s="445"/>
      <c r="F27" s="451"/>
      <c r="G27" s="426"/>
    </row>
    <row r="28" spans="1:7" ht="15">
      <c r="A28" s="54" t="s">
        <v>137</v>
      </c>
      <c r="B28" s="54"/>
      <c r="C28" s="53"/>
      <c r="D28" s="437">
        <v>403100</v>
      </c>
      <c r="E28" s="452"/>
      <c r="F28" s="451">
        <f>ROUND(+$F$17*D28,-3)</f>
        <v>222000</v>
      </c>
      <c r="G28" s="426">
        <f>ROUND(+$G$17*D28,-3)</f>
        <v>181000</v>
      </c>
    </row>
    <row r="29" spans="1:8" ht="15">
      <c r="A29" s="54" t="s">
        <v>138</v>
      </c>
      <c r="B29" s="54"/>
      <c r="C29" s="56"/>
      <c r="D29" s="437">
        <v>214000</v>
      </c>
      <c r="E29" s="445"/>
      <c r="F29" s="451">
        <f>ROUND(+$F$17*D29,-3)</f>
        <v>118000</v>
      </c>
      <c r="G29" s="426">
        <f>ROUND(+$G$17*D29,-3)</f>
        <v>96000</v>
      </c>
      <c r="H29" s="11"/>
    </row>
    <row r="30" spans="1:7" ht="17.25">
      <c r="A30" s="54" t="s">
        <v>325</v>
      </c>
      <c r="B30" s="54"/>
      <c r="C30" s="56"/>
      <c r="D30" s="438">
        <f>+'CRC Upgrades'!C15</f>
        <v>70000</v>
      </c>
      <c r="E30" s="453"/>
      <c r="F30" s="454">
        <f>ROUND(+$F$17*D30,-3)</f>
        <v>39000</v>
      </c>
      <c r="G30" s="430">
        <f>ROUND(+$G$17*D30,-3)</f>
        <v>31000</v>
      </c>
    </row>
    <row r="31" spans="1:7" ht="15">
      <c r="A31" s="47" t="s">
        <v>36</v>
      </c>
      <c r="B31" s="47"/>
      <c r="C31" s="57"/>
      <c r="D31" s="436">
        <f>SUM(D28:D30)</f>
        <v>687100</v>
      </c>
      <c r="E31" s="436"/>
      <c r="F31" s="436">
        <f>SUM(F28:F30)</f>
        <v>379000</v>
      </c>
      <c r="G31" s="436">
        <f>SUM(G28:G30)</f>
        <v>308000</v>
      </c>
    </row>
    <row r="32" spans="1:7" ht="15">
      <c r="A32" s="47"/>
      <c r="B32" s="47"/>
      <c r="C32" s="57"/>
      <c r="D32" s="446"/>
      <c r="E32" s="446"/>
      <c r="F32" s="446"/>
      <c r="G32" s="446"/>
    </row>
    <row r="33" spans="1:7" ht="17.25">
      <c r="A33" s="47" t="s">
        <v>37</v>
      </c>
      <c r="B33" s="47"/>
      <c r="C33" s="57"/>
      <c r="D33" s="439">
        <f>+D31+D25</f>
        <v>989900</v>
      </c>
      <c r="E33" s="439"/>
      <c r="F33" s="439">
        <f>+F31+F25</f>
        <v>546000</v>
      </c>
      <c r="G33" s="439">
        <f>+G31+G25</f>
        <v>444000</v>
      </c>
    </row>
    <row r="34" spans="1:7" ht="15">
      <c r="A34" s="47"/>
      <c r="B34" s="47"/>
      <c r="C34" s="57"/>
      <c r="D34" s="446"/>
      <c r="E34" s="446"/>
      <c r="F34" s="446"/>
      <c r="G34" s="446"/>
    </row>
    <row r="35" spans="1:7" ht="17.25">
      <c r="A35" s="47" t="s">
        <v>38</v>
      </c>
      <c r="B35" s="47"/>
      <c r="C35" s="57"/>
      <c r="D35" s="440">
        <f>ROUND(+D33*0.05,-3)</f>
        <v>49000</v>
      </c>
      <c r="E35" s="440"/>
      <c r="F35" s="440">
        <f>ROUND(+F33*0.05,-3)</f>
        <v>27000</v>
      </c>
      <c r="G35" s="440">
        <f>ROUND(+G33*0.05,-3)</f>
        <v>22000</v>
      </c>
    </row>
    <row r="36" spans="1:7" ht="15">
      <c r="A36" s="47"/>
      <c r="B36" s="47"/>
      <c r="C36" s="57"/>
      <c r="D36" s="441"/>
      <c r="E36" s="441"/>
      <c r="F36" s="441"/>
      <c r="G36" s="441"/>
    </row>
    <row r="37" spans="1:7" ht="15">
      <c r="A37" s="47" t="s">
        <v>39</v>
      </c>
      <c r="B37" s="47"/>
      <c r="C37" s="58"/>
      <c r="D37" s="441">
        <f>+D35+D33</f>
        <v>1038900</v>
      </c>
      <c r="E37" s="441"/>
      <c r="F37" s="441">
        <f>+F35+F33</f>
        <v>573000</v>
      </c>
      <c r="G37" s="441">
        <f>+G35+G33</f>
        <v>466000</v>
      </c>
    </row>
    <row r="38" spans="1:7" ht="15">
      <c r="A38" s="34"/>
      <c r="B38" s="34"/>
      <c r="C38" s="59"/>
      <c r="D38" s="568"/>
      <c r="E38" s="452"/>
      <c r="F38" s="446"/>
      <c r="G38" s="446"/>
    </row>
    <row r="39" spans="1:7" ht="15">
      <c r="A39" s="47" t="s">
        <v>40</v>
      </c>
      <c r="B39" s="47"/>
      <c r="C39" s="59"/>
      <c r="D39" s="443">
        <f>+D12*2000/D8/24</f>
        <v>64.02526294287308</v>
      </c>
      <c r="E39" s="445"/>
      <c r="F39" s="446"/>
      <c r="G39" s="446"/>
    </row>
    <row r="40" spans="3:7" ht="15">
      <c r="C40" s="59"/>
      <c r="D40" s="443"/>
      <c r="E40" s="445"/>
      <c r="F40" s="446"/>
      <c r="G40" s="446"/>
    </row>
    <row r="41" spans="1:7" ht="15">
      <c r="A41" s="47" t="s">
        <v>41</v>
      </c>
      <c r="B41" s="47"/>
      <c r="C41" s="59"/>
      <c r="D41" s="444">
        <f>+D16/D12</f>
        <v>73.59508609272531</v>
      </c>
      <c r="E41" s="445"/>
      <c r="F41" s="446"/>
      <c r="G41" s="446"/>
    </row>
    <row r="42" spans="1:5" ht="15.75" thickBot="1">
      <c r="A42" s="34"/>
      <c r="B42" s="34"/>
      <c r="C42" s="59"/>
      <c r="D42" s="60"/>
      <c r="E42" s="29"/>
    </row>
    <row r="43" spans="1:5" ht="12.75">
      <c r="A43" s="61"/>
      <c r="B43" s="62"/>
      <c r="C43" s="63"/>
      <c r="D43" s="64"/>
      <c r="E43" s="29"/>
    </row>
    <row r="44" spans="1:5" ht="30">
      <c r="A44" s="65" t="s">
        <v>42</v>
      </c>
      <c r="B44" s="66" t="s">
        <v>43</v>
      </c>
      <c r="C44" s="67" t="s">
        <v>44</v>
      </c>
      <c r="D44" s="68" t="s">
        <v>45</v>
      </c>
      <c r="E44" s="29"/>
    </row>
    <row r="45" spans="1:5" ht="15">
      <c r="A45" s="69" t="s">
        <v>46</v>
      </c>
      <c r="B45" s="70">
        <v>384</v>
      </c>
      <c r="C45" s="71">
        <v>80</v>
      </c>
      <c r="D45" s="72">
        <f aca="true" t="shared" si="0" ref="D45:D50">ROUND(B45*C45,-2)</f>
        <v>30700</v>
      </c>
      <c r="E45" s="29"/>
    </row>
    <row r="46" spans="1:5" ht="15">
      <c r="A46" s="69" t="s">
        <v>47</v>
      </c>
      <c r="B46" s="70">
        <v>180</v>
      </c>
      <c r="C46" s="71">
        <v>140</v>
      </c>
      <c r="D46" s="72">
        <f t="shared" si="0"/>
        <v>25200</v>
      </c>
      <c r="E46" s="29"/>
    </row>
    <row r="47" spans="1:9" ht="15">
      <c r="A47" s="557" t="s">
        <v>314</v>
      </c>
      <c r="B47" s="70">
        <v>1875</v>
      </c>
      <c r="C47" s="71">
        <v>80</v>
      </c>
      <c r="D47" s="72">
        <f t="shared" si="0"/>
        <v>150000</v>
      </c>
      <c r="E47" s="29"/>
      <c r="I47" s="106"/>
    </row>
    <row r="48" spans="1:5" ht="15">
      <c r="A48" s="69" t="s">
        <v>49</v>
      </c>
      <c r="B48" s="70">
        <v>400</v>
      </c>
      <c r="C48" s="71">
        <v>110</v>
      </c>
      <c r="D48" s="72">
        <f t="shared" si="0"/>
        <v>44000</v>
      </c>
      <c r="E48" s="29"/>
    </row>
    <row r="49" spans="1:5" ht="15">
      <c r="A49" s="69" t="s">
        <v>50</v>
      </c>
      <c r="B49" s="70">
        <v>400</v>
      </c>
      <c r="C49" s="71">
        <v>80</v>
      </c>
      <c r="D49" s="72">
        <f t="shared" si="0"/>
        <v>32000</v>
      </c>
      <c r="E49" s="29"/>
    </row>
    <row r="50" spans="1:5" ht="17.25">
      <c r="A50" s="557" t="s">
        <v>315</v>
      </c>
      <c r="B50" s="73">
        <v>190</v>
      </c>
      <c r="C50" s="71">
        <v>110</v>
      </c>
      <c r="D50" s="74">
        <f t="shared" si="0"/>
        <v>20900</v>
      </c>
      <c r="E50" s="29"/>
    </row>
    <row r="51" spans="1:5" ht="17.25">
      <c r="A51" s="75" t="s">
        <v>52</v>
      </c>
      <c r="B51" s="76">
        <f>SUM(B45:B50)</f>
        <v>3429</v>
      </c>
      <c r="C51" s="71"/>
      <c r="D51" s="77">
        <f>SUM(D45:D50)</f>
        <v>302800</v>
      </c>
      <c r="E51" s="29"/>
    </row>
    <row r="52" spans="1:5" ht="13.5" thickBot="1">
      <c r="A52" s="78"/>
      <c r="B52" s="79"/>
      <c r="C52" s="80"/>
      <c r="D52" s="81"/>
      <c r="E52" s="29"/>
    </row>
    <row r="53" spans="1:5" ht="12.75">
      <c r="A53" s="51"/>
      <c r="B53" s="51"/>
      <c r="C53" s="52"/>
      <c r="D53" s="52"/>
      <c r="E53" s="2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56"/>
  <sheetViews>
    <sheetView tabSelected="1" zoomScalePageLayoutView="0" workbookViewId="0" topLeftCell="A1">
      <selection activeCell="A9" sqref="A9"/>
    </sheetView>
  </sheetViews>
  <sheetFormatPr defaultColWidth="9.140625" defaultRowHeight="12.75"/>
  <cols>
    <col min="1" max="1" width="72.57421875" style="0" bestFit="1" customWidth="1"/>
    <col min="3" max="3" width="11.28125" style="0" bestFit="1" customWidth="1"/>
    <col min="4" max="4" width="12.7109375" style="0" bestFit="1" customWidth="1"/>
    <col min="5" max="5" width="10.28125" style="0" bestFit="1" customWidth="1"/>
  </cols>
  <sheetData>
    <row r="1" spans="1:4" ht="23.25">
      <c r="A1" s="28" t="s">
        <v>53</v>
      </c>
      <c r="B1" s="28"/>
      <c r="C1" s="12"/>
      <c r="D1" s="12"/>
    </row>
    <row r="2" spans="1:4" ht="15.75">
      <c r="A2" s="30" t="s">
        <v>313</v>
      </c>
      <c r="B2" s="30"/>
      <c r="C2" s="31"/>
      <c r="D2" s="411"/>
    </row>
    <row r="3" spans="1:4" ht="15">
      <c r="A3" s="34"/>
      <c r="B3" s="34"/>
      <c r="C3" s="31"/>
      <c r="D3" s="412" t="s">
        <v>54</v>
      </c>
    </row>
    <row r="4" spans="1:4" ht="15">
      <c r="A4" s="34"/>
      <c r="B4" s="34"/>
      <c r="C4" s="31"/>
      <c r="D4" s="412" t="s">
        <v>16</v>
      </c>
    </row>
    <row r="5" spans="1:4" ht="17.25">
      <c r="A5" s="12"/>
      <c r="B5" s="12"/>
      <c r="C5" s="31"/>
      <c r="D5" s="414" t="s">
        <v>290</v>
      </c>
    </row>
    <row r="6" spans="1:4" ht="15">
      <c r="A6" s="35" t="s">
        <v>19</v>
      </c>
      <c r="B6" s="35"/>
      <c r="C6" s="31"/>
      <c r="D6" s="416"/>
    </row>
    <row r="7" spans="1:4" ht="17.25">
      <c r="A7" s="12" t="s">
        <v>20</v>
      </c>
      <c r="B7" s="12"/>
      <c r="C7" s="31"/>
      <c r="D7" s="417">
        <f>+'2016-2017 Recy. Tons &amp; Revenue'!O60/24</f>
        <v>93928.79166666667</v>
      </c>
    </row>
    <row r="8" spans="1:4" ht="15">
      <c r="A8" s="12"/>
      <c r="B8" s="12"/>
      <c r="C8" s="31"/>
      <c r="D8" s="448"/>
    </row>
    <row r="9" spans="1:4" ht="15">
      <c r="A9" s="12"/>
      <c r="B9" s="12"/>
      <c r="C9" s="31"/>
      <c r="D9" s="448"/>
    </row>
    <row r="10" spans="1:4" ht="15">
      <c r="A10" s="35" t="s">
        <v>21</v>
      </c>
      <c r="B10" s="35"/>
      <c r="C10" s="31"/>
      <c r="D10" s="448"/>
    </row>
    <row r="11" spans="1:4" ht="17.25">
      <c r="A11" s="36" t="s">
        <v>22</v>
      </c>
      <c r="B11" s="36"/>
      <c r="C11" s="31"/>
      <c r="D11" s="419">
        <f>+'2016-2017 Recy. Tons &amp; Revenue'!D60</f>
        <v>69303.51000000001</v>
      </c>
    </row>
    <row r="12" spans="1:4" ht="15">
      <c r="A12" s="38"/>
      <c r="B12" s="38"/>
      <c r="C12" s="31"/>
      <c r="D12" s="448"/>
    </row>
    <row r="13" spans="1:4" ht="15">
      <c r="A13" s="38"/>
      <c r="B13" s="38"/>
      <c r="C13" s="31"/>
      <c r="D13" s="448"/>
    </row>
    <row r="14" spans="1:4" ht="21">
      <c r="A14" s="39" t="s">
        <v>23</v>
      </c>
      <c r="B14" s="39"/>
      <c r="C14" s="31"/>
      <c r="D14" s="416"/>
    </row>
    <row r="15" spans="1:4" ht="32.25">
      <c r="A15" s="40" t="s">
        <v>24</v>
      </c>
      <c r="B15" s="40"/>
      <c r="C15" s="41"/>
      <c r="D15" s="421">
        <f>+'Budget vs. Actual'!H17</f>
        <v>5106063.886518807</v>
      </c>
    </row>
    <row r="16" spans="1:4" ht="15">
      <c r="A16" s="40"/>
      <c r="B16" s="40"/>
      <c r="C16" s="41"/>
      <c r="D16" s="450"/>
    </row>
    <row r="17" spans="1:4" ht="21">
      <c r="A17" s="39" t="s">
        <v>25</v>
      </c>
      <c r="B17" s="40"/>
      <c r="C17" s="41"/>
      <c r="D17" s="450"/>
    </row>
    <row r="18" spans="1:4" ht="15">
      <c r="A18" s="40" t="s">
        <v>26</v>
      </c>
      <c r="B18" s="40"/>
      <c r="C18" s="82">
        <v>0.425</v>
      </c>
      <c r="D18" s="423">
        <f>ROUND(+D15*C18,-3)</f>
        <v>2170000</v>
      </c>
    </row>
    <row r="19" spans="1:4" ht="17.25">
      <c r="A19" s="40" t="s">
        <v>148</v>
      </c>
      <c r="B19" s="40"/>
      <c r="C19" s="82"/>
      <c r="D19" s="427">
        <f>-'Budget vs. Actual'!H41</f>
        <v>-97000</v>
      </c>
    </row>
    <row r="20" spans="1:4" ht="17.25">
      <c r="A20" s="40"/>
      <c r="B20" s="40"/>
      <c r="C20" s="82"/>
      <c r="D20" s="431">
        <f>+D19+D18</f>
        <v>2073000</v>
      </c>
    </row>
    <row r="21" spans="1:4" ht="15">
      <c r="A21" s="12"/>
      <c r="B21" s="12"/>
      <c r="C21" s="31"/>
      <c r="D21" s="457"/>
    </row>
    <row r="22" spans="1:4" ht="18.75">
      <c r="A22" s="46" t="s">
        <v>27</v>
      </c>
      <c r="B22" s="46"/>
      <c r="C22" s="31"/>
      <c r="D22" s="416"/>
    </row>
    <row r="23" spans="1:4" ht="17.25">
      <c r="A23" s="47" t="s">
        <v>28</v>
      </c>
      <c r="B23" s="47"/>
      <c r="C23" s="31"/>
      <c r="D23" s="439">
        <f>+D54</f>
        <v>302800</v>
      </c>
    </row>
    <row r="24" spans="1:4" ht="17.25">
      <c r="A24" s="47"/>
      <c r="B24" s="47"/>
      <c r="C24" s="48"/>
      <c r="D24" s="458"/>
    </row>
    <row r="25" spans="1:4" ht="17.25">
      <c r="A25" s="49" t="s">
        <v>29</v>
      </c>
      <c r="B25" s="49"/>
      <c r="C25" s="50"/>
      <c r="D25" s="458"/>
    </row>
    <row r="26" spans="1:4" ht="15">
      <c r="A26" s="54" t="s">
        <v>317</v>
      </c>
      <c r="B26" s="54"/>
      <c r="C26" s="53"/>
      <c r="D26" s="437">
        <v>150000</v>
      </c>
    </row>
    <row r="27" spans="1:4" ht="15">
      <c r="A27" s="54" t="s">
        <v>318</v>
      </c>
      <c r="B27" s="54"/>
      <c r="C27" s="52"/>
      <c r="D27" s="437">
        <v>220000</v>
      </c>
    </row>
    <row r="28" spans="1:4" ht="15">
      <c r="A28" s="54" t="s">
        <v>319</v>
      </c>
      <c r="B28" s="54"/>
      <c r="C28" s="41"/>
      <c r="D28" s="437">
        <v>220000</v>
      </c>
    </row>
    <row r="29" spans="1:4" ht="15">
      <c r="A29" s="54" t="s">
        <v>320</v>
      </c>
      <c r="B29" s="54"/>
      <c r="C29" s="55"/>
      <c r="D29" s="437">
        <v>75000</v>
      </c>
    </row>
    <row r="30" spans="1:4" ht="15">
      <c r="A30" s="54" t="s">
        <v>321</v>
      </c>
      <c r="B30" s="54"/>
      <c r="C30" s="56"/>
      <c r="D30" s="437">
        <v>200000</v>
      </c>
    </row>
    <row r="31" spans="1:4" ht="15">
      <c r="A31" s="54" t="s">
        <v>322</v>
      </c>
      <c r="B31" s="54"/>
      <c r="C31" s="56"/>
      <c r="D31" s="437">
        <v>200000</v>
      </c>
    </row>
    <row r="32" spans="1:4" ht="15">
      <c r="A32" s="54" t="s">
        <v>323</v>
      </c>
      <c r="B32" s="54"/>
      <c r="C32" s="56"/>
      <c r="D32" s="437">
        <v>438200</v>
      </c>
    </row>
    <row r="33" spans="1:4" ht="17.25">
      <c r="A33" s="54" t="s">
        <v>324</v>
      </c>
      <c r="B33" s="54"/>
      <c r="C33" s="56"/>
      <c r="D33" s="438">
        <f>+'CRC Upgrades'!D15</f>
        <v>168000</v>
      </c>
    </row>
    <row r="34" spans="1:4" ht="17.25">
      <c r="A34" s="47" t="s">
        <v>36</v>
      </c>
      <c r="B34" s="47"/>
      <c r="C34" s="41"/>
      <c r="D34" s="440">
        <f>SUM(D26:D33)</f>
        <v>1671200</v>
      </c>
    </row>
    <row r="35" spans="1:4" ht="15">
      <c r="A35" s="47"/>
      <c r="B35" s="47"/>
      <c r="C35" s="57"/>
      <c r="D35" s="459"/>
    </row>
    <row r="36" spans="1:4" ht="17.25">
      <c r="A36" s="47" t="s">
        <v>37</v>
      </c>
      <c r="B36" s="47"/>
      <c r="C36" s="57"/>
      <c r="D36" s="439">
        <f>+D34+D23</f>
        <v>1974000</v>
      </c>
    </row>
    <row r="37" spans="1:4" ht="17.25">
      <c r="A37" s="47"/>
      <c r="B37" s="47"/>
      <c r="C37" s="57"/>
      <c r="D37" s="439"/>
    </row>
    <row r="38" spans="1:4" ht="17.25">
      <c r="A38" s="47" t="s">
        <v>38</v>
      </c>
      <c r="B38" s="47"/>
      <c r="C38" s="57"/>
      <c r="D38" s="440">
        <f>ROUND(+D36*0.05,-3)</f>
        <v>99000</v>
      </c>
    </row>
    <row r="39" spans="1:4" ht="15">
      <c r="A39" s="47"/>
      <c r="B39" s="47"/>
      <c r="C39" s="57"/>
      <c r="D39" s="441"/>
    </row>
    <row r="40" spans="1:4" ht="15">
      <c r="A40" s="47" t="s">
        <v>39</v>
      </c>
      <c r="B40" s="47"/>
      <c r="C40" s="58"/>
      <c r="D40" s="441">
        <f>+D38+D36</f>
        <v>2073000</v>
      </c>
    </row>
    <row r="41" spans="1:5" ht="15">
      <c r="A41" s="34"/>
      <c r="B41" s="34"/>
      <c r="C41" s="59"/>
      <c r="D41" s="442"/>
      <c r="E41" s="42"/>
    </row>
    <row r="42" spans="1:4" ht="15">
      <c r="A42" s="47" t="s">
        <v>40</v>
      </c>
      <c r="B42" s="47"/>
      <c r="C42" s="59"/>
      <c r="D42" s="443">
        <f>+D11*2000/D7/24</f>
        <v>61.48585963391596</v>
      </c>
    </row>
    <row r="43" spans="3:4" ht="15">
      <c r="C43" s="59"/>
      <c r="D43" s="443"/>
    </row>
    <row r="44" spans="1:4" ht="15">
      <c r="A44" s="47" t="s">
        <v>41</v>
      </c>
      <c r="B44" s="47"/>
      <c r="C44" s="59"/>
      <c r="D44" s="444">
        <f>+D15/D11</f>
        <v>73.6768438787416</v>
      </c>
    </row>
    <row r="45" spans="1:4" ht="13.5" thickBot="1">
      <c r="A45" s="51"/>
      <c r="B45" s="51"/>
      <c r="C45" s="52"/>
      <c r="D45" s="52"/>
    </row>
    <row r="46" spans="1:4" ht="12.75">
      <c r="A46" s="61"/>
      <c r="B46" s="62"/>
      <c r="C46" s="63"/>
      <c r="D46" s="64"/>
    </row>
    <row r="47" spans="1:4" ht="30">
      <c r="A47" s="65" t="s">
        <v>42</v>
      </c>
      <c r="B47" s="66" t="s">
        <v>43</v>
      </c>
      <c r="C47" s="67" t="s">
        <v>44</v>
      </c>
      <c r="D47" s="68" t="s">
        <v>45</v>
      </c>
    </row>
    <row r="48" spans="1:4" ht="15">
      <c r="A48" s="69" t="s">
        <v>46</v>
      </c>
      <c r="B48" s="70">
        <v>384</v>
      </c>
      <c r="C48" s="71">
        <v>80</v>
      </c>
      <c r="D48" s="72">
        <f aca="true" t="shared" si="0" ref="D48:D53">ROUND(B48*C48,-2)</f>
        <v>30700</v>
      </c>
    </row>
    <row r="49" spans="1:4" ht="15">
      <c r="A49" s="69" t="s">
        <v>47</v>
      </c>
      <c r="B49" s="70">
        <v>180</v>
      </c>
      <c r="C49" s="71">
        <v>140</v>
      </c>
      <c r="D49" s="72">
        <f t="shared" si="0"/>
        <v>25200</v>
      </c>
    </row>
    <row r="50" spans="1:4" ht="15">
      <c r="A50" s="557" t="s">
        <v>314</v>
      </c>
      <c r="B50" s="70">
        <v>1875</v>
      </c>
      <c r="C50" s="71">
        <v>80</v>
      </c>
      <c r="D50" s="72">
        <f t="shared" si="0"/>
        <v>150000</v>
      </c>
    </row>
    <row r="51" spans="1:4" ht="15">
      <c r="A51" s="69" t="s">
        <v>49</v>
      </c>
      <c r="B51" s="70">
        <v>400</v>
      </c>
      <c r="C51" s="71">
        <v>110</v>
      </c>
      <c r="D51" s="72">
        <f t="shared" si="0"/>
        <v>44000</v>
      </c>
    </row>
    <row r="52" spans="1:4" ht="15">
      <c r="A52" s="69" t="s">
        <v>50</v>
      </c>
      <c r="B52" s="70">
        <v>400</v>
      </c>
      <c r="C52" s="71">
        <v>80</v>
      </c>
      <c r="D52" s="72">
        <f t="shared" si="0"/>
        <v>32000</v>
      </c>
    </row>
    <row r="53" spans="1:4" ht="17.25">
      <c r="A53" s="557" t="s">
        <v>315</v>
      </c>
      <c r="B53" s="73">
        <v>190</v>
      </c>
      <c r="C53" s="71">
        <v>110</v>
      </c>
      <c r="D53" s="74">
        <f t="shared" si="0"/>
        <v>20900</v>
      </c>
    </row>
    <row r="54" spans="1:4" ht="17.25">
      <c r="A54" s="75" t="s">
        <v>52</v>
      </c>
      <c r="B54" s="76">
        <f>SUM(B48:B53)</f>
        <v>3429</v>
      </c>
      <c r="C54" s="71"/>
      <c r="D54" s="77">
        <f>SUM(D48:D53)</f>
        <v>302800</v>
      </c>
    </row>
    <row r="55" spans="1:4" ht="13.5" thickBot="1">
      <c r="A55" s="78"/>
      <c r="B55" s="79"/>
      <c r="C55" s="80"/>
      <c r="D55" s="81"/>
    </row>
    <row r="56" spans="1:4" ht="12.75">
      <c r="A56" s="51"/>
      <c r="B56" s="51"/>
      <c r="C56" s="52"/>
      <c r="D56" s="52"/>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3:I20"/>
  <sheetViews>
    <sheetView zoomScalePageLayoutView="0" workbookViewId="0" topLeftCell="A1">
      <selection activeCell="P27" sqref="P27"/>
    </sheetView>
  </sheetViews>
  <sheetFormatPr defaultColWidth="9.140625" defaultRowHeight="12.75"/>
  <cols>
    <col min="1" max="1" width="40.421875" style="0" bestFit="1" customWidth="1"/>
    <col min="3" max="5" width="14.00390625" style="0" bestFit="1" customWidth="1"/>
    <col min="7" max="7" width="14.00390625" style="0" bestFit="1" customWidth="1"/>
    <col min="9" max="9" width="11.28125" style="0" bestFit="1" customWidth="1"/>
  </cols>
  <sheetData>
    <row r="3" spans="3:4" ht="12.75">
      <c r="C3" s="406" t="s">
        <v>116</v>
      </c>
      <c r="D3" s="406" t="s">
        <v>326</v>
      </c>
    </row>
    <row r="4" spans="3:5" ht="12.75">
      <c r="C4" s="101" t="s">
        <v>16</v>
      </c>
      <c r="D4" s="101" t="s">
        <v>16</v>
      </c>
      <c r="E4" s="101" t="s">
        <v>100</v>
      </c>
    </row>
    <row r="6" spans="1:5" ht="12.75">
      <c r="A6" s="11" t="s">
        <v>328</v>
      </c>
      <c r="C6" s="565">
        <f>+'2016-2017 Recy. Tons &amp; Revenue'!C32</f>
        <v>112320.46</v>
      </c>
      <c r="D6" s="565">
        <f>+'2016-2017 Recy. Tons &amp; Revenue'!D32</f>
        <v>96330.72000000002</v>
      </c>
      <c r="E6" s="565">
        <f>+D6+C6</f>
        <v>208651.18000000002</v>
      </c>
    </row>
    <row r="7" spans="3:5" ht="12.75">
      <c r="C7" s="106"/>
      <c r="D7" s="106"/>
      <c r="E7" s="106"/>
    </row>
    <row r="8" spans="1:5" ht="15">
      <c r="A8" s="11" t="s">
        <v>327</v>
      </c>
      <c r="C8" s="477">
        <f>+'Budget vs. Actual'!G13</f>
        <v>28835.890000000003</v>
      </c>
      <c r="D8" s="477">
        <f>+'Budget vs. Actual'!H13</f>
        <v>69303.51000000001</v>
      </c>
      <c r="E8" s="477">
        <f>+D8+C8</f>
        <v>98139.40000000001</v>
      </c>
    </row>
    <row r="10" spans="1:5" s="1" customFormat="1" ht="12.75">
      <c r="A10" s="1" t="s">
        <v>329</v>
      </c>
      <c r="C10" s="564">
        <f>+C8/C6</f>
        <v>0.25672873846848565</v>
      </c>
      <c r="D10" s="564">
        <f>+D8/D6</f>
        <v>0.7194331154173871</v>
      </c>
      <c r="E10" s="564">
        <f>+E8/E6</f>
        <v>0.47035152161612503</v>
      </c>
    </row>
    <row r="13" spans="1:5" s="1" customFormat="1" ht="15">
      <c r="A13" s="1" t="s">
        <v>330</v>
      </c>
      <c r="C13" s="561">
        <f>ROUND(+C6/$E6*E13,2)</f>
        <v>272388.36</v>
      </c>
      <c r="D13" s="561">
        <f>ROUND(+D6/$E6*E13,2)</f>
        <v>233611.64</v>
      </c>
      <c r="E13" s="561">
        <v>506000</v>
      </c>
    </row>
    <row r="14" spans="3:5" s="1" customFormat="1" ht="15">
      <c r="C14" s="562"/>
      <c r="D14" s="562"/>
      <c r="E14" s="562"/>
    </row>
    <row r="15" spans="1:9" s="1" customFormat="1" ht="15">
      <c r="A15" s="1" t="s">
        <v>331</v>
      </c>
      <c r="C15" s="561">
        <f>ROUND(+C13*C10,-3)</f>
        <v>70000</v>
      </c>
      <c r="D15" s="561">
        <f>ROUND(+D13*D10,-3)</f>
        <v>168000</v>
      </c>
      <c r="E15" s="563">
        <f>+D15+C15</f>
        <v>238000</v>
      </c>
      <c r="G15" s="559"/>
      <c r="H15" s="567"/>
      <c r="I15" s="560"/>
    </row>
    <row r="20" ht="12.75">
      <c r="E20" s="410"/>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M51"/>
  <sheetViews>
    <sheetView zoomScalePageLayoutView="0" workbookViewId="0" topLeftCell="A34">
      <selection activeCell="C59" sqref="C59"/>
    </sheetView>
  </sheetViews>
  <sheetFormatPr defaultColWidth="9.140625" defaultRowHeight="12.75"/>
  <cols>
    <col min="2" max="2" width="10.57421875" style="0" customWidth="1"/>
    <col min="3" max="3" width="17.7109375" style="0" customWidth="1"/>
    <col min="4" max="4" width="11.00390625" style="0" bestFit="1" customWidth="1"/>
    <col min="5" max="5" width="10.421875" style="0" bestFit="1" customWidth="1"/>
    <col min="6" max="6" width="11.140625" style="0" bestFit="1" customWidth="1"/>
    <col min="7" max="7" width="10.8515625" style="0" bestFit="1" customWidth="1"/>
    <col min="8" max="8" width="3.7109375" style="0" customWidth="1"/>
    <col min="9" max="9" width="11.00390625" style="0" bestFit="1" customWidth="1"/>
    <col min="10" max="10" width="11.140625" style="0" bestFit="1" customWidth="1"/>
    <col min="11" max="12" width="10.8515625" style="0" bestFit="1" customWidth="1"/>
    <col min="13" max="13" width="8.421875" style="0" bestFit="1" customWidth="1"/>
  </cols>
  <sheetData>
    <row r="1" spans="1:8" ht="23.25">
      <c r="A1" s="571" t="s">
        <v>337</v>
      </c>
      <c r="H1" s="99"/>
    </row>
    <row r="2" ht="15">
      <c r="H2" s="99"/>
    </row>
    <row r="3" spans="5:8" ht="15">
      <c r="E3" s="570"/>
      <c r="F3" s="570"/>
      <c r="H3" s="572"/>
    </row>
    <row r="4" spans="3:13" ht="15">
      <c r="C4" s="13"/>
      <c r="D4" s="121" t="s">
        <v>338</v>
      </c>
      <c r="E4" s="13"/>
      <c r="F4" s="121" t="s">
        <v>339</v>
      </c>
      <c r="G4" s="13" t="s">
        <v>340</v>
      </c>
      <c r="H4" s="13"/>
      <c r="I4" s="121" t="s">
        <v>338</v>
      </c>
      <c r="J4" s="13"/>
      <c r="K4" s="121" t="s">
        <v>339</v>
      </c>
      <c r="L4" s="13" t="s">
        <v>341</v>
      </c>
      <c r="M4" s="13" t="s">
        <v>193</v>
      </c>
    </row>
    <row r="5" spans="3:13" ht="15">
      <c r="C5" s="570"/>
      <c r="D5" s="573" t="s">
        <v>342</v>
      </c>
      <c r="E5" s="570">
        <v>2014</v>
      </c>
      <c r="F5" s="570">
        <v>2015</v>
      </c>
      <c r="G5" s="570" t="s">
        <v>343</v>
      </c>
      <c r="H5" s="570"/>
      <c r="I5" s="573" t="s">
        <v>344</v>
      </c>
      <c r="J5" s="570">
        <v>2016</v>
      </c>
      <c r="K5" s="570">
        <v>2017</v>
      </c>
      <c r="L5" s="570" t="s">
        <v>343</v>
      </c>
      <c r="M5" s="570" t="s">
        <v>345</v>
      </c>
    </row>
    <row r="6" spans="1:13" ht="15.75">
      <c r="A6" s="574" t="s">
        <v>346</v>
      </c>
      <c r="C6" s="570"/>
      <c r="D6" s="573"/>
      <c r="E6" s="570"/>
      <c r="F6" s="570"/>
      <c r="G6" s="570"/>
      <c r="H6" s="572"/>
      <c r="I6" s="573"/>
      <c r="J6" s="570"/>
      <c r="K6" s="570"/>
      <c r="L6" s="570"/>
      <c r="M6" s="572"/>
    </row>
    <row r="7" spans="1:13" ht="15">
      <c r="A7" s="575" t="s">
        <v>347</v>
      </c>
      <c r="B7" s="575"/>
      <c r="C7" s="12"/>
      <c r="D7" s="12"/>
      <c r="E7" s="12"/>
      <c r="F7" s="12"/>
      <c r="G7" s="12"/>
      <c r="H7" s="49"/>
      <c r="I7" s="12"/>
      <c r="J7" s="12"/>
      <c r="K7" s="12"/>
      <c r="L7" s="12"/>
      <c r="M7" s="49"/>
    </row>
    <row r="8" spans="1:13" ht="15">
      <c r="A8" s="576"/>
      <c r="B8" s="576" t="s">
        <v>348</v>
      </c>
      <c r="C8" s="577"/>
      <c r="D8" s="577">
        <v>3510</v>
      </c>
      <c r="E8" s="578">
        <v>13208</v>
      </c>
      <c r="F8" s="578">
        <v>9913</v>
      </c>
      <c r="G8" s="577">
        <f>SUM(D8:F8)</f>
        <v>26631</v>
      </c>
      <c r="H8" s="49"/>
      <c r="I8" s="577">
        <v>3416</v>
      </c>
      <c r="J8" s="578">
        <v>13398</v>
      </c>
      <c r="K8" s="578">
        <v>9864</v>
      </c>
      <c r="L8" s="577">
        <f>SUM(I8:K8)</f>
        <v>26678</v>
      </c>
      <c r="M8" s="49"/>
    </row>
    <row r="9" spans="1:13" ht="15">
      <c r="A9" s="576"/>
      <c r="B9" s="576" t="s">
        <v>349</v>
      </c>
      <c r="C9" s="577"/>
      <c r="D9" s="577">
        <v>3857</v>
      </c>
      <c r="E9" s="578">
        <v>15641</v>
      </c>
      <c r="F9" s="578">
        <v>11198</v>
      </c>
      <c r="G9" s="577">
        <f>SUM(D9:F9)</f>
        <v>30696</v>
      </c>
      <c r="H9" s="49"/>
      <c r="I9" s="577">
        <v>4505</v>
      </c>
      <c r="J9" s="578">
        <v>15844</v>
      </c>
      <c r="K9" s="578">
        <v>11480</v>
      </c>
      <c r="L9" s="577">
        <f>SUM(I9:K9)</f>
        <v>31829</v>
      </c>
      <c r="M9" s="49"/>
    </row>
    <row r="10" spans="1:13" ht="17.25">
      <c r="A10" s="576"/>
      <c r="B10" s="576" t="s">
        <v>350</v>
      </c>
      <c r="C10" s="579"/>
      <c r="D10" s="579">
        <v>6188</v>
      </c>
      <c r="E10" s="580">
        <v>23980</v>
      </c>
      <c r="F10" s="580">
        <v>17465</v>
      </c>
      <c r="G10" s="579">
        <f>SUM(D10:F10)</f>
        <v>47633</v>
      </c>
      <c r="H10" s="49"/>
      <c r="I10" s="579">
        <v>5848</v>
      </c>
      <c r="J10" s="580">
        <v>23902</v>
      </c>
      <c r="K10" s="580">
        <v>17788</v>
      </c>
      <c r="L10" s="579">
        <f>SUM(I10:K10)</f>
        <v>47538</v>
      </c>
      <c r="M10" s="49"/>
    </row>
    <row r="11" spans="1:13" ht="15">
      <c r="A11" s="581"/>
      <c r="B11" s="582" t="s">
        <v>351</v>
      </c>
      <c r="C11" s="583"/>
      <c r="D11" s="583">
        <f>+D10+D9+D8</f>
        <v>13555</v>
      </c>
      <c r="E11" s="583">
        <f>+E10+E9+E8</f>
        <v>52829</v>
      </c>
      <c r="F11" s="583">
        <f>+F10+F9+F8</f>
        <v>38576</v>
      </c>
      <c r="G11" s="583">
        <f>+G10+G9+G8</f>
        <v>104960</v>
      </c>
      <c r="H11" s="49"/>
      <c r="I11" s="583">
        <f>+I10+I9+I8</f>
        <v>13769</v>
      </c>
      <c r="J11" s="583">
        <f>+J10+J9+J8</f>
        <v>53144</v>
      </c>
      <c r="K11" s="583">
        <f>+K10+K9+K8</f>
        <v>39132</v>
      </c>
      <c r="L11" s="583">
        <f>+L10+L9+L8</f>
        <v>106045</v>
      </c>
      <c r="M11" s="49"/>
    </row>
    <row r="12" spans="1:13" ht="15">
      <c r="A12" s="575" t="s">
        <v>352</v>
      </c>
      <c r="B12" s="575"/>
      <c r="C12" s="12"/>
      <c r="D12" s="12"/>
      <c r="E12" s="578"/>
      <c r="F12" s="578"/>
      <c r="G12" s="12"/>
      <c r="H12" s="49"/>
      <c r="I12" s="12"/>
      <c r="J12" s="578"/>
      <c r="K12" s="578"/>
      <c r="L12" s="12"/>
      <c r="M12" s="49"/>
    </row>
    <row r="13" spans="1:13" ht="15">
      <c r="A13" s="576"/>
      <c r="B13" s="576" t="s">
        <v>353</v>
      </c>
      <c r="C13" s="12"/>
      <c r="D13" s="577">
        <v>247</v>
      </c>
      <c r="E13" s="578">
        <v>948</v>
      </c>
      <c r="F13" s="578">
        <v>745</v>
      </c>
      <c r="G13" s="577">
        <f>SUM(D13:F13)</f>
        <v>1940</v>
      </c>
      <c r="H13" s="49"/>
      <c r="I13" s="577">
        <v>270</v>
      </c>
      <c r="J13" s="578">
        <v>1052</v>
      </c>
      <c r="K13" s="578">
        <v>836</v>
      </c>
      <c r="L13" s="577">
        <f>SUM(I13:K13)</f>
        <v>2158</v>
      </c>
      <c r="M13" s="49"/>
    </row>
    <row r="14" spans="1:13" ht="15">
      <c r="A14" s="576"/>
      <c r="B14" s="576" t="s">
        <v>354</v>
      </c>
      <c r="C14" s="12"/>
      <c r="D14" s="577">
        <v>4</v>
      </c>
      <c r="E14" s="578">
        <v>13</v>
      </c>
      <c r="F14" s="578">
        <v>9</v>
      </c>
      <c r="G14" s="577">
        <f>SUM(D14:F14)</f>
        <v>26</v>
      </c>
      <c r="H14" s="49"/>
      <c r="I14" s="577">
        <v>2</v>
      </c>
      <c r="J14" s="578">
        <v>3</v>
      </c>
      <c r="K14" s="578">
        <v>3</v>
      </c>
      <c r="L14" s="577">
        <f>SUM(I14:K14)</f>
        <v>8</v>
      </c>
      <c r="M14" s="49"/>
    </row>
    <row r="15" spans="1:13" ht="17.25">
      <c r="A15" s="576"/>
      <c r="B15" s="576" t="s">
        <v>355</v>
      </c>
      <c r="C15" s="584"/>
      <c r="D15" s="579">
        <v>2314</v>
      </c>
      <c r="E15" s="580">
        <v>8380</v>
      </c>
      <c r="F15" s="580">
        <v>6102</v>
      </c>
      <c r="G15" s="579">
        <f>SUM(D15:F15)</f>
        <v>16796</v>
      </c>
      <c r="H15" s="49"/>
      <c r="I15" s="579">
        <v>2219</v>
      </c>
      <c r="J15" s="580">
        <v>9060</v>
      </c>
      <c r="K15" s="580">
        <v>5847</v>
      </c>
      <c r="L15" s="579">
        <f>SUM(I15:K15)</f>
        <v>17126</v>
      </c>
      <c r="M15" s="49"/>
    </row>
    <row r="16" spans="1:13" ht="15">
      <c r="A16" s="581"/>
      <c r="B16" s="575" t="s">
        <v>356</v>
      </c>
      <c r="C16" s="585"/>
      <c r="D16" s="585">
        <f>+D15+D14+D13</f>
        <v>2565</v>
      </c>
      <c r="E16" s="585">
        <f>+E15+E14+E13</f>
        <v>9341</v>
      </c>
      <c r="F16" s="585">
        <f>+F15+F14+F13</f>
        <v>6856</v>
      </c>
      <c r="G16" s="585">
        <f>+G15+G14+G13</f>
        <v>18762</v>
      </c>
      <c r="H16" s="49"/>
      <c r="I16" s="585">
        <f>+I15+I14+I13</f>
        <v>2491</v>
      </c>
      <c r="J16" s="585">
        <f>+J15+J14+J13</f>
        <v>10115</v>
      </c>
      <c r="K16" s="585">
        <f>+K15+K14+K13</f>
        <v>6686</v>
      </c>
      <c r="L16" s="585">
        <f>+L15+L14+L13</f>
        <v>19292</v>
      </c>
      <c r="M16" s="49"/>
    </row>
    <row r="17" spans="1:13" ht="15">
      <c r="A17" s="586" t="s">
        <v>357</v>
      </c>
      <c r="B17" s="586"/>
      <c r="C17" s="587"/>
      <c r="D17" s="587">
        <f>+D16+D11</f>
        <v>16120</v>
      </c>
      <c r="E17" s="587">
        <f>+E16+E11</f>
        <v>62170</v>
      </c>
      <c r="F17" s="587">
        <f>+F16+F11</f>
        <v>45432</v>
      </c>
      <c r="G17" s="587">
        <f>+G16+G11</f>
        <v>123722</v>
      </c>
      <c r="H17" s="49"/>
      <c r="I17" s="587">
        <f>+I16+I11</f>
        <v>16260</v>
      </c>
      <c r="J17" s="587">
        <f>+J16+J11</f>
        <v>63259</v>
      </c>
      <c r="K17" s="587">
        <f>+K16+K11</f>
        <v>45818</v>
      </c>
      <c r="L17" s="587">
        <f>+L16+L11</f>
        <v>125337</v>
      </c>
      <c r="M17" s="49"/>
    </row>
    <row r="18" spans="1:13" ht="15">
      <c r="A18" s="586"/>
      <c r="B18" s="586"/>
      <c r="C18" s="588"/>
      <c r="D18" s="588"/>
      <c r="E18" s="588"/>
      <c r="F18" s="588"/>
      <c r="G18" s="588"/>
      <c r="H18" s="572"/>
      <c r="I18" s="588"/>
      <c r="J18" s="588"/>
      <c r="K18" s="588"/>
      <c r="L18" s="588"/>
      <c r="M18" s="572"/>
    </row>
    <row r="19" spans="1:13" ht="15">
      <c r="A19" s="96"/>
      <c r="B19" s="96" t="s">
        <v>358</v>
      </c>
      <c r="C19" s="589"/>
      <c r="D19" s="589">
        <f>+D8+D9+D13+D14</f>
        <v>7618</v>
      </c>
      <c r="E19" s="589">
        <f>+E8+E9+E13+E14</f>
        <v>29810</v>
      </c>
      <c r="F19" s="589">
        <f>+F8+F9+F13+F14</f>
        <v>21865</v>
      </c>
      <c r="G19" s="589">
        <f>+G8+G9+G13+G14</f>
        <v>59293</v>
      </c>
      <c r="H19" s="572"/>
      <c r="I19" s="589">
        <f>+I8+I9+I13+I14</f>
        <v>8193</v>
      </c>
      <c r="J19" s="589">
        <f>+J8+J9+J13+J14</f>
        <v>30297</v>
      </c>
      <c r="K19" s="589">
        <f>+K8+K9+K13+K14</f>
        <v>22183</v>
      </c>
      <c r="L19" s="589">
        <f>+L8+L9+L13+L14</f>
        <v>60673</v>
      </c>
      <c r="M19" s="572"/>
    </row>
    <row r="20" spans="1:13" ht="15">
      <c r="A20" s="96"/>
      <c r="B20" s="96"/>
      <c r="C20" s="152"/>
      <c r="D20" s="152">
        <f>+D19/D17</f>
        <v>0.47258064516129034</v>
      </c>
      <c r="E20" s="152">
        <f>+E19/E17</f>
        <v>0.47949171626186265</v>
      </c>
      <c r="F20" s="152">
        <f>+F19/F17</f>
        <v>0.4812687092798028</v>
      </c>
      <c r="G20" s="152">
        <f>+G19/G17</f>
        <v>0.47924378849355814</v>
      </c>
      <c r="H20" s="590"/>
      <c r="I20" s="152">
        <f>+I19/I17</f>
        <v>0.5038745387453875</v>
      </c>
      <c r="J20" s="152">
        <f>+J19/J17</f>
        <v>0.47893580360106863</v>
      </c>
      <c r="K20" s="152">
        <f>+K19/K17</f>
        <v>0.4841546990265834</v>
      </c>
      <c r="L20" s="152">
        <f>+L19/L17</f>
        <v>0.48407892322299084</v>
      </c>
      <c r="M20" s="591">
        <f>+L20-G20</f>
        <v>0.0048351347294327</v>
      </c>
    </row>
    <row r="21" spans="1:8" ht="15">
      <c r="A21" s="96"/>
      <c r="B21" s="96"/>
      <c r="C21" s="152"/>
      <c r="D21" s="152"/>
      <c r="E21" s="152"/>
      <c r="F21" s="152"/>
      <c r="G21" s="152"/>
      <c r="H21" s="590"/>
    </row>
    <row r="22" spans="1:8" ht="15.75">
      <c r="A22" s="574" t="s">
        <v>359</v>
      </c>
      <c r="E22" s="592"/>
      <c r="F22" s="592"/>
      <c r="H22" s="99"/>
    </row>
    <row r="23" spans="5:11" ht="15">
      <c r="E23" s="622" t="s">
        <v>360</v>
      </c>
      <c r="F23" s="622"/>
      <c r="G23" s="622"/>
      <c r="I23" s="622" t="s">
        <v>361</v>
      </c>
      <c r="J23" s="622"/>
      <c r="K23" s="622"/>
    </row>
    <row r="24" spans="5:12" ht="15">
      <c r="E24" s="13" t="s">
        <v>362</v>
      </c>
      <c r="F24" s="13" t="s">
        <v>363</v>
      </c>
      <c r="G24" s="99"/>
      <c r="H24" s="99"/>
      <c r="I24" s="13" t="s">
        <v>362</v>
      </c>
      <c r="J24" s="13" t="s">
        <v>363</v>
      </c>
      <c r="K24" s="99"/>
      <c r="L24" s="13" t="s">
        <v>193</v>
      </c>
    </row>
    <row r="25" spans="5:12" ht="15">
      <c r="E25" s="570" t="s">
        <v>121</v>
      </c>
      <c r="F25" s="570" t="s">
        <v>121</v>
      </c>
      <c r="G25" s="570" t="s">
        <v>193</v>
      </c>
      <c r="H25" s="99"/>
      <c r="I25" s="570" t="s">
        <v>121</v>
      </c>
      <c r="J25" s="570" t="s">
        <v>121</v>
      </c>
      <c r="K25" s="570" t="s">
        <v>193</v>
      </c>
      <c r="L25" s="570" t="s">
        <v>345</v>
      </c>
    </row>
    <row r="26" spans="2:11" ht="15">
      <c r="B26" t="s">
        <v>364</v>
      </c>
      <c r="E26" s="99">
        <v>37642</v>
      </c>
      <c r="F26" s="99">
        <v>18049</v>
      </c>
      <c r="G26" s="19">
        <f>+F26/E26</f>
        <v>0.4794909941023325</v>
      </c>
      <c r="H26" s="99"/>
      <c r="I26" s="593">
        <v>36885</v>
      </c>
      <c r="J26" s="593">
        <v>18302</v>
      </c>
      <c r="K26" s="19">
        <f>+J26/I26</f>
        <v>0.49619086349464553</v>
      </c>
    </row>
    <row r="27" spans="2:11" ht="15">
      <c r="B27" t="s">
        <v>73</v>
      </c>
      <c r="E27" s="99">
        <v>37529</v>
      </c>
      <c r="F27" s="99">
        <v>17972</v>
      </c>
      <c r="G27" s="19">
        <f aca="true" t="shared" si="0" ref="G27:G50">+F27/E27</f>
        <v>0.47888299714887156</v>
      </c>
      <c r="H27" s="99"/>
      <c r="I27" s="593">
        <v>36954</v>
      </c>
      <c r="J27" s="593">
        <v>18270</v>
      </c>
      <c r="K27" s="19">
        <f aca="true" t="shared" si="1" ref="K27:K50">+J27/I27</f>
        <v>0.4943984413054067</v>
      </c>
    </row>
    <row r="28" spans="2:11" ht="15">
      <c r="B28" t="s">
        <v>92</v>
      </c>
      <c r="E28" s="99">
        <v>37561</v>
      </c>
      <c r="F28" s="99">
        <v>17886</v>
      </c>
      <c r="G28" s="19">
        <f t="shared" si="0"/>
        <v>0.4761854050744123</v>
      </c>
      <c r="H28" s="99"/>
      <c r="I28" s="593">
        <v>36853</v>
      </c>
      <c r="J28" s="593">
        <v>18176</v>
      </c>
      <c r="K28" s="19">
        <f t="shared" si="1"/>
        <v>0.4932027243372317</v>
      </c>
    </row>
    <row r="29" spans="2:11" ht="15">
      <c r="B29" t="s">
        <v>75</v>
      </c>
      <c r="E29" s="99">
        <v>37553</v>
      </c>
      <c r="F29" s="99">
        <v>17829</v>
      </c>
      <c r="G29" s="19">
        <f t="shared" si="0"/>
        <v>0.474768993156339</v>
      </c>
      <c r="H29" s="99"/>
      <c r="I29" s="593">
        <v>36924</v>
      </c>
      <c r="J29" s="593">
        <v>18169</v>
      </c>
      <c r="K29" s="19">
        <f t="shared" si="1"/>
        <v>0.4920647817137905</v>
      </c>
    </row>
    <row r="30" spans="2:11" ht="15">
      <c r="B30" t="s">
        <v>106</v>
      </c>
      <c r="E30" s="99">
        <v>35898</v>
      </c>
      <c r="F30" s="99">
        <v>16696</v>
      </c>
      <c r="G30" s="19">
        <f t="shared" si="0"/>
        <v>0.4650955484985236</v>
      </c>
      <c r="H30" s="99"/>
      <c r="I30" s="593">
        <v>36857</v>
      </c>
      <c r="J30" s="593">
        <v>18195</v>
      </c>
      <c r="K30" s="19">
        <f t="shared" si="1"/>
        <v>0.49366470412676017</v>
      </c>
    </row>
    <row r="31" spans="2:11" ht="15">
      <c r="B31" t="s">
        <v>107</v>
      </c>
      <c r="E31" s="99">
        <v>35978</v>
      </c>
      <c r="F31" s="99">
        <v>16781</v>
      </c>
      <c r="G31" s="19">
        <f t="shared" si="0"/>
        <v>0.466423925732392</v>
      </c>
      <c r="H31" s="99"/>
      <c r="I31" s="593">
        <v>36959</v>
      </c>
      <c r="J31" s="593">
        <v>18361</v>
      </c>
      <c r="K31" s="19">
        <f t="shared" si="1"/>
        <v>0.49679374441949187</v>
      </c>
    </row>
    <row r="32" spans="2:11" ht="15">
      <c r="B32" t="s">
        <v>108</v>
      </c>
      <c r="E32" s="99">
        <v>36140</v>
      </c>
      <c r="F32" s="99">
        <v>17030</v>
      </c>
      <c r="G32" s="19">
        <f t="shared" si="0"/>
        <v>0.4712230215827338</v>
      </c>
      <c r="H32" s="99"/>
      <c r="I32" s="593">
        <v>37193</v>
      </c>
      <c r="J32" s="593">
        <v>18615</v>
      </c>
      <c r="K32" s="19">
        <f t="shared" si="1"/>
        <v>0.5004974054257522</v>
      </c>
    </row>
    <row r="33" spans="2:11" ht="15">
      <c r="B33" t="s">
        <v>79</v>
      </c>
      <c r="E33" s="99">
        <v>36174</v>
      </c>
      <c r="F33" s="99">
        <v>17163</v>
      </c>
      <c r="G33" s="19">
        <f t="shared" si="0"/>
        <v>0.47445679217117265</v>
      </c>
      <c r="H33" s="99"/>
      <c r="I33" s="593">
        <v>37151</v>
      </c>
      <c r="J33" s="593">
        <v>18736</v>
      </c>
      <c r="K33" s="19">
        <f t="shared" si="1"/>
        <v>0.5043202067239105</v>
      </c>
    </row>
    <row r="34" spans="2:11" ht="15">
      <c r="B34" t="s">
        <v>87</v>
      </c>
      <c r="E34" s="99">
        <v>36224</v>
      </c>
      <c r="F34" s="99">
        <v>17286</v>
      </c>
      <c r="G34" s="19">
        <f t="shared" si="0"/>
        <v>0.4771974381625442</v>
      </c>
      <c r="H34" s="99"/>
      <c r="I34" s="593">
        <v>37249</v>
      </c>
      <c r="J34" s="593">
        <v>18877</v>
      </c>
      <c r="K34" s="19">
        <f t="shared" si="1"/>
        <v>0.5067787054686032</v>
      </c>
    </row>
    <row r="35" spans="2:11" ht="15">
      <c r="B35" t="s">
        <v>88</v>
      </c>
      <c r="E35" s="99">
        <v>36333</v>
      </c>
      <c r="F35" s="99">
        <v>17306</v>
      </c>
      <c r="G35" s="19">
        <f t="shared" si="0"/>
        <v>0.47631629647978424</v>
      </c>
      <c r="H35" s="99"/>
      <c r="I35" s="593">
        <v>37277</v>
      </c>
      <c r="J35" s="593">
        <v>18997</v>
      </c>
      <c r="K35" s="19">
        <f t="shared" si="1"/>
        <v>0.5096171902245352</v>
      </c>
    </row>
    <row r="36" spans="2:11" ht="15">
      <c r="B36" t="s">
        <v>89</v>
      </c>
      <c r="E36" s="99">
        <v>36419</v>
      </c>
      <c r="F36" s="99">
        <v>17465</v>
      </c>
      <c r="G36" s="19">
        <f t="shared" si="0"/>
        <v>0.47955737389823994</v>
      </c>
      <c r="H36" s="99"/>
      <c r="I36" s="593">
        <v>37376</v>
      </c>
      <c r="J36" s="593">
        <v>19092</v>
      </c>
      <c r="K36" s="19">
        <f t="shared" si="1"/>
        <v>0.5108090753424658</v>
      </c>
    </row>
    <row r="37" spans="2:11" ht="15">
      <c r="B37" t="s">
        <v>90</v>
      </c>
      <c r="E37" s="99">
        <v>36405</v>
      </c>
      <c r="F37" s="99">
        <v>17446</v>
      </c>
      <c r="G37" s="19">
        <f t="shared" si="0"/>
        <v>0.4792198873781074</v>
      </c>
      <c r="H37" s="99"/>
      <c r="I37" s="593">
        <v>37432</v>
      </c>
      <c r="J37" s="593">
        <v>19128</v>
      </c>
      <c r="K37" s="19">
        <f t="shared" si="1"/>
        <v>0.5110066253472965</v>
      </c>
    </row>
    <row r="38" spans="2:11" ht="15">
      <c r="B38" t="s">
        <v>72</v>
      </c>
      <c r="E38" s="99">
        <v>36508</v>
      </c>
      <c r="F38" s="99">
        <v>17448</v>
      </c>
      <c r="G38" s="19">
        <f t="shared" si="0"/>
        <v>0.47792264709104854</v>
      </c>
      <c r="H38" s="99"/>
      <c r="I38" s="593">
        <v>37267</v>
      </c>
      <c r="J38" s="593">
        <v>19011</v>
      </c>
      <c r="K38" s="19">
        <f t="shared" si="1"/>
        <v>0.5101296052808114</v>
      </c>
    </row>
    <row r="39" spans="2:11" ht="15">
      <c r="B39" t="s">
        <v>73</v>
      </c>
      <c r="E39" s="99">
        <v>36471</v>
      </c>
      <c r="F39" s="99">
        <v>17276</v>
      </c>
      <c r="G39" s="19">
        <f t="shared" si="0"/>
        <v>0.47369142606454445</v>
      </c>
      <c r="H39" s="99"/>
      <c r="I39" s="593">
        <v>37251</v>
      </c>
      <c r="J39" s="593">
        <v>18977</v>
      </c>
      <c r="K39" s="19">
        <f t="shared" si="1"/>
        <v>0.5094359882956162</v>
      </c>
    </row>
    <row r="40" spans="2:11" ht="15">
      <c r="B40" t="s">
        <v>92</v>
      </c>
      <c r="E40" s="99">
        <v>36465</v>
      </c>
      <c r="F40" s="99">
        <v>17383</v>
      </c>
      <c r="G40" s="19">
        <f t="shared" si="0"/>
        <v>0.47670368846839434</v>
      </c>
      <c r="H40" s="99"/>
      <c r="I40" s="593">
        <v>37272</v>
      </c>
      <c r="J40" s="593">
        <v>18909</v>
      </c>
      <c r="K40" s="19">
        <f t="shared" si="1"/>
        <v>0.5073245331616226</v>
      </c>
    </row>
    <row r="41" spans="2:11" ht="15">
      <c r="B41" t="s">
        <v>75</v>
      </c>
      <c r="E41" s="99">
        <v>36465</v>
      </c>
      <c r="F41" s="99">
        <v>17366</v>
      </c>
      <c r="G41" s="19">
        <f t="shared" si="0"/>
        <v>0.4762374880021939</v>
      </c>
      <c r="H41" s="99"/>
      <c r="I41" s="593">
        <v>37207</v>
      </c>
      <c r="J41" s="593">
        <v>18813</v>
      </c>
      <c r="K41" s="19">
        <f t="shared" si="1"/>
        <v>0.505630660897143</v>
      </c>
    </row>
    <row r="42" spans="2:11" ht="15">
      <c r="B42" t="s">
        <v>106</v>
      </c>
      <c r="E42" s="99">
        <v>36424</v>
      </c>
      <c r="F42" s="99">
        <v>17462</v>
      </c>
      <c r="G42" s="19">
        <f t="shared" si="0"/>
        <v>0.4794091807599385</v>
      </c>
      <c r="H42" s="99"/>
      <c r="I42" s="593">
        <v>37253</v>
      </c>
      <c r="J42" s="593">
        <v>18823</v>
      </c>
      <c r="K42" s="19">
        <f t="shared" si="1"/>
        <v>0.5052747429737202</v>
      </c>
    </row>
    <row r="43" spans="2:11" ht="15">
      <c r="B43" t="s">
        <v>107</v>
      </c>
      <c r="E43" s="99">
        <v>36519</v>
      </c>
      <c r="F43" s="99">
        <v>17570</v>
      </c>
      <c r="G43" s="19">
        <f t="shared" si="0"/>
        <v>0.48111941728963004</v>
      </c>
      <c r="H43" s="99"/>
      <c r="I43" s="593">
        <v>37310</v>
      </c>
      <c r="J43" s="593">
        <v>18897</v>
      </c>
      <c r="K43" s="19">
        <f t="shared" si="1"/>
        <v>0.5064861967300992</v>
      </c>
    </row>
    <row r="44" spans="2:11" ht="15">
      <c r="B44" t="s">
        <v>108</v>
      </c>
      <c r="E44" s="99">
        <v>36669</v>
      </c>
      <c r="F44" s="99">
        <v>17769</v>
      </c>
      <c r="G44" s="19">
        <f t="shared" si="0"/>
        <v>0.484578254111102</v>
      </c>
      <c r="H44" s="99"/>
      <c r="I44" s="593">
        <v>37310</v>
      </c>
      <c r="J44" s="593">
        <v>18897</v>
      </c>
      <c r="K44" s="19">
        <f t="shared" si="1"/>
        <v>0.5064861967300992</v>
      </c>
    </row>
    <row r="45" spans="2:11" ht="15">
      <c r="B45" t="s">
        <v>79</v>
      </c>
      <c r="E45" s="99">
        <v>36833</v>
      </c>
      <c r="F45" s="99">
        <v>17948</v>
      </c>
      <c r="G45" s="19">
        <f t="shared" si="0"/>
        <v>0.48728042787717535</v>
      </c>
      <c r="H45" s="99"/>
      <c r="I45" s="593">
        <v>37562</v>
      </c>
      <c r="J45" s="593">
        <v>19319</v>
      </c>
      <c r="K45" s="19">
        <f t="shared" si="1"/>
        <v>0.5143229859964858</v>
      </c>
    </row>
    <row r="46" spans="2:11" ht="15">
      <c r="B46" t="s">
        <v>87</v>
      </c>
      <c r="E46" s="99">
        <v>36979</v>
      </c>
      <c r="F46" s="99">
        <v>18126</v>
      </c>
      <c r="G46" s="19">
        <f t="shared" si="0"/>
        <v>0.4901700965412802</v>
      </c>
      <c r="H46" s="99"/>
      <c r="I46" s="593">
        <v>37634</v>
      </c>
      <c r="J46" s="593">
        <v>19499</v>
      </c>
      <c r="K46" s="19">
        <f t="shared" si="1"/>
        <v>0.5181219110378913</v>
      </c>
    </row>
    <row r="47" spans="2:11" ht="15">
      <c r="B47" t="s">
        <v>88</v>
      </c>
      <c r="E47" s="99">
        <v>37073</v>
      </c>
      <c r="F47" s="99">
        <v>18156</v>
      </c>
      <c r="G47" s="19">
        <f t="shared" si="0"/>
        <v>0.48973646589161923</v>
      </c>
      <c r="H47" s="99"/>
      <c r="I47" s="593">
        <v>37688</v>
      </c>
      <c r="J47" s="593">
        <v>19553</v>
      </c>
      <c r="K47" s="19">
        <f t="shared" si="1"/>
        <v>0.5188123540649544</v>
      </c>
    </row>
    <row r="48" spans="2:11" ht="15">
      <c r="B48" t="s">
        <v>89</v>
      </c>
      <c r="E48" s="99">
        <v>37151</v>
      </c>
      <c r="F48" s="99">
        <v>18221</v>
      </c>
      <c r="G48" s="19">
        <f t="shared" si="0"/>
        <v>0.490457861161207</v>
      </c>
      <c r="H48" s="99"/>
      <c r="I48" s="593">
        <v>37747</v>
      </c>
      <c r="J48" s="593">
        <v>19632</v>
      </c>
      <c r="K48" s="19">
        <f t="shared" si="1"/>
        <v>0.5200943121307654</v>
      </c>
    </row>
    <row r="49" spans="2:11" ht="17.25">
      <c r="B49" t="s">
        <v>90</v>
      </c>
      <c r="E49" s="129">
        <v>37164</v>
      </c>
      <c r="F49" s="129">
        <v>18268</v>
      </c>
      <c r="G49" s="594">
        <f t="shared" si="0"/>
        <v>0.4915509632978151</v>
      </c>
      <c r="H49" s="99"/>
      <c r="I49" s="129">
        <v>37799</v>
      </c>
      <c r="J49" s="129">
        <v>19636</v>
      </c>
      <c r="K49" s="594">
        <f t="shared" si="1"/>
        <v>0.5194846424508585</v>
      </c>
    </row>
    <row r="50" spans="5:12" ht="15">
      <c r="E50" s="589">
        <f>AVERAGE(E26:E49)</f>
        <v>36690.708333333336</v>
      </c>
      <c r="F50" s="589">
        <f>AVERAGE(F26:F49)</f>
        <v>17579.25</v>
      </c>
      <c r="G50" s="152">
        <f t="shared" si="0"/>
        <v>0.47911994067526176</v>
      </c>
      <c r="H50" s="590"/>
      <c r="I50" s="589">
        <f>AVERAGE(I26:I49)</f>
        <v>37267.083333333336</v>
      </c>
      <c r="J50" s="589">
        <f>AVERAGE(J26:J49)</f>
        <v>18870.166666666668</v>
      </c>
      <c r="K50" s="152">
        <f t="shared" si="1"/>
        <v>0.5063494370590669</v>
      </c>
      <c r="L50" s="26">
        <f>+K50-G50</f>
        <v>0.02722949638380512</v>
      </c>
    </row>
    <row r="51" ht="15">
      <c r="H51" s="99"/>
    </row>
  </sheetData>
  <sheetProtection/>
  <mergeCells count="2">
    <mergeCell ref="E23:G23"/>
    <mergeCell ref="I23:K2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21"/>
  <sheetViews>
    <sheetView zoomScalePageLayoutView="0" workbookViewId="0" topLeftCell="A13">
      <selection activeCell="A37" sqref="A37"/>
    </sheetView>
  </sheetViews>
  <sheetFormatPr defaultColWidth="9.140625" defaultRowHeight="12.75"/>
  <cols>
    <col min="8" max="8" width="11.421875" style="0" bestFit="1" customWidth="1"/>
    <col min="9" max="9" width="3.00390625" style="0" customWidth="1"/>
    <col min="11" max="11" width="11.00390625" style="0" bestFit="1" customWidth="1"/>
    <col min="14" max="14" width="12.28125" style="0" bestFit="1" customWidth="1"/>
    <col min="17" max="17" width="12.28125" style="0" bestFit="1" customWidth="1"/>
  </cols>
  <sheetData>
    <row r="1" ht="23.25">
      <c r="A1" s="571" t="s">
        <v>365</v>
      </c>
    </row>
    <row r="2" ht="23.25">
      <c r="A2" s="571"/>
    </row>
    <row r="4" spans="3:12" ht="18.75">
      <c r="C4" s="595"/>
      <c r="E4" s="623" t="s">
        <v>366</v>
      </c>
      <c r="F4" s="623"/>
      <c r="G4" s="623"/>
      <c r="H4" s="623"/>
      <c r="I4" s="623"/>
      <c r="J4" s="623"/>
      <c r="K4" s="623"/>
      <c r="L4" s="623"/>
    </row>
    <row r="5" spans="5:12" ht="15">
      <c r="E5" s="13" t="s">
        <v>300</v>
      </c>
      <c r="F5" s="13" t="s">
        <v>300</v>
      </c>
      <c r="G5" s="13" t="s">
        <v>300</v>
      </c>
      <c r="H5" s="13" t="s">
        <v>367</v>
      </c>
      <c r="I5" s="13"/>
      <c r="J5" s="13" t="s">
        <v>368</v>
      </c>
      <c r="K5" s="13" t="s">
        <v>369</v>
      </c>
      <c r="L5" s="596" t="s">
        <v>370</v>
      </c>
    </row>
    <row r="6" spans="5:12" ht="15">
      <c r="E6" s="570">
        <v>2014</v>
      </c>
      <c r="F6" s="570">
        <v>2015</v>
      </c>
      <c r="G6" s="570">
        <v>2016</v>
      </c>
      <c r="H6" s="570" t="s">
        <v>371</v>
      </c>
      <c r="I6" s="570"/>
      <c r="J6" s="570">
        <v>2017</v>
      </c>
      <c r="K6" s="570">
        <v>2017</v>
      </c>
      <c r="L6" s="597" t="s">
        <v>372</v>
      </c>
    </row>
    <row r="7" spans="1:12" ht="15.75">
      <c r="A7" s="574" t="s">
        <v>346</v>
      </c>
      <c r="L7" s="99"/>
    </row>
    <row r="8" spans="1:12" ht="15">
      <c r="A8" s="575" t="s">
        <v>347</v>
      </c>
      <c r="B8" s="575"/>
      <c r="L8" s="99"/>
    </row>
    <row r="9" spans="1:12" ht="15">
      <c r="A9" s="576"/>
      <c r="B9" s="576" t="s">
        <v>348</v>
      </c>
      <c r="E9" s="592">
        <v>30051</v>
      </c>
      <c r="F9" s="592">
        <v>31387</v>
      </c>
      <c r="G9" s="592">
        <v>32176</v>
      </c>
      <c r="H9" s="592">
        <f>AVERAGE(E9:G9)</f>
        <v>31204.666666666668</v>
      </c>
      <c r="I9" s="592"/>
      <c r="J9" s="592">
        <v>24123</v>
      </c>
      <c r="K9" s="99">
        <f>+J9/9*12</f>
        <v>32164</v>
      </c>
      <c r="L9" s="99">
        <f>+K9-H9</f>
        <v>959.3333333333321</v>
      </c>
    </row>
    <row r="10" spans="1:12" ht="15">
      <c r="A10" s="576"/>
      <c r="B10" s="576" t="s">
        <v>349</v>
      </c>
      <c r="E10" s="592">
        <v>31157</v>
      </c>
      <c r="F10" s="592">
        <v>32319</v>
      </c>
      <c r="G10" s="592">
        <v>33663</v>
      </c>
      <c r="H10" s="592">
        <f>AVERAGE(E10:G10)</f>
        <v>32379.666666666668</v>
      </c>
      <c r="I10" s="592"/>
      <c r="J10" s="592">
        <v>23963</v>
      </c>
      <c r="K10" s="99">
        <f>+J10/9*12</f>
        <v>31950.666666666668</v>
      </c>
      <c r="L10" s="99">
        <f>+K10-H10</f>
        <v>-429</v>
      </c>
    </row>
    <row r="11" spans="1:12" ht="17.25">
      <c r="A11" s="576"/>
      <c r="B11" s="576" t="s">
        <v>350</v>
      </c>
      <c r="E11" s="598">
        <v>55234</v>
      </c>
      <c r="F11" s="598">
        <v>55895</v>
      </c>
      <c r="G11" s="598">
        <v>59563</v>
      </c>
      <c r="H11" s="598">
        <f>AVERAGE(E11:G11)</f>
        <v>56897.333333333336</v>
      </c>
      <c r="I11" s="598"/>
      <c r="J11" s="598">
        <f>46417-3300</f>
        <v>43117</v>
      </c>
      <c r="K11" s="129">
        <f>+J11/9*12</f>
        <v>57489.33333333333</v>
      </c>
      <c r="L11" s="129">
        <f>+K11-H11</f>
        <v>591.9999999999927</v>
      </c>
    </row>
    <row r="12" spans="1:12" ht="15">
      <c r="A12" s="581"/>
      <c r="B12" s="582" t="s">
        <v>351</v>
      </c>
      <c r="C12" s="96"/>
      <c r="E12" s="599">
        <f>+E11+E10+E9</f>
        <v>116442</v>
      </c>
      <c r="F12" s="599">
        <f>+F11+F10+F9</f>
        <v>119601</v>
      </c>
      <c r="G12" s="599">
        <f>+G11+G10+G9</f>
        <v>125402</v>
      </c>
      <c r="H12" s="599">
        <f>+H11+H10+H9</f>
        <v>120481.66666666667</v>
      </c>
      <c r="I12" s="599"/>
      <c r="J12" s="599">
        <f>+J11+J10+J9</f>
        <v>91203</v>
      </c>
      <c r="K12" s="599">
        <f>+K11+K10+K9</f>
        <v>121604</v>
      </c>
      <c r="L12" s="600">
        <f>+L11+L10+L9</f>
        <v>1122.3333333333248</v>
      </c>
    </row>
    <row r="13" spans="1:12" ht="15">
      <c r="A13" s="575" t="s">
        <v>352</v>
      </c>
      <c r="B13" s="575"/>
      <c r="G13" s="592"/>
      <c r="J13" s="592"/>
      <c r="L13" s="99"/>
    </row>
    <row r="14" spans="1:12" ht="15">
      <c r="A14" s="576"/>
      <c r="B14" s="576" t="s">
        <v>353</v>
      </c>
      <c r="E14" s="592">
        <v>2146</v>
      </c>
      <c r="F14" s="592">
        <v>2336</v>
      </c>
      <c r="G14" s="592">
        <v>2403</v>
      </c>
      <c r="H14" s="592">
        <f>AVERAGE(E14:G14)</f>
        <v>2295</v>
      </c>
      <c r="I14" s="592"/>
      <c r="J14" s="592">
        <v>1749</v>
      </c>
      <c r="K14" s="99">
        <f>+J14/9*12</f>
        <v>2332</v>
      </c>
      <c r="L14" s="99">
        <f>+K14-H14</f>
        <v>37</v>
      </c>
    </row>
    <row r="15" spans="1:12" ht="15">
      <c r="A15" s="576"/>
      <c r="B15" s="576" t="s">
        <v>354</v>
      </c>
      <c r="E15" s="592">
        <v>38</v>
      </c>
      <c r="F15" s="592">
        <v>29</v>
      </c>
      <c r="G15" s="592">
        <v>29</v>
      </c>
      <c r="H15" s="592">
        <f>AVERAGE(E15:G15)</f>
        <v>32</v>
      </c>
      <c r="I15" s="592"/>
      <c r="J15" s="592">
        <v>22</v>
      </c>
      <c r="K15" s="99">
        <f>+J15/9*12</f>
        <v>29.333333333333336</v>
      </c>
      <c r="L15" s="99">
        <f>+K15-H15</f>
        <v>-2.6666666666666643</v>
      </c>
    </row>
    <row r="16" spans="1:17" ht="17.25">
      <c r="A16" s="576"/>
      <c r="B16" s="576" t="s">
        <v>355</v>
      </c>
      <c r="E16" s="598">
        <v>26520</v>
      </c>
      <c r="F16" s="598">
        <v>25817</v>
      </c>
      <c r="G16" s="598">
        <v>24552</v>
      </c>
      <c r="H16" s="598">
        <f>AVERAGE(E16:G16)</f>
        <v>25629.666666666668</v>
      </c>
      <c r="I16" s="598"/>
      <c r="J16" s="598">
        <f>16443+3300</f>
        <v>19743</v>
      </c>
      <c r="K16" s="129">
        <f>+J16/9*12</f>
        <v>26324</v>
      </c>
      <c r="L16" s="129">
        <f>+K16-H16</f>
        <v>694.3333333333321</v>
      </c>
      <c r="N16" s="106"/>
      <c r="P16" s="86"/>
      <c r="Q16" s="106"/>
    </row>
    <row r="17" spans="1:12" ht="15">
      <c r="A17" s="581"/>
      <c r="B17" s="575" t="s">
        <v>356</v>
      </c>
      <c r="C17" s="96"/>
      <c r="E17" s="599">
        <f>+E16+E15+E14</f>
        <v>28704</v>
      </c>
      <c r="F17" s="599">
        <f>+F16+F15+F14</f>
        <v>28182</v>
      </c>
      <c r="G17" s="599">
        <f>+G16+G15+G14</f>
        <v>26984</v>
      </c>
      <c r="H17" s="599">
        <f>+H16+H15+H14</f>
        <v>27956.666666666668</v>
      </c>
      <c r="I17" s="599"/>
      <c r="J17" s="599">
        <f>+J16+J15+J14</f>
        <v>21514</v>
      </c>
      <c r="K17" s="599">
        <f>+K16+K15+K14</f>
        <v>28685.333333333332</v>
      </c>
      <c r="L17" s="600">
        <f>+L16+L15+L14</f>
        <v>728.6666666666655</v>
      </c>
    </row>
    <row r="18" spans="1:12" ht="15">
      <c r="A18" s="586" t="s">
        <v>357</v>
      </c>
      <c r="B18" s="586"/>
      <c r="C18" s="96"/>
      <c r="E18" s="589">
        <f>+E17+E12</f>
        <v>145146</v>
      </c>
      <c r="F18" s="589">
        <f>+F17+F12</f>
        <v>147783</v>
      </c>
      <c r="G18" s="589">
        <f>+G17+G12</f>
        <v>152386</v>
      </c>
      <c r="H18" s="589">
        <f>+H17+H12</f>
        <v>148438.33333333334</v>
      </c>
      <c r="I18" s="589"/>
      <c r="J18" s="589">
        <f>+J17+J12</f>
        <v>112717</v>
      </c>
      <c r="K18" s="589">
        <f>+K17+K12</f>
        <v>150289.33333333334</v>
      </c>
      <c r="L18" s="601">
        <f>+L17+L12</f>
        <v>1850.9999999999905</v>
      </c>
    </row>
    <row r="19" spans="1:12" ht="15">
      <c r="A19" s="586"/>
      <c r="B19" s="586"/>
      <c r="C19" s="96"/>
      <c r="E19" s="588"/>
      <c r="F19" s="588"/>
      <c r="G19" s="588"/>
      <c r="H19" s="588"/>
      <c r="I19" s="588"/>
      <c r="J19" s="588"/>
      <c r="L19" s="99"/>
    </row>
    <row r="20" spans="2:12" ht="15">
      <c r="B20" s="96" t="s">
        <v>358</v>
      </c>
      <c r="C20" s="96"/>
      <c r="E20" s="589">
        <f>+E9+E10+E14+E15</f>
        <v>63392</v>
      </c>
      <c r="F20" s="589">
        <f>+F9+F10+F14+F15</f>
        <v>66071</v>
      </c>
      <c r="G20" s="589">
        <f>+G9+G10+G14+G15</f>
        <v>68271</v>
      </c>
      <c r="H20" s="589">
        <f>+H9+H10+H14+H15</f>
        <v>65911.33333333334</v>
      </c>
      <c r="I20" s="589"/>
      <c r="J20" s="589">
        <f>+J9+J10+J14+J15</f>
        <v>49857</v>
      </c>
      <c r="K20" s="589">
        <f>+K9+K10+K14+K15</f>
        <v>66476</v>
      </c>
      <c r="L20" s="589">
        <f>+L9+L10+L14+L15</f>
        <v>564.6666666666655</v>
      </c>
    </row>
    <row r="21" spans="1:12" ht="15">
      <c r="A21" s="33"/>
      <c r="B21" s="33"/>
      <c r="C21" s="96"/>
      <c r="E21" s="152">
        <f>+E20/E18</f>
        <v>0.4367464484036763</v>
      </c>
      <c r="F21" s="152">
        <f>+F20/F18</f>
        <v>0.44708119337136204</v>
      </c>
      <c r="G21" s="152">
        <f>+G20/G18</f>
        <v>0.44801359704959776</v>
      </c>
      <c r="H21" s="152">
        <f>+H20/H18</f>
        <v>0.4440317528041948</v>
      </c>
      <c r="I21" s="152"/>
      <c r="J21" s="152">
        <f>+J20/J18</f>
        <v>0.4423201469166142</v>
      </c>
      <c r="K21" s="152">
        <f>+K20/K18</f>
        <v>0.44232014691661414</v>
      </c>
      <c r="L21" s="152">
        <f>+K21-H21</f>
        <v>-0.0017116058875806806</v>
      </c>
    </row>
  </sheetData>
  <sheetProtection/>
  <mergeCells count="1">
    <mergeCell ref="E4:L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D82"/>
  <sheetViews>
    <sheetView zoomScalePageLayoutView="0" workbookViewId="0" topLeftCell="A37">
      <selection activeCell="Z71" sqref="Z71"/>
    </sheetView>
  </sheetViews>
  <sheetFormatPr defaultColWidth="12.57421875" defaultRowHeight="12.75"/>
  <cols>
    <col min="1" max="1" width="28.7109375" style="238" customWidth="1"/>
    <col min="2" max="2" width="14.7109375" style="238" customWidth="1"/>
    <col min="3" max="3" width="11.28125" style="238" bestFit="1" customWidth="1"/>
    <col min="4" max="4" width="10.421875" style="238" bestFit="1" customWidth="1"/>
    <col min="5" max="5" width="11.8515625" style="238" hidden="1" customWidth="1"/>
    <col min="6" max="6" width="11.28125" style="238" hidden="1" customWidth="1"/>
    <col min="7" max="7" width="14.8515625" style="238" hidden="1" customWidth="1"/>
    <col min="8" max="8" width="11.28125" style="238" hidden="1" customWidth="1"/>
    <col min="9" max="11" width="11.8515625" style="238" hidden="1" customWidth="1"/>
    <col min="12" max="12" width="11.28125" style="238" hidden="1" customWidth="1"/>
    <col min="13" max="13" width="11.8515625" style="238" hidden="1" customWidth="1"/>
    <col min="14" max="14" width="12.00390625" style="238" hidden="1" customWidth="1"/>
    <col min="15" max="17" width="12.8515625" style="238" bestFit="1" customWidth="1"/>
    <col min="18" max="18" width="11.8515625" style="238" customWidth="1"/>
    <col min="19" max="20" width="14.57421875" style="238" bestFit="1" customWidth="1"/>
    <col min="21" max="21" width="15.7109375" style="238" customWidth="1"/>
    <col min="22" max="23" width="12.28125" style="238" customWidth="1"/>
    <col min="24" max="24" width="12.8515625" style="238" bestFit="1" customWidth="1"/>
    <col min="25" max="25" width="12.28125" style="238" customWidth="1"/>
    <col min="26" max="26" width="15.57421875" style="238" bestFit="1" customWidth="1"/>
    <col min="27" max="27" width="2.7109375" style="238" customWidth="1"/>
    <col min="28" max="28" width="11.8515625" style="238" bestFit="1" customWidth="1"/>
    <col min="29" max="29" width="12.57421875" style="238" customWidth="1"/>
    <col min="30" max="30" width="13.421875" style="238" bestFit="1" customWidth="1"/>
    <col min="31" max="16384" width="12.57421875" style="238" customWidth="1"/>
  </cols>
  <sheetData>
    <row r="1" spans="1:27" ht="12.75">
      <c r="A1" s="235" t="s">
        <v>273</v>
      </c>
      <c r="B1" s="236"/>
      <c r="C1" s="236"/>
      <c r="D1" s="237"/>
      <c r="AA1" s="239"/>
    </row>
    <row r="2" spans="1:27" ht="12.75">
      <c r="A2" s="240" t="s">
        <v>275</v>
      </c>
      <c r="B2" s="241"/>
      <c r="C2" s="241"/>
      <c r="D2" s="242"/>
      <c r="AA2" s="239"/>
    </row>
    <row r="3" spans="1:27" ht="12.75">
      <c r="A3" s="243" t="s">
        <v>188</v>
      </c>
      <c r="B3" s="244"/>
      <c r="C3" s="244"/>
      <c r="D3" s="245"/>
      <c r="AA3" s="239"/>
    </row>
    <row r="4" ht="16.5" customHeight="1" thickBot="1">
      <c r="AA4" s="239"/>
    </row>
    <row r="5" spans="1:27" ht="12.75">
      <c r="A5" s="246" t="s">
        <v>189</v>
      </c>
      <c r="C5" s="247" t="s">
        <v>105</v>
      </c>
      <c r="D5" s="247" t="s">
        <v>276</v>
      </c>
      <c r="T5" s="248"/>
      <c r="U5" s="249"/>
      <c r="V5" s="250" t="s">
        <v>190</v>
      </c>
      <c r="W5" s="251"/>
      <c r="X5" s="307"/>
      <c r="Y5" s="307"/>
      <c r="AA5" s="239"/>
    </row>
    <row r="6" spans="1:27" ht="12.75">
      <c r="A6" s="238" t="s">
        <v>191</v>
      </c>
      <c r="C6" s="343">
        <v>8.82</v>
      </c>
      <c r="D6" s="252">
        <f>+C6</f>
        <v>8.82</v>
      </c>
      <c r="T6" s="253"/>
      <c r="U6" s="254"/>
      <c r="V6" s="255" t="s">
        <v>192</v>
      </c>
      <c r="W6" s="256" t="s">
        <v>193</v>
      </c>
      <c r="X6" s="392"/>
      <c r="Y6" s="392"/>
      <c r="AA6" s="239"/>
    </row>
    <row r="7" spans="1:27" ht="12.75">
      <c r="A7" s="238" t="s">
        <v>194</v>
      </c>
      <c r="C7" s="380">
        <f>+U27</f>
        <v>-1.35</v>
      </c>
      <c r="D7" s="380">
        <f>+V27</f>
        <v>-0.54</v>
      </c>
      <c r="T7" s="258"/>
      <c r="U7" s="259" t="s">
        <v>195</v>
      </c>
      <c r="V7" s="260">
        <f aca="true" t="shared" si="0" ref="V7:V16">+W7*$V$17</f>
        <v>9728.919270975262</v>
      </c>
      <c r="W7" s="261">
        <f>+'CRC Prices &amp; Revenue'!C234</f>
        <v>0.3004915658731921</v>
      </c>
      <c r="X7" s="393"/>
      <c r="Y7" s="393"/>
      <c r="AA7" s="239"/>
    </row>
    <row r="8" spans="3:27" ht="12.75">
      <c r="C8" s="262"/>
      <c r="D8" s="262"/>
      <c r="T8" s="258"/>
      <c r="U8" s="259" t="s">
        <v>1</v>
      </c>
      <c r="V8" s="260">
        <f t="shared" si="0"/>
        <v>6659.410452175008</v>
      </c>
      <c r="W8" s="261">
        <f>+'CRC Prices &amp; Revenue'!E234</f>
        <v>0.2056854023381955</v>
      </c>
      <c r="X8" s="393"/>
      <c r="Y8" s="393"/>
      <c r="AA8" s="239"/>
    </row>
    <row r="9" spans="1:27" ht="13.5" thickBot="1">
      <c r="A9" s="241" t="s">
        <v>196</v>
      </c>
      <c r="B9" s="241"/>
      <c r="C9" s="263">
        <f>C6+C7</f>
        <v>7.470000000000001</v>
      </c>
      <c r="D9" s="263">
        <f>D6+D7</f>
        <v>8.280000000000001</v>
      </c>
      <c r="T9" s="258"/>
      <c r="U9" s="259" t="s">
        <v>197</v>
      </c>
      <c r="V9" s="260">
        <f t="shared" si="0"/>
        <v>7433.842507797904</v>
      </c>
      <c r="W9" s="261">
        <f>+'CRC Prices &amp; Revenue'!D234</f>
        <v>0.2296048423679606</v>
      </c>
      <c r="X9" s="393"/>
      <c r="Y9" s="393"/>
      <c r="AA9" s="239"/>
    </row>
    <row r="10" spans="20:27" ht="13.5" thickTop="1">
      <c r="T10" s="258"/>
      <c r="U10" s="259" t="s">
        <v>198</v>
      </c>
      <c r="V10" s="260">
        <f t="shared" si="0"/>
        <v>176.76906575712243</v>
      </c>
      <c r="W10" s="261">
        <f>+'CRC Prices &amp; Revenue'!F234</f>
        <v>0.005459765045616858</v>
      </c>
      <c r="X10" s="393"/>
      <c r="Y10" s="393"/>
      <c r="AA10" s="239"/>
    </row>
    <row r="11" spans="3:27" ht="12.75">
      <c r="C11" s="381"/>
      <c r="D11" s="252"/>
      <c r="K11" s="264"/>
      <c r="L11" s="264"/>
      <c r="M11" s="264"/>
      <c r="T11" s="258"/>
      <c r="U11" s="259" t="s">
        <v>199</v>
      </c>
      <c r="V11" s="260">
        <f t="shared" si="0"/>
        <v>385.4323793251903</v>
      </c>
      <c r="W11" s="261">
        <f>+'CRC Prices &amp; Revenue'!G234</f>
        <v>0.011904629484097514</v>
      </c>
      <c r="X11" s="393"/>
      <c r="Y11" s="393"/>
      <c r="AA11" s="239"/>
    </row>
    <row r="12" spans="1:27" ht="12.75">
      <c r="A12" s="246" t="s">
        <v>200</v>
      </c>
      <c r="D12" s="252"/>
      <c r="K12" s="264"/>
      <c r="L12" s="264"/>
      <c r="M12" s="264"/>
      <c r="T12" s="258"/>
      <c r="U12" s="259" t="s">
        <v>201</v>
      </c>
      <c r="V12" s="260">
        <f t="shared" si="0"/>
        <v>7220.683186212325</v>
      </c>
      <c r="W12" s="261">
        <f>+'CRC Prices &amp; Revenue'!H234</f>
        <v>0.22302111230096244</v>
      </c>
      <c r="X12" s="393"/>
      <c r="Y12" s="393"/>
      <c r="AA12" s="239"/>
    </row>
    <row r="13" spans="1:27" ht="12.75">
      <c r="A13" s="238" t="s">
        <v>191</v>
      </c>
      <c r="C13" s="343">
        <f>+D13</f>
        <v>8.82</v>
      </c>
      <c r="D13" s="252">
        <f>+D6</f>
        <v>8.82</v>
      </c>
      <c r="K13" s="264"/>
      <c r="L13" s="264"/>
      <c r="M13" s="264"/>
      <c r="T13" s="258"/>
      <c r="U13" s="259" t="s">
        <v>202</v>
      </c>
      <c r="V13" s="260">
        <f t="shared" si="0"/>
        <v>409.1709337951093</v>
      </c>
      <c r="W13" s="261">
        <f>+'CRC Prices &amp; Revenue'!I234</f>
        <v>0.012637828640710204</v>
      </c>
      <c r="X13" s="393"/>
      <c r="Y13" s="393"/>
      <c r="AA13" s="239"/>
    </row>
    <row r="14" spans="1:27" ht="12.75">
      <c r="A14" s="238" t="s">
        <v>194</v>
      </c>
      <c r="C14" s="382">
        <f>-Z71</f>
        <v>-2.72</v>
      </c>
      <c r="D14" s="257">
        <f>-Z69</f>
        <v>-1.9000000000000001</v>
      </c>
      <c r="E14" s="265"/>
      <c r="K14" s="264"/>
      <c r="L14" s="264"/>
      <c r="M14" s="264"/>
      <c r="T14" s="258"/>
      <c r="U14" s="259" t="s">
        <v>203</v>
      </c>
      <c r="V14" s="260">
        <f t="shared" si="0"/>
        <v>89.83146059696716</v>
      </c>
      <c r="W14" s="261">
        <f>+'CRC Prices &amp; Revenue'!J234</f>
        <v>0.0027745729517963903</v>
      </c>
      <c r="X14" s="393"/>
      <c r="Y14" s="393"/>
      <c r="AA14" s="239"/>
    </row>
    <row r="15" spans="1:27" s="241" customFormat="1" ht="12.75">
      <c r="A15" s="238"/>
      <c r="B15" s="238"/>
      <c r="C15" s="238"/>
      <c r="D15" s="252"/>
      <c r="J15" s="238"/>
      <c r="K15" s="264"/>
      <c r="L15" s="264"/>
      <c r="M15" s="266"/>
      <c r="T15" s="258"/>
      <c r="U15" s="259" t="s">
        <v>204</v>
      </c>
      <c r="V15" s="260">
        <f t="shared" si="0"/>
        <v>96.87429441244873</v>
      </c>
      <c r="W15" s="261">
        <f>+'CRC Prices &amp; Revenue'!K234</f>
        <v>0.0029921009322898063</v>
      </c>
      <c r="X15" s="393"/>
      <c r="Y15" s="393"/>
      <c r="AA15" s="267"/>
    </row>
    <row r="16" spans="1:27" ht="15.75" thickBot="1">
      <c r="A16" s="241" t="s">
        <v>196</v>
      </c>
      <c r="B16" s="241"/>
      <c r="C16" s="263">
        <f>C13+C14</f>
        <v>6.1</v>
      </c>
      <c r="D16" s="263">
        <f>D13+D14</f>
        <v>6.92</v>
      </c>
      <c r="K16" s="264"/>
      <c r="L16" s="264"/>
      <c r="M16" s="264"/>
      <c r="T16" s="258"/>
      <c r="U16" s="259" t="s">
        <v>205</v>
      </c>
      <c r="V16" s="268">
        <f t="shared" si="0"/>
        <v>175.74644895266906</v>
      </c>
      <c r="W16" s="269">
        <f>+'CRC Prices &amp; Revenue'!L234</f>
        <v>0.005428180065178673</v>
      </c>
      <c r="X16" s="393"/>
      <c r="Y16" s="394"/>
      <c r="AA16" s="239"/>
    </row>
    <row r="17" spans="11:27" ht="16.5" thickBot="1" thickTop="1">
      <c r="K17" s="264"/>
      <c r="L17" s="264"/>
      <c r="M17" s="264"/>
      <c r="N17" s="270"/>
      <c r="T17" s="271"/>
      <c r="U17" s="272"/>
      <c r="V17" s="273">
        <f>SUM('2016-2017 Recy. Tons &amp; Revenue'!G101:G112)</f>
        <v>32376.680000000004</v>
      </c>
      <c r="W17" s="274">
        <f>+V17/$V$17</f>
        <v>1</v>
      </c>
      <c r="X17" s="395"/>
      <c r="Y17" s="395"/>
      <c r="AA17" s="239"/>
    </row>
    <row r="18" spans="1:27" ht="14.25" thickBot="1" thickTop="1">
      <c r="A18" s="275"/>
      <c r="B18" s="275"/>
      <c r="C18" s="275"/>
      <c r="D18" s="275"/>
      <c r="E18" s="275"/>
      <c r="F18" s="276"/>
      <c r="G18" s="276"/>
      <c r="H18" s="277"/>
      <c r="I18" s="278"/>
      <c r="J18" s="275"/>
      <c r="K18" s="275"/>
      <c r="L18" s="275"/>
      <c r="M18" s="275"/>
      <c r="N18" s="275"/>
      <c r="O18" s="275"/>
      <c r="P18" s="275"/>
      <c r="Q18" s="275"/>
      <c r="R18" s="275"/>
      <c r="S18" s="275"/>
      <c r="T18" s="275"/>
      <c r="U18" s="275"/>
      <c r="V18" s="275"/>
      <c r="W18" s="275"/>
      <c r="X18" s="275"/>
      <c r="Y18" s="275"/>
      <c r="Z18" s="275"/>
      <c r="AA18" s="239"/>
    </row>
    <row r="19" spans="1:27" ht="14.25" thickBot="1" thickTop="1">
      <c r="A19" s="241" t="s">
        <v>206</v>
      </c>
      <c r="B19" s="279">
        <f>+D36</f>
        <v>95288.58333333333</v>
      </c>
      <c r="O19" s="611" t="s">
        <v>274</v>
      </c>
      <c r="P19" s="611"/>
      <c r="Q19" s="611"/>
      <c r="R19" s="611"/>
      <c r="AA19" s="239"/>
    </row>
    <row r="20" spans="1:27" ht="14.25" thickBot="1" thickTop="1">
      <c r="A20" s="241" t="s">
        <v>207</v>
      </c>
      <c r="B20" s="280">
        <f>ROUND((SUM(O24:P35))/(SUM(D24:D35)),2)</f>
        <v>2.45</v>
      </c>
      <c r="D20" s="281"/>
      <c r="O20" s="612" t="s">
        <v>208</v>
      </c>
      <c r="P20" s="612"/>
      <c r="Q20" s="612"/>
      <c r="R20" s="612"/>
      <c r="AA20" s="239"/>
    </row>
    <row r="21" spans="4:27" ht="13.5" thickTop="1">
      <c r="D21" s="281"/>
      <c r="Q21" s="281" t="s">
        <v>119</v>
      </c>
      <c r="T21" s="281" t="s">
        <v>295</v>
      </c>
      <c r="U21" s="281" t="s">
        <v>105</v>
      </c>
      <c r="V21" s="281" t="s">
        <v>276</v>
      </c>
      <c r="W21" s="281" t="s">
        <v>105</v>
      </c>
      <c r="X21" s="281" t="s">
        <v>277</v>
      </c>
      <c r="AA21" s="239"/>
    </row>
    <row r="22" spans="1:27" ht="12.75">
      <c r="A22" s="241"/>
      <c r="B22" s="281" t="s">
        <v>105</v>
      </c>
      <c r="C22" s="281" t="s">
        <v>276</v>
      </c>
      <c r="D22" s="281" t="s">
        <v>100</v>
      </c>
      <c r="O22" s="281" t="s">
        <v>105</v>
      </c>
      <c r="P22" s="281" t="s">
        <v>276</v>
      </c>
      <c r="Q22" s="281" t="s">
        <v>286</v>
      </c>
      <c r="R22" s="281" t="s">
        <v>209</v>
      </c>
      <c r="S22" s="282"/>
      <c r="T22" s="281" t="s">
        <v>210</v>
      </c>
      <c r="U22" s="281" t="s">
        <v>211</v>
      </c>
      <c r="V22" s="281" t="s">
        <v>211</v>
      </c>
      <c r="W22" s="281" t="s">
        <v>100</v>
      </c>
      <c r="X22" s="281" t="s">
        <v>100</v>
      </c>
      <c r="AA22" s="239"/>
    </row>
    <row r="23" spans="2:27" ht="12.75">
      <c r="B23" s="247" t="s">
        <v>121</v>
      </c>
      <c r="C23" s="247" t="s">
        <v>121</v>
      </c>
      <c r="D23" s="247" t="s">
        <v>121</v>
      </c>
      <c r="O23" s="247" t="s">
        <v>190</v>
      </c>
      <c r="P23" s="247" t="s">
        <v>190</v>
      </c>
      <c r="Q23" s="283" t="s">
        <v>184</v>
      </c>
      <c r="R23" s="247" t="s">
        <v>190</v>
      </c>
      <c r="S23" s="247" t="s">
        <v>212</v>
      </c>
      <c r="T23" s="247" t="s">
        <v>69</v>
      </c>
      <c r="U23" s="247" t="s">
        <v>213</v>
      </c>
      <c r="V23" s="247" t="s">
        <v>213</v>
      </c>
      <c r="W23" s="247" t="s">
        <v>214</v>
      </c>
      <c r="X23" s="247" t="s">
        <v>214</v>
      </c>
      <c r="AA23" s="239"/>
    </row>
    <row r="24" spans="1:27" ht="12.75">
      <c r="A24" s="284" t="s">
        <v>293</v>
      </c>
      <c r="B24" s="328">
        <v>1717</v>
      </c>
      <c r="C24" s="284">
        <f>+D24-B24</f>
        <v>92308</v>
      </c>
      <c r="D24" s="285">
        <f>+'Customer Counts'!G18+'Customer Counts'!H18</f>
        <v>94025</v>
      </c>
      <c r="O24" s="286">
        <f>+'2016-2017 Recy. Tons &amp; Revenue'!O101*'Customer Counts'!AC6</f>
        <v>3471.154832990099</v>
      </c>
      <c r="P24" s="286">
        <f>+'2016-2017 Recy. Tons &amp; Revenue'!O101-O24</f>
        <v>178229.07215009423</v>
      </c>
      <c r="Q24" s="287">
        <f>-P24*$C$81</f>
        <v>-80203.08246754241</v>
      </c>
      <c r="R24" s="286">
        <f aca="true" t="shared" si="1" ref="R24:R35">+Q24+P24+O24</f>
        <v>101497.14451554192</v>
      </c>
      <c r="S24" s="252">
        <f aca="true" t="shared" si="2" ref="S24:S35">R24/D24</f>
        <v>1.079469763526104</v>
      </c>
      <c r="T24" s="288">
        <f>ROUND((SUM($E$41:$X$41)+R24)/(SUM($E$56:$X$56)+D24),2)</f>
        <v>2.44</v>
      </c>
      <c r="U24" s="252">
        <v>-2.11</v>
      </c>
      <c r="V24" s="252">
        <v>-1.04</v>
      </c>
      <c r="W24" s="287">
        <f aca="true" t="shared" si="3" ref="W24:W35">+U24*B24</f>
        <v>-3622.87</v>
      </c>
      <c r="X24" s="287">
        <f aca="true" t="shared" si="4" ref="X24:X35">+V24*C24</f>
        <v>-96000.32</v>
      </c>
      <c r="AA24" s="239"/>
    </row>
    <row r="25" spans="1:27" ht="12.75">
      <c r="A25" s="284" t="s">
        <v>73</v>
      </c>
      <c r="B25" s="328">
        <v>1705</v>
      </c>
      <c r="C25" s="284">
        <f aca="true" t="shared" si="5" ref="C25:C35">+D25-B25</f>
        <v>92543</v>
      </c>
      <c r="D25" s="285">
        <f>+'Customer Counts'!G19+'Customer Counts'!H19</f>
        <v>94248</v>
      </c>
      <c r="O25" s="286">
        <f>+'2016-2017 Recy. Tons &amp; Revenue'!O102*'Customer Counts'!AC7</f>
        <v>4364.001872449357</v>
      </c>
      <c r="P25" s="286">
        <f>+'2016-2017 Recy. Tons &amp; Revenue'!O102-O25</f>
        <v>224953.54898292496</v>
      </c>
      <c r="Q25" s="287">
        <f>-P25*$C$81</f>
        <v>-101229.09704231624</v>
      </c>
      <c r="R25" s="286">
        <f t="shared" si="1"/>
        <v>128088.45381305808</v>
      </c>
      <c r="S25" s="252">
        <f t="shared" si="2"/>
        <v>1.3590575270887242</v>
      </c>
      <c r="T25" s="288">
        <f>ROUND((SUM($E$41:$X$41)+R25+R24)/(SUM($E$56:$X$56)+D25+D24),2)</f>
        <v>2.44</v>
      </c>
      <c r="U25" s="252">
        <f>+U24</f>
        <v>-2.11</v>
      </c>
      <c r="V25" s="252">
        <f>+V24</f>
        <v>-1.04</v>
      </c>
      <c r="W25" s="287">
        <f t="shared" si="3"/>
        <v>-3597.5499999999997</v>
      </c>
      <c r="X25" s="287">
        <f t="shared" si="4"/>
        <v>-96244.72</v>
      </c>
      <c r="AA25" s="239"/>
    </row>
    <row r="26" spans="1:27" ht="12.75">
      <c r="A26" s="284" t="s">
        <v>92</v>
      </c>
      <c r="B26" s="328">
        <v>1690</v>
      </c>
      <c r="C26" s="284">
        <f t="shared" si="5"/>
        <v>92758</v>
      </c>
      <c r="D26" s="285">
        <f>+'Customer Counts'!G20+'Customer Counts'!H20</f>
        <v>94448</v>
      </c>
      <c r="O26" s="286">
        <f>+'2016-2017 Recy. Tons &amp; Revenue'!O103*'Customer Counts'!AC8</f>
        <v>4698.714923827706</v>
      </c>
      <c r="P26" s="286">
        <f>+'2016-2017 Recy. Tons &amp; Revenue'!O103-O26</f>
        <v>244387.6223301627</v>
      </c>
      <c r="Q26" s="287">
        <f aca="true" t="shared" si="6" ref="Q26:Q35">-P26*$C$81</f>
        <v>-109974.43004857322</v>
      </c>
      <c r="R26" s="286">
        <f t="shared" si="1"/>
        <v>139111.9072054172</v>
      </c>
      <c r="S26" s="252">
        <f t="shared" si="2"/>
        <v>1.4728941555715018</v>
      </c>
      <c r="T26" s="288">
        <f>ROUND((SUM($E$41:$X$41)+R26+R25+R24)/(SUM($E$56:$X$56)+D26+D25+D24),2)</f>
        <v>2.43</v>
      </c>
      <c r="U26" s="252">
        <f>+U25</f>
        <v>-2.11</v>
      </c>
      <c r="V26" s="252">
        <f>+V25</f>
        <v>-1.04</v>
      </c>
      <c r="W26" s="287">
        <f t="shared" si="3"/>
        <v>-3565.8999999999996</v>
      </c>
      <c r="X26" s="287">
        <f t="shared" si="4"/>
        <v>-96468.32</v>
      </c>
      <c r="AA26" s="239"/>
    </row>
    <row r="27" spans="1:27" ht="12.75">
      <c r="A27" s="284" t="s">
        <v>133</v>
      </c>
      <c r="B27" s="107">
        <v>1687</v>
      </c>
      <c r="C27" s="284">
        <f t="shared" si="5"/>
        <v>92738</v>
      </c>
      <c r="D27" s="285">
        <f>+'Customer Counts'!G21+'Customer Counts'!H21</f>
        <v>94425</v>
      </c>
      <c r="O27" s="286">
        <f>+'2016-2017 Recy. Tons &amp; Revenue'!O104*'Customer Counts'!AC9</f>
        <v>5190.021148205095</v>
      </c>
      <c r="P27" s="286">
        <f>+'2016-2017 Recy. Tons &amp; Revenue'!O104-O27</f>
        <v>272129.1030528352</v>
      </c>
      <c r="Q27" s="287">
        <f t="shared" si="6"/>
        <v>-122458.09637377584</v>
      </c>
      <c r="R27" s="286">
        <f t="shared" si="1"/>
        <v>154861.02782726445</v>
      </c>
      <c r="S27" s="252">
        <f t="shared" si="2"/>
        <v>1.6400426563649928</v>
      </c>
      <c r="T27" s="288">
        <f>ROUND((SUM($E$41:$X$41)+R27+R26+R25+R24)/(SUM($E$56:$X$56)+D27+D26+D25+D24),2)</f>
        <v>2.43</v>
      </c>
      <c r="U27" s="252">
        <v>-1.35</v>
      </c>
      <c r="V27" s="252">
        <v>-0.54</v>
      </c>
      <c r="W27" s="287">
        <f t="shared" si="3"/>
        <v>-2277.4500000000003</v>
      </c>
      <c r="X27" s="287">
        <f t="shared" si="4"/>
        <v>-50078.520000000004</v>
      </c>
      <c r="AA27" s="239"/>
    </row>
    <row r="28" spans="1:27" ht="12.75">
      <c r="A28" s="284" t="s">
        <v>106</v>
      </c>
      <c r="B28" s="107">
        <v>1685</v>
      </c>
      <c r="C28" s="284">
        <f t="shared" si="5"/>
        <v>92934</v>
      </c>
      <c r="D28" s="285">
        <f>+'Customer Counts'!G22+'Customer Counts'!H22</f>
        <v>94619</v>
      </c>
      <c r="O28" s="286">
        <f>+'2016-2017 Recy. Tons &amp; Revenue'!O105*'Customer Counts'!AC10</f>
        <v>4309.437149024902</v>
      </c>
      <c r="P28" s="286">
        <f>+'2016-2017 Recy. Tons &amp; Revenue'!O105-O28</f>
        <v>225915.40315718143</v>
      </c>
      <c r="Q28" s="287">
        <f t="shared" si="6"/>
        <v>-101661.93142073165</v>
      </c>
      <c r="R28" s="286">
        <f t="shared" si="1"/>
        <v>128562.90888547468</v>
      </c>
      <c r="S28" s="252">
        <f t="shared" si="2"/>
        <v>1.3587430525103275</v>
      </c>
      <c r="T28" s="288">
        <f>ROUND((SUM($E$41:$X$41)+R28+R27+R26+R25+R24)/(SUM($E$56:$X$56)+D28+D27+D26+D25+D24),2)</f>
        <v>2.42</v>
      </c>
      <c r="U28" s="252">
        <f aca="true" t="shared" si="7" ref="U28:V35">+U27</f>
        <v>-1.35</v>
      </c>
      <c r="V28" s="252">
        <f t="shared" si="7"/>
        <v>-0.54</v>
      </c>
      <c r="W28" s="287">
        <f t="shared" si="3"/>
        <v>-2274.75</v>
      </c>
      <c r="X28" s="287">
        <f t="shared" si="4"/>
        <v>-50184.36</v>
      </c>
      <c r="AA28" s="239"/>
    </row>
    <row r="29" spans="1:27" ht="12.75">
      <c r="A29" s="284" t="s">
        <v>107</v>
      </c>
      <c r="B29" s="107">
        <v>1692</v>
      </c>
      <c r="C29" s="284">
        <f t="shared" si="5"/>
        <v>93230</v>
      </c>
      <c r="D29" s="285">
        <f>+'Customer Counts'!G23+'Customer Counts'!H23</f>
        <v>94922</v>
      </c>
      <c r="O29" s="286">
        <f>+'2016-2017 Recy. Tons &amp; Revenue'!O106*'Customer Counts'!AC11</f>
        <v>5722.644809107198</v>
      </c>
      <c r="P29" s="286">
        <f>+'2016-2017 Recy. Tons &amp; Revenue'!O106-O29</f>
        <v>298971.84653399186</v>
      </c>
      <c r="Q29" s="287">
        <f t="shared" si="6"/>
        <v>-134537.33094029635</v>
      </c>
      <c r="R29" s="286">
        <f t="shared" si="1"/>
        <v>170157.16040280272</v>
      </c>
      <c r="S29" s="252">
        <f t="shared" si="2"/>
        <v>1.7925998230421054</v>
      </c>
      <c r="T29" s="288">
        <f>ROUND((SUM($E$41:$X$41)+R29+R28+R27+R26+R25+R24)/(SUM($E$56:$X$56)+D29+D28+D27+D26+D25+D24),2)</f>
        <v>2.42</v>
      </c>
      <c r="U29" s="252">
        <f t="shared" si="7"/>
        <v>-1.35</v>
      </c>
      <c r="V29" s="252">
        <f t="shared" si="7"/>
        <v>-0.54</v>
      </c>
      <c r="W29" s="287">
        <f t="shared" si="3"/>
        <v>-2284.2000000000003</v>
      </c>
      <c r="X29" s="287">
        <f t="shared" si="4"/>
        <v>-50344.200000000004</v>
      </c>
      <c r="AA29" s="239"/>
    </row>
    <row r="30" spans="1:27" ht="12.75">
      <c r="A30" s="284" t="s">
        <v>108</v>
      </c>
      <c r="B30" s="107">
        <v>1692</v>
      </c>
      <c r="C30" s="284">
        <f t="shared" si="5"/>
        <v>93570</v>
      </c>
      <c r="D30" s="285">
        <f>+'Customer Counts'!G24+'Customer Counts'!H24</f>
        <v>95262</v>
      </c>
      <c r="O30" s="286">
        <f>+'2016-2017 Recy. Tons &amp; Revenue'!O107*'Customer Counts'!AC12</f>
        <v>3163.0358641925413</v>
      </c>
      <c r="P30" s="286">
        <f>+'2016-2017 Recy. Tons &amp; Revenue'!O107-O30</f>
        <v>166409.3085593013</v>
      </c>
      <c r="Q30" s="287">
        <f t="shared" si="6"/>
        <v>-74884.1888516856</v>
      </c>
      <c r="R30" s="286">
        <f t="shared" si="1"/>
        <v>94688.15557180825</v>
      </c>
      <c r="S30" s="252">
        <f t="shared" si="2"/>
        <v>0.9939761454914683</v>
      </c>
      <c r="T30" s="288">
        <f>ROUND((SUM($E$41:$X$41)+R30+R29+R28+R27+R26+R25+R24)/(SUM($E$56:$X$56)+D30+D29+D28+D27+D26+D25+D24),2)</f>
        <v>2.41</v>
      </c>
      <c r="U30" s="252">
        <f t="shared" si="7"/>
        <v>-1.35</v>
      </c>
      <c r="V30" s="252">
        <f t="shared" si="7"/>
        <v>-0.54</v>
      </c>
      <c r="W30" s="287">
        <f t="shared" si="3"/>
        <v>-2284.2000000000003</v>
      </c>
      <c r="X30" s="287">
        <f t="shared" si="4"/>
        <v>-50527.8</v>
      </c>
      <c r="AA30" s="239"/>
    </row>
    <row r="31" spans="1:27" ht="12.75">
      <c r="A31" s="284" t="s">
        <v>79</v>
      </c>
      <c r="B31" s="107">
        <v>1684</v>
      </c>
      <c r="C31" s="284">
        <f t="shared" si="5"/>
        <v>93914</v>
      </c>
      <c r="D31" s="285">
        <f>+'Customer Counts'!G25+'Customer Counts'!H25</f>
        <v>95598</v>
      </c>
      <c r="O31" s="286">
        <f>+'2016-2017 Recy. Tons &amp; Revenue'!O108*'Customer Counts'!AC13</f>
        <v>3863.7422281073596</v>
      </c>
      <c r="P31" s="286">
        <f>+'2016-2017 Recy. Tons &amp; Revenue'!O108-O31</f>
        <v>203217.68052496118</v>
      </c>
      <c r="Q31" s="287">
        <f t="shared" si="6"/>
        <v>-91447.95623623254</v>
      </c>
      <c r="R31" s="286">
        <f t="shared" si="1"/>
        <v>115633.466516836</v>
      </c>
      <c r="S31" s="252">
        <f t="shared" si="2"/>
        <v>1.2095803941174081</v>
      </c>
      <c r="T31" s="288">
        <f>ROUND((SUM($E$41:$X$41)+R31+R30+R29+R28+R27+R26+R25+R24)/(SUM($E$56:$X$56)+D31+D30+D29+D28+D27+D26+D25+D24),2)</f>
        <v>2.4</v>
      </c>
      <c r="U31" s="252">
        <f t="shared" si="7"/>
        <v>-1.35</v>
      </c>
      <c r="V31" s="252">
        <f t="shared" si="7"/>
        <v>-0.54</v>
      </c>
      <c r="W31" s="287">
        <f t="shared" si="3"/>
        <v>-2273.4</v>
      </c>
      <c r="X31" s="287">
        <f t="shared" si="4"/>
        <v>-50713.560000000005</v>
      </c>
      <c r="AA31" s="239"/>
    </row>
    <row r="32" spans="1:27" ht="12.75">
      <c r="A32" s="284" t="s">
        <v>87</v>
      </c>
      <c r="B32" s="107">
        <v>1683</v>
      </c>
      <c r="C32" s="284">
        <f t="shared" si="5"/>
        <v>94226</v>
      </c>
      <c r="D32" s="285">
        <f>+'Customer Counts'!G26+'Customer Counts'!H26</f>
        <v>95909</v>
      </c>
      <c r="O32" s="286">
        <f>+'2016-2017 Recy. Tons &amp; Revenue'!O109*'Customer Counts'!AC14</f>
        <v>5034.223595081243</v>
      </c>
      <c r="P32" s="286">
        <f>+'2016-2017 Recy. Tons &amp; Revenue'!O109-O32</f>
        <v>264578.6668293703</v>
      </c>
      <c r="Q32" s="287">
        <f t="shared" si="6"/>
        <v>-119060.40007321665</v>
      </c>
      <c r="R32" s="286">
        <f t="shared" si="1"/>
        <v>150552.4903512349</v>
      </c>
      <c r="S32" s="252">
        <f t="shared" si="2"/>
        <v>1.569743093466045</v>
      </c>
      <c r="T32" s="288">
        <f>ROUND((SUM($E$41:$X$41)+R32+R31+R30+R29+R28+R27+R26+R25+R24)/(SUM($E$56:$X$56)+D32+D31+D30+D29+D28+D27+D26+D25+D24),2)</f>
        <v>2.4</v>
      </c>
      <c r="U32" s="252">
        <f t="shared" si="7"/>
        <v>-1.35</v>
      </c>
      <c r="V32" s="252">
        <f t="shared" si="7"/>
        <v>-0.54</v>
      </c>
      <c r="W32" s="287">
        <f t="shared" si="3"/>
        <v>-2272.05</v>
      </c>
      <c r="X32" s="287">
        <f t="shared" si="4"/>
        <v>-50882.04</v>
      </c>
      <c r="AA32" s="239"/>
    </row>
    <row r="33" spans="1:27" ht="12.75">
      <c r="A33" s="284" t="s">
        <v>88</v>
      </c>
      <c r="B33" s="107">
        <v>1678</v>
      </c>
      <c r="C33" s="284">
        <f t="shared" si="5"/>
        <v>94463</v>
      </c>
      <c r="D33" s="285">
        <f>+'Customer Counts'!G27+'Customer Counts'!H27</f>
        <v>96141</v>
      </c>
      <c r="O33" s="286">
        <f>+'2016-2017 Recy. Tons &amp; Revenue'!O110*'Customer Counts'!AC15</f>
        <v>5045.758004758781</v>
      </c>
      <c r="P33" s="286">
        <f>+'2016-2017 Recy. Tons &amp; Revenue'!O110-O33</f>
        <v>266394.5389865713</v>
      </c>
      <c r="Q33" s="287">
        <f t="shared" si="6"/>
        <v>-119877.5425439571</v>
      </c>
      <c r="R33" s="286">
        <f t="shared" si="1"/>
        <v>151562.75444737298</v>
      </c>
      <c r="S33" s="252">
        <f t="shared" si="2"/>
        <v>1.576463261744448</v>
      </c>
      <c r="T33" s="288">
        <f>ROUND((SUM($E$41:$X$41)+R33+R32+R31+R30+R29+R28+R27+R26+R25+R24)/(SUM($E$56:$X$56)+D33+D32+D31+D30+D29+D28+D27+D26+D25+D24),2)</f>
        <v>2.4</v>
      </c>
      <c r="U33" s="252">
        <f t="shared" si="7"/>
        <v>-1.35</v>
      </c>
      <c r="V33" s="252">
        <f t="shared" si="7"/>
        <v>-0.54</v>
      </c>
      <c r="W33" s="287">
        <f t="shared" si="3"/>
        <v>-2265.3</v>
      </c>
      <c r="X33" s="287">
        <f t="shared" si="4"/>
        <v>-51010.020000000004</v>
      </c>
      <c r="AA33" s="239"/>
    </row>
    <row r="34" spans="1:27" ht="12.75">
      <c r="A34" s="284" t="s">
        <v>89</v>
      </c>
      <c r="B34" s="107">
        <v>1671</v>
      </c>
      <c r="C34" s="284">
        <f t="shared" si="5"/>
        <v>94881</v>
      </c>
      <c r="D34" s="285">
        <f>+'Customer Counts'!G28+'Customer Counts'!H28</f>
        <v>96552</v>
      </c>
      <c r="O34" s="286">
        <f>+'2016-2017 Recy. Tons &amp; Revenue'!O111*'Customer Counts'!AC16</f>
        <v>4564.4896388913885</v>
      </c>
      <c r="P34" s="286">
        <f>+'2016-2017 Recy. Tons &amp; Revenue'!O111-O34</f>
        <v>241757.93139689165</v>
      </c>
      <c r="Q34" s="287">
        <f t="shared" si="6"/>
        <v>-108791.06912860124</v>
      </c>
      <c r="R34" s="286">
        <f t="shared" si="1"/>
        <v>137531.35190718182</v>
      </c>
      <c r="S34" s="252">
        <f t="shared" si="2"/>
        <v>1.4244277892449853</v>
      </c>
      <c r="T34" s="288">
        <f>ROUND((SUM($E$41:$X$41)+R34+R33+R32+R31+R30+R29+R28+R27+R26+R25+R24)/(SUM($E$56:$X$56)+D34+D33+D32+D31+D30+D29+D28+D27+D26+D25+D24),2)</f>
        <v>2.39</v>
      </c>
      <c r="U34" s="252">
        <f t="shared" si="7"/>
        <v>-1.35</v>
      </c>
      <c r="V34" s="252">
        <f t="shared" si="7"/>
        <v>-0.54</v>
      </c>
      <c r="W34" s="287">
        <f t="shared" si="3"/>
        <v>-2255.8500000000004</v>
      </c>
      <c r="X34" s="287">
        <f t="shared" si="4"/>
        <v>-51235.740000000005</v>
      </c>
      <c r="AA34" s="239"/>
    </row>
    <row r="35" spans="1:30" ht="15">
      <c r="A35" s="284" t="s">
        <v>90</v>
      </c>
      <c r="B35" s="486">
        <v>1660</v>
      </c>
      <c r="C35" s="383">
        <f t="shared" si="5"/>
        <v>95654</v>
      </c>
      <c r="D35" s="289">
        <f>+'Customer Counts'!G29+'Customer Counts'!H29</f>
        <v>97314</v>
      </c>
      <c r="O35" s="291">
        <f>+'2016-2017 Recy. Tons &amp; Revenue'!O112*'Customer Counts'!AC17</f>
        <v>3118.700927175749</v>
      </c>
      <c r="P35" s="291">
        <f>+'2016-2017 Recy. Tons &amp; Revenue'!O112-O35</f>
        <v>166554.85396687547</v>
      </c>
      <c r="Q35" s="292">
        <f t="shared" si="6"/>
        <v>-74949.68428509396</v>
      </c>
      <c r="R35" s="291">
        <f t="shared" si="1"/>
        <v>94723.87060895725</v>
      </c>
      <c r="S35" s="252">
        <f t="shared" si="2"/>
        <v>0.9733837948183945</v>
      </c>
      <c r="T35" s="288">
        <f>ROUND((SUM($E$41:$X$41)+R35+R34+R33+R32+R31+R30+R29+R28+R27+R26+R25+R24)/(SUM($E$56:$X$56)+D35+D34+D33+D32+D31+D30+D29+D28+D27+D26+D25+D24),2)</f>
        <v>2.38</v>
      </c>
      <c r="U35" s="252">
        <f t="shared" si="7"/>
        <v>-1.35</v>
      </c>
      <c r="V35" s="252">
        <f t="shared" si="7"/>
        <v>-0.54</v>
      </c>
      <c r="W35" s="292">
        <f t="shared" si="3"/>
        <v>-2241</v>
      </c>
      <c r="X35" s="292">
        <f t="shared" si="4"/>
        <v>-51653.16</v>
      </c>
      <c r="AA35" s="239"/>
      <c r="AD35" s="381">
        <f>+P36+'NS(KC) Deferred Acct.'!P36+'Sea_SS Deferred Acct.'!P36</f>
        <v>3902107.769291407</v>
      </c>
    </row>
    <row r="36" spans="1:27" ht="15">
      <c r="A36" s="293"/>
      <c r="B36" s="294">
        <f>AVERAGE(B24:B35)</f>
        <v>1687</v>
      </c>
      <c r="C36" s="294">
        <f>AVERAGE(C24:C35)</f>
        <v>93601.58333333333</v>
      </c>
      <c r="D36" s="294">
        <f>AVERAGE(D24:D35)</f>
        <v>95288.58333333333</v>
      </c>
      <c r="O36" s="483">
        <f>SUM(O24:O35)</f>
        <v>52545.92499381143</v>
      </c>
      <c r="P36" s="483">
        <f>SUM(P24:P35)</f>
        <v>2753499.5764711616</v>
      </c>
      <c r="Q36" s="296">
        <f>SUM(Q24:Q35)</f>
        <v>-1239074.809412023</v>
      </c>
      <c r="R36" s="296">
        <f>SUM(R24:R35)</f>
        <v>1566970.6920529502</v>
      </c>
      <c r="T36" s="241"/>
      <c r="U36" s="241"/>
      <c r="V36" s="298"/>
      <c r="W36" s="296">
        <f>SUM(W24:W35)</f>
        <v>-31214.520000000004</v>
      </c>
      <c r="X36" s="296">
        <f>SUM(X24:X35)</f>
        <v>-745342.7600000001</v>
      </c>
      <c r="AA36" s="239"/>
    </row>
    <row r="37" spans="1:27" ht="15.75" thickBot="1">
      <c r="A37" s="293"/>
      <c r="B37" s="384">
        <f>+B36/D36</f>
        <v>0.017704114606244367</v>
      </c>
      <c r="C37" s="384">
        <f>+C36/D36</f>
        <v>0.9822958853937557</v>
      </c>
      <c r="D37" s="294"/>
      <c r="E37" s="295"/>
      <c r="F37" s="295"/>
      <c r="G37" s="296"/>
      <c r="H37" s="296"/>
      <c r="J37" s="241"/>
      <c r="K37" s="241"/>
      <c r="L37" s="298"/>
      <c r="M37" s="296"/>
      <c r="N37" s="296"/>
      <c r="O37" s="296"/>
      <c r="P37" s="296"/>
      <c r="Q37" s="296"/>
      <c r="R37" s="385"/>
      <c r="S37" s="296"/>
      <c r="T37" s="296"/>
      <c r="U37" s="296"/>
      <c r="V37" s="296"/>
      <c r="W37" s="296"/>
      <c r="X37" s="296"/>
      <c r="Y37" s="296"/>
      <c r="AA37" s="239"/>
    </row>
    <row r="38" spans="1:27" ht="12.75">
      <c r="A38" s="275"/>
      <c r="B38" s="275"/>
      <c r="C38" s="275"/>
      <c r="D38" s="386"/>
      <c r="E38" s="299"/>
      <c r="F38" s="300"/>
      <c r="G38" s="299"/>
      <c r="H38" s="299"/>
      <c r="I38" s="299"/>
      <c r="J38" s="299"/>
      <c r="K38" s="299"/>
      <c r="L38" s="299"/>
      <c r="M38" s="299"/>
      <c r="N38" s="299"/>
      <c r="O38" s="299"/>
      <c r="P38" s="299"/>
      <c r="Q38" s="299"/>
      <c r="R38" s="299"/>
      <c r="S38" s="299"/>
      <c r="T38" s="299"/>
      <c r="U38" s="299"/>
      <c r="V38" s="299"/>
      <c r="W38" s="299"/>
      <c r="X38" s="299"/>
      <c r="Y38" s="299"/>
      <c r="Z38" s="301"/>
      <c r="AA38" s="239"/>
    </row>
    <row r="39" spans="4:29" s="302" customFormat="1" ht="12.75">
      <c r="D39" s="303" t="s">
        <v>215</v>
      </c>
      <c r="E39" s="304" t="s">
        <v>216</v>
      </c>
      <c r="F39" s="304" t="s">
        <v>217</v>
      </c>
      <c r="G39" s="304" t="s">
        <v>218</v>
      </c>
      <c r="H39" s="304" t="s">
        <v>219</v>
      </c>
      <c r="I39" s="304" t="s">
        <v>220</v>
      </c>
      <c r="J39" s="303" t="s">
        <v>221</v>
      </c>
      <c r="K39" s="303" t="s">
        <v>222</v>
      </c>
      <c r="L39" s="303" t="s">
        <v>223</v>
      </c>
      <c r="M39" s="303" t="s">
        <v>224</v>
      </c>
      <c r="N39" s="303" t="s">
        <v>225</v>
      </c>
      <c r="O39" s="303" t="s">
        <v>226</v>
      </c>
      <c r="P39" s="303" t="s">
        <v>227</v>
      </c>
      <c r="Q39" s="303" t="s">
        <v>228</v>
      </c>
      <c r="R39" s="303" t="s">
        <v>229</v>
      </c>
      <c r="S39" s="303" t="s">
        <v>230</v>
      </c>
      <c r="T39" s="303" t="s">
        <v>231</v>
      </c>
      <c r="U39" s="303" t="s">
        <v>232</v>
      </c>
      <c r="V39" s="303" t="s">
        <v>233</v>
      </c>
      <c r="W39" s="303" t="s">
        <v>234</v>
      </c>
      <c r="X39" s="303" t="s">
        <v>284</v>
      </c>
      <c r="Y39" s="303" t="s">
        <v>291</v>
      </c>
      <c r="Z39" s="305" t="s">
        <v>210</v>
      </c>
      <c r="AA39" s="306"/>
      <c r="AB39" s="238"/>
      <c r="AC39" s="238"/>
    </row>
    <row r="40" spans="1:27" ht="12.75">
      <c r="A40" s="254"/>
      <c r="B40" s="307"/>
      <c r="C40" s="308"/>
      <c r="D40" s="309" t="s">
        <v>235</v>
      </c>
      <c r="E40" s="310" t="s">
        <v>236</v>
      </c>
      <c r="F40" s="310" t="s">
        <v>237</v>
      </c>
      <c r="G40" s="310" t="s">
        <v>238</v>
      </c>
      <c r="H40" s="310" t="s">
        <v>239</v>
      </c>
      <c r="I40" s="310" t="s">
        <v>240</v>
      </c>
      <c r="J40" s="310" t="s">
        <v>241</v>
      </c>
      <c r="K40" s="310" t="s">
        <v>242</v>
      </c>
      <c r="L40" s="310" t="s">
        <v>243</v>
      </c>
      <c r="M40" s="310" t="s">
        <v>244</v>
      </c>
      <c r="N40" s="310" t="s">
        <v>245</v>
      </c>
      <c r="O40" s="310" t="s">
        <v>246</v>
      </c>
      <c r="P40" s="310" t="s">
        <v>247</v>
      </c>
      <c r="Q40" s="310" t="s">
        <v>248</v>
      </c>
      <c r="R40" s="310" t="s">
        <v>249</v>
      </c>
      <c r="S40" s="310" t="s">
        <v>250</v>
      </c>
      <c r="T40" s="310" t="s">
        <v>251</v>
      </c>
      <c r="U40" s="310" t="s">
        <v>252</v>
      </c>
      <c r="V40" s="310" t="s">
        <v>253</v>
      </c>
      <c r="W40" s="310" t="s">
        <v>254</v>
      </c>
      <c r="X40" s="310" t="s">
        <v>285</v>
      </c>
      <c r="Y40" s="310" t="s">
        <v>292</v>
      </c>
      <c r="Z40" s="311" t="s">
        <v>100</v>
      </c>
      <c r="AA40" s="239"/>
    </row>
    <row r="41" spans="1:28" ht="12.75">
      <c r="A41" s="238" t="s">
        <v>255</v>
      </c>
      <c r="C41" s="312"/>
      <c r="E41" s="287">
        <v>694985</v>
      </c>
      <c r="F41" s="287">
        <v>996889</v>
      </c>
      <c r="G41" s="287">
        <v>908006</v>
      </c>
      <c r="H41" s="287">
        <v>1237681</v>
      </c>
      <c r="I41" s="287">
        <v>1535761</v>
      </c>
      <c r="J41" s="287">
        <v>1457115</v>
      </c>
      <c r="K41" s="287">
        <v>1454226</v>
      </c>
      <c r="L41" s="287">
        <v>1497145</v>
      </c>
      <c r="M41" s="313">
        <v>2012824</v>
      </c>
      <c r="N41" s="313">
        <v>2238229</v>
      </c>
      <c r="O41" s="313">
        <v>2440401</v>
      </c>
      <c r="P41" s="313">
        <v>3186456</v>
      </c>
      <c r="Q41" s="313">
        <v>2010646.0000000002</v>
      </c>
      <c r="R41" s="313">
        <v>2306368.9999999995</v>
      </c>
      <c r="S41" s="313">
        <v>4639983</v>
      </c>
      <c r="T41" s="313">
        <v>3408276</v>
      </c>
      <c r="U41" s="313">
        <v>3091893</v>
      </c>
      <c r="V41" s="313">
        <v>2966764</v>
      </c>
      <c r="W41" s="313">
        <v>2560059</v>
      </c>
      <c r="X41" s="313">
        <v>1948422</v>
      </c>
      <c r="Y41" s="313">
        <f>+O36+P36</f>
        <v>2806045.501464973</v>
      </c>
      <c r="Z41" s="314">
        <f>SUM(E41:Y41)</f>
        <v>45398175.50146497</v>
      </c>
      <c r="AA41" s="239"/>
      <c r="AB41" s="286"/>
    </row>
    <row r="42" spans="3:27" ht="12.75">
      <c r="C42" s="312"/>
      <c r="E42" s="315"/>
      <c r="F42" s="287"/>
      <c r="G42" s="287"/>
      <c r="H42" s="287"/>
      <c r="I42" s="287"/>
      <c r="J42" s="287"/>
      <c r="K42" s="287"/>
      <c r="L42" s="287"/>
      <c r="M42" s="287"/>
      <c r="N42" s="287"/>
      <c r="O42" s="287"/>
      <c r="P42" s="287"/>
      <c r="Q42" s="287"/>
      <c r="R42" s="287"/>
      <c r="S42" s="287"/>
      <c r="T42" s="287"/>
      <c r="U42" s="287"/>
      <c r="V42" s="287"/>
      <c r="W42" s="287"/>
      <c r="X42" s="287"/>
      <c r="Y42" s="287"/>
      <c r="Z42" s="314"/>
      <c r="AA42" s="239"/>
    </row>
    <row r="43" spans="1:27" ht="12.75">
      <c r="A43" s="316" t="s">
        <v>256</v>
      </c>
      <c r="C43" s="317"/>
      <c r="E43" s="315"/>
      <c r="F43" s="287"/>
      <c r="G43" s="287"/>
      <c r="H43" s="287"/>
      <c r="I43" s="287"/>
      <c r="J43" s="287"/>
      <c r="K43" s="287"/>
      <c r="L43" s="285">
        <v>-377183.8456351437</v>
      </c>
      <c r="M43" s="318">
        <v>-591868</v>
      </c>
      <c r="N43" s="318">
        <v>-658312</v>
      </c>
      <c r="O43" s="484">
        <v>-717963</v>
      </c>
      <c r="P43" s="484">
        <v>-937815</v>
      </c>
      <c r="Q43" s="484">
        <v>-591888</v>
      </c>
      <c r="R43" s="484">
        <v>-679300</v>
      </c>
      <c r="S43" s="484">
        <v>-2118583</v>
      </c>
      <c r="T43" s="484">
        <v>-1187333</v>
      </c>
      <c r="U43" s="484">
        <v>-1087534</v>
      </c>
      <c r="V43" s="484">
        <v>-1065841</v>
      </c>
      <c r="W43" s="484">
        <v>-878827</v>
      </c>
      <c r="X43" s="484">
        <v>-815080</v>
      </c>
      <c r="Y43" s="484">
        <f>+Q36</f>
        <v>-1239074.809412023</v>
      </c>
      <c r="Z43" s="485">
        <f>SUM(E43:Y43)</f>
        <v>-12946602.655047167</v>
      </c>
      <c r="AA43" s="239"/>
    </row>
    <row r="44" spans="3:27" ht="12.75">
      <c r="C44" s="312"/>
      <c r="E44" s="315"/>
      <c r="F44" s="287"/>
      <c r="G44" s="287"/>
      <c r="H44" s="287"/>
      <c r="I44" s="287"/>
      <c r="J44" s="287"/>
      <c r="K44" s="287"/>
      <c r="L44" s="287"/>
      <c r="M44" s="287"/>
      <c r="N44" s="315"/>
      <c r="O44" s="315"/>
      <c r="P44" s="315"/>
      <c r="Q44" s="315"/>
      <c r="R44" s="315"/>
      <c r="S44" s="315"/>
      <c r="T44" s="315"/>
      <c r="U44" s="315"/>
      <c r="V44" s="315"/>
      <c r="W44" s="315"/>
      <c r="X44" s="315"/>
      <c r="Y44" s="315"/>
      <c r="Z44" s="314"/>
      <c r="AA44" s="239"/>
    </row>
    <row r="45" spans="1:28" ht="12.75">
      <c r="A45" s="238" t="s">
        <v>257</v>
      </c>
      <c r="C45" s="312"/>
      <c r="E45" s="320">
        <v>-1115522</v>
      </c>
      <c r="F45" s="320">
        <v>-616393</v>
      </c>
      <c r="G45" s="320">
        <v>-1577587</v>
      </c>
      <c r="H45" s="320">
        <v>-369737</v>
      </c>
      <c r="I45" s="321">
        <v>-1251358</v>
      </c>
      <c r="J45" s="321">
        <v>-1893276</v>
      </c>
      <c r="K45" s="321">
        <v>-1644004</v>
      </c>
      <c r="L45" s="321">
        <v>-881552.17</v>
      </c>
      <c r="M45" s="321">
        <v>-1096165.9</v>
      </c>
      <c r="N45" s="321">
        <v>-1620703.6</v>
      </c>
      <c r="O45" s="321">
        <v>-1708752</v>
      </c>
      <c r="P45" s="321">
        <v>-2037063</v>
      </c>
      <c r="Q45" s="321">
        <v>-2708302</v>
      </c>
      <c r="R45" s="321">
        <v>-1006536</v>
      </c>
      <c r="S45" s="321">
        <v>-1399287</v>
      </c>
      <c r="T45" s="321">
        <v>-3983090</v>
      </c>
      <c r="U45" s="321">
        <v>-2187742</v>
      </c>
      <c r="V45" s="321">
        <v>-1277084</v>
      </c>
      <c r="W45" s="321">
        <v>-1650118</v>
      </c>
      <c r="X45" s="321">
        <v>-1317217</v>
      </c>
      <c r="Y45" s="321">
        <f>+W36+X36</f>
        <v>-776557.2800000001</v>
      </c>
      <c r="Z45" s="323">
        <f>SUM(E45:Y45)</f>
        <v>-32118046.950000003</v>
      </c>
      <c r="AA45" s="239"/>
      <c r="AB45" s="286"/>
    </row>
    <row r="46" spans="3:27" ht="12.75">
      <c r="C46" s="312"/>
      <c r="E46" s="287"/>
      <c r="F46" s="287"/>
      <c r="G46" s="287"/>
      <c r="H46" s="287"/>
      <c r="I46" s="287"/>
      <c r="J46" s="287"/>
      <c r="K46" s="287"/>
      <c r="L46" s="287"/>
      <c r="M46" s="287"/>
      <c r="N46" s="287"/>
      <c r="O46" s="287"/>
      <c r="P46" s="287"/>
      <c r="Q46" s="287"/>
      <c r="R46" s="287"/>
      <c r="S46" s="287"/>
      <c r="T46" s="287"/>
      <c r="U46" s="287"/>
      <c r="V46" s="287"/>
      <c r="W46" s="287"/>
      <c r="X46" s="287"/>
      <c r="Y46" s="287"/>
      <c r="Z46" s="314"/>
      <c r="AA46" s="239"/>
    </row>
    <row r="47" spans="1:28" s="241" customFormat="1" ht="12.75">
      <c r="A47" s="241" t="s">
        <v>258</v>
      </c>
      <c r="E47" s="324">
        <f>SUM(E41:E45)</f>
        <v>-420537</v>
      </c>
      <c r="F47" s="324">
        <f aca="true" t="shared" si="8" ref="F47:R47">SUM(F41:F45)</f>
        <v>380496</v>
      </c>
      <c r="G47" s="324">
        <f t="shared" si="8"/>
        <v>-669581</v>
      </c>
      <c r="H47" s="324">
        <f t="shared" si="8"/>
        <v>867944</v>
      </c>
      <c r="I47" s="324">
        <f t="shared" si="8"/>
        <v>284403</v>
      </c>
      <c r="J47" s="324">
        <f t="shared" si="8"/>
        <v>-436161</v>
      </c>
      <c r="K47" s="324">
        <f t="shared" si="8"/>
        <v>-189778</v>
      </c>
      <c r="L47" s="324">
        <f t="shared" si="8"/>
        <v>238408.98436485638</v>
      </c>
      <c r="M47" s="324">
        <f t="shared" si="8"/>
        <v>324790.1000000001</v>
      </c>
      <c r="N47" s="324">
        <f t="shared" si="8"/>
        <v>-40786.60000000009</v>
      </c>
      <c r="O47" s="324">
        <f t="shared" si="8"/>
        <v>13686</v>
      </c>
      <c r="P47" s="324">
        <f t="shared" si="8"/>
        <v>211578</v>
      </c>
      <c r="Q47" s="324">
        <f t="shared" si="8"/>
        <v>-1289543.9999999998</v>
      </c>
      <c r="R47" s="324">
        <f t="shared" si="8"/>
        <v>620532.9999999995</v>
      </c>
      <c r="S47" s="324">
        <f aca="true" t="shared" si="9" ref="S47:Y47">SUM(S41:S45)</f>
        <v>1122113</v>
      </c>
      <c r="T47" s="324">
        <f t="shared" si="9"/>
        <v>-1762147</v>
      </c>
      <c r="U47" s="324">
        <f t="shared" si="9"/>
        <v>-183383</v>
      </c>
      <c r="V47" s="324">
        <f t="shared" si="9"/>
        <v>623839</v>
      </c>
      <c r="W47" s="324">
        <f t="shared" si="9"/>
        <v>31114</v>
      </c>
      <c r="X47" s="324">
        <f t="shared" si="9"/>
        <v>-183875</v>
      </c>
      <c r="Y47" s="324">
        <f t="shared" si="9"/>
        <v>790413.41205295</v>
      </c>
      <c r="Z47" s="326">
        <f>SUM(E47:Y47)</f>
        <v>333525.89641780616</v>
      </c>
      <c r="AA47" s="267"/>
      <c r="AB47" s="327"/>
    </row>
    <row r="48" spans="1:27" ht="12.75">
      <c r="A48" s="241"/>
      <c r="E48" s="287"/>
      <c r="F48" s="287"/>
      <c r="G48" s="287"/>
      <c r="H48" s="287"/>
      <c r="I48" s="287"/>
      <c r="J48" s="287"/>
      <c r="K48" s="287"/>
      <c r="L48" s="287"/>
      <c r="M48" s="287"/>
      <c r="N48" s="287"/>
      <c r="O48" s="287"/>
      <c r="P48" s="287"/>
      <c r="Q48" s="287"/>
      <c r="R48" s="287"/>
      <c r="S48" s="287"/>
      <c r="T48" s="287"/>
      <c r="U48" s="287"/>
      <c r="V48" s="287"/>
      <c r="W48" s="287"/>
      <c r="X48" s="287"/>
      <c r="Y48" s="287"/>
      <c r="Z48" s="314"/>
      <c r="AA48" s="239"/>
    </row>
    <row r="49" spans="1:28" ht="12.75">
      <c r="A49" s="241" t="s">
        <v>278</v>
      </c>
      <c r="B49" s="387" t="s">
        <v>279</v>
      </c>
      <c r="C49" s="254"/>
      <c r="E49" s="321">
        <v>52064.964335457735</v>
      </c>
      <c r="F49" s="321">
        <v>-47107.65204912844</v>
      </c>
      <c r="G49" s="321">
        <v>82898.08241534069</v>
      </c>
      <c r="H49" s="321">
        <v>-107456.59336794273</v>
      </c>
      <c r="I49" s="321">
        <v>0</v>
      </c>
      <c r="J49" s="321">
        <v>0</v>
      </c>
      <c r="K49" s="321">
        <v>0</v>
      </c>
      <c r="L49" s="321">
        <v>0</v>
      </c>
      <c r="M49" s="321">
        <v>0</v>
      </c>
      <c r="N49" s="321">
        <v>0</v>
      </c>
      <c r="O49" s="321">
        <v>0</v>
      </c>
      <c r="P49" s="321">
        <v>0</v>
      </c>
      <c r="Q49" s="321">
        <v>0</v>
      </c>
      <c r="R49" s="321">
        <v>0</v>
      </c>
      <c r="S49" s="321">
        <v>0</v>
      </c>
      <c r="T49" s="321"/>
      <c r="U49" s="321"/>
      <c r="V49" s="321"/>
      <c r="W49" s="321"/>
      <c r="X49" s="321"/>
      <c r="Y49" s="321"/>
      <c r="Z49" s="388">
        <f>SUM(E49:Y49)</f>
        <v>-19601.198666272743</v>
      </c>
      <c r="AA49" s="239"/>
      <c r="AB49" s="286"/>
    </row>
    <row r="50" spans="1:27" ht="12.75">
      <c r="A50" s="241" t="s">
        <v>280</v>
      </c>
      <c r="E50" s="324">
        <f aca="true" t="shared" si="10" ref="E50:Z50">+E49+E47</f>
        <v>-368472.0356645423</v>
      </c>
      <c r="F50" s="324">
        <f t="shared" si="10"/>
        <v>333388.34795087157</v>
      </c>
      <c r="G50" s="324">
        <f t="shared" si="10"/>
        <v>-586682.9175846593</v>
      </c>
      <c r="H50" s="324">
        <f t="shared" si="10"/>
        <v>760487.4066320573</v>
      </c>
      <c r="I50" s="324">
        <f t="shared" si="10"/>
        <v>284403</v>
      </c>
      <c r="J50" s="324">
        <f t="shared" si="10"/>
        <v>-436161</v>
      </c>
      <c r="K50" s="324">
        <f t="shared" si="10"/>
        <v>-189778</v>
      </c>
      <c r="L50" s="324">
        <f t="shared" si="10"/>
        <v>238408.98436485638</v>
      </c>
      <c r="M50" s="324">
        <f t="shared" si="10"/>
        <v>324790.1000000001</v>
      </c>
      <c r="N50" s="324">
        <f t="shared" si="10"/>
        <v>-40786.60000000009</v>
      </c>
      <c r="O50" s="324">
        <f t="shared" si="10"/>
        <v>13686</v>
      </c>
      <c r="P50" s="324">
        <f t="shared" si="10"/>
        <v>211578</v>
      </c>
      <c r="Q50" s="324">
        <f t="shared" si="10"/>
        <v>-1289543.9999999998</v>
      </c>
      <c r="R50" s="324">
        <f t="shared" si="10"/>
        <v>620532.9999999995</v>
      </c>
      <c r="S50" s="324">
        <f t="shared" si="10"/>
        <v>1122113</v>
      </c>
      <c r="T50" s="324">
        <f t="shared" si="10"/>
        <v>-1762147</v>
      </c>
      <c r="U50" s="324">
        <f t="shared" si="10"/>
        <v>-183383</v>
      </c>
      <c r="V50" s="324">
        <f t="shared" si="10"/>
        <v>623839</v>
      </c>
      <c r="W50" s="324">
        <f t="shared" si="10"/>
        <v>31114</v>
      </c>
      <c r="X50" s="324">
        <f t="shared" si="10"/>
        <v>-183875</v>
      </c>
      <c r="Y50" s="324">
        <f t="shared" si="10"/>
        <v>790413.41205295</v>
      </c>
      <c r="Z50" s="326">
        <f t="shared" si="10"/>
        <v>313924.6977515334</v>
      </c>
      <c r="AA50" s="239"/>
    </row>
    <row r="51" spans="1:27" ht="12.75">
      <c r="A51" s="241"/>
      <c r="E51" s="328"/>
      <c r="F51" s="328"/>
      <c r="G51" s="328"/>
      <c r="H51" s="328"/>
      <c r="I51" s="328"/>
      <c r="J51" s="328"/>
      <c r="K51" s="328"/>
      <c r="L51" s="328"/>
      <c r="M51" s="328"/>
      <c r="N51" s="328"/>
      <c r="O51" s="328"/>
      <c r="P51" s="328"/>
      <c r="Q51" s="328"/>
      <c r="R51" s="328"/>
      <c r="S51" s="328"/>
      <c r="T51" s="328"/>
      <c r="U51" s="328"/>
      <c r="V51" s="328"/>
      <c r="W51" s="328"/>
      <c r="X51" s="328"/>
      <c r="Y51" s="328"/>
      <c r="Z51" s="314"/>
      <c r="AA51" s="239"/>
    </row>
    <row r="52" spans="1:27" ht="12.75">
      <c r="A52" s="238" t="s">
        <v>259</v>
      </c>
      <c r="E52" s="330">
        <v>10</v>
      </c>
      <c r="F52" s="330">
        <v>12</v>
      </c>
      <c r="G52" s="330">
        <v>12</v>
      </c>
      <c r="H52" s="330">
        <v>12</v>
      </c>
      <c r="I52" s="330">
        <v>12</v>
      </c>
      <c r="J52" s="331">
        <v>13</v>
      </c>
      <c r="K52" s="331">
        <v>14</v>
      </c>
      <c r="L52" s="331">
        <v>12</v>
      </c>
      <c r="M52" s="331">
        <v>12</v>
      </c>
      <c r="N52" s="331">
        <v>12</v>
      </c>
      <c r="O52" s="331">
        <v>12</v>
      </c>
      <c r="P52" s="331">
        <v>12</v>
      </c>
      <c r="Q52" s="331">
        <v>12</v>
      </c>
      <c r="R52" s="331">
        <v>12</v>
      </c>
      <c r="S52" s="331">
        <v>16</v>
      </c>
      <c r="T52" s="332">
        <v>13</v>
      </c>
      <c r="U52" s="332">
        <v>12</v>
      </c>
      <c r="V52" s="332">
        <v>12</v>
      </c>
      <c r="W52" s="332">
        <v>12</v>
      </c>
      <c r="X52" s="332">
        <v>12</v>
      </c>
      <c r="Y52" s="332">
        <v>12</v>
      </c>
      <c r="Z52" s="334">
        <v>12</v>
      </c>
      <c r="AA52" s="239"/>
    </row>
    <row r="53" spans="1:27" s="241" customFormat="1" ht="12.75">
      <c r="A53" s="241" t="s">
        <v>260</v>
      </c>
      <c r="E53" s="324">
        <f aca="true" t="shared" si="11" ref="E53:Z53">E50/E52</f>
        <v>-36847.20356645423</v>
      </c>
      <c r="F53" s="324">
        <f t="shared" si="11"/>
        <v>27782.3623292393</v>
      </c>
      <c r="G53" s="324">
        <f t="shared" si="11"/>
        <v>-48890.243132054944</v>
      </c>
      <c r="H53" s="324">
        <f t="shared" si="11"/>
        <v>63373.95055267144</v>
      </c>
      <c r="I53" s="324">
        <f t="shared" si="11"/>
        <v>23700.25</v>
      </c>
      <c r="J53" s="324">
        <f t="shared" si="11"/>
        <v>-33550.846153846156</v>
      </c>
      <c r="K53" s="324">
        <f t="shared" si="11"/>
        <v>-13555.57142857143</v>
      </c>
      <c r="L53" s="324">
        <f t="shared" si="11"/>
        <v>19867.415363738033</v>
      </c>
      <c r="M53" s="324">
        <f t="shared" si="11"/>
        <v>27065.841666666674</v>
      </c>
      <c r="N53" s="324">
        <f t="shared" si="11"/>
        <v>-3398.883333333341</v>
      </c>
      <c r="O53" s="324">
        <f t="shared" si="11"/>
        <v>1140.5</v>
      </c>
      <c r="P53" s="324">
        <f t="shared" si="11"/>
        <v>17631.5</v>
      </c>
      <c r="Q53" s="324">
        <f t="shared" si="11"/>
        <v>-107461.99999999999</v>
      </c>
      <c r="R53" s="324">
        <f t="shared" si="11"/>
        <v>51711.08333333329</v>
      </c>
      <c r="S53" s="324">
        <f t="shared" si="11"/>
        <v>70132.0625</v>
      </c>
      <c r="T53" s="324">
        <f t="shared" si="11"/>
        <v>-135549.76923076922</v>
      </c>
      <c r="U53" s="324">
        <f t="shared" si="11"/>
        <v>-15281.916666666666</v>
      </c>
      <c r="V53" s="324">
        <f t="shared" si="11"/>
        <v>51986.583333333336</v>
      </c>
      <c r="W53" s="324">
        <f t="shared" si="11"/>
        <v>2592.8333333333335</v>
      </c>
      <c r="X53" s="324">
        <f t="shared" si="11"/>
        <v>-15322.916666666666</v>
      </c>
      <c r="Y53" s="324">
        <f t="shared" si="11"/>
        <v>65867.78433774583</v>
      </c>
      <c r="Z53" s="326">
        <f t="shared" si="11"/>
        <v>26160.391479294452</v>
      </c>
      <c r="AA53" s="267"/>
    </row>
    <row r="54" spans="1:27" ht="12.75">
      <c r="A54" s="241"/>
      <c r="F54" s="293"/>
      <c r="Z54" s="314"/>
      <c r="AA54" s="239"/>
    </row>
    <row r="55" spans="1:27" ht="13.5" thickBot="1">
      <c r="A55" s="238" t="s">
        <v>261</v>
      </c>
      <c r="C55" s="312"/>
      <c r="D55" s="312"/>
      <c r="E55" s="330">
        <v>52958</v>
      </c>
      <c r="F55" s="330">
        <v>54476.75</v>
      </c>
      <c r="G55" s="330">
        <v>57683.5</v>
      </c>
      <c r="H55" s="330">
        <v>61350.25</v>
      </c>
      <c r="I55" s="330">
        <v>63431</v>
      </c>
      <c r="J55" s="330">
        <v>65350</v>
      </c>
      <c r="K55" s="330">
        <v>66879</v>
      </c>
      <c r="L55" s="329">
        <v>71203.08333333333</v>
      </c>
      <c r="M55" s="329">
        <v>74976.66666666667</v>
      </c>
      <c r="N55" s="329">
        <v>78279.58333333333</v>
      </c>
      <c r="O55" s="329">
        <v>80389.25</v>
      </c>
      <c r="P55" s="329">
        <v>81890.16666666667</v>
      </c>
      <c r="Q55" s="329">
        <v>82954</v>
      </c>
      <c r="R55" s="329">
        <v>81453</v>
      </c>
      <c r="S55" s="329">
        <v>83978</v>
      </c>
      <c r="T55" s="329">
        <v>84863</v>
      </c>
      <c r="U55" s="329">
        <v>86826</v>
      </c>
      <c r="V55" s="329">
        <v>87329.5</v>
      </c>
      <c r="W55" s="329">
        <v>89529.16666666667</v>
      </c>
      <c r="X55" s="329">
        <v>90836</v>
      </c>
      <c r="Y55" s="329">
        <f>+D36</f>
        <v>95288.58333333333</v>
      </c>
      <c r="Z55" s="335">
        <f>+D36</f>
        <v>95288.58333333333</v>
      </c>
      <c r="AA55" s="239"/>
    </row>
    <row r="56" spans="5:27" ht="12.75">
      <c r="E56" s="336">
        <f aca="true" t="shared" si="12" ref="E56:Y56">E55*E52</f>
        <v>529580</v>
      </c>
      <c r="F56" s="336">
        <f t="shared" si="12"/>
        <v>653721</v>
      </c>
      <c r="G56" s="336">
        <f t="shared" si="12"/>
        <v>692202</v>
      </c>
      <c r="H56" s="336">
        <f t="shared" si="12"/>
        <v>736203</v>
      </c>
      <c r="I56" s="336">
        <f t="shared" si="12"/>
        <v>761172</v>
      </c>
      <c r="J56" s="336">
        <f t="shared" si="12"/>
        <v>849550</v>
      </c>
      <c r="K56" s="336">
        <f t="shared" si="12"/>
        <v>936306</v>
      </c>
      <c r="L56" s="336">
        <f t="shared" si="12"/>
        <v>854437</v>
      </c>
      <c r="M56" s="336">
        <f t="shared" si="12"/>
        <v>899720</v>
      </c>
      <c r="N56" s="336">
        <f t="shared" si="12"/>
        <v>939355</v>
      </c>
      <c r="O56" s="336">
        <f t="shared" si="12"/>
        <v>964671</v>
      </c>
      <c r="P56" s="336">
        <f t="shared" si="12"/>
        <v>982682</v>
      </c>
      <c r="Q56" s="336">
        <f t="shared" si="12"/>
        <v>995448</v>
      </c>
      <c r="R56" s="336">
        <f t="shared" si="12"/>
        <v>977436</v>
      </c>
      <c r="S56" s="336">
        <f t="shared" si="12"/>
        <v>1343648</v>
      </c>
      <c r="T56" s="336">
        <f t="shared" si="12"/>
        <v>1103219</v>
      </c>
      <c r="U56" s="336">
        <f t="shared" si="12"/>
        <v>1041912</v>
      </c>
      <c r="V56" s="336">
        <f t="shared" si="12"/>
        <v>1047954</v>
      </c>
      <c r="W56" s="336">
        <f t="shared" si="12"/>
        <v>1074350</v>
      </c>
      <c r="X56" s="336"/>
      <c r="Y56" s="336">
        <f t="shared" si="12"/>
        <v>1143463</v>
      </c>
      <c r="Z56" s="337">
        <f>Z55*Z52</f>
        <v>1143463</v>
      </c>
      <c r="AA56" s="239"/>
    </row>
    <row r="57" spans="1:27" ht="13.5" thickBot="1">
      <c r="A57" s="241" t="s">
        <v>262</v>
      </c>
      <c r="D57" s="252"/>
      <c r="E57" s="263">
        <f aca="true" t="shared" si="13" ref="E57:Z57">ROUND(E53/E55,2)</f>
        <v>-0.7</v>
      </c>
      <c r="F57" s="263">
        <f t="shared" si="13"/>
        <v>0.51</v>
      </c>
      <c r="G57" s="263">
        <f t="shared" si="13"/>
        <v>-0.85</v>
      </c>
      <c r="H57" s="263">
        <f t="shared" si="13"/>
        <v>1.03</v>
      </c>
      <c r="I57" s="263">
        <f t="shared" si="13"/>
        <v>0.37</v>
      </c>
      <c r="J57" s="263">
        <f t="shared" si="13"/>
        <v>-0.51</v>
      </c>
      <c r="K57" s="263">
        <f t="shared" si="13"/>
        <v>-0.2</v>
      </c>
      <c r="L57" s="263">
        <f t="shared" si="13"/>
        <v>0.28</v>
      </c>
      <c r="M57" s="263">
        <f t="shared" si="13"/>
        <v>0.36</v>
      </c>
      <c r="N57" s="263">
        <f t="shared" si="13"/>
        <v>-0.04</v>
      </c>
      <c r="O57" s="263">
        <f t="shared" si="13"/>
        <v>0.01</v>
      </c>
      <c r="P57" s="263">
        <f t="shared" si="13"/>
        <v>0.22</v>
      </c>
      <c r="Q57" s="263">
        <f t="shared" si="13"/>
        <v>-1.3</v>
      </c>
      <c r="R57" s="263">
        <f t="shared" si="13"/>
        <v>0.63</v>
      </c>
      <c r="S57" s="263">
        <f t="shared" si="13"/>
        <v>0.84</v>
      </c>
      <c r="T57" s="263">
        <f t="shared" si="13"/>
        <v>-1.6</v>
      </c>
      <c r="U57" s="263">
        <f t="shared" si="13"/>
        <v>-0.18</v>
      </c>
      <c r="V57" s="263">
        <f t="shared" si="13"/>
        <v>0.6</v>
      </c>
      <c r="W57" s="263">
        <f t="shared" si="13"/>
        <v>0.03</v>
      </c>
      <c r="X57" s="263">
        <f t="shared" si="13"/>
        <v>-0.17</v>
      </c>
      <c r="Y57" s="263">
        <f t="shared" si="13"/>
        <v>0.69</v>
      </c>
      <c r="Z57" s="338">
        <f t="shared" si="13"/>
        <v>0.27</v>
      </c>
      <c r="AA57" s="239"/>
    </row>
    <row r="58" spans="4:27" ht="13.5" thickTop="1">
      <c r="D58" s="252"/>
      <c r="E58" s="252"/>
      <c r="F58" s="252"/>
      <c r="G58" s="252"/>
      <c r="H58" s="252"/>
      <c r="I58" s="252"/>
      <c r="J58" s="252"/>
      <c r="K58" s="252"/>
      <c r="L58" s="252"/>
      <c r="M58" s="252"/>
      <c r="N58" s="252"/>
      <c r="O58" s="252"/>
      <c r="P58" s="252"/>
      <c r="Q58" s="252"/>
      <c r="R58" s="252"/>
      <c r="S58" s="252"/>
      <c r="T58" s="252"/>
      <c r="U58" s="252"/>
      <c r="V58" s="252"/>
      <c r="W58" s="252"/>
      <c r="X58" s="252"/>
      <c r="Y58" s="252"/>
      <c r="Z58" s="314"/>
      <c r="AA58" s="239"/>
    </row>
    <row r="59" spans="1:27" ht="12.75">
      <c r="A59" s="339" t="s">
        <v>263</v>
      </c>
      <c r="B59" s="244"/>
      <c r="C59" s="244"/>
      <c r="D59" s="252"/>
      <c r="E59" s="252"/>
      <c r="F59" s="252"/>
      <c r="G59" s="252"/>
      <c r="H59" s="252"/>
      <c r="I59" s="252"/>
      <c r="J59" s="252"/>
      <c r="K59" s="252"/>
      <c r="L59" s="252"/>
      <c r="M59" s="252"/>
      <c r="N59" s="252"/>
      <c r="O59" s="252"/>
      <c r="P59" s="252"/>
      <c r="Q59" s="252"/>
      <c r="R59" s="252"/>
      <c r="S59" s="252"/>
      <c r="T59" s="252"/>
      <c r="U59" s="252"/>
      <c r="V59" s="252"/>
      <c r="W59" s="252"/>
      <c r="X59" s="252"/>
      <c r="Y59" s="252"/>
      <c r="Z59" s="314"/>
      <c r="AA59" s="239"/>
    </row>
    <row r="60" spans="1:27" ht="12.75">
      <c r="A60" s="238" t="s">
        <v>264</v>
      </c>
      <c r="D60" s="252"/>
      <c r="E60" s="252">
        <v>1.04</v>
      </c>
      <c r="F60" s="252">
        <v>1.48</v>
      </c>
      <c r="G60" s="252">
        <v>1.01</v>
      </c>
      <c r="H60" s="252">
        <v>1.47</v>
      </c>
      <c r="I60" s="252">
        <v>1.96</v>
      </c>
      <c r="J60" s="252">
        <v>1.74</v>
      </c>
      <c r="K60" s="252">
        <v>1.63</v>
      </c>
      <c r="L60" s="252">
        <v>1.752282501625704</v>
      </c>
      <c r="M60" s="252">
        <v>2.120394122615925</v>
      </c>
      <c r="N60" s="252">
        <v>2.294479722788509</v>
      </c>
      <c r="O60" s="252">
        <v>2.5297754363923035</v>
      </c>
      <c r="P60" s="252">
        <v>3.242611546766909</v>
      </c>
      <c r="Q60" s="252">
        <v>2.02</v>
      </c>
      <c r="R60" s="252">
        <v>2.36</v>
      </c>
      <c r="S60" s="252">
        <v>3.91</v>
      </c>
      <c r="T60" s="252">
        <v>3.089392159781342</v>
      </c>
      <c r="U60" s="252">
        <v>2.97</v>
      </c>
      <c r="V60" s="252">
        <v>2.903127332523282</v>
      </c>
      <c r="W60" s="252">
        <v>2.38</v>
      </c>
      <c r="X60" s="252">
        <v>1.79</v>
      </c>
      <c r="Y60" s="252">
        <f>+B20</f>
        <v>2.45</v>
      </c>
      <c r="Z60" s="340">
        <f>+Y60</f>
        <v>2.45</v>
      </c>
      <c r="AA60" s="239"/>
    </row>
    <row r="61" spans="1:27" ht="12.75">
      <c r="A61" s="341" t="s">
        <v>265</v>
      </c>
      <c r="D61" s="252"/>
      <c r="E61" s="252"/>
      <c r="F61" s="252"/>
      <c r="G61" s="252"/>
      <c r="H61" s="252"/>
      <c r="I61" s="252"/>
      <c r="J61" s="252"/>
      <c r="K61" s="252"/>
      <c r="L61" s="252"/>
      <c r="M61" s="252"/>
      <c r="N61" s="252"/>
      <c r="O61" s="252"/>
      <c r="P61" s="252"/>
      <c r="Q61" s="252"/>
      <c r="R61" s="252"/>
      <c r="S61" s="252"/>
      <c r="T61" s="252"/>
      <c r="U61" s="252"/>
      <c r="V61" s="252"/>
      <c r="W61" s="252"/>
      <c r="X61" s="252"/>
      <c r="Y61" s="252"/>
      <c r="Z61" s="314"/>
      <c r="AA61" s="239"/>
    </row>
    <row r="62" spans="1:28" ht="12.75">
      <c r="A62" s="238" t="s">
        <v>262</v>
      </c>
      <c r="D62" s="257"/>
      <c r="E62" s="257">
        <f>+E57</f>
        <v>-0.7</v>
      </c>
      <c r="F62" s="257">
        <f>F57</f>
        <v>0.51</v>
      </c>
      <c r="G62" s="257">
        <f>G57</f>
        <v>-0.85</v>
      </c>
      <c r="H62" s="257">
        <f aca="true" t="shared" si="14" ref="H62:Z62">+H57</f>
        <v>1.03</v>
      </c>
      <c r="I62" s="257">
        <f t="shared" si="14"/>
        <v>0.37</v>
      </c>
      <c r="J62" s="257">
        <f t="shared" si="14"/>
        <v>-0.51</v>
      </c>
      <c r="K62" s="257">
        <f t="shared" si="14"/>
        <v>-0.2</v>
      </c>
      <c r="L62" s="257">
        <f t="shared" si="14"/>
        <v>0.28</v>
      </c>
      <c r="M62" s="257">
        <f t="shared" si="14"/>
        <v>0.36</v>
      </c>
      <c r="N62" s="257">
        <f t="shared" si="14"/>
        <v>-0.04</v>
      </c>
      <c r="O62" s="257">
        <f t="shared" si="14"/>
        <v>0.01</v>
      </c>
      <c r="P62" s="257">
        <f t="shared" si="14"/>
        <v>0.22</v>
      </c>
      <c r="Q62" s="257">
        <f t="shared" si="14"/>
        <v>-1.3</v>
      </c>
      <c r="R62" s="257">
        <f t="shared" si="14"/>
        <v>0.63</v>
      </c>
      <c r="S62" s="257">
        <f aca="true" t="shared" si="15" ref="S62:Y62">+S57</f>
        <v>0.84</v>
      </c>
      <c r="T62" s="257">
        <f t="shared" si="15"/>
        <v>-1.6</v>
      </c>
      <c r="U62" s="257">
        <f t="shared" si="15"/>
        <v>-0.18</v>
      </c>
      <c r="V62" s="257">
        <f t="shared" si="15"/>
        <v>0.6</v>
      </c>
      <c r="W62" s="257">
        <f t="shared" si="15"/>
        <v>0.03</v>
      </c>
      <c r="X62" s="257">
        <f t="shared" si="15"/>
        <v>-0.17</v>
      </c>
      <c r="Y62" s="257">
        <f t="shared" si="15"/>
        <v>0.69</v>
      </c>
      <c r="Z62" s="352">
        <f t="shared" si="14"/>
        <v>0.27</v>
      </c>
      <c r="AA62" s="239"/>
      <c r="AB62" s="343"/>
    </row>
    <row r="63" spans="1:27" ht="13.5" thickBot="1">
      <c r="A63" s="238" t="s">
        <v>266</v>
      </c>
      <c r="D63" s="263">
        <v>1.83</v>
      </c>
      <c r="E63" s="263">
        <f aca="true" t="shared" si="16" ref="E63:R63">SUM(E60:E62)</f>
        <v>0.3400000000000001</v>
      </c>
      <c r="F63" s="263">
        <f t="shared" si="16"/>
        <v>1.99</v>
      </c>
      <c r="G63" s="263">
        <f t="shared" si="16"/>
        <v>0.16000000000000003</v>
      </c>
      <c r="H63" s="263">
        <f t="shared" si="16"/>
        <v>2.5</v>
      </c>
      <c r="I63" s="263">
        <f t="shared" si="16"/>
        <v>2.33</v>
      </c>
      <c r="J63" s="263">
        <f t="shared" si="16"/>
        <v>1.23</v>
      </c>
      <c r="K63" s="263">
        <f t="shared" si="16"/>
        <v>1.43</v>
      </c>
      <c r="L63" s="263">
        <f t="shared" si="16"/>
        <v>2.032282501625704</v>
      </c>
      <c r="M63" s="263">
        <f t="shared" si="16"/>
        <v>2.480394122615925</v>
      </c>
      <c r="N63" s="263">
        <f t="shared" si="16"/>
        <v>2.254479722788509</v>
      </c>
      <c r="O63" s="263">
        <f t="shared" si="16"/>
        <v>2.5397754363923033</v>
      </c>
      <c r="P63" s="263">
        <f t="shared" si="16"/>
        <v>3.4626115467669094</v>
      </c>
      <c r="Q63" s="263">
        <f t="shared" si="16"/>
        <v>0.72</v>
      </c>
      <c r="R63" s="263">
        <f t="shared" si="16"/>
        <v>2.9899999999999998</v>
      </c>
      <c r="S63" s="263">
        <f aca="true" t="shared" si="17" ref="S63:Z63">SUM(S60:S62)</f>
        <v>4.75</v>
      </c>
      <c r="T63" s="263">
        <f t="shared" si="17"/>
        <v>1.489392159781342</v>
      </c>
      <c r="U63" s="263">
        <f t="shared" si="17"/>
        <v>2.79</v>
      </c>
      <c r="V63" s="263">
        <f t="shared" si="17"/>
        <v>3.503127332523282</v>
      </c>
      <c r="W63" s="263">
        <f t="shared" si="17"/>
        <v>2.4099999999999997</v>
      </c>
      <c r="X63" s="263">
        <f t="shared" si="17"/>
        <v>1.62</v>
      </c>
      <c r="Y63" s="263">
        <f t="shared" si="17"/>
        <v>3.14</v>
      </c>
      <c r="Z63" s="344">
        <f t="shared" si="17"/>
        <v>2.72</v>
      </c>
      <c r="AA63" s="239"/>
    </row>
    <row r="64" spans="4:27" ht="13.5" thickTop="1">
      <c r="D64" s="346"/>
      <c r="E64" s="346"/>
      <c r="F64" s="346"/>
      <c r="G64" s="346"/>
      <c r="H64" s="346"/>
      <c r="I64" s="346"/>
      <c r="J64" s="346"/>
      <c r="K64" s="346"/>
      <c r="L64" s="346"/>
      <c r="M64" s="346"/>
      <c r="N64" s="346"/>
      <c r="O64" s="346"/>
      <c r="P64" s="346"/>
      <c r="Q64" s="346"/>
      <c r="R64" s="346"/>
      <c r="S64" s="346"/>
      <c r="T64" s="346"/>
      <c r="U64" s="346"/>
      <c r="V64" s="346"/>
      <c r="W64" s="346"/>
      <c r="X64" s="346"/>
      <c r="Y64" s="346"/>
      <c r="Z64" s="347"/>
      <c r="AA64" s="239"/>
    </row>
    <row r="65" spans="1:27" ht="12.75">
      <c r="A65" s="238" t="s">
        <v>267</v>
      </c>
      <c r="D65" s="346"/>
      <c r="E65" s="346"/>
      <c r="F65" s="346"/>
      <c r="G65" s="346"/>
      <c r="H65" s="346"/>
      <c r="I65" s="346"/>
      <c r="J65" s="346"/>
      <c r="K65" s="346"/>
      <c r="L65" s="346"/>
      <c r="M65" s="346"/>
      <c r="N65" s="346"/>
      <c r="O65" s="346"/>
      <c r="P65" s="346"/>
      <c r="Q65" s="346"/>
      <c r="R65" s="346"/>
      <c r="S65" s="346"/>
      <c r="T65" s="346"/>
      <c r="U65" s="346"/>
      <c r="V65" s="346"/>
      <c r="W65" s="346"/>
      <c r="X65" s="346"/>
      <c r="Y65" s="315">
        <f>-'Budget vs. Actual'!H45</f>
        <v>251165.74893346336</v>
      </c>
      <c r="Z65" s="340">
        <f>ROUND(+Y65/Z55/12,2)</f>
        <v>0.22</v>
      </c>
      <c r="AA65" s="239"/>
    </row>
    <row r="66" spans="4:27" ht="12.75">
      <c r="D66" s="346"/>
      <c r="E66" s="346"/>
      <c r="F66" s="346"/>
      <c r="G66" s="346"/>
      <c r="H66" s="346"/>
      <c r="I66" s="346"/>
      <c r="J66" s="346"/>
      <c r="K66" s="346"/>
      <c r="L66" s="346"/>
      <c r="M66" s="346"/>
      <c r="N66" s="346"/>
      <c r="O66" s="346"/>
      <c r="P66" s="346"/>
      <c r="Q66" s="346"/>
      <c r="R66" s="346"/>
      <c r="S66" s="346"/>
      <c r="T66" s="346"/>
      <c r="U66" s="346"/>
      <c r="V66" s="346"/>
      <c r="W66" s="346"/>
      <c r="X66" s="346"/>
      <c r="Y66" s="346"/>
      <c r="Z66" s="347"/>
      <c r="AA66" s="239"/>
    </row>
    <row r="67" spans="1:28" ht="24.75" customHeight="1">
      <c r="A67" s="350" t="s">
        <v>335</v>
      </c>
      <c r="C67" s="351">
        <f>+'SC 2018-2019 Budget'!C18</f>
        <v>0.425</v>
      </c>
      <c r="D67" s="252"/>
      <c r="E67" s="252"/>
      <c r="F67" s="252"/>
      <c r="G67" s="252"/>
      <c r="H67" s="252"/>
      <c r="I67" s="252"/>
      <c r="J67" s="252"/>
      <c r="K67" s="252"/>
      <c r="L67" s="252"/>
      <c r="M67" s="252"/>
      <c r="N67" s="252"/>
      <c r="O67" s="252"/>
      <c r="P67" s="252"/>
      <c r="Q67" s="252"/>
      <c r="R67" s="252"/>
      <c r="S67" s="252"/>
      <c r="T67" s="252"/>
      <c r="U67" s="252"/>
      <c r="V67" s="252"/>
      <c r="W67" s="252"/>
      <c r="X67" s="252"/>
      <c r="Y67" s="252"/>
      <c r="Z67" s="352">
        <f>ROUND(-Z60*C67,2)</f>
        <v>-1.04</v>
      </c>
      <c r="AA67" s="239"/>
      <c r="AB67" s="287"/>
    </row>
    <row r="68" spans="4:27" ht="12.75">
      <c r="D68" s="252"/>
      <c r="E68" s="252"/>
      <c r="F68" s="252"/>
      <c r="G68" s="252"/>
      <c r="H68" s="252"/>
      <c r="I68" s="252"/>
      <c r="J68" s="252"/>
      <c r="K68" s="252"/>
      <c r="L68" s="252"/>
      <c r="M68" s="252"/>
      <c r="N68" s="252"/>
      <c r="O68" s="252"/>
      <c r="P68" s="252"/>
      <c r="Q68" s="252"/>
      <c r="R68" s="252"/>
      <c r="S68" s="252"/>
      <c r="T68" s="252"/>
      <c r="U68" s="252"/>
      <c r="V68" s="252"/>
      <c r="W68" s="252"/>
      <c r="X68" s="252"/>
      <c r="Y68" s="252"/>
      <c r="Z68" s="314"/>
      <c r="AA68" s="239"/>
    </row>
    <row r="69" spans="1:28" ht="13.5" thickBot="1">
      <c r="A69" s="238" t="s">
        <v>268</v>
      </c>
      <c r="D69" s="263">
        <v>1.83</v>
      </c>
      <c r="E69" s="263">
        <v>0.62</v>
      </c>
      <c r="F69" s="263">
        <v>2.25</v>
      </c>
      <c r="G69" s="353">
        <v>0.09</v>
      </c>
      <c r="H69" s="354">
        <v>1.96</v>
      </c>
      <c r="I69" s="354">
        <v>2.28</v>
      </c>
      <c r="J69" s="354">
        <v>1.72</v>
      </c>
      <c r="K69" s="354">
        <v>0.89</v>
      </c>
      <c r="L69" s="354">
        <v>1.27</v>
      </c>
      <c r="M69" s="354">
        <v>1.8</v>
      </c>
      <c r="N69" s="354">
        <v>1.75</v>
      </c>
      <c r="O69" s="354">
        <v>2.12</v>
      </c>
      <c r="P69" s="354">
        <v>2.82</v>
      </c>
      <c r="Q69" s="354">
        <v>0.66</v>
      </c>
      <c r="R69" s="354">
        <v>1.18</v>
      </c>
      <c r="S69" s="354">
        <v>4.26</v>
      </c>
      <c r="T69" s="354">
        <v>1.38</v>
      </c>
      <c r="U69" s="354">
        <v>1.14</v>
      </c>
      <c r="V69" s="354">
        <v>1.64</v>
      </c>
      <c r="W69" s="354">
        <v>1.04</v>
      </c>
      <c r="X69" s="354">
        <v>0.54</v>
      </c>
      <c r="Y69" s="346"/>
      <c r="Z69" s="356">
        <f>+Z67+Z63+Z65</f>
        <v>1.9000000000000001</v>
      </c>
      <c r="AA69" s="239"/>
      <c r="AB69" s="357"/>
    </row>
    <row r="70" spans="4:27" ht="14.25" thickBot="1" thickTop="1">
      <c r="D70" s="346"/>
      <c r="E70" s="346"/>
      <c r="F70" s="346"/>
      <c r="G70" s="358"/>
      <c r="H70" s="346"/>
      <c r="I70" s="346"/>
      <c r="J70" s="346"/>
      <c r="K70" s="346"/>
      <c r="L70" s="346"/>
      <c r="M70" s="252"/>
      <c r="N70" s="252"/>
      <c r="O70" s="252"/>
      <c r="P70" s="252"/>
      <c r="Q70" s="252"/>
      <c r="R70" s="252"/>
      <c r="S70" s="252"/>
      <c r="T70" s="252"/>
      <c r="U70" s="252"/>
      <c r="V70" s="252"/>
      <c r="W70" s="252"/>
      <c r="X70" s="252"/>
      <c r="Y70" s="252"/>
      <c r="Z70" s="359"/>
      <c r="AA70" s="239"/>
    </row>
    <row r="71" spans="1:28" ht="13.5" thickBot="1">
      <c r="A71" s="238" t="s">
        <v>281</v>
      </c>
      <c r="D71" s="389">
        <f>+D69</f>
        <v>1.83</v>
      </c>
      <c r="E71" s="389">
        <f aca="true" t="shared" si="18" ref="E71:J71">+E69</f>
        <v>0.62</v>
      </c>
      <c r="F71" s="389">
        <f t="shared" si="18"/>
        <v>2.25</v>
      </c>
      <c r="G71" s="389">
        <f t="shared" si="18"/>
        <v>0.09</v>
      </c>
      <c r="H71" s="389">
        <f t="shared" si="18"/>
        <v>1.96</v>
      </c>
      <c r="I71" s="389">
        <f t="shared" si="18"/>
        <v>2.28</v>
      </c>
      <c r="J71" s="389">
        <f t="shared" si="18"/>
        <v>1.72</v>
      </c>
      <c r="K71" s="389">
        <v>1.38</v>
      </c>
      <c r="L71" s="389">
        <v>1.82</v>
      </c>
      <c r="M71" s="389">
        <v>2.44</v>
      </c>
      <c r="N71" s="389">
        <v>2.43</v>
      </c>
      <c r="O71" s="389">
        <v>2.88</v>
      </c>
      <c r="P71" s="389">
        <v>3.79</v>
      </c>
      <c r="Q71" s="389">
        <v>1.27</v>
      </c>
      <c r="R71" s="389">
        <v>2.23</v>
      </c>
      <c r="S71" s="389">
        <v>5.26</v>
      </c>
      <c r="T71" s="389">
        <v>2.34</v>
      </c>
      <c r="U71" s="389">
        <v>2.06</v>
      </c>
      <c r="V71" s="389">
        <v>2.66</v>
      </c>
      <c r="W71" s="389">
        <v>2.11</v>
      </c>
      <c r="X71" s="389">
        <v>1.35</v>
      </c>
      <c r="Y71" s="389"/>
      <c r="Z71" s="389">
        <f>+Z63</f>
        <v>2.72</v>
      </c>
      <c r="AA71" s="239"/>
      <c r="AB71" s="390"/>
    </row>
    <row r="72" spans="4:27" ht="13.5" thickTop="1">
      <c r="D72" s="391"/>
      <c r="E72" s="360"/>
      <c r="F72" s="360"/>
      <c r="G72" s="367"/>
      <c r="I72" s="367"/>
      <c r="Z72" s="307"/>
      <c r="AA72" s="239"/>
    </row>
    <row r="73" spans="1:27" ht="13.5" thickBot="1">
      <c r="A73" s="238" t="s">
        <v>282</v>
      </c>
      <c r="D73" s="360"/>
      <c r="E73" s="361">
        <v>18009.313200039374</v>
      </c>
      <c r="F73" s="361">
        <v>18469.884748281744</v>
      </c>
      <c r="G73" s="361">
        <v>18807.778949325755</v>
      </c>
      <c r="H73" s="361">
        <v>20068.977300491097</v>
      </c>
      <c r="I73" s="361">
        <v>20553.36214206744</v>
      </c>
      <c r="J73" s="361">
        <v>20954.436923076923</v>
      </c>
      <c r="K73" s="361">
        <v>19881.01714285714</v>
      </c>
      <c r="L73" s="361">
        <v>22291.68845577803</v>
      </c>
      <c r="M73" s="361">
        <v>26503.58</v>
      </c>
      <c r="N73" s="361">
        <v>27846.64</v>
      </c>
      <c r="O73" s="361">
        <v>28477.52126654699</v>
      </c>
      <c r="P73" s="361">
        <v>29219.120248299605</v>
      </c>
      <c r="Q73" s="361">
        <v>28641.23</v>
      </c>
      <c r="R73" s="361">
        <v>30257.23</v>
      </c>
      <c r="S73" s="361">
        <v>39538.72103346151</v>
      </c>
      <c r="T73" s="362">
        <v>30919.910865479345</v>
      </c>
      <c r="U73" s="362">
        <v>30090.152233183377</v>
      </c>
      <c r="V73" s="362">
        <v>30779.58651602314</v>
      </c>
      <c r="W73" s="362">
        <v>30915.700000000004</v>
      </c>
      <c r="X73" s="362">
        <v>32141.409999999996</v>
      </c>
      <c r="Y73" s="362">
        <f>+V17</f>
        <v>32376.680000000004</v>
      </c>
      <c r="Z73" s="363">
        <f>SUM(E73:Y73)</f>
        <v>556743.9410249115</v>
      </c>
      <c r="AA73" s="239"/>
    </row>
    <row r="74" spans="4:27" ht="13.5" thickTop="1">
      <c r="D74" s="360"/>
      <c r="E74" s="364"/>
      <c r="F74" s="365">
        <f aca="true" t="shared" si="19" ref="F74:R74">+F73/E73-1</f>
        <v>0.02557407620860097</v>
      </c>
      <c r="G74" s="365">
        <f t="shared" si="19"/>
        <v>0.01829433186232765</v>
      </c>
      <c r="H74" s="365">
        <f t="shared" si="19"/>
        <v>0.06705727212997448</v>
      </c>
      <c r="I74" s="365">
        <f t="shared" si="19"/>
        <v>0.02413600027164753</v>
      </c>
      <c r="J74" s="365">
        <f t="shared" si="19"/>
        <v>0.0195138283574825</v>
      </c>
      <c r="K74" s="365">
        <f t="shared" si="19"/>
        <v>-0.05122637196887092</v>
      </c>
      <c r="L74" s="365">
        <f t="shared" si="19"/>
        <v>0.12125492853804998</v>
      </c>
      <c r="M74" s="365">
        <f t="shared" si="19"/>
        <v>0.18894448271953346</v>
      </c>
      <c r="N74" s="365">
        <f t="shared" si="19"/>
        <v>0.050674663573751166</v>
      </c>
      <c r="O74" s="365">
        <f t="shared" si="19"/>
        <v>0.02265556155238091</v>
      </c>
      <c r="P74" s="365">
        <f t="shared" si="19"/>
        <v>0.02604155659515861</v>
      </c>
      <c r="Q74" s="365">
        <f t="shared" si="19"/>
        <v>-0.019777811357384545</v>
      </c>
      <c r="R74" s="365">
        <f t="shared" si="19"/>
        <v>0.056422157847271226</v>
      </c>
      <c r="S74" s="365">
        <f>+S73/16*12/R73-1</f>
        <v>-0.01993537494687614</v>
      </c>
      <c r="T74" s="365">
        <f>+T73/13*16/S73-1</f>
        <v>-0.03751881910512178</v>
      </c>
      <c r="U74" s="365">
        <f>+U73/12*12/T73-1</f>
        <v>-0.02683573817227125</v>
      </c>
      <c r="V74" s="365">
        <f>+V73/12*12/U73-1</f>
        <v>0.02291228962542302</v>
      </c>
      <c r="W74" s="365">
        <f>+W73/12*12/V73-1</f>
        <v>0.004422199885823819</v>
      </c>
      <c r="X74" s="365">
        <f>+X73/12*12/W73-1</f>
        <v>0.03964684610084812</v>
      </c>
      <c r="Y74" s="365">
        <f>+Y73/12*12/W73-1</f>
        <v>0.04725689536384414</v>
      </c>
      <c r="Z74" s="367"/>
      <c r="AA74" s="239"/>
    </row>
    <row r="75" spans="1:27" ht="13.5" thickBot="1">
      <c r="A75" s="238" t="s">
        <v>283</v>
      </c>
      <c r="D75" s="360"/>
      <c r="E75" s="368">
        <f aca="true" t="shared" si="20" ref="E75:W75">+E55</f>
        <v>52958</v>
      </c>
      <c r="F75" s="368">
        <f t="shared" si="20"/>
        <v>54476.75</v>
      </c>
      <c r="G75" s="368">
        <f t="shared" si="20"/>
        <v>57683.5</v>
      </c>
      <c r="H75" s="368">
        <f t="shared" si="20"/>
        <v>61350.25</v>
      </c>
      <c r="I75" s="368">
        <f t="shared" si="20"/>
        <v>63431</v>
      </c>
      <c r="J75" s="368">
        <f t="shared" si="20"/>
        <v>65350</v>
      </c>
      <c r="K75" s="368">
        <f t="shared" si="20"/>
        <v>66879</v>
      </c>
      <c r="L75" s="368">
        <f t="shared" si="20"/>
        <v>71203.08333333333</v>
      </c>
      <c r="M75" s="368">
        <f t="shared" si="20"/>
        <v>74976.66666666667</v>
      </c>
      <c r="N75" s="368">
        <f t="shared" si="20"/>
        <v>78279.58333333333</v>
      </c>
      <c r="O75" s="368">
        <f t="shared" si="20"/>
        <v>80389.25</v>
      </c>
      <c r="P75" s="368">
        <f t="shared" si="20"/>
        <v>81890.16666666667</v>
      </c>
      <c r="Q75" s="368">
        <f t="shared" si="20"/>
        <v>82954</v>
      </c>
      <c r="R75" s="368">
        <f t="shared" si="20"/>
        <v>81453</v>
      </c>
      <c r="S75" s="368">
        <f t="shared" si="20"/>
        <v>83978</v>
      </c>
      <c r="T75" s="368">
        <f t="shared" si="20"/>
        <v>84863</v>
      </c>
      <c r="U75" s="368">
        <f t="shared" si="20"/>
        <v>86826</v>
      </c>
      <c r="V75" s="368">
        <f t="shared" si="20"/>
        <v>87329.5</v>
      </c>
      <c r="W75" s="368">
        <f t="shared" si="20"/>
        <v>89529.16666666667</v>
      </c>
      <c r="X75" s="368">
        <f>+X55</f>
        <v>90836</v>
      </c>
      <c r="Y75" s="369">
        <f>+Y55</f>
        <v>95288.58333333333</v>
      </c>
      <c r="Z75" s="370">
        <f>SUM(E75:Y75)</f>
        <v>1591924.5</v>
      </c>
      <c r="AA75" s="239"/>
    </row>
    <row r="76" spans="5:27" ht="13.5" thickTop="1">
      <c r="E76" s="371"/>
      <c r="F76" s="365">
        <f>+F75/(E75)-1</f>
        <v>0.028678386646021403</v>
      </c>
      <c r="G76" s="365">
        <f aca="true" t="shared" si="21" ref="G76:X76">+G75/F75-1</f>
        <v>0.058864561487240064</v>
      </c>
      <c r="H76" s="365">
        <f t="shared" si="21"/>
        <v>0.0635667045168895</v>
      </c>
      <c r="I76" s="365">
        <f t="shared" si="21"/>
        <v>0.033915917213051205</v>
      </c>
      <c r="J76" s="365">
        <f t="shared" si="21"/>
        <v>0.030253346155665106</v>
      </c>
      <c r="K76" s="365">
        <f t="shared" si="21"/>
        <v>0.023397092578423928</v>
      </c>
      <c r="L76" s="365">
        <f t="shared" si="21"/>
        <v>0.06465532279689179</v>
      </c>
      <c r="M76" s="365">
        <f t="shared" si="21"/>
        <v>0.052997470849226014</v>
      </c>
      <c r="N76" s="365">
        <f t="shared" si="21"/>
        <v>0.04405259414039908</v>
      </c>
      <c r="O76" s="365">
        <f t="shared" si="21"/>
        <v>0.026950407460438308</v>
      </c>
      <c r="P76" s="365">
        <f t="shared" si="21"/>
        <v>0.018670614126474305</v>
      </c>
      <c r="Q76" s="365">
        <f t="shared" si="21"/>
        <v>0.012990977752721511</v>
      </c>
      <c r="R76" s="365">
        <f t="shared" si="21"/>
        <v>-0.01809436555199262</v>
      </c>
      <c r="S76" s="365">
        <f t="shared" si="21"/>
        <v>0.030999472088198088</v>
      </c>
      <c r="T76" s="365">
        <f t="shared" si="21"/>
        <v>0.010538474362332906</v>
      </c>
      <c r="U76" s="365">
        <f t="shared" si="21"/>
        <v>0.023131400021210613</v>
      </c>
      <c r="V76" s="365">
        <f t="shared" si="21"/>
        <v>0.0057989542302996355</v>
      </c>
      <c r="W76" s="365">
        <f t="shared" si="21"/>
        <v>0.025188128486555827</v>
      </c>
      <c r="X76" s="365">
        <f t="shared" si="21"/>
        <v>0.014596732908270127</v>
      </c>
      <c r="Y76" s="365">
        <f>+Y75/W75-1</f>
        <v>0.06433006003630082</v>
      </c>
      <c r="AA76" s="239"/>
    </row>
    <row r="77" spans="1:28" ht="12.75">
      <c r="A77" s="238" t="s">
        <v>271</v>
      </c>
      <c r="B77" s="372"/>
      <c r="C77" s="372"/>
      <c r="D77" s="373"/>
      <c r="E77" s="374">
        <f aca="true" t="shared" si="22" ref="E77:Z77">+E73*2000/E75/E52</f>
        <v>68.01356999901573</v>
      </c>
      <c r="F77" s="374">
        <f t="shared" si="22"/>
        <v>56.50693414555061</v>
      </c>
      <c r="G77" s="374">
        <f t="shared" si="22"/>
        <v>54.3418798250388</v>
      </c>
      <c r="H77" s="374">
        <f t="shared" si="22"/>
        <v>54.52022689527507</v>
      </c>
      <c r="I77" s="374">
        <f t="shared" si="22"/>
        <v>54.00451446471347</v>
      </c>
      <c r="J77" s="374">
        <f t="shared" si="22"/>
        <v>49.33067370508369</v>
      </c>
      <c r="K77" s="374">
        <f t="shared" si="22"/>
        <v>42.46692244385306</v>
      </c>
      <c r="L77" s="374">
        <f t="shared" si="22"/>
        <v>52.17865906035912</v>
      </c>
      <c r="M77" s="374">
        <f t="shared" si="22"/>
        <v>58.91517360956741</v>
      </c>
      <c r="N77" s="374">
        <f t="shared" si="22"/>
        <v>59.28885245727122</v>
      </c>
      <c r="O77" s="374">
        <f t="shared" si="22"/>
        <v>59.04089843386396</v>
      </c>
      <c r="P77" s="374">
        <f t="shared" si="22"/>
        <v>59.46810921193144</v>
      </c>
      <c r="Q77" s="374">
        <f t="shared" si="22"/>
        <v>57.54440211844315</v>
      </c>
      <c r="R77" s="374">
        <f t="shared" si="22"/>
        <v>61.91142949512807</v>
      </c>
      <c r="S77" s="374">
        <f t="shared" si="22"/>
        <v>58.85279631787717</v>
      </c>
      <c r="T77" s="374">
        <f t="shared" si="22"/>
        <v>56.053985410837456</v>
      </c>
      <c r="U77" s="374">
        <f t="shared" si="22"/>
        <v>57.759488772916285</v>
      </c>
      <c r="V77" s="374">
        <f t="shared" si="22"/>
        <v>58.74224730479227</v>
      </c>
      <c r="W77" s="374">
        <f t="shared" si="22"/>
        <v>57.552380509145074</v>
      </c>
      <c r="X77" s="374">
        <f>+X73*2000/X75/X52</f>
        <v>58.97333289297928</v>
      </c>
      <c r="Y77" s="374">
        <f t="shared" si="22"/>
        <v>56.62916946153921</v>
      </c>
      <c r="Z77" s="375">
        <f t="shared" si="22"/>
        <v>58.28835276891916</v>
      </c>
      <c r="AA77" s="239"/>
      <c r="AB77" s="376"/>
    </row>
    <row r="78" spans="2:27" ht="12.75">
      <c r="B78" s="372"/>
      <c r="C78" s="372"/>
      <c r="D78" s="373"/>
      <c r="E78" s="377"/>
      <c r="F78" s="377"/>
      <c r="G78" s="377"/>
      <c r="H78" s="377"/>
      <c r="I78" s="377"/>
      <c r="J78" s="377"/>
      <c r="K78" s="377"/>
      <c r="L78" s="377"/>
      <c r="M78" s="377"/>
      <c r="N78" s="377"/>
      <c r="O78" s="377"/>
      <c r="P78" s="377"/>
      <c r="Q78" s="377"/>
      <c r="R78" s="377"/>
      <c r="S78" s="377"/>
      <c r="T78" s="377"/>
      <c r="U78" s="377"/>
      <c r="V78" s="377"/>
      <c r="W78" s="377"/>
      <c r="X78" s="377"/>
      <c r="Y78" s="377"/>
      <c r="AA78" s="239"/>
    </row>
    <row r="79" spans="1:27" ht="12.75">
      <c r="A79" s="241" t="s">
        <v>272</v>
      </c>
      <c r="B79" s="372"/>
      <c r="C79" s="372"/>
      <c r="D79" s="373"/>
      <c r="E79" s="378">
        <f aca="true" t="shared" si="23" ref="E79:Z79">+E41/E73</f>
        <v>38.59031115070399</v>
      </c>
      <c r="F79" s="378">
        <f t="shared" si="23"/>
        <v>53.9737531438977</v>
      </c>
      <c r="G79" s="378">
        <f t="shared" si="23"/>
        <v>48.27821522394867</v>
      </c>
      <c r="H79" s="378">
        <f t="shared" si="23"/>
        <v>61.67135382477678</v>
      </c>
      <c r="I79" s="378">
        <f t="shared" si="23"/>
        <v>74.72067048615335</v>
      </c>
      <c r="J79" s="378">
        <f t="shared" si="23"/>
        <v>69.53730159149698</v>
      </c>
      <c r="K79" s="378">
        <f t="shared" si="23"/>
        <v>73.14645873249371</v>
      </c>
      <c r="L79" s="378">
        <f t="shared" si="23"/>
        <v>67.16157921236058</v>
      </c>
      <c r="M79" s="378">
        <f t="shared" si="23"/>
        <v>75.94536285286742</v>
      </c>
      <c r="N79" s="378">
        <f t="shared" si="23"/>
        <v>80.3769862360414</v>
      </c>
      <c r="O79" s="378">
        <f t="shared" si="23"/>
        <v>85.69569581418516</v>
      </c>
      <c r="P79" s="378">
        <f t="shared" si="23"/>
        <v>109.05379672358323</v>
      </c>
      <c r="Q79" s="378">
        <f t="shared" si="23"/>
        <v>70.20110518996566</v>
      </c>
      <c r="R79" s="378">
        <f t="shared" si="23"/>
        <v>76.22538480885393</v>
      </c>
      <c r="S79" s="378">
        <f t="shared" si="23"/>
        <v>117.35288544293569</v>
      </c>
      <c r="T79" s="378">
        <f t="shared" si="23"/>
        <v>110.22916640439553</v>
      </c>
      <c r="U79" s="378">
        <f t="shared" si="23"/>
        <v>102.75431563254988</v>
      </c>
      <c r="V79" s="378">
        <f t="shared" si="23"/>
        <v>96.38738968944794</v>
      </c>
      <c r="W79" s="378">
        <f t="shared" si="23"/>
        <v>82.80773199377661</v>
      </c>
      <c r="X79" s="378">
        <f>+X41/X73</f>
        <v>60.62030259406791</v>
      </c>
      <c r="Y79" s="378">
        <f t="shared" si="23"/>
        <v>86.6687227184805</v>
      </c>
      <c r="Z79" s="378">
        <f t="shared" si="23"/>
        <v>81.54228929351497</v>
      </c>
      <c r="AA79" s="239"/>
    </row>
    <row r="80" spans="2:25" ht="18.75" customHeight="1">
      <c r="B80" s="372"/>
      <c r="C80" s="372"/>
      <c r="D80" s="373"/>
      <c r="E80" s="379"/>
      <c r="F80" s="379"/>
      <c r="G80" s="379"/>
      <c r="H80" s="379"/>
      <c r="I80" s="379"/>
      <c r="J80" s="379"/>
      <c r="K80" s="379"/>
      <c r="L80" s="379"/>
      <c r="M80" s="379"/>
      <c r="N80" s="379"/>
      <c r="O80" s="379"/>
      <c r="P80" s="379"/>
      <c r="Q80" s="379"/>
      <c r="R80" s="379"/>
      <c r="S80" s="379"/>
      <c r="T80" s="379"/>
      <c r="U80" s="379"/>
      <c r="V80" s="379"/>
      <c r="W80" s="379"/>
      <c r="X80" s="379"/>
      <c r="Y80" s="379"/>
    </row>
    <row r="81" spans="1:3" s="241" customFormat="1" ht="12.75">
      <c r="A81" s="241" t="s">
        <v>334</v>
      </c>
      <c r="C81" s="400">
        <v>0.45</v>
      </c>
    </row>
    <row r="82" s="241" customFormat="1" ht="12.75">
      <c r="C82" s="401"/>
    </row>
  </sheetData>
  <sheetProtection/>
  <mergeCells count="2">
    <mergeCell ref="O19:R19"/>
    <mergeCell ref="O20:R20"/>
  </mergeCells>
  <printOptions/>
  <pageMargins left="0.7" right="0.45" top="0.25" bottom="0.5" header="0.3" footer="0"/>
  <pageSetup fitToHeight="1" fitToWidth="1" horizontalDpi="600" verticalDpi="600" orientation="landscape" scale="51" r:id="rId1"/>
</worksheet>
</file>

<file path=xl/worksheets/sheet3.xml><?xml version="1.0" encoding="utf-8"?>
<worksheet xmlns="http://schemas.openxmlformats.org/spreadsheetml/2006/main" xmlns:r="http://schemas.openxmlformats.org/officeDocument/2006/relationships">
  <sheetPr>
    <pageSetUpPr fitToPage="1"/>
  </sheetPr>
  <dimension ref="A1:AC76"/>
  <sheetViews>
    <sheetView zoomScalePageLayoutView="0" workbookViewId="0" topLeftCell="A34">
      <selection activeCell="Z61" sqref="Z61"/>
    </sheetView>
  </sheetViews>
  <sheetFormatPr defaultColWidth="12.57421875" defaultRowHeight="12.75"/>
  <cols>
    <col min="1" max="1" width="26.8515625" style="238" customWidth="1"/>
    <col min="2" max="2" width="14.7109375" style="238" customWidth="1"/>
    <col min="3" max="3" width="11.28125" style="238" bestFit="1" customWidth="1"/>
    <col min="4" max="4" width="10.421875" style="238" bestFit="1" customWidth="1"/>
    <col min="5" max="5" width="11.8515625" style="238" hidden="1" customWidth="1"/>
    <col min="6" max="6" width="11.28125" style="238" hidden="1" customWidth="1"/>
    <col min="7" max="7" width="14.8515625" style="238" hidden="1" customWidth="1"/>
    <col min="8" max="8" width="11.28125" style="238" hidden="1" customWidth="1"/>
    <col min="9" max="11" width="11.8515625" style="238" hidden="1" customWidth="1"/>
    <col min="12" max="12" width="11.28125" style="238" hidden="1" customWidth="1"/>
    <col min="13" max="13" width="11.8515625" style="238" hidden="1" customWidth="1"/>
    <col min="14" max="14" width="12.00390625" style="238" hidden="1" customWidth="1"/>
    <col min="15" max="15" width="12.8515625" style="238" customWidth="1"/>
    <col min="16" max="17" width="11.8515625" style="238" bestFit="1" customWidth="1"/>
    <col min="18" max="18" width="11.8515625" style="238" customWidth="1"/>
    <col min="19" max="19" width="12.28125" style="238" bestFit="1" customWidth="1"/>
    <col min="20" max="20" width="12.28125" style="238" customWidth="1"/>
    <col min="21" max="21" width="10.28125" style="238" bestFit="1" customWidth="1"/>
    <col min="22" max="22" width="14.140625" style="238" bestFit="1" customWidth="1"/>
    <col min="23" max="25" width="12.28125" style="238" customWidth="1"/>
    <col min="26" max="26" width="12.8515625" style="238" bestFit="1" customWidth="1"/>
    <col min="27" max="27" width="2.7109375" style="238" customWidth="1"/>
    <col min="28" max="16384" width="12.57421875" style="238" customWidth="1"/>
  </cols>
  <sheetData>
    <row r="1" spans="1:27" ht="12.75">
      <c r="A1" s="235" t="s">
        <v>273</v>
      </c>
      <c r="B1" s="236"/>
      <c r="C1" s="236"/>
      <c r="D1" s="237"/>
      <c r="AA1" s="239"/>
    </row>
    <row r="2" spans="1:27" ht="12.75">
      <c r="A2" s="240" t="s">
        <v>187</v>
      </c>
      <c r="B2" s="241"/>
      <c r="C2" s="241"/>
      <c r="D2" s="242"/>
      <c r="AA2" s="239"/>
    </row>
    <row r="3" spans="1:27" ht="12.75">
      <c r="A3" s="243" t="s">
        <v>188</v>
      </c>
      <c r="B3" s="244"/>
      <c r="C3" s="244"/>
      <c r="D3" s="245"/>
      <c r="AA3" s="239"/>
    </row>
    <row r="4" ht="13.5" thickBot="1">
      <c r="AA4" s="239"/>
    </row>
    <row r="5" spans="1:27" ht="12.75">
      <c r="A5" s="246" t="s">
        <v>189</v>
      </c>
      <c r="D5" s="247"/>
      <c r="U5" s="254"/>
      <c r="V5" s="248"/>
      <c r="W5" s="250" t="s">
        <v>190</v>
      </c>
      <c r="X5" s="250"/>
      <c r="Y5" s="403"/>
      <c r="Z5" s="307"/>
      <c r="AA5" s="239"/>
    </row>
    <row r="6" spans="1:27" ht="12.75">
      <c r="A6" s="238" t="s">
        <v>191</v>
      </c>
      <c r="D6" s="252">
        <v>8.82</v>
      </c>
      <c r="U6" s="254"/>
      <c r="V6" s="253"/>
      <c r="W6" s="282" t="s">
        <v>192</v>
      </c>
      <c r="X6" s="282"/>
      <c r="Y6" s="256" t="s">
        <v>193</v>
      </c>
      <c r="Z6" s="307"/>
      <c r="AA6" s="239"/>
    </row>
    <row r="7" spans="1:27" ht="12.75">
      <c r="A7" s="238" t="s">
        <v>194</v>
      </c>
      <c r="D7" s="257">
        <f>+V31</f>
        <v>-0.62</v>
      </c>
      <c r="U7" s="402"/>
      <c r="V7" s="404" t="s">
        <v>195</v>
      </c>
      <c r="W7" s="260">
        <f aca="true" t="shared" si="0" ref="W7:W16">+Y7*$W$17</f>
        <v>2328.737517541429</v>
      </c>
      <c r="X7" s="260"/>
      <c r="Y7" s="261">
        <f>+'NS(SC) Deferred Acct.'!W7</f>
        <v>0.3004915658731921</v>
      </c>
      <c r="Z7" s="307"/>
      <c r="AA7" s="239"/>
    </row>
    <row r="8" spans="4:27" ht="12.75">
      <c r="D8" s="262"/>
      <c r="U8" s="402"/>
      <c r="V8" s="404" t="s">
        <v>1</v>
      </c>
      <c r="W8" s="260">
        <f t="shared" si="0"/>
        <v>1594.012503624454</v>
      </c>
      <c r="X8" s="260"/>
      <c r="Y8" s="261">
        <f>+'NS(SC) Deferred Acct.'!W8</f>
        <v>0.2056854023381955</v>
      </c>
      <c r="Z8" s="307"/>
      <c r="AA8" s="239"/>
    </row>
    <row r="9" spans="1:27" ht="13.5" thickBot="1">
      <c r="A9" s="241" t="s">
        <v>196</v>
      </c>
      <c r="B9" s="241"/>
      <c r="D9" s="263">
        <f>D6+D7</f>
        <v>8.200000000000001</v>
      </c>
      <c r="U9" s="402"/>
      <c r="V9" s="404" t="s">
        <v>197</v>
      </c>
      <c r="W9" s="260">
        <f t="shared" si="0"/>
        <v>1779.3824231895264</v>
      </c>
      <c r="X9" s="260"/>
      <c r="Y9" s="261">
        <f>+'NS(SC) Deferred Acct.'!W9</f>
        <v>0.2296048423679606</v>
      </c>
      <c r="Z9" s="307"/>
      <c r="AA9" s="239"/>
    </row>
    <row r="10" spans="21:27" ht="13.5" thickTop="1">
      <c r="U10" s="402"/>
      <c r="V10" s="404" t="s">
        <v>198</v>
      </c>
      <c r="W10" s="260">
        <f t="shared" si="0"/>
        <v>42.3118687599197</v>
      </c>
      <c r="X10" s="260"/>
      <c r="Y10" s="261">
        <f>+'NS(SC) Deferred Acct.'!W10</f>
        <v>0.005459765045616858</v>
      </c>
      <c r="Z10" s="307"/>
      <c r="AA10" s="239"/>
    </row>
    <row r="11" spans="4:27" ht="12.75">
      <c r="D11" s="252"/>
      <c r="K11" s="264"/>
      <c r="L11" s="264"/>
      <c r="M11" s="264"/>
      <c r="U11" s="402"/>
      <c r="V11" s="404" t="s">
        <v>199</v>
      </c>
      <c r="W11" s="260">
        <f t="shared" si="0"/>
        <v>92.25802139067954</v>
      </c>
      <c r="X11" s="260"/>
      <c r="Y11" s="261">
        <f>+'NS(SC) Deferred Acct.'!W11</f>
        <v>0.011904629484097514</v>
      </c>
      <c r="Z11" s="307"/>
      <c r="AA11" s="239"/>
    </row>
    <row r="12" spans="1:27" ht="12.75">
      <c r="A12" s="246" t="s">
        <v>200</v>
      </c>
      <c r="D12" s="252"/>
      <c r="K12" s="264"/>
      <c r="L12" s="264"/>
      <c r="M12" s="264"/>
      <c r="U12" s="402"/>
      <c r="V12" s="404" t="s">
        <v>201</v>
      </c>
      <c r="W12" s="260">
        <f t="shared" si="0"/>
        <v>1728.3600952655067</v>
      </c>
      <c r="X12" s="260"/>
      <c r="Y12" s="261">
        <f>+'NS(SC) Deferred Acct.'!W12</f>
        <v>0.22302111230096244</v>
      </c>
      <c r="Z12" s="307"/>
      <c r="AA12" s="239"/>
    </row>
    <row r="13" spans="1:27" ht="12.75">
      <c r="A13" s="238" t="s">
        <v>191</v>
      </c>
      <c r="D13" s="252">
        <f>+D6</f>
        <v>8.82</v>
      </c>
      <c r="K13" s="264"/>
      <c r="L13" s="264"/>
      <c r="M13" s="264"/>
      <c r="U13" s="402"/>
      <c r="V13" s="404" t="s">
        <v>202</v>
      </c>
      <c r="W13" s="260">
        <f t="shared" si="0"/>
        <v>97.94013888663031</v>
      </c>
      <c r="X13" s="260"/>
      <c r="Y13" s="261">
        <f>+'NS(SC) Deferred Acct.'!W13</f>
        <v>0.012637828640710204</v>
      </c>
      <c r="Z13" s="307"/>
      <c r="AA13" s="239"/>
    </row>
    <row r="14" spans="1:27" ht="12.75">
      <c r="A14" s="238" t="s">
        <v>194</v>
      </c>
      <c r="D14" s="257">
        <f>-Z65</f>
        <v>-1.62</v>
      </c>
      <c r="E14" s="265"/>
      <c r="K14" s="264"/>
      <c r="L14" s="264"/>
      <c r="M14" s="264"/>
      <c r="U14" s="402"/>
      <c r="V14" s="404" t="s">
        <v>203</v>
      </c>
      <c r="W14" s="260">
        <f t="shared" si="0"/>
        <v>21.502274478913595</v>
      </c>
      <c r="X14" s="260"/>
      <c r="Y14" s="261">
        <f>+'NS(SC) Deferred Acct.'!W14</f>
        <v>0.0027745729517963903</v>
      </c>
      <c r="Z14" s="307"/>
      <c r="AA14" s="239"/>
    </row>
    <row r="15" spans="1:27" s="241" customFormat="1" ht="12.75">
      <c r="A15" s="238"/>
      <c r="B15" s="238"/>
      <c r="C15" s="238"/>
      <c r="D15" s="252"/>
      <c r="J15" s="238"/>
      <c r="K15" s="264"/>
      <c r="L15" s="264"/>
      <c r="M15" s="266"/>
      <c r="U15" s="402"/>
      <c r="V15" s="404" t="s">
        <v>204</v>
      </c>
      <c r="W15" s="260">
        <f t="shared" si="0"/>
        <v>23.18806412102225</v>
      </c>
      <c r="X15" s="260"/>
      <c r="Y15" s="261">
        <f>+'NS(SC) Deferred Acct.'!W15</f>
        <v>0.0029921009322898063</v>
      </c>
      <c r="Z15" s="254"/>
      <c r="AA15" s="267"/>
    </row>
    <row r="16" spans="1:27" ht="15.75" thickBot="1">
      <c r="A16" s="241" t="s">
        <v>196</v>
      </c>
      <c r="B16" s="241"/>
      <c r="D16" s="263">
        <f>D13+D14</f>
        <v>7.2</v>
      </c>
      <c r="K16" s="264"/>
      <c r="L16" s="264"/>
      <c r="M16" s="264"/>
      <c r="U16" s="402"/>
      <c r="V16" s="404" t="s">
        <v>205</v>
      </c>
      <c r="W16" s="268">
        <f t="shared" si="0"/>
        <v>42.06709274191907</v>
      </c>
      <c r="X16" s="268"/>
      <c r="Y16" s="269">
        <f>+'NS(SC) Deferred Acct.'!W16</f>
        <v>0.005428180065178673</v>
      </c>
      <c r="Z16" s="307"/>
      <c r="AA16" s="239"/>
    </row>
    <row r="17" spans="11:27" ht="16.5" thickBot="1" thickTop="1">
      <c r="K17" s="264"/>
      <c r="L17" s="264"/>
      <c r="M17" s="264"/>
      <c r="N17" s="270"/>
      <c r="U17" s="402"/>
      <c r="V17" s="405"/>
      <c r="W17" s="273">
        <f>SUM('2016-2017 Recy. Tons &amp; Revenue'!C101:C112)</f>
        <v>7749.76</v>
      </c>
      <c r="X17" s="273"/>
      <c r="Y17" s="274">
        <f>+W17/$W$17</f>
        <v>1</v>
      </c>
      <c r="Z17" s="307"/>
      <c r="AA17" s="239"/>
    </row>
    <row r="18" spans="1:27" ht="14.25" thickBot="1" thickTop="1">
      <c r="A18" s="275"/>
      <c r="B18" s="275"/>
      <c r="C18" s="275"/>
      <c r="D18" s="275"/>
      <c r="E18" s="275"/>
      <c r="F18" s="276"/>
      <c r="G18" s="276"/>
      <c r="H18" s="277"/>
      <c r="I18" s="278"/>
      <c r="J18" s="275"/>
      <c r="K18" s="275"/>
      <c r="L18" s="275"/>
      <c r="M18" s="275"/>
      <c r="N18" s="275"/>
      <c r="O18" s="275"/>
      <c r="P18" s="275"/>
      <c r="Q18" s="275"/>
      <c r="R18" s="275"/>
      <c r="S18" s="275"/>
      <c r="T18" s="275"/>
      <c r="U18" s="275"/>
      <c r="V18" s="275"/>
      <c r="W18" s="275"/>
      <c r="X18" s="275"/>
      <c r="Y18" s="275"/>
      <c r="Z18" s="275"/>
      <c r="AA18" s="239"/>
    </row>
    <row r="19" spans="1:27" ht="14.25" thickBot="1" thickTop="1">
      <c r="A19" s="241" t="s">
        <v>206</v>
      </c>
      <c r="B19" s="279">
        <f>+D36</f>
        <v>20713.833333333332</v>
      </c>
      <c r="O19" s="611" t="s">
        <v>274</v>
      </c>
      <c r="P19" s="611"/>
      <c r="Q19" s="611"/>
      <c r="R19" s="611"/>
      <c r="AA19" s="239"/>
    </row>
    <row r="20" spans="1:27" ht="14.25" thickBot="1" thickTop="1">
      <c r="A20" s="241" t="s">
        <v>207</v>
      </c>
      <c r="B20" s="280">
        <f>ROUND(+P36/(SUM(D24:D35)),2)</f>
        <v>2.7</v>
      </c>
      <c r="D20" s="281"/>
      <c r="O20" s="612" t="s">
        <v>208</v>
      </c>
      <c r="P20" s="612"/>
      <c r="Q20" s="612"/>
      <c r="R20" s="612"/>
      <c r="AA20" s="239"/>
    </row>
    <row r="21" spans="4:27" ht="13.5" thickTop="1">
      <c r="D21" s="281"/>
      <c r="Q21" s="281" t="s">
        <v>119</v>
      </c>
      <c r="T21" s="281"/>
      <c r="V21" s="281"/>
      <c r="Z21" s="281"/>
      <c r="AA21" s="239"/>
    </row>
    <row r="22" spans="1:27" ht="12.75">
      <c r="A22" s="241"/>
      <c r="D22" s="281" t="s">
        <v>100</v>
      </c>
      <c r="P22" s="281"/>
      <c r="Q22" s="281" t="s">
        <v>286</v>
      </c>
      <c r="R22" s="281" t="s">
        <v>209</v>
      </c>
      <c r="S22" s="282"/>
      <c r="T22" s="281" t="s">
        <v>210</v>
      </c>
      <c r="V22" s="281" t="s">
        <v>211</v>
      </c>
      <c r="X22" s="281" t="s">
        <v>100</v>
      </c>
      <c r="AA22" s="239"/>
    </row>
    <row r="23" spans="4:27" ht="12.75">
      <c r="D23" s="247" t="s">
        <v>121</v>
      </c>
      <c r="P23" s="247" t="s">
        <v>190</v>
      </c>
      <c r="Q23" s="283" t="s">
        <v>184</v>
      </c>
      <c r="R23" s="247" t="s">
        <v>190</v>
      </c>
      <c r="S23" s="247" t="s">
        <v>212</v>
      </c>
      <c r="T23" s="247" t="s">
        <v>69</v>
      </c>
      <c r="V23" s="247" t="s">
        <v>213</v>
      </c>
      <c r="X23" s="247" t="s">
        <v>214</v>
      </c>
      <c r="AA23" s="239"/>
    </row>
    <row r="24" spans="1:27" ht="12.75">
      <c r="A24" s="284" t="s">
        <v>293</v>
      </c>
      <c r="D24" s="285">
        <f>+'Customer Counts'!F18</f>
        <v>20613</v>
      </c>
      <c r="P24" s="286">
        <f>+'2016-2017 Recy. Tons &amp; Revenue'!J101</f>
        <v>47802.51134423565</v>
      </c>
      <c r="Q24" s="287">
        <f>-P24*$C$75</f>
        <v>-22706.192888511934</v>
      </c>
      <c r="R24" s="286">
        <f>+Q24+P24+O24</f>
        <v>25096.31845572372</v>
      </c>
      <c r="S24" s="252">
        <f aca="true" t="shared" si="1" ref="S24:S35">R24/D24</f>
        <v>1.217499561234353</v>
      </c>
      <c r="T24" s="288">
        <f>ROUND((SUM($E$40:$X$40)+R24)/(SUM($E$52:$X$52)+D24),2)</f>
        <v>2.78</v>
      </c>
      <c r="V24" s="252">
        <v>-1.13</v>
      </c>
      <c r="X24" s="287">
        <f aca="true" t="shared" si="2" ref="X24:X35">+V24*D24</f>
        <v>-23292.69</v>
      </c>
      <c r="AA24" s="239"/>
    </row>
    <row r="25" spans="1:27" ht="12.75">
      <c r="A25" s="284" t="s">
        <v>73</v>
      </c>
      <c r="D25" s="285">
        <f>+'Customer Counts'!F19</f>
        <v>20656</v>
      </c>
      <c r="P25" s="286">
        <f>+'2016-2017 Recy. Tons &amp; Revenue'!J102</f>
        <v>54915.793040465906</v>
      </c>
      <c r="Q25" s="287">
        <f aca="true" t="shared" si="3" ref="Q25:Q35">-P25*$C$75</f>
        <v>-26085.001694221304</v>
      </c>
      <c r="R25" s="286">
        <f aca="true" t="shared" si="4" ref="R25:R35">+Q25+P25+O25</f>
        <v>28830.7913462446</v>
      </c>
      <c r="S25" s="252">
        <f t="shared" si="1"/>
        <v>1.3957586825253971</v>
      </c>
      <c r="T25" s="288">
        <f>ROUND((SUM($E$40:$X$40)+R25+R24)/(SUM($E$52:$X$52)+D25+D24),2)</f>
        <v>2.77</v>
      </c>
      <c r="V25" s="252">
        <f>+V24</f>
        <v>-1.13</v>
      </c>
      <c r="X25" s="287">
        <f t="shared" si="2"/>
        <v>-23341.28</v>
      </c>
      <c r="AA25" s="239"/>
    </row>
    <row r="26" spans="1:27" ht="12.75">
      <c r="A26" s="284" t="s">
        <v>92</v>
      </c>
      <c r="D26" s="285">
        <f>+'Customer Counts'!F20</f>
        <v>20638</v>
      </c>
      <c r="P26" s="286">
        <f>+'2016-2017 Recy. Tons &amp; Revenue'!J103</f>
        <v>61274.821418850195</v>
      </c>
      <c r="Q26" s="287">
        <f t="shared" si="3"/>
        <v>-29105.540173953843</v>
      </c>
      <c r="R26" s="286">
        <f t="shared" si="4"/>
        <v>32169.281244896352</v>
      </c>
      <c r="S26" s="252">
        <f t="shared" si="1"/>
        <v>1.5587402483233042</v>
      </c>
      <c r="T26" s="288">
        <f>ROUND((SUM($E$40:$X$40)+R26+R25+R24)/(SUM($E$52:$X$52)+D26+D25+D24),2)</f>
        <v>2.77</v>
      </c>
      <c r="V26" s="252">
        <f>+V25</f>
        <v>-1.13</v>
      </c>
      <c r="X26" s="287">
        <f t="shared" si="2"/>
        <v>-23320.94</v>
      </c>
      <c r="AA26" s="239"/>
    </row>
    <row r="27" spans="1:27" ht="12.75">
      <c r="A27" s="284" t="s">
        <v>133</v>
      </c>
      <c r="D27" s="285">
        <f>+'Customer Counts'!F21</f>
        <v>20616</v>
      </c>
      <c r="P27" s="286">
        <f>+'2016-2017 Recy. Tons &amp; Revenue'!J104</f>
        <v>68071.62797099008</v>
      </c>
      <c r="Q27" s="287">
        <f t="shared" si="3"/>
        <v>-32334.02328622029</v>
      </c>
      <c r="R27" s="286">
        <f t="shared" si="4"/>
        <v>35737.604684769794</v>
      </c>
      <c r="S27" s="252">
        <f t="shared" si="1"/>
        <v>1.7334887798200327</v>
      </c>
      <c r="T27" s="288">
        <f>ROUND((SUM($E$40:$X$40)+R27+R26+R25+R24)/(SUM($E$52:$X$52)+D27+D26+D25+D24),2)</f>
        <v>2.77</v>
      </c>
      <c r="V27" s="252">
        <v>-0.62</v>
      </c>
      <c r="X27" s="287">
        <f t="shared" si="2"/>
        <v>-12781.92</v>
      </c>
      <c r="AA27" s="239"/>
    </row>
    <row r="28" spans="1:27" ht="12.75">
      <c r="A28" s="284" t="s">
        <v>106</v>
      </c>
      <c r="D28" s="285">
        <f>+'Customer Counts'!F22</f>
        <v>20614</v>
      </c>
      <c r="P28" s="286">
        <f>+'2016-2017 Recy. Tons &amp; Revenue'!J105</f>
        <v>52996.87636704346</v>
      </c>
      <c r="Q28" s="287">
        <f t="shared" si="3"/>
        <v>-25173.516274345642</v>
      </c>
      <c r="R28" s="286">
        <f t="shared" si="4"/>
        <v>27823.360092697814</v>
      </c>
      <c r="S28" s="252">
        <f t="shared" si="1"/>
        <v>1.349731255103222</v>
      </c>
      <c r="T28" s="288">
        <f>ROUND((SUM($E$40:$X$40)+R28+R27+R26+R25+R24)/(SUM($E$52:$X$52)+D28+D27+D26+D25+D24),2)</f>
        <v>2.76</v>
      </c>
      <c r="V28" s="252">
        <f aca="true" t="shared" si="5" ref="V28:V34">+V27</f>
        <v>-0.62</v>
      </c>
      <c r="X28" s="287">
        <f t="shared" si="2"/>
        <v>-12780.68</v>
      </c>
      <c r="AA28" s="239"/>
    </row>
    <row r="29" spans="1:27" ht="12.75">
      <c r="A29" s="284" t="s">
        <v>107</v>
      </c>
      <c r="D29" s="285">
        <f>+'Customer Counts'!F23</f>
        <v>20647</v>
      </c>
      <c r="P29" s="286">
        <f>+'2016-2017 Recy. Tons &amp; Revenue'!J106</f>
        <v>76873.40119133305</v>
      </c>
      <c r="Q29" s="287">
        <f t="shared" si="3"/>
        <v>-36514.86556588319</v>
      </c>
      <c r="R29" s="286">
        <f t="shared" si="4"/>
        <v>40358.535625449855</v>
      </c>
      <c r="S29" s="252">
        <f t="shared" si="1"/>
        <v>1.9546924795587666</v>
      </c>
      <c r="T29" s="288">
        <f>ROUND((SUM($E$40:$X$40)+R29+R28+R27+R26+R25+R24)/(SUM($E$52:$X$52)+D29+D28+D27+D26+D25+D24),2)</f>
        <v>2.76</v>
      </c>
      <c r="V29" s="252">
        <f t="shared" si="5"/>
        <v>-0.62</v>
      </c>
      <c r="X29" s="287">
        <f t="shared" si="2"/>
        <v>-12801.14</v>
      </c>
      <c r="AA29" s="239"/>
    </row>
    <row r="30" spans="1:27" ht="12.75">
      <c r="A30" s="284" t="s">
        <v>108</v>
      </c>
      <c r="D30" s="285">
        <f>+'Customer Counts'!F24</f>
        <v>20717</v>
      </c>
      <c r="P30" s="286">
        <f>+'2016-2017 Recy. Tons &amp; Revenue'!J107</f>
        <v>39537.339364752566</v>
      </c>
      <c r="Q30" s="287">
        <f t="shared" si="3"/>
        <v>-18780.23619825747</v>
      </c>
      <c r="R30" s="286">
        <f t="shared" si="4"/>
        <v>20757.103166495097</v>
      </c>
      <c r="S30" s="252">
        <f t="shared" si="1"/>
        <v>1.0019357612827677</v>
      </c>
      <c r="T30" s="288">
        <f>ROUND((SUM($E$40:$X$40)+R30+R29+R28+R27+R26+R25+R24)/(SUM($E$52:$X$52)+D30+D29+D28+D27+D26+D25+D24),2)</f>
        <v>2.75</v>
      </c>
      <c r="V30" s="252">
        <f t="shared" si="5"/>
        <v>-0.62</v>
      </c>
      <c r="X30" s="287">
        <f t="shared" si="2"/>
        <v>-12844.539999999999</v>
      </c>
      <c r="AA30" s="239"/>
    </row>
    <row r="31" spans="1:27" ht="12.75">
      <c r="A31" s="284" t="s">
        <v>79</v>
      </c>
      <c r="D31" s="285">
        <f>+'Customer Counts'!F25</f>
        <v>20782</v>
      </c>
      <c r="P31" s="286">
        <f>+'2016-2017 Recy. Tons &amp; Revenue'!J108</f>
        <v>48082.75984729749</v>
      </c>
      <c r="Q31" s="287">
        <f t="shared" si="3"/>
        <v>-22839.310927466307</v>
      </c>
      <c r="R31" s="286">
        <f t="shared" si="4"/>
        <v>25243.448919831186</v>
      </c>
      <c r="S31" s="252">
        <f t="shared" si="1"/>
        <v>1.2146785160153588</v>
      </c>
      <c r="T31" s="288">
        <f>ROUND((SUM($E$40:$X$40)+R31+R30+R29+R28+R27+R26+R25+R24)/(SUM($E$52:$X$52)+D31+D30+D29+D28+D27+D26+D25+D24),2)</f>
        <v>2.74</v>
      </c>
      <c r="V31" s="252">
        <f t="shared" si="5"/>
        <v>-0.62</v>
      </c>
      <c r="X31" s="287">
        <f t="shared" si="2"/>
        <v>-12884.84</v>
      </c>
      <c r="AA31" s="239"/>
    </row>
    <row r="32" spans="1:27" ht="12.75">
      <c r="A32" s="284" t="s">
        <v>87</v>
      </c>
      <c r="D32" s="285">
        <f>+'Customer Counts'!F26</f>
        <v>20806</v>
      </c>
      <c r="P32" s="286">
        <f>+'2016-2017 Recy. Tons &amp; Revenue'!J109</f>
        <v>58040.935116330525</v>
      </c>
      <c r="Q32" s="287">
        <f t="shared" si="3"/>
        <v>-27569.444180257</v>
      </c>
      <c r="R32" s="286">
        <f t="shared" si="4"/>
        <v>30471.490936073526</v>
      </c>
      <c r="S32" s="252">
        <f t="shared" si="1"/>
        <v>1.4645530585443394</v>
      </c>
      <c r="T32" s="288">
        <f>ROUND((SUM($E$40:$X$40)+R32+R31+R30+R29+R28+R27+R26+R25+R24)/(SUM($E$52:$X$52)+D32+D31+D30+D29+D28+D27+D26+D25+D24),2)</f>
        <v>2.74</v>
      </c>
      <c r="V32" s="252">
        <f t="shared" si="5"/>
        <v>-0.62</v>
      </c>
      <c r="X32" s="287">
        <f t="shared" si="2"/>
        <v>-12899.72</v>
      </c>
      <c r="AA32" s="239"/>
    </row>
    <row r="33" spans="1:27" ht="12.75">
      <c r="A33" s="284" t="s">
        <v>88</v>
      </c>
      <c r="D33" s="285">
        <f>+'Customer Counts'!F27</f>
        <v>20837</v>
      </c>
      <c r="P33" s="286">
        <f>+'2016-2017 Recy. Tons &amp; Revenue'!J110</f>
        <v>62112.698470869946</v>
      </c>
      <c r="Q33" s="287">
        <f t="shared" si="3"/>
        <v>-29503.531773663224</v>
      </c>
      <c r="R33" s="286">
        <f t="shared" si="4"/>
        <v>32609.16669720672</v>
      </c>
      <c r="S33" s="252">
        <f t="shared" si="1"/>
        <v>1.564964567702007</v>
      </c>
      <c r="T33" s="288">
        <f>ROUND((SUM($E$40:$X$40)+R33+R32+R31+R30+R29+R28+R27+R26+R25+R24)/(SUM($E$52:$X$52)+D33+D32+D31+D30+D29+D28+D27+D26+D25+D24),2)</f>
        <v>2.73</v>
      </c>
      <c r="V33" s="252">
        <f t="shared" si="5"/>
        <v>-0.62</v>
      </c>
      <c r="X33" s="287">
        <f t="shared" si="2"/>
        <v>-12918.94</v>
      </c>
      <c r="AA33" s="239"/>
    </row>
    <row r="34" spans="1:27" ht="12.75">
      <c r="A34" s="284" t="s">
        <v>89</v>
      </c>
      <c r="D34" s="285">
        <f>+'Customer Counts'!F28</f>
        <v>20850</v>
      </c>
      <c r="P34" s="286">
        <f>+'2016-2017 Recy. Tons &amp; Revenue'!J111</f>
        <v>59619.480532574686</v>
      </c>
      <c r="Q34" s="287">
        <f t="shared" si="3"/>
        <v>-28319.253252972976</v>
      </c>
      <c r="R34" s="286">
        <f t="shared" si="4"/>
        <v>31300.22727960171</v>
      </c>
      <c r="S34" s="252">
        <f t="shared" si="1"/>
        <v>1.5012099414677078</v>
      </c>
      <c r="T34" s="288">
        <f>ROUND((SUM($E$40:$X$40)+R34+R33+R32+R31+R30+R29+R28+R27+R26+R25+R24)/(SUM($E$52:$X$52)+D34+D33+D32+D31+D30+D29+D28+D27+D26+D25+D24),2)</f>
        <v>2.73</v>
      </c>
      <c r="V34" s="252">
        <f t="shared" si="5"/>
        <v>-0.62</v>
      </c>
      <c r="X34" s="287">
        <f t="shared" si="2"/>
        <v>-12927</v>
      </c>
      <c r="AA34" s="239"/>
    </row>
    <row r="35" spans="1:27" ht="15">
      <c r="A35" s="284" t="s">
        <v>90</v>
      </c>
      <c r="D35" s="289">
        <f>+'Customer Counts'!F29</f>
        <v>20790</v>
      </c>
      <c r="O35" s="290"/>
      <c r="P35" s="291">
        <f>+'2016-2017 Recy. Tons &amp; Revenue'!J112</f>
        <v>41682.6992240629</v>
      </c>
      <c r="Q35" s="292">
        <f t="shared" si="3"/>
        <v>-19799.282131429874</v>
      </c>
      <c r="R35" s="291">
        <f t="shared" si="4"/>
        <v>21883.417092633023</v>
      </c>
      <c r="S35" s="252">
        <f t="shared" si="1"/>
        <v>1.0525934147490632</v>
      </c>
      <c r="T35" s="288">
        <f>ROUND((SUM($E$40:$X$40)+R35+R34+R33+R32+R31+R30+R29+R28+R27+R26+R25+R24)/(SUM($E$52:$X$52)+D35+D34+D33+D32+D31+D30+D29+D28+D27+D26+D25+D24),2)</f>
        <v>2.72</v>
      </c>
      <c r="V35" s="252">
        <f>+V34</f>
        <v>-0.62</v>
      </c>
      <c r="W35" s="290"/>
      <c r="X35" s="292">
        <f t="shared" si="2"/>
        <v>-12889.8</v>
      </c>
      <c r="AA35" s="239"/>
    </row>
    <row r="36" spans="1:27" ht="15.75" thickBot="1">
      <c r="A36" s="293"/>
      <c r="D36" s="294">
        <f>AVERAGE(D24:D35)</f>
        <v>20713.833333333332</v>
      </c>
      <c r="P36" s="295">
        <f>SUM(P24:P35)</f>
        <v>671010.9438888064</v>
      </c>
      <c r="Q36" s="296">
        <f>SUM(Q24:Q35)</f>
        <v>-318730.19834718306</v>
      </c>
      <c r="R36" s="296">
        <f>SUM(R24:R35)</f>
        <v>352280.74554162344</v>
      </c>
      <c r="T36" s="241"/>
      <c r="U36" s="241"/>
      <c r="V36" s="298"/>
      <c r="X36" s="296">
        <f>SUM(X24:X35)</f>
        <v>-185683.49</v>
      </c>
      <c r="AA36" s="239"/>
    </row>
    <row r="37" spans="1:27" ht="12.75">
      <c r="A37" s="275"/>
      <c r="B37" s="275"/>
      <c r="C37" s="275"/>
      <c r="D37" s="275"/>
      <c r="E37" s="299"/>
      <c r="F37" s="300"/>
      <c r="G37" s="299"/>
      <c r="H37" s="299"/>
      <c r="I37" s="299"/>
      <c r="J37" s="299"/>
      <c r="K37" s="299"/>
      <c r="L37" s="299"/>
      <c r="M37" s="299"/>
      <c r="N37" s="299"/>
      <c r="O37" s="299"/>
      <c r="P37" s="299"/>
      <c r="Q37" s="299"/>
      <c r="R37" s="299"/>
      <c r="S37" s="299"/>
      <c r="T37" s="299"/>
      <c r="U37" s="299"/>
      <c r="V37" s="299"/>
      <c r="W37" s="299"/>
      <c r="X37" s="299"/>
      <c r="Y37" s="299"/>
      <c r="Z37" s="301"/>
      <c r="AA37" s="239"/>
    </row>
    <row r="38" spans="4:27" s="302" customFormat="1" ht="12.75">
      <c r="D38" s="303" t="s">
        <v>215</v>
      </c>
      <c r="E38" s="304" t="s">
        <v>216</v>
      </c>
      <c r="F38" s="304" t="s">
        <v>217</v>
      </c>
      <c r="G38" s="304" t="s">
        <v>218</v>
      </c>
      <c r="H38" s="304" t="s">
        <v>219</v>
      </c>
      <c r="I38" s="304" t="s">
        <v>220</v>
      </c>
      <c r="J38" s="303" t="s">
        <v>221</v>
      </c>
      <c r="K38" s="303" t="s">
        <v>222</v>
      </c>
      <c r="L38" s="303" t="s">
        <v>223</v>
      </c>
      <c r="M38" s="303" t="s">
        <v>224</v>
      </c>
      <c r="N38" s="303" t="s">
        <v>225</v>
      </c>
      <c r="O38" s="303" t="s">
        <v>226</v>
      </c>
      <c r="P38" s="303" t="s">
        <v>227</v>
      </c>
      <c r="Q38" s="303" t="s">
        <v>228</v>
      </c>
      <c r="R38" s="303" t="s">
        <v>229</v>
      </c>
      <c r="S38" s="303" t="s">
        <v>230</v>
      </c>
      <c r="T38" s="303" t="s">
        <v>231</v>
      </c>
      <c r="U38" s="303" t="s">
        <v>232</v>
      </c>
      <c r="V38" s="303" t="s">
        <v>233</v>
      </c>
      <c r="W38" s="303" t="s">
        <v>234</v>
      </c>
      <c r="X38" s="303" t="s">
        <v>284</v>
      </c>
      <c r="Y38" s="303" t="s">
        <v>291</v>
      </c>
      <c r="Z38" s="305" t="s">
        <v>210</v>
      </c>
      <c r="AA38" s="306"/>
    </row>
    <row r="39" spans="1:27" ht="12.75">
      <c r="A39" s="254"/>
      <c r="B39" s="307"/>
      <c r="C39" s="308"/>
      <c r="D39" s="309" t="s">
        <v>235</v>
      </c>
      <c r="E39" s="310" t="s">
        <v>236</v>
      </c>
      <c r="F39" s="310" t="s">
        <v>237</v>
      </c>
      <c r="G39" s="310" t="s">
        <v>238</v>
      </c>
      <c r="H39" s="310" t="s">
        <v>239</v>
      </c>
      <c r="I39" s="310" t="s">
        <v>240</v>
      </c>
      <c r="J39" s="310" t="s">
        <v>241</v>
      </c>
      <c r="K39" s="310" t="s">
        <v>242</v>
      </c>
      <c r="L39" s="310" t="s">
        <v>243</v>
      </c>
      <c r="M39" s="310" t="s">
        <v>244</v>
      </c>
      <c r="N39" s="310" t="s">
        <v>245</v>
      </c>
      <c r="O39" s="310" t="s">
        <v>246</v>
      </c>
      <c r="P39" s="310" t="s">
        <v>247</v>
      </c>
      <c r="Q39" s="310" t="s">
        <v>248</v>
      </c>
      <c r="R39" s="310" t="s">
        <v>249</v>
      </c>
      <c r="S39" s="310" t="s">
        <v>250</v>
      </c>
      <c r="T39" s="310" t="s">
        <v>251</v>
      </c>
      <c r="U39" s="310" t="s">
        <v>252</v>
      </c>
      <c r="V39" s="310" t="s">
        <v>253</v>
      </c>
      <c r="W39" s="310" t="s">
        <v>254</v>
      </c>
      <c r="X39" s="310" t="s">
        <v>285</v>
      </c>
      <c r="Y39" s="310" t="s">
        <v>292</v>
      </c>
      <c r="Z39" s="311" t="s">
        <v>100</v>
      </c>
      <c r="AA39" s="239"/>
    </row>
    <row r="40" spans="1:29" ht="12.75">
      <c r="A40" s="238" t="s">
        <v>255</v>
      </c>
      <c r="C40" s="312"/>
      <c r="E40" s="287">
        <v>262090</v>
      </c>
      <c r="F40" s="287">
        <v>390585</v>
      </c>
      <c r="G40" s="287">
        <v>374749</v>
      </c>
      <c r="H40" s="287">
        <v>488766</v>
      </c>
      <c r="I40" s="287">
        <v>657293</v>
      </c>
      <c r="J40" s="287">
        <v>577893</v>
      </c>
      <c r="K40" s="287">
        <v>648218</v>
      </c>
      <c r="L40" s="287">
        <v>687608</v>
      </c>
      <c r="M40" s="313">
        <v>835612</v>
      </c>
      <c r="N40" s="313">
        <v>890278</v>
      </c>
      <c r="O40" s="313">
        <v>854851</v>
      </c>
      <c r="P40" s="313">
        <v>877681</v>
      </c>
      <c r="Q40" s="313">
        <v>601344</v>
      </c>
      <c r="R40" s="313">
        <v>673205</v>
      </c>
      <c r="S40" s="313">
        <v>1370720</v>
      </c>
      <c r="T40" s="313">
        <v>988545</v>
      </c>
      <c r="U40" s="313">
        <v>855101</v>
      </c>
      <c r="V40" s="313">
        <v>769844</v>
      </c>
      <c r="W40" s="313">
        <v>640356</v>
      </c>
      <c r="X40" s="313">
        <v>478956</v>
      </c>
      <c r="Y40" s="313">
        <f>+P36</f>
        <v>671010.9438888064</v>
      </c>
      <c r="Z40" s="314">
        <f>SUM(E40:Y40)</f>
        <v>14594705.943888806</v>
      </c>
      <c r="AA40" s="239"/>
      <c r="AC40" s="286"/>
    </row>
    <row r="41" spans="3:27" ht="12.75">
      <c r="C41" s="312"/>
      <c r="E41" s="315"/>
      <c r="F41" s="287"/>
      <c r="G41" s="287"/>
      <c r="H41" s="287"/>
      <c r="I41" s="287"/>
      <c r="J41" s="287"/>
      <c r="K41" s="287"/>
      <c r="L41" s="287"/>
      <c r="M41" s="287"/>
      <c r="N41" s="287"/>
      <c r="O41" s="287"/>
      <c r="P41" s="287"/>
      <c r="Q41" s="287"/>
      <c r="R41" s="287"/>
      <c r="S41" s="287"/>
      <c r="T41" s="287"/>
      <c r="U41" s="287"/>
      <c r="V41" s="287"/>
      <c r="W41" s="287"/>
      <c r="X41" s="287"/>
      <c r="Y41" s="287"/>
      <c r="Z41" s="314"/>
      <c r="AA41" s="239"/>
    </row>
    <row r="42" spans="1:27" ht="12.75">
      <c r="A42" s="316" t="s">
        <v>256</v>
      </c>
      <c r="C42" s="317"/>
      <c r="E42" s="315"/>
      <c r="F42" s="287"/>
      <c r="G42" s="287"/>
      <c r="H42" s="287"/>
      <c r="I42" s="287"/>
      <c r="J42" s="287"/>
      <c r="K42" s="287"/>
      <c r="L42" s="285">
        <v>-178288.5</v>
      </c>
      <c r="M42" s="318">
        <v>-250683.6</v>
      </c>
      <c r="N42" s="318">
        <v>-267083.4</v>
      </c>
      <c r="O42" s="318">
        <v>-256455</v>
      </c>
      <c r="P42" s="318">
        <v>-263304</v>
      </c>
      <c r="Q42" s="318">
        <v>-180403</v>
      </c>
      <c r="R42" s="318">
        <v>-201962</v>
      </c>
      <c r="S42" s="318">
        <v>-638738</v>
      </c>
      <c r="T42" s="318">
        <v>-358144</v>
      </c>
      <c r="U42" s="318">
        <v>-306024</v>
      </c>
      <c r="V42" s="318">
        <v>-275350</v>
      </c>
      <c r="W42" s="318">
        <v>-229922</v>
      </c>
      <c r="X42" s="318">
        <v>-213256</v>
      </c>
      <c r="Y42" s="318">
        <f>+Q36</f>
        <v>-318730.19834718306</v>
      </c>
      <c r="Z42" s="319">
        <f>SUM(E42:Y42)</f>
        <v>-3938343.698347183</v>
      </c>
      <c r="AA42" s="239"/>
    </row>
    <row r="43" spans="3:27" ht="12.75">
      <c r="C43" s="312"/>
      <c r="E43" s="315"/>
      <c r="F43" s="287"/>
      <c r="G43" s="287"/>
      <c r="H43" s="287"/>
      <c r="I43" s="287"/>
      <c r="J43" s="287"/>
      <c r="K43" s="287"/>
      <c r="L43" s="287"/>
      <c r="M43" s="287"/>
      <c r="N43" s="315"/>
      <c r="O43" s="315"/>
      <c r="P43" s="315"/>
      <c r="Q43" s="315"/>
      <c r="R43" s="315"/>
      <c r="S43" s="315"/>
      <c r="T43" s="315"/>
      <c r="U43" s="315"/>
      <c r="V43" s="315"/>
      <c r="W43" s="315"/>
      <c r="X43" s="315"/>
      <c r="Y43" s="315"/>
      <c r="Z43" s="314"/>
      <c r="AA43" s="239"/>
    </row>
    <row r="44" spans="1:27" ht="12.75">
      <c r="A44" s="238" t="s">
        <v>257</v>
      </c>
      <c r="C44" s="312"/>
      <c r="E44" s="320">
        <v>-410726</v>
      </c>
      <c r="F44" s="320">
        <v>-202603</v>
      </c>
      <c r="G44" s="320">
        <v>-545358</v>
      </c>
      <c r="H44" s="320">
        <v>-282869</v>
      </c>
      <c r="I44" s="321">
        <v>-564399</v>
      </c>
      <c r="J44" s="321">
        <v>-785801</v>
      </c>
      <c r="K44" s="321">
        <v>-630366</v>
      </c>
      <c r="L44" s="321">
        <v>-424143.14</v>
      </c>
      <c r="M44" s="321">
        <v>-542753.27</v>
      </c>
      <c r="N44" s="321">
        <v>-691911.65</v>
      </c>
      <c r="O44" s="321">
        <v>-623059</v>
      </c>
      <c r="P44" s="321">
        <v>-518173</v>
      </c>
      <c r="Q44" s="321">
        <v>-675732</v>
      </c>
      <c r="R44" s="321">
        <v>-335425</v>
      </c>
      <c r="S44" s="321">
        <v>-464286</v>
      </c>
      <c r="T44" s="321">
        <v>-1142646</v>
      </c>
      <c r="U44" s="321">
        <v>-606127</v>
      </c>
      <c r="V44" s="321">
        <v>-304881</v>
      </c>
      <c r="W44" s="321">
        <v>-348318</v>
      </c>
      <c r="X44" s="321">
        <v>-303015</v>
      </c>
      <c r="Y44" s="322">
        <f>+X36</f>
        <v>-185683.49</v>
      </c>
      <c r="Z44" s="323">
        <f>SUM(E44:Y44)</f>
        <v>-10588275.55</v>
      </c>
      <c r="AA44" s="239"/>
    </row>
    <row r="45" spans="3:27" ht="12.75">
      <c r="C45" s="312"/>
      <c r="E45" s="287"/>
      <c r="F45" s="287"/>
      <c r="G45" s="287"/>
      <c r="H45" s="287"/>
      <c r="I45" s="287"/>
      <c r="J45" s="287"/>
      <c r="K45" s="287"/>
      <c r="L45" s="287"/>
      <c r="M45" s="287"/>
      <c r="N45" s="287"/>
      <c r="O45" s="287"/>
      <c r="P45" s="287"/>
      <c r="Q45" s="287"/>
      <c r="R45" s="287"/>
      <c r="S45" s="287"/>
      <c r="T45" s="287"/>
      <c r="U45" s="287"/>
      <c r="V45" s="287"/>
      <c r="W45" s="287"/>
      <c r="X45" s="287"/>
      <c r="Y45" s="287"/>
      <c r="Z45" s="314"/>
      <c r="AA45" s="239"/>
    </row>
    <row r="46" spans="1:27" s="241" customFormat="1" ht="12.75">
      <c r="A46" s="241" t="s">
        <v>258</v>
      </c>
      <c r="E46" s="324">
        <f>SUM(E40:E44)</f>
        <v>-148636</v>
      </c>
      <c r="F46" s="324">
        <f aca="true" t="shared" si="6" ref="F46:R46">SUM(F40:F44)</f>
        <v>187982</v>
      </c>
      <c r="G46" s="324">
        <f t="shared" si="6"/>
        <v>-170609</v>
      </c>
      <c r="H46" s="324">
        <f t="shared" si="6"/>
        <v>205897</v>
      </c>
      <c r="I46" s="324">
        <f t="shared" si="6"/>
        <v>92894</v>
      </c>
      <c r="J46" s="324">
        <f t="shared" si="6"/>
        <v>-207908</v>
      </c>
      <c r="K46" s="324">
        <f t="shared" si="6"/>
        <v>17852</v>
      </c>
      <c r="L46" s="324">
        <f t="shared" si="6"/>
        <v>85176.35999999999</v>
      </c>
      <c r="M46" s="324">
        <f t="shared" si="6"/>
        <v>42175.130000000005</v>
      </c>
      <c r="N46" s="324">
        <f t="shared" si="6"/>
        <v>-68717.05000000005</v>
      </c>
      <c r="O46" s="324">
        <f t="shared" si="6"/>
        <v>-24663</v>
      </c>
      <c r="P46" s="324">
        <f t="shared" si="6"/>
        <v>96204</v>
      </c>
      <c r="Q46" s="324">
        <f t="shared" si="6"/>
        <v>-254791</v>
      </c>
      <c r="R46" s="324">
        <f t="shared" si="6"/>
        <v>135818</v>
      </c>
      <c r="S46" s="324">
        <f aca="true" t="shared" si="7" ref="S46:Y46">SUM(S40:S44)</f>
        <v>267696</v>
      </c>
      <c r="T46" s="324">
        <f t="shared" si="7"/>
        <v>-512245</v>
      </c>
      <c r="U46" s="324">
        <f t="shared" si="7"/>
        <v>-57050</v>
      </c>
      <c r="V46" s="324">
        <f t="shared" si="7"/>
        <v>189613</v>
      </c>
      <c r="W46" s="324">
        <f t="shared" si="7"/>
        <v>62116</v>
      </c>
      <c r="X46" s="324">
        <f t="shared" si="7"/>
        <v>-37315</v>
      </c>
      <c r="Y46" s="324">
        <f t="shared" si="7"/>
        <v>166597.25554162334</v>
      </c>
      <c r="Z46" s="326">
        <f>SUM(E46:Y46)</f>
        <v>68086.69554162328</v>
      </c>
      <c r="AA46" s="267"/>
    </row>
    <row r="47" spans="1:27" ht="12.75">
      <c r="A47" s="241"/>
      <c r="E47" s="328"/>
      <c r="F47" s="328"/>
      <c r="G47" s="328"/>
      <c r="H47" s="328"/>
      <c r="I47" s="328"/>
      <c r="J47" s="328"/>
      <c r="K47" s="328"/>
      <c r="L47" s="328"/>
      <c r="M47" s="328"/>
      <c r="N47" s="328"/>
      <c r="O47" s="328"/>
      <c r="P47" s="328"/>
      <c r="Q47" s="328"/>
      <c r="R47" s="328"/>
      <c r="S47" s="328"/>
      <c r="T47" s="328"/>
      <c r="U47" s="328"/>
      <c r="V47" s="328"/>
      <c r="W47" s="328"/>
      <c r="X47" s="328"/>
      <c r="Y47" s="328"/>
      <c r="Z47" s="314"/>
      <c r="AA47" s="239"/>
    </row>
    <row r="48" spans="1:27" ht="12.75">
      <c r="A48" s="238" t="s">
        <v>259</v>
      </c>
      <c r="E48" s="330">
        <v>10</v>
      </c>
      <c r="F48" s="330">
        <v>12</v>
      </c>
      <c r="G48" s="330">
        <v>12</v>
      </c>
      <c r="H48" s="330">
        <v>12</v>
      </c>
      <c r="I48" s="330">
        <v>12</v>
      </c>
      <c r="J48" s="331">
        <v>13</v>
      </c>
      <c r="K48" s="331">
        <v>14</v>
      </c>
      <c r="L48" s="331">
        <v>12</v>
      </c>
      <c r="M48" s="331">
        <v>12</v>
      </c>
      <c r="N48" s="331">
        <v>12</v>
      </c>
      <c r="O48" s="331">
        <v>12</v>
      </c>
      <c r="P48" s="331">
        <v>12</v>
      </c>
      <c r="Q48" s="331">
        <v>12</v>
      </c>
      <c r="R48" s="331">
        <v>12</v>
      </c>
      <c r="S48" s="331">
        <v>16</v>
      </c>
      <c r="T48" s="332">
        <v>13</v>
      </c>
      <c r="U48" s="332">
        <v>12</v>
      </c>
      <c r="V48" s="332">
        <v>12</v>
      </c>
      <c r="W48" s="332">
        <v>12</v>
      </c>
      <c r="X48" s="332">
        <v>12</v>
      </c>
      <c r="Y48" s="332">
        <v>12</v>
      </c>
      <c r="Z48" s="334">
        <v>12</v>
      </c>
      <c r="AA48" s="239"/>
    </row>
    <row r="49" spans="1:27" s="241" customFormat="1" ht="12.75">
      <c r="A49" s="241" t="s">
        <v>260</v>
      </c>
      <c r="E49" s="324">
        <f>+E46/E48</f>
        <v>-14863.6</v>
      </c>
      <c r="F49" s="324">
        <f aca="true" t="shared" si="8" ref="F49:Z49">+F46/F48</f>
        <v>15665.166666666666</v>
      </c>
      <c r="G49" s="324">
        <f t="shared" si="8"/>
        <v>-14217.416666666666</v>
      </c>
      <c r="H49" s="324">
        <f t="shared" si="8"/>
        <v>17158.083333333332</v>
      </c>
      <c r="I49" s="324">
        <f t="shared" si="8"/>
        <v>7741.166666666667</v>
      </c>
      <c r="J49" s="324">
        <f t="shared" si="8"/>
        <v>-15992.923076923076</v>
      </c>
      <c r="K49" s="324">
        <f t="shared" si="8"/>
        <v>1275.142857142857</v>
      </c>
      <c r="L49" s="324">
        <f t="shared" si="8"/>
        <v>7098.029999999999</v>
      </c>
      <c r="M49" s="324">
        <f t="shared" si="8"/>
        <v>3514.594166666667</v>
      </c>
      <c r="N49" s="324">
        <f t="shared" si="8"/>
        <v>-5726.420833333337</v>
      </c>
      <c r="O49" s="324">
        <f t="shared" si="8"/>
        <v>-2055.25</v>
      </c>
      <c r="P49" s="324">
        <f t="shared" si="8"/>
        <v>8017</v>
      </c>
      <c r="Q49" s="324">
        <f t="shared" si="8"/>
        <v>-21232.583333333332</v>
      </c>
      <c r="R49" s="324">
        <f t="shared" si="8"/>
        <v>11318.166666666666</v>
      </c>
      <c r="S49" s="324">
        <f t="shared" si="8"/>
        <v>16731</v>
      </c>
      <c r="T49" s="324">
        <f t="shared" si="8"/>
        <v>-39403.46153846154</v>
      </c>
      <c r="U49" s="324">
        <f t="shared" si="8"/>
        <v>-4754.166666666667</v>
      </c>
      <c r="V49" s="324">
        <f t="shared" si="8"/>
        <v>15801.083333333334</v>
      </c>
      <c r="W49" s="324">
        <f t="shared" si="8"/>
        <v>5176.333333333333</v>
      </c>
      <c r="X49" s="324">
        <f t="shared" si="8"/>
        <v>-3109.5833333333335</v>
      </c>
      <c r="Y49" s="324">
        <f t="shared" si="8"/>
        <v>13883.10462846861</v>
      </c>
      <c r="Z49" s="324">
        <f t="shared" si="8"/>
        <v>5673.891295135273</v>
      </c>
      <c r="AA49" s="267"/>
    </row>
    <row r="50" spans="1:27" ht="12.75">
      <c r="A50" s="241"/>
      <c r="F50" s="293"/>
      <c r="Z50" s="314"/>
      <c r="AA50" s="239"/>
    </row>
    <row r="51" spans="1:27" ht="13.5" thickBot="1">
      <c r="A51" s="238" t="s">
        <v>261</v>
      </c>
      <c r="C51" s="312"/>
      <c r="D51" s="312"/>
      <c r="E51" s="330">
        <v>19015</v>
      </c>
      <c r="F51" s="330">
        <v>19513</v>
      </c>
      <c r="G51" s="330">
        <v>20215</v>
      </c>
      <c r="H51" s="330">
        <v>20447</v>
      </c>
      <c r="I51" s="330">
        <v>20711.674242424244</v>
      </c>
      <c r="J51" s="330">
        <v>21314</v>
      </c>
      <c r="K51" s="330">
        <v>22270</v>
      </c>
      <c r="L51" s="329">
        <v>23056.666666666668</v>
      </c>
      <c r="M51" s="329">
        <v>24000.25</v>
      </c>
      <c r="N51" s="329">
        <v>24843.083333333332</v>
      </c>
      <c r="O51" s="329">
        <v>23590</v>
      </c>
      <c r="P51" s="329">
        <v>20465</v>
      </c>
      <c r="Q51" s="329">
        <v>20537</v>
      </c>
      <c r="R51" s="329">
        <v>20666</v>
      </c>
      <c r="S51" s="329">
        <v>20890.916666666668</v>
      </c>
      <c r="T51" s="329">
        <v>21113</v>
      </c>
      <c r="U51" s="329">
        <v>21536</v>
      </c>
      <c r="V51" s="329">
        <v>20705</v>
      </c>
      <c r="W51" s="329">
        <v>20397.916666666668</v>
      </c>
      <c r="X51" s="329">
        <v>20572</v>
      </c>
      <c r="Y51" s="329">
        <f>+B19</f>
        <v>20713.833333333332</v>
      </c>
      <c r="Z51" s="335">
        <f>+Y51</f>
        <v>20713.833333333332</v>
      </c>
      <c r="AA51" s="239"/>
    </row>
    <row r="52" spans="5:27" ht="12.75">
      <c r="E52" s="336">
        <f aca="true" t="shared" si="9" ref="E52:W52">E51*E48</f>
        <v>190150</v>
      </c>
      <c r="F52" s="336">
        <f t="shared" si="9"/>
        <v>234156</v>
      </c>
      <c r="G52" s="336">
        <f t="shared" si="9"/>
        <v>242580</v>
      </c>
      <c r="H52" s="336">
        <f t="shared" si="9"/>
        <v>245364</v>
      </c>
      <c r="I52" s="336">
        <f t="shared" si="9"/>
        <v>248540.09090909094</v>
      </c>
      <c r="J52" s="336">
        <f t="shared" si="9"/>
        <v>277082</v>
      </c>
      <c r="K52" s="336">
        <f t="shared" si="9"/>
        <v>311780</v>
      </c>
      <c r="L52" s="336">
        <f t="shared" si="9"/>
        <v>276680</v>
      </c>
      <c r="M52" s="336">
        <f t="shared" si="9"/>
        <v>288003</v>
      </c>
      <c r="N52" s="336">
        <f t="shared" si="9"/>
        <v>298117</v>
      </c>
      <c r="O52" s="336">
        <f t="shared" si="9"/>
        <v>283080</v>
      </c>
      <c r="P52" s="336">
        <f t="shared" si="9"/>
        <v>245580</v>
      </c>
      <c r="Q52" s="336">
        <f t="shared" si="9"/>
        <v>246444</v>
      </c>
      <c r="R52" s="336">
        <f t="shared" si="9"/>
        <v>247992</v>
      </c>
      <c r="S52" s="336">
        <f t="shared" si="9"/>
        <v>334254.6666666667</v>
      </c>
      <c r="T52" s="336">
        <f t="shared" si="9"/>
        <v>274469</v>
      </c>
      <c r="U52" s="336">
        <f t="shared" si="9"/>
        <v>258432</v>
      </c>
      <c r="V52" s="336">
        <f t="shared" si="9"/>
        <v>248460</v>
      </c>
      <c r="W52" s="336">
        <f t="shared" si="9"/>
        <v>244775</v>
      </c>
      <c r="X52" s="336"/>
      <c r="Y52" s="336"/>
      <c r="Z52" s="337">
        <f>Z51*Z48</f>
        <v>248566</v>
      </c>
      <c r="AA52" s="239"/>
    </row>
    <row r="53" spans="1:27" ht="13.5" thickBot="1">
      <c r="A53" s="241" t="s">
        <v>262</v>
      </c>
      <c r="D53" s="252"/>
      <c r="E53" s="263">
        <f aca="true" t="shared" si="10" ref="E53:Z53">ROUND(E49/E51,2)</f>
        <v>-0.78</v>
      </c>
      <c r="F53" s="263">
        <f t="shared" si="10"/>
        <v>0.8</v>
      </c>
      <c r="G53" s="263">
        <f t="shared" si="10"/>
        <v>-0.7</v>
      </c>
      <c r="H53" s="263">
        <f t="shared" si="10"/>
        <v>0.84</v>
      </c>
      <c r="I53" s="263">
        <f t="shared" si="10"/>
        <v>0.37</v>
      </c>
      <c r="J53" s="263">
        <f t="shared" si="10"/>
        <v>-0.75</v>
      </c>
      <c r="K53" s="263">
        <f t="shared" si="10"/>
        <v>0.06</v>
      </c>
      <c r="L53" s="263">
        <f t="shared" si="10"/>
        <v>0.31</v>
      </c>
      <c r="M53" s="263">
        <f t="shared" si="10"/>
        <v>0.15</v>
      </c>
      <c r="N53" s="263">
        <f t="shared" si="10"/>
        <v>-0.23</v>
      </c>
      <c r="O53" s="263">
        <f t="shared" si="10"/>
        <v>-0.09</v>
      </c>
      <c r="P53" s="263">
        <f t="shared" si="10"/>
        <v>0.39</v>
      </c>
      <c r="Q53" s="263">
        <f t="shared" si="10"/>
        <v>-1.03</v>
      </c>
      <c r="R53" s="263">
        <f t="shared" si="10"/>
        <v>0.55</v>
      </c>
      <c r="S53" s="263">
        <f t="shared" si="10"/>
        <v>0.8</v>
      </c>
      <c r="T53" s="263">
        <f t="shared" si="10"/>
        <v>-1.87</v>
      </c>
      <c r="U53" s="263">
        <f t="shared" si="10"/>
        <v>-0.22</v>
      </c>
      <c r="V53" s="263">
        <f t="shared" si="10"/>
        <v>0.76</v>
      </c>
      <c r="W53" s="263">
        <f t="shared" si="10"/>
        <v>0.25</v>
      </c>
      <c r="X53" s="263">
        <f t="shared" si="10"/>
        <v>-0.15</v>
      </c>
      <c r="Y53" s="263">
        <f t="shared" si="10"/>
        <v>0.67</v>
      </c>
      <c r="Z53" s="338">
        <f t="shared" si="10"/>
        <v>0.27</v>
      </c>
      <c r="AA53" s="239"/>
    </row>
    <row r="54" spans="4:27" ht="13.5" thickTop="1">
      <c r="D54" s="252"/>
      <c r="E54" s="252"/>
      <c r="F54" s="252"/>
      <c r="G54" s="252"/>
      <c r="H54" s="252"/>
      <c r="I54" s="252"/>
      <c r="J54" s="252"/>
      <c r="K54" s="252"/>
      <c r="L54" s="252"/>
      <c r="M54" s="252"/>
      <c r="N54" s="252"/>
      <c r="O54" s="252"/>
      <c r="P54" s="252"/>
      <c r="Q54" s="252"/>
      <c r="R54" s="252"/>
      <c r="S54" s="252"/>
      <c r="T54" s="252"/>
      <c r="U54" s="252"/>
      <c r="V54" s="252"/>
      <c r="W54" s="252"/>
      <c r="X54" s="252"/>
      <c r="Y54" s="252"/>
      <c r="Z54" s="314"/>
      <c r="AA54" s="239"/>
    </row>
    <row r="55" spans="1:27" ht="12.75">
      <c r="A55" s="339" t="s">
        <v>263</v>
      </c>
      <c r="B55" s="244"/>
      <c r="C55" s="244"/>
      <c r="D55" s="252"/>
      <c r="E55" s="252"/>
      <c r="F55" s="252"/>
      <c r="G55" s="252"/>
      <c r="H55" s="252"/>
      <c r="I55" s="252"/>
      <c r="J55" s="252"/>
      <c r="K55" s="252"/>
      <c r="L55" s="252"/>
      <c r="M55" s="252"/>
      <c r="N55" s="252"/>
      <c r="O55" s="252"/>
      <c r="P55" s="252"/>
      <c r="Q55" s="252"/>
      <c r="R55" s="252"/>
      <c r="S55" s="252"/>
      <c r="T55" s="252"/>
      <c r="U55" s="252"/>
      <c r="V55" s="252"/>
      <c r="W55" s="252"/>
      <c r="X55" s="252"/>
      <c r="Y55" s="252"/>
      <c r="Z55" s="314"/>
      <c r="AA55" s="239"/>
    </row>
    <row r="56" spans="1:27" ht="12.75">
      <c r="A56" s="238" t="s">
        <v>264</v>
      </c>
      <c r="D56" s="252"/>
      <c r="E56" s="252">
        <v>1.26</v>
      </c>
      <c r="F56" s="252">
        <v>1.77</v>
      </c>
      <c r="G56" s="252">
        <v>1.46</v>
      </c>
      <c r="H56" s="252">
        <v>1.99</v>
      </c>
      <c r="I56" s="252">
        <v>2.490813520586243</v>
      </c>
      <c r="J56" s="252">
        <v>2.12</v>
      </c>
      <c r="K56" s="252">
        <v>2.19</v>
      </c>
      <c r="L56" s="252">
        <v>2.4852103513083708</v>
      </c>
      <c r="M56" s="252">
        <v>2.901400332635424</v>
      </c>
      <c r="N56" s="252">
        <v>2.986337578870041</v>
      </c>
      <c r="O56" s="252">
        <v>3.02</v>
      </c>
      <c r="P56" s="252">
        <v>3.57</v>
      </c>
      <c r="Q56" s="252">
        <v>2.44</v>
      </c>
      <c r="R56" s="252">
        <v>2.71</v>
      </c>
      <c r="S56" s="252">
        <v>4.5378892740465355</v>
      </c>
      <c r="T56" s="252">
        <v>3.605421713563053</v>
      </c>
      <c r="U56" s="252">
        <v>3.3087916255305188</v>
      </c>
      <c r="V56" s="252">
        <v>3.1</v>
      </c>
      <c r="W56" s="252">
        <v>2.62</v>
      </c>
      <c r="X56" s="252">
        <v>1.94</v>
      </c>
      <c r="Y56" s="252">
        <f>+B20</f>
        <v>2.7</v>
      </c>
      <c r="Z56" s="349">
        <f>+Y56</f>
        <v>2.7</v>
      </c>
      <c r="AA56" s="239"/>
    </row>
    <row r="57" spans="1:27" ht="12.75">
      <c r="A57" s="341" t="s">
        <v>265</v>
      </c>
      <c r="D57" s="252"/>
      <c r="E57" s="252"/>
      <c r="F57" s="252"/>
      <c r="G57" s="252"/>
      <c r="H57" s="252"/>
      <c r="I57" s="252"/>
      <c r="J57" s="252"/>
      <c r="K57" s="252"/>
      <c r="L57" s="252"/>
      <c r="M57" s="252"/>
      <c r="N57" s="252"/>
      <c r="O57" s="252"/>
      <c r="P57" s="252"/>
      <c r="Q57" s="252"/>
      <c r="R57" s="252"/>
      <c r="S57" s="252"/>
      <c r="T57" s="252"/>
      <c r="U57" s="252"/>
      <c r="V57" s="252"/>
      <c r="W57" s="252"/>
      <c r="X57" s="252"/>
      <c r="Y57" s="252"/>
      <c r="Z57" s="314"/>
      <c r="AA57" s="239"/>
    </row>
    <row r="58" spans="1:27" ht="12.75">
      <c r="A58" s="238" t="s">
        <v>262</v>
      </c>
      <c r="D58" s="257"/>
      <c r="E58" s="257">
        <v>-0.78</v>
      </c>
      <c r="F58" s="257">
        <v>0.8</v>
      </c>
      <c r="G58" s="257">
        <v>-0.7</v>
      </c>
      <c r="H58" s="257">
        <v>0.84</v>
      </c>
      <c r="I58" s="257">
        <v>0.37</v>
      </c>
      <c r="J58" s="257">
        <v>-0.75</v>
      </c>
      <c r="K58" s="257">
        <v>0.06</v>
      </c>
      <c r="L58" s="257">
        <v>0.31</v>
      </c>
      <c r="M58" s="257">
        <v>0.15</v>
      </c>
      <c r="N58" s="257">
        <v>-0.23</v>
      </c>
      <c r="O58" s="257">
        <v>-0.02</v>
      </c>
      <c r="P58" s="257">
        <v>0.39</v>
      </c>
      <c r="Q58" s="257">
        <v>-1.03</v>
      </c>
      <c r="R58" s="257">
        <v>0.55</v>
      </c>
      <c r="S58" s="257">
        <v>0.8</v>
      </c>
      <c r="T58" s="257">
        <f aca="true" t="shared" si="11" ref="T58:Z58">+T53</f>
        <v>-1.87</v>
      </c>
      <c r="U58" s="257">
        <f t="shared" si="11"/>
        <v>-0.22</v>
      </c>
      <c r="V58" s="257">
        <f t="shared" si="11"/>
        <v>0.76</v>
      </c>
      <c r="W58" s="257">
        <f t="shared" si="11"/>
        <v>0.25</v>
      </c>
      <c r="X58" s="257">
        <f>+X53</f>
        <v>-0.15</v>
      </c>
      <c r="Y58" s="257">
        <f t="shared" si="11"/>
        <v>0.67</v>
      </c>
      <c r="Z58" s="342">
        <f t="shared" si="11"/>
        <v>0.27</v>
      </c>
      <c r="AA58" s="239"/>
    </row>
    <row r="59" spans="1:27" ht="13.5" thickBot="1">
      <c r="A59" s="238" t="s">
        <v>266</v>
      </c>
      <c r="D59" s="263">
        <v>2.16</v>
      </c>
      <c r="E59" s="263">
        <f aca="true" t="shared" si="12" ref="E59:R59">SUM(E56:E58)</f>
        <v>0.48</v>
      </c>
      <c r="F59" s="263">
        <f t="shared" si="12"/>
        <v>2.5700000000000003</v>
      </c>
      <c r="G59" s="263">
        <f t="shared" si="12"/>
        <v>0.76</v>
      </c>
      <c r="H59" s="263">
        <f t="shared" si="12"/>
        <v>2.83</v>
      </c>
      <c r="I59" s="263">
        <f t="shared" si="12"/>
        <v>2.8608135205862433</v>
      </c>
      <c r="J59" s="263">
        <f t="shared" si="12"/>
        <v>1.37</v>
      </c>
      <c r="K59" s="263">
        <f t="shared" si="12"/>
        <v>2.25</v>
      </c>
      <c r="L59" s="263">
        <f t="shared" si="12"/>
        <v>2.795210351308371</v>
      </c>
      <c r="M59" s="263">
        <f t="shared" si="12"/>
        <v>3.0514003326354238</v>
      </c>
      <c r="N59" s="263">
        <f t="shared" si="12"/>
        <v>2.756337578870041</v>
      </c>
      <c r="O59" s="263">
        <f t="shared" si="12"/>
        <v>3</v>
      </c>
      <c r="P59" s="263">
        <f t="shared" si="12"/>
        <v>3.96</v>
      </c>
      <c r="Q59" s="263">
        <f t="shared" si="12"/>
        <v>1.41</v>
      </c>
      <c r="R59" s="263">
        <f t="shared" si="12"/>
        <v>3.26</v>
      </c>
      <c r="S59" s="263">
        <f aca="true" t="shared" si="13" ref="S59:Z59">SUM(S56:S58)</f>
        <v>5.337889274046535</v>
      </c>
      <c r="T59" s="263">
        <f t="shared" si="13"/>
        <v>1.7354217135630527</v>
      </c>
      <c r="U59" s="263">
        <f t="shared" si="13"/>
        <v>3.0887916255305186</v>
      </c>
      <c r="V59" s="263">
        <f t="shared" si="13"/>
        <v>3.8600000000000003</v>
      </c>
      <c r="W59" s="263">
        <f t="shared" si="13"/>
        <v>2.87</v>
      </c>
      <c r="X59" s="263">
        <f>SUM(X56:X58)</f>
        <v>1.79</v>
      </c>
      <c r="Y59" s="263">
        <f t="shared" si="13"/>
        <v>3.37</v>
      </c>
      <c r="Z59" s="344">
        <f t="shared" si="13"/>
        <v>2.97</v>
      </c>
      <c r="AA59" s="239"/>
    </row>
    <row r="60" spans="4:27" ht="13.5" thickTop="1">
      <c r="D60" s="346"/>
      <c r="E60" s="346"/>
      <c r="F60" s="346"/>
      <c r="G60" s="346"/>
      <c r="H60" s="346"/>
      <c r="I60" s="346"/>
      <c r="J60" s="346"/>
      <c r="K60" s="346"/>
      <c r="L60" s="346"/>
      <c r="M60" s="346"/>
      <c r="N60" s="346"/>
      <c r="O60" s="346"/>
      <c r="P60" s="346"/>
      <c r="Q60" s="346"/>
      <c r="R60" s="346"/>
      <c r="S60" s="346"/>
      <c r="T60" s="346"/>
      <c r="U60" s="346"/>
      <c r="V60" s="346"/>
      <c r="W60" s="346"/>
      <c r="X60" s="346"/>
      <c r="Y60" s="346"/>
      <c r="Z60" s="347"/>
      <c r="AA60" s="239"/>
    </row>
    <row r="61" spans="1:29" ht="12.75">
      <c r="A61" s="238" t="s">
        <v>267</v>
      </c>
      <c r="D61" s="346"/>
      <c r="E61" s="346"/>
      <c r="F61" s="346"/>
      <c r="G61" s="346"/>
      <c r="H61" s="346"/>
      <c r="I61" s="346"/>
      <c r="J61" s="346"/>
      <c r="K61" s="346"/>
      <c r="L61" s="346"/>
      <c r="M61" s="346"/>
      <c r="N61" s="346"/>
      <c r="O61" s="346"/>
      <c r="P61" s="346"/>
      <c r="Q61" s="346"/>
      <c r="R61" s="346"/>
      <c r="S61" s="346"/>
      <c r="T61" s="346"/>
      <c r="U61" s="346"/>
      <c r="V61" s="346"/>
      <c r="W61" s="348">
        <f>+'[1]2014-2015 RSA Budget vs. Actual'!M45</f>
        <v>126519.10687418391</v>
      </c>
      <c r="X61" s="348"/>
      <c r="Y61" s="348"/>
      <c r="Z61" s="349"/>
      <c r="AA61" s="239"/>
      <c r="AC61" s="286"/>
    </row>
    <row r="62" spans="4:27" ht="12.75">
      <c r="D62" s="346"/>
      <c r="E62" s="346"/>
      <c r="F62" s="346"/>
      <c r="G62" s="346"/>
      <c r="H62" s="346"/>
      <c r="I62" s="346"/>
      <c r="J62" s="346"/>
      <c r="K62" s="346"/>
      <c r="L62" s="346"/>
      <c r="M62" s="346"/>
      <c r="N62" s="346"/>
      <c r="O62" s="346"/>
      <c r="P62" s="346"/>
      <c r="Q62" s="346"/>
      <c r="R62" s="346"/>
      <c r="S62" s="346"/>
      <c r="T62" s="346"/>
      <c r="U62" s="346"/>
      <c r="V62" s="346"/>
      <c r="W62" s="348"/>
      <c r="X62" s="348"/>
      <c r="Y62" s="348"/>
      <c r="Z62" s="349"/>
      <c r="AA62" s="239"/>
    </row>
    <row r="63" spans="1:27" ht="38.25">
      <c r="A63" s="350" t="s">
        <v>335</v>
      </c>
      <c r="C63" s="351">
        <f>+'KC 2018-2019 Budget'!C19</f>
        <v>0.5</v>
      </c>
      <c r="D63" s="252"/>
      <c r="E63" s="252"/>
      <c r="F63" s="252"/>
      <c r="G63" s="252"/>
      <c r="H63" s="252"/>
      <c r="I63" s="252"/>
      <c r="J63" s="252"/>
      <c r="K63" s="252"/>
      <c r="L63" s="252"/>
      <c r="M63" s="252"/>
      <c r="N63" s="252"/>
      <c r="O63" s="252"/>
      <c r="P63" s="252"/>
      <c r="Q63" s="252"/>
      <c r="R63" s="252"/>
      <c r="S63" s="252"/>
      <c r="T63" s="252"/>
      <c r="U63" s="252"/>
      <c r="V63" s="252"/>
      <c r="W63" s="252"/>
      <c r="X63" s="252"/>
      <c r="Y63" s="252"/>
      <c r="Z63" s="352">
        <f>ROUND(-Z56*C63,2)</f>
        <v>-1.35</v>
      </c>
      <c r="AA63" s="239"/>
    </row>
    <row r="64" spans="4:27" ht="12.75">
      <c r="D64" s="252"/>
      <c r="E64" s="252"/>
      <c r="F64" s="252"/>
      <c r="G64" s="252"/>
      <c r="H64" s="252"/>
      <c r="I64" s="252"/>
      <c r="J64" s="252"/>
      <c r="K64" s="252"/>
      <c r="L64" s="252"/>
      <c r="M64" s="252"/>
      <c r="N64" s="252"/>
      <c r="O64" s="252"/>
      <c r="P64" s="252"/>
      <c r="Q64" s="252"/>
      <c r="R64" s="252"/>
      <c r="S64" s="252"/>
      <c r="T64" s="252"/>
      <c r="U64" s="252"/>
      <c r="V64" s="252"/>
      <c r="W64" s="252"/>
      <c r="X64" s="252"/>
      <c r="Y64" s="252"/>
      <c r="Z64" s="314"/>
      <c r="AA64" s="239"/>
    </row>
    <row r="65" spans="1:28" ht="13.5" thickBot="1">
      <c r="A65" s="238" t="s">
        <v>268</v>
      </c>
      <c r="D65" s="263">
        <v>2.16</v>
      </c>
      <c r="E65" s="263">
        <v>0.61</v>
      </c>
      <c r="F65" s="263">
        <v>2.57</v>
      </c>
      <c r="G65" s="353">
        <v>0.87</v>
      </c>
      <c r="H65" s="354">
        <v>2.56</v>
      </c>
      <c r="I65" s="354">
        <v>2.89</v>
      </c>
      <c r="J65" s="354">
        <v>1.96</v>
      </c>
      <c r="K65" s="354">
        <v>1.45</v>
      </c>
      <c r="L65" s="354">
        <v>1.97</v>
      </c>
      <c r="M65" s="354">
        <v>2.39</v>
      </c>
      <c r="N65" s="354">
        <v>2.16</v>
      </c>
      <c r="O65" s="354">
        <v>2.1</v>
      </c>
      <c r="P65" s="354">
        <v>2.87</v>
      </c>
      <c r="Q65" s="354">
        <v>1.05</v>
      </c>
      <c r="R65" s="354">
        <v>1.505</v>
      </c>
      <c r="S65" s="354">
        <v>4.9</v>
      </c>
      <c r="T65" s="354">
        <v>1.5</v>
      </c>
      <c r="U65" s="354">
        <v>1.13</v>
      </c>
      <c r="V65" s="354">
        <v>1.52</v>
      </c>
      <c r="W65" s="354">
        <v>1.13</v>
      </c>
      <c r="X65" s="354">
        <v>0.62</v>
      </c>
      <c r="Y65" s="354"/>
      <c r="Z65" s="356">
        <f>+Z63+Z59+Z61</f>
        <v>1.62</v>
      </c>
      <c r="AA65" s="239"/>
      <c r="AB65" s="343"/>
    </row>
    <row r="66" spans="4:27" ht="14.25" thickBot="1" thickTop="1">
      <c r="D66" s="346"/>
      <c r="E66" s="346"/>
      <c r="F66" s="346"/>
      <c r="G66" s="358"/>
      <c r="H66" s="346"/>
      <c r="I66" s="346"/>
      <c r="J66" s="346"/>
      <c r="K66" s="346"/>
      <c r="L66" s="346"/>
      <c r="M66" s="252"/>
      <c r="N66" s="252"/>
      <c r="O66" s="252"/>
      <c r="P66" s="252"/>
      <c r="Q66" s="252"/>
      <c r="R66" s="252"/>
      <c r="S66" s="252"/>
      <c r="T66" s="252"/>
      <c r="U66" s="252"/>
      <c r="V66" s="252"/>
      <c r="W66" s="252"/>
      <c r="X66" s="252"/>
      <c r="Y66" s="252"/>
      <c r="Z66" s="359"/>
      <c r="AA66" s="239"/>
    </row>
    <row r="67" spans="1:27" ht="13.5" thickBot="1">
      <c r="A67" s="238" t="s">
        <v>269</v>
      </c>
      <c r="D67" s="360"/>
      <c r="E67" s="361">
        <v>7810.308000000001</v>
      </c>
      <c r="F67" s="361">
        <v>8167.99</v>
      </c>
      <c r="G67" s="361">
        <v>8903.55</v>
      </c>
      <c r="H67" s="361">
        <v>9011.56</v>
      </c>
      <c r="I67" s="361">
        <v>8698.39223</v>
      </c>
      <c r="J67" s="361">
        <v>8345.086153846154</v>
      </c>
      <c r="K67" s="361">
        <v>7749.8657142857155</v>
      </c>
      <c r="L67" s="361">
        <v>10344.54</v>
      </c>
      <c r="M67" s="361">
        <v>10726.52</v>
      </c>
      <c r="N67" s="361">
        <v>10762.96</v>
      </c>
      <c r="O67" s="361">
        <v>9784.27</v>
      </c>
      <c r="P67" s="361">
        <v>8049.7</v>
      </c>
      <c r="Q67" s="361">
        <v>8059.959999999999</v>
      </c>
      <c r="R67" s="361">
        <v>8644.85</v>
      </c>
      <c r="S67" s="361">
        <v>11672.96</v>
      </c>
      <c r="T67" s="362">
        <v>8958.309894235463</v>
      </c>
      <c r="U67" s="362">
        <v>8289.830508989748</v>
      </c>
      <c r="V67" s="362">
        <v>7790.159877328698</v>
      </c>
      <c r="W67" s="362">
        <v>7886.729999999999</v>
      </c>
      <c r="X67" s="362">
        <v>7899.340000000001</v>
      </c>
      <c r="Y67" s="362">
        <f>+W17</f>
        <v>7749.76</v>
      </c>
      <c r="Z67" s="363">
        <f>SUM(E67:W67)</f>
        <v>169657.5423786858</v>
      </c>
      <c r="AA67" s="239"/>
    </row>
    <row r="68" spans="4:27" ht="13.5" thickTop="1">
      <c r="D68" s="360"/>
      <c r="E68" s="364"/>
      <c r="F68" s="365">
        <f aca="true" t="shared" si="14" ref="F68:R68">+F67/E67-1</f>
        <v>0.045796145299263236</v>
      </c>
      <c r="G68" s="365">
        <f t="shared" si="14"/>
        <v>0.09005397900829948</v>
      </c>
      <c r="H68" s="365">
        <f t="shared" si="14"/>
        <v>0.012131116240151396</v>
      </c>
      <c r="I68" s="365">
        <f t="shared" si="14"/>
        <v>-0.034751782155364896</v>
      </c>
      <c r="J68" s="365">
        <f t="shared" si="14"/>
        <v>-0.040617399952984856</v>
      </c>
      <c r="K68" s="365">
        <f t="shared" si="14"/>
        <v>-0.07132585914479839</v>
      </c>
      <c r="L68" s="365">
        <f t="shared" si="14"/>
        <v>0.3348024832135339</v>
      </c>
      <c r="M68" s="365">
        <f t="shared" si="14"/>
        <v>0.036925759869457675</v>
      </c>
      <c r="N68" s="365">
        <f t="shared" si="14"/>
        <v>0.0033971875314640076</v>
      </c>
      <c r="O68" s="365">
        <f t="shared" si="14"/>
        <v>-0.0909313051428231</v>
      </c>
      <c r="P68" s="365">
        <f t="shared" si="14"/>
        <v>-0.17728149366278734</v>
      </c>
      <c r="Q68" s="365">
        <f t="shared" si="14"/>
        <v>0.0012745816614283534</v>
      </c>
      <c r="R68" s="365">
        <f t="shared" si="14"/>
        <v>0.0725673576543806</v>
      </c>
      <c r="S68" s="365">
        <f>+S67/16*12/R67-1</f>
        <v>0.01270930091326039</v>
      </c>
      <c r="T68" s="365">
        <f>+T67/13*16/S67-1</f>
        <v>-0.05545704110006622</v>
      </c>
      <c r="U68" s="365">
        <f>+U67/12*12/T67-1</f>
        <v>-0.07462114987514235</v>
      </c>
      <c r="V68" s="365">
        <f>+V67/12*12/U67-1</f>
        <v>-0.06027513241907556</v>
      </c>
      <c r="W68" s="365">
        <f>+W67/12*12/V67-1</f>
        <v>0.01239642371812466</v>
      </c>
      <c r="X68" s="365">
        <f>+X67/12*12/W67-1</f>
        <v>0.0015988882591393416</v>
      </c>
      <c r="Y68" s="365">
        <f>+Y67/12*12/W67-1</f>
        <v>-0.017367147093915736</v>
      </c>
      <c r="Z68" s="367"/>
      <c r="AA68" s="239"/>
    </row>
    <row r="69" spans="1:27" ht="13.5" thickBot="1">
      <c r="A69" s="238" t="s">
        <v>270</v>
      </c>
      <c r="D69" s="360"/>
      <c r="E69" s="368">
        <f aca="true" t="shared" si="15" ref="E69:W69">+E51</f>
        <v>19015</v>
      </c>
      <c r="F69" s="368">
        <f t="shared" si="15"/>
        <v>19513</v>
      </c>
      <c r="G69" s="368">
        <f t="shared" si="15"/>
        <v>20215</v>
      </c>
      <c r="H69" s="368">
        <f t="shared" si="15"/>
        <v>20447</v>
      </c>
      <c r="I69" s="368">
        <f t="shared" si="15"/>
        <v>20711.674242424244</v>
      </c>
      <c r="J69" s="368">
        <f t="shared" si="15"/>
        <v>21314</v>
      </c>
      <c r="K69" s="368">
        <f t="shared" si="15"/>
        <v>22270</v>
      </c>
      <c r="L69" s="368">
        <f t="shared" si="15"/>
        <v>23056.666666666668</v>
      </c>
      <c r="M69" s="368">
        <f t="shared" si="15"/>
        <v>24000.25</v>
      </c>
      <c r="N69" s="368">
        <f t="shared" si="15"/>
        <v>24843.083333333332</v>
      </c>
      <c r="O69" s="368">
        <f t="shared" si="15"/>
        <v>23590</v>
      </c>
      <c r="P69" s="368">
        <f t="shared" si="15"/>
        <v>20465</v>
      </c>
      <c r="Q69" s="368">
        <f t="shared" si="15"/>
        <v>20537</v>
      </c>
      <c r="R69" s="368">
        <f t="shared" si="15"/>
        <v>20666</v>
      </c>
      <c r="S69" s="368">
        <f t="shared" si="15"/>
        <v>20890.916666666668</v>
      </c>
      <c r="T69" s="368">
        <f t="shared" si="15"/>
        <v>21113</v>
      </c>
      <c r="U69" s="368">
        <f t="shared" si="15"/>
        <v>21536</v>
      </c>
      <c r="V69" s="368">
        <f t="shared" si="15"/>
        <v>20705</v>
      </c>
      <c r="W69" s="368">
        <f t="shared" si="15"/>
        <v>20397.916666666668</v>
      </c>
      <c r="X69" s="368">
        <f>+X51</f>
        <v>20572</v>
      </c>
      <c r="Y69" s="369">
        <f>+Y51</f>
        <v>20713.833333333332</v>
      </c>
      <c r="Z69" s="370">
        <f>SUM(E69:Y69)</f>
        <v>446572.34090909094</v>
      </c>
      <c r="AA69" s="239"/>
    </row>
    <row r="70" spans="5:27" ht="13.5" thickTop="1">
      <c r="E70" s="371"/>
      <c r="F70" s="365">
        <f>+F69/(E69)-1</f>
        <v>0.02618985011832753</v>
      </c>
      <c r="G70" s="365">
        <f aca="true" t="shared" si="16" ref="G70:V70">+G69/F69-1</f>
        <v>0.035976015989340526</v>
      </c>
      <c r="H70" s="365">
        <f t="shared" si="16"/>
        <v>0.011476626267623136</v>
      </c>
      <c r="I70" s="365">
        <f t="shared" si="16"/>
        <v>0.012944404676688226</v>
      </c>
      <c r="J70" s="365">
        <f t="shared" si="16"/>
        <v>0.02908146152385882</v>
      </c>
      <c r="K70" s="365">
        <f t="shared" si="16"/>
        <v>0.04485314816552499</v>
      </c>
      <c r="L70" s="365">
        <f t="shared" si="16"/>
        <v>0.03532405328543642</v>
      </c>
      <c r="M70" s="365">
        <f t="shared" si="16"/>
        <v>0.04092453375740912</v>
      </c>
      <c r="N70" s="365">
        <f t="shared" si="16"/>
        <v>0.03511768974628726</v>
      </c>
      <c r="O70" s="365">
        <f t="shared" si="16"/>
        <v>-0.050439927947751984</v>
      </c>
      <c r="P70" s="365">
        <f t="shared" si="16"/>
        <v>-0.13247138618058496</v>
      </c>
      <c r="Q70" s="365">
        <f t="shared" si="16"/>
        <v>0.0035182018079649158</v>
      </c>
      <c r="R70" s="365">
        <f t="shared" si="16"/>
        <v>0.006281345863563326</v>
      </c>
      <c r="S70" s="365">
        <f t="shared" si="16"/>
        <v>0.010883415594051371</v>
      </c>
      <c r="T70" s="365">
        <f t="shared" si="16"/>
        <v>0.010630616974681928</v>
      </c>
      <c r="U70" s="365">
        <f t="shared" si="16"/>
        <v>0.020035049495571444</v>
      </c>
      <c r="V70" s="365">
        <f t="shared" si="16"/>
        <v>-0.03858655274888556</v>
      </c>
      <c r="W70" s="365">
        <f>+W69/V69-1</f>
        <v>-0.014831361184898917</v>
      </c>
      <c r="X70" s="365">
        <f>+X69/W69-1</f>
        <v>0.00853436829741594</v>
      </c>
      <c r="Y70" s="365">
        <f>+Y69/W69-1</f>
        <v>0.015487692779082796</v>
      </c>
      <c r="AA70" s="239"/>
    </row>
    <row r="71" spans="1:27" ht="12.75">
      <c r="A71" s="238" t="s">
        <v>271</v>
      </c>
      <c r="B71" s="372"/>
      <c r="C71" s="372"/>
      <c r="D71" s="373"/>
      <c r="E71" s="374">
        <f aca="true" t="shared" si="17" ref="E71:Z71">+E67*2000/E69/E48</f>
        <v>82.14891401525112</v>
      </c>
      <c r="F71" s="374">
        <f t="shared" si="17"/>
        <v>69.76537009515025</v>
      </c>
      <c r="G71" s="374">
        <f t="shared" si="17"/>
        <v>73.40712342320059</v>
      </c>
      <c r="H71" s="374">
        <f t="shared" si="17"/>
        <v>73.45462252001109</v>
      </c>
      <c r="I71" s="374">
        <f t="shared" si="17"/>
        <v>69.99588837506002</v>
      </c>
      <c r="J71" s="374">
        <f t="shared" si="17"/>
        <v>60.23549818354245</v>
      </c>
      <c r="K71" s="374">
        <f t="shared" si="17"/>
        <v>49.713680892204216</v>
      </c>
      <c r="L71" s="374">
        <f t="shared" si="17"/>
        <v>74.77620355645512</v>
      </c>
      <c r="M71" s="374">
        <f t="shared" si="17"/>
        <v>74.48894629569831</v>
      </c>
      <c r="N71" s="374">
        <f t="shared" si="17"/>
        <v>72.20628142641984</v>
      </c>
      <c r="O71" s="374">
        <f t="shared" si="17"/>
        <v>69.12724318213932</v>
      </c>
      <c r="P71" s="374">
        <f t="shared" si="17"/>
        <v>65.5566414203111</v>
      </c>
      <c r="Q71" s="374">
        <f t="shared" si="17"/>
        <v>65.4100728765967</v>
      </c>
      <c r="R71" s="374">
        <f t="shared" si="17"/>
        <v>69.7187812510081</v>
      </c>
      <c r="S71" s="374">
        <f t="shared" si="17"/>
        <v>69.84470922370568</v>
      </c>
      <c r="T71" s="374">
        <f t="shared" si="17"/>
        <v>65.27738938995269</v>
      </c>
      <c r="U71" s="374">
        <f t="shared" si="17"/>
        <v>64.15482996679782</v>
      </c>
      <c r="V71" s="374">
        <f t="shared" si="17"/>
        <v>62.70755757328099</v>
      </c>
      <c r="W71" s="374">
        <f t="shared" si="17"/>
        <v>64.44064957614134</v>
      </c>
      <c r="X71" s="374">
        <f>+X67*2000/X69/X48</f>
        <v>63.99750469894355</v>
      </c>
      <c r="Y71" s="374">
        <f t="shared" si="17"/>
        <v>62.3557525968958</v>
      </c>
      <c r="Z71" s="375">
        <f t="shared" si="17"/>
        <v>63.31842452569294</v>
      </c>
      <c r="AA71" s="239"/>
    </row>
    <row r="72" spans="2:27" ht="12.75">
      <c r="B72" s="372"/>
      <c r="C72" s="372"/>
      <c r="D72" s="373"/>
      <c r="E72" s="377"/>
      <c r="F72" s="377"/>
      <c r="G72" s="377"/>
      <c r="H72" s="377"/>
      <c r="I72" s="377"/>
      <c r="J72" s="377"/>
      <c r="K72" s="377"/>
      <c r="L72" s="377"/>
      <c r="M72" s="377"/>
      <c r="N72" s="377"/>
      <c r="O72" s="377"/>
      <c r="P72" s="377"/>
      <c r="Q72" s="377"/>
      <c r="R72" s="377"/>
      <c r="S72" s="377"/>
      <c r="T72" s="377"/>
      <c r="U72" s="377"/>
      <c r="V72" s="377"/>
      <c r="W72" s="377"/>
      <c r="X72" s="377"/>
      <c r="Y72" s="377"/>
      <c r="AA72" s="239"/>
    </row>
    <row r="73" spans="1:27" ht="12.75">
      <c r="A73" s="238" t="s">
        <v>272</v>
      </c>
      <c r="B73" s="372"/>
      <c r="C73" s="372"/>
      <c r="D73" s="373"/>
      <c r="E73" s="378">
        <f aca="true" t="shared" si="18" ref="E73:Z73">+E40/E67</f>
        <v>33.5569352706705</v>
      </c>
      <c r="F73" s="378">
        <f t="shared" si="18"/>
        <v>47.818986066339455</v>
      </c>
      <c r="G73" s="378">
        <f t="shared" si="18"/>
        <v>42.08984056921116</v>
      </c>
      <c r="H73" s="378">
        <f t="shared" si="18"/>
        <v>54.23766806191159</v>
      </c>
      <c r="I73" s="378">
        <f t="shared" si="18"/>
        <v>75.56488401765255</v>
      </c>
      <c r="J73" s="378">
        <f t="shared" si="18"/>
        <v>69.24949477407802</v>
      </c>
      <c r="K73" s="378">
        <f t="shared" si="18"/>
        <v>83.64248154714569</v>
      </c>
      <c r="L73" s="378">
        <f t="shared" si="18"/>
        <v>66.47062121660315</v>
      </c>
      <c r="M73" s="378">
        <f t="shared" si="18"/>
        <v>77.90150020696368</v>
      </c>
      <c r="N73" s="378">
        <f t="shared" si="18"/>
        <v>82.71683626065693</v>
      </c>
      <c r="O73" s="378">
        <f t="shared" si="18"/>
        <v>87.36993153296055</v>
      </c>
      <c r="P73" s="378">
        <f t="shared" si="18"/>
        <v>109.03275898480689</v>
      </c>
      <c r="Q73" s="378">
        <f t="shared" si="18"/>
        <v>74.60880699159799</v>
      </c>
      <c r="R73" s="378">
        <f t="shared" si="18"/>
        <v>77.8735316402251</v>
      </c>
      <c r="S73" s="378">
        <f t="shared" si="18"/>
        <v>117.42694226657164</v>
      </c>
      <c r="T73" s="378">
        <f t="shared" si="18"/>
        <v>110.34949802709033</v>
      </c>
      <c r="U73" s="378">
        <f t="shared" si="18"/>
        <v>103.15060109765841</v>
      </c>
      <c r="V73" s="378">
        <f t="shared" si="18"/>
        <v>98.82261880663546</v>
      </c>
      <c r="W73" s="378">
        <f t="shared" si="18"/>
        <v>81.1941070633837</v>
      </c>
      <c r="X73" s="378">
        <f>+X40/X67</f>
        <v>60.63240726440436</v>
      </c>
      <c r="Y73" s="378">
        <f t="shared" si="18"/>
        <v>86.58473860981583</v>
      </c>
      <c r="Z73" s="378">
        <f t="shared" si="18"/>
        <v>86.02450406426699</v>
      </c>
      <c r="AA73" s="239"/>
    </row>
    <row r="74" spans="2:27" ht="15">
      <c r="B74" s="372"/>
      <c r="C74" s="372"/>
      <c r="D74" s="373"/>
      <c r="E74" s="379"/>
      <c r="F74" s="379"/>
      <c r="G74" s="379"/>
      <c r="H74" s="379"/>
      <c r="I74" s="379"/>
      <c r="J74" s="379"/>
      <c r="K74" s="379"/>
      <c r="L74" s="379"/>
      <c r="M74" s="379"/>
      <c r="N74" s="379"/>
      <c r="O74" s="379"/>
      <c r="P74" s="379"/>
      <c r="Q74" s="379"/>
      <c r="R74" s="379"/>
      <c r="S74" s="379"/>
      <c r="T74" s="379"/>
      <c r="U74" s="379"/>
      <c r="V74" s="379"/>
      <c r="W74" s="379"/>
      <c r="X74" s="379"/>
      <c r="Y74" s="379"/>
      <c r="AA74" s="239"/>
    </row>
    <row r="75" spans="1:3" ht="12.75">
      <c r="A75" s="241" t="s">
        <v>334</v>
      </c>
      <c r="B75" s="241"/>
      <c r="C75" s="400">
        <v>0.475</v>
      </c>
    </row>
    <row r="76" spans="1:3" ht="12.75">
      <c r="A76" s="241"/>
      <c r="B76" s="241"/>
      <c r="C76" s="401"/>
    </row>
  </sheetData>
  <sheetProtection/>
  <mergeCells count="2">
    <mergeCell ref="O19:R19"/>
    <mergeCell ref="O20:R20"/>
  </mergeCells>
  <printOptions/>
  <pageMargins left="0.45" right="0.7" top="0.25" bottom="0.5" header="0.3" footer="0.05"/>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pageSetUpPr fitToPage="1"/>
  </sheetPr>
  <dimension ref="A1:AF89"/>
  <sheetViews>
    <sheetView zoomScalePageLayoutView="0" workbookViewId="0" topLeftCell="B37">
      <selection activeCell="W17" sqref="W17"/>
    </sheetView>
  </sheetViews>
  <sheetFormatPr defaultColWidth="9.140625" defaultRowHeight="12.75"/>
  <cols>
    <col min="1" max="1" width="25.00390625" style="0" customWidth="1"/>
    <col min="2" max="2" width="10.00390625" style="0" customWidth="1"/>
    <col min="3" max="3" width="13.57421875" style="0" customWidth="1"/>
    <col min="4" max="4" width="10.421875" style="0" bestFit="1" customWidth="1"/>
    <col min="5" max="5" width="10.28125" style="0" hidden="1" customWidth="1"/>
    <col min="6" max="6" width="10.7109375" style="0" hidden="1" customWidth="1"/>
    <col min="7" max="7" width="14.140625" style="0" hidden="1" customWidth="1"/>
    <col min="8" max="9" width="10.28125" style="0" hidden="1" customWidth="1"/>
    <col min="10" max="10" width="11.28125" style="0" hidden="1" customWidth="1"/>
    <col min="11" max="14" width="10.28125" style="0" hidden="1" customWidth="1"/>
    <col min="15" max="15" width="12.7109375" style="0" customWidth="1"/>
    <col min="16" max="20" width="12.8515625" style="0" bestFit="1" customWidth="1"/>
    <col min="21" max="21" width="10.28125" style="0" customWidth="1"/>
    <col min="22" max="22" width="14.28125" style="0" bestFit="1" customWidth="1"/>
    <col min="23" max="25" width="10.28125" style="0" customWidth="1"/>
    <col min="26" max="26" width="14.57421875" style="0" bestFit="1" customWidth="1"/>
    <col min="27" max="27" width="3.57421875" style="0" customWidth="1"/>
    <col min="29" max="29" width="9.7109375" style="0" bestFit="1" customWidth="1"/>
  </cols>
  <sheetData>
    <row r="1" spans="1:32" ht="12.75">
      <c r="A1" s="235" t="s">
        <v>186</v>
      </c>
      <c r="B1" s="236"/>
      <c r="C1" s="236"/>
      <c r="D1" s="237"/>
      <c r="E1" s="238"/>
      <c r="F1" s="238"/>
      <c r="G1" s="238"/>
      <c r="H1" s="238"/>
      <c r="I1" s="238"/>
      <c r="J1" s="238"/>
      <c r="K1" s="238"/>
      <c r="L1" s="238"/>
      <c r="M1" s="238"/>
      <c r="N1" s="238"/>
      <c r="O1" s="238"/>
      <c r="P1" s="238"/>
      <c r="Q1" s="238"/>
      <c r="R1" s="238"/>
      <c r="S1" s="238"/>
      <c r="T1" s="238"/>
      <c r="U1" s="238"/>
      <c r="V1" s="238"/>
      <c r="W1" s="238"/>
      <c r="X1" s="238"/>
      <c r="Y1" s="238"/>
      <c r="Z1" s="238"/>
      <c r="AA1" s="239"/>
      <c r="AB1" s="238"/>
      <c r="AC1" s="238"/>
      <c r="AD1" s="238"/>
      <c r="AE1" s="238"/>
      <c r="AF1" s="238"/>
    </row>
    <row r="2" spans="1:32" ht="12.75">
      <c r="A2" s="240" t="s">
        <v>187</v>
      </c>
      <c r="B2" s="241"/>
      <c r="C2" s="241"/>
      <c r="D2" s="242"/>
      <c r="E2" s="238"/>
      <c r="F2" s="238"/>
      <c r="G2" s="238"/>
      <c r="H2" s="238"/>
      <c r="I2" s="238"/>
      <c r="J2" s="238"/>
      <c r="K2" s="238"/>
      <c r="L2" s="238"/>
      <c r="M2" s="238"/>
      <c r="N2" s="238"/>
      <c r="O2" s="238"/>
      <c r="P2" s="238"/>
      <c r="Q2" s="238"/>
      <c r="R2" s="238"/>
      <c r="S2" s="238"/>
      <c r="T2" s="238"/>
      <c r="U2" s="238"/>
      <c r="V2" s="238"/>
      <c r="W2" s="238"/>
      <c r="X2" s="238"/>
      <c r="Y2" s="238"/>
      <c r="Z2" s="238"/>
      <c r="AA2" s="239"/>
      <c r="AB2" s="238"/>
      <c r="AC2" s="238"/>
      <c r="AD2" s="238"/>
      <c r="AE2" s="238"/>
      <c r="AF2" s="238"/>
    </row>
    <row r="3" spans="1:32" ht="12.75">
      <c r="A3" s="243" t="s">
        <v>188</v>
      </c>
      <c r="B3" s="244"/>
      <c r="C3" s="244"/>
      <c r="D3" s="245"/>
      <c r="E3" s="238"/>
      <c r="F3" s="238"/>
      <c r="G3" s="238"/>
      <c r="H3" s="238"/>
      <c r="I3" s="238"/>
      <c r="J3" s="238"/>
      <c r="K3" s="238"/>
      <c r="L3" s="238"/>
      <c r="M3" s="238"/>
      <c r="N3" s="238"/>
      <c r="O3" s="238"/>
      <c r="P3" s="238"/>
      <c r="Q3" s="238"/>
      <c r="R3" s="238"/>
      <c r="S3" s="238"/>
      <c r="T3" s="238"/>
      <c r="U3" s="238"/>
      <c r="V3" s="238"/>
      <c r="W3" s="238"/>
      <c r="X3" s="238"/>
      <c r="Y3" s="238"/>
      <c r="Z3" s="238"/>
      <c r="AA3" s="239"/>
      <c r="AB3" s="238"/>
      <c r="AC3" s="238"/>
      <c r="AD3" s="238"/>
      <c r="AE3" s="238"/>
      <c r="AF3" s="238"/>
    </row>
    <row r="4" spans="1:32" ht="13.5" thickBot="1">
      <c r="A4" s="238"/>
      <c r="B4" s="238"/>
      <c r="C4" s="238"/>
      <c r="D4" s="238"/>
      <c r="E4" s="238"/>
      <c r="J4" s="238"/>
      <c r="K4" s="238"/>
      <c r="L4" s="238"/>
      <c r="M4" s="238"/>
      <c r="N4" s="238"/>
      <c r="O4" s="238"/>
      <c r="P4" s="238"/>
      <c r="Q4" s="238"/>
      <c r="R4" s="238"/>
      <c r="S4" s="238"/>
      <c r="T4" s="238"/>
      <c r="U4" s="238"/>
      <c r="V4" s="238"/>
      <c r="W4" s="238"/>
      <c r="X4" s="238"/>
      <c r="Y4" s="238"/>
      <c r="Z4" s="238"/>
      <c r="AA4" s="239"/>
      <c r="AB4" s="238"/>
      <c r="AC4" s="238"/>
      <c r="AD4" s="238"/>
      <c r="AE4" s="238"/>
      <c r="AF4" s="238"/>
    </row>
    <row r="5" spans="1:32" ht="12.75">
      <c r="A5" s="246" t="s">
        <v>189</v>
      </c>
      <c r="B5" s="238"/>
      <c r="C5" s="238"/>
      <c r="D5" s="247"/>
      <c r="E5" s="238"/>
      <c r="J5" s="238"/>
      <c r="K5" s="238"/>
      <c r="L5" s="238"/>
      <c r="M5" s="238"/>
      <c r="N5" s="238"/>
      <c r="O5" s="238"/>
      <c r="P5" s="238"/>
      <c r="Q5" s="238"/>
      <c r="R5" s="238"/>
      <c r="S5" s="238"/>
      <c r="T5" s="238"/>
      <c r="U5" s="254"/>
      <c r="V5" s="248"/>
      <c r="W5" s="250" t="s">
        <v>190</v>
      </c>
      <c r="X5" s="250"/>
      <c r="Y5" s="403"/>
      <c r="Z5" s="307"/>
      <c r="AA5" s="239"/>
      <c r="AB5" s="238"/>
      <c r="AC5" s="238"/>
      <c r="AD5" s="238"/>
      <c r="AE5" s="238"/>
      <c r="AF5" s="238"/>
    </row>
    <row r="6" spans="1:32" ht="12.75">
      <c r="A6" s="238" t="s">
        <v>191</v>
      </c>
      <c r="B6" s="238"/>
      <c r="C6" s="238"/>
      <c r="D6" s="252">
        <v>9.4</v>
      </c>
      <c r="E6" s="238"/>
      <c r="J6" s="238"/>
      <c r="K6" s="238"/>
      <c r="L6" s="238"/>
      <c r="M6" s="238"/>
      <c r="N6" s="238"/>
      <c r="O6" s="238"/>
      <c r="P6" s="238"/>
      <c r="Q6" s="238"/>
      <c r="R6" s="238"/>
      <c r="S6" s="238"/>
      <c r="T6" s="238"/>
      <c r="U6" s="254"/>
      <c r="V6" s="253"/>
      <c r="W6" s="282" t="s">
        <v>192</v>
      </c>
      <c r="X6" s="282"/>
      <c r="Y6" s="256" t="s">
        <v>193</v>
      </c>
      <c r="Z6" s="12"/>
      <c r="AA6" s="239"/>
      <c r="AB6" s="238"/>
      <c r="AC6" s="238"/>
      <c r="AD6" s="238"/>
      <c r="AE6" s="238"/>
      <c r="AF6" s="238"/>
    </row>
    <row r="7" spans="1:32" ht="12.75">
      <c r="A7" s="238" t="s">
        <v>194</v>
      </c>
      <c r="B7" s="238"/>
      <c r="C7" s="238"/>
      <c r="D7" s="257">
        <f>+V31</f>
        <v>-0.49</v>
      </c>
      <c r="E7" s="238"/>
      <c r="J7" s="238"/>
      <c r="K7" s="238"/>
      <c r="L7" s="238"/>
      <c r="M7" s="238"/>
      <c r="N7" s="238"/>
      <c r="O7" s="238"/>
      <c r="P7" s="238"/>
      <c r="Q7" s="238"/>
      <c r="R7" s="238"/>
      <c r="S7" s="238"/>
      <c r="T7" s="238"/>
      <c r="U7" s="402"/>
      <c r="V7" s="404" t="s">
        <v>195</v>
      </c>
      <c r="W7" s="260">
        <f aca="true" t="shared" si="0" ref="W7:W16">+$W$17*Y7</f>
        <v>1658.5511781744488</v>
      </c>
      <c r="X7" s="260"/>
      <c r="Y7" s="261">
        <f>+'NS(SC) Deferred Acct.'!W7</f>
        <v>0.3004915658731921</v>
      </c>
      <c r="Z7" s="12"/>
      <c r="AA7" s="239"/>
      <c r="AB7" s="238"/>
      <c r="AC7" s="238"/>
      <c r="AD7" s="238"/>
      <c r="AE7" s="238"/>
      <c r="AF7" s="238"/>
    </row>
    <row r="8" spans="1:32" ht="12.75">
      <c r="A8" s="238"/>
      <c r="B8" s="238"/>
      <c r="C8" s="238"/>
      <c r="D8" s="262"/>
      <c r="E8" s="238"/>
      <c r="J8" s="238"/>
      <c r="K8" s="238"/>
      <c r="L8" s="238"/>
      <c r="M8" s="238"/>
      <c r="N8" s="238"/>
      <c r="O8" s="238"/>
      <c r="P8" s="238"/>
      <c r="Q8" s="238"/>
      <c r="R8" s="238"/>
      <c r="S8" s="238"/>
      <c r="T8" s="238"/>
      <c r="U8" s="402"/>
      <c r="V8" s="404" t="s">
        <v>1</v>
      </c>
      <c r="W8" s="260">
        <f t="shared" si="0"/>
        <v>1135.2723507895764</v>
      </c>
      <c r="X8" s="260"/>
      <c r="Y8" s="261">
        <f>+'NS(SC) Deferred Acct.'!W8</f>
        <v>0.2056854023381955</v>
      </c>
      <c r="Z8" s="12"/>
      <c r="AA8" s="239"/>
      <c r="AB8" s="238"/>
      <c r="AC8" s="238"/>
      <c r="AD8" s="238"/>
      <c r="AE8" s="238"/>
      <c r="AF8" s="238"/>
    </row>
    <row r="9" spans="1:32" ht="13.5" thickBot="1">
      <c r="A9" s="241" t="s">
        <v>196</v>
      </c>
      <c r="B9" s="241"/>
      <c r="C9" s="238"/>
      <c r="D9" s="263">
        <f>D6+D7</f>
        <v>8.91</v>
      </c>
      <c r="E9" s="238"/>
      <c r="J9" s="238"/>
      <c r="K9" s="238"/>
      <c r="L9" s="238"/>
      <c r="M9" s="238"/>
      <c r="N9" s="238"/>
      <c r="O9" s="238"/>
      <c r="P9" s="238"/>
      <c r="Q9" s="238"/>
      <c r="R9" s="238"/>
      <c r="S9" s="238"/>
      <c r="T9" s="238"/>
      <c r="U9" s="402"/>
      <c r="V9" s="404" t="s">
        <v>197</v>
      </c>
      <c r="W9" s="260">
        <f t="shared" si="0"/>
        <v>1267.294743256264</v>
      </c>
      <c r="X9" s="260"/>
      <c r="Y9" s="261">
        <f>+'NS(SC) Deferred Acct.'!W9</f>
        <v>0.2296048423679606</v>
      </c>
      <c r="Z9" s="12"/>
      <c r="AA9" s="239"/>
      <c r="AB9" s="238"/>
      <c r="AC9" s="238"/>
      <c r="AD9" s="238"/>
      <c r="AE9" s="238"/>
      <c r="AF9" s="238"/>
    </row>
    <row r="10" spans="1:32" ht="13.5" thickTop="1">
      <c r="A10" s="238"/>
      <c r="B10" s="238"/>
      <c r="C10" s="238"/>
      <c r="D10" s="238"/>
      <c r="E10" s="238"/>
      <c r="J10" s="238"/>
      <c r="K10" s="238"/>
      <c r="L10" s="238"/>
      <c r="M10" s="238"/>
      <c r="N10" s="238"/>
      <c r="O10" s="238"/>
      <c r="P10" s="238"/>
      <c r="Q10" s="238"/>
      <c r="R10" s="238"/>
      <c r="S10" s="238"/>
      <c r="T10" s="238"/>
      <c r="U10" s="402"/>
      <c r="V10" s="404" t="s">
        <v>198</v>
      </c>
      <c r="W10" s="260">
        <f t="shared" si="0"/>
        <v>30.13495477868042</v>
      </c>
      <c r="X10" s="260"/>
      <c r="Y10" s="261">
        <f>+'NS(SC) Deferred Acct.'!W10</f>
        <v>0.005459765045616858</v>
      </c>
      <c r="Z10" s="12"/>
      <c r="AA10" s="239"/>
      <c r="AB10" s="238"/>
      <c r="AC10" s="238"/>
      <c r="AD10" s="238"/>
      <c r="AE10" s="238"/>
      <c r="AF10" s="238"/>
    </row>
    <row r="11" spans="1:32" ht="12.75">
      <c r="A11" s="238"/>
      <c r="B11" s="238"/>
      <c r="C11" s="238"/>
      <c r="D11" s="252"/>
      <c r="E11" s="238"/>
      <c r="J11" s="238"/>
      <c r="K11" s="264"/>
      <c r="L11" s="264"/>
      <c r="M11" s="264"/>
      <c r="N11" s="238"/>
      <c r="O11" s="238"/>
      <c r="P11" s="238"/>
      <c r="Q11" s="238"/>
      <c r="R11" s="238"/>
      <c r="S11" s="238"/>
      <c r="T11" s="238"/>
      <c r="U11" s="402"/>
      <c r="V11" s="404" t="s">
        <v>199</v>
      </c>
      <c r="W11" s="260">
        <f t="shared" si="0"/>
        <v>65.70712625229686</v>
      </c>
      <c r="X11" s="260"/>
      <c r="Y11" s="261">
        <f>+'NS(SC) Deferred Acct.'!W11</f>
        <v>0.011904629484097514</v>
      </c>
      <c r="Z11" s="12"/>
      <c r="AA11" s="239"/>
      <c r="AB11" s="238"/>
      <c r="AC11" s="238"/>
      <c r="AD11" s="238"/>
      <c r="AE11" s="238"/>
      <c r="AF11" s="238"/>
    </row>
    <row r="12" spans="1:32" ht="12.75">
      <c r="A12" s="246" t="s">
        <v>200</v>
      </c>
      <c r="B12" s="238"/>
      <c r="C12" s="238"/>
      <c r="D12" s="252"/>
      <c r="E12" s="238"/>
      <c r="J12" s="238"/>
      <c r="K12" s="264"/>
      <c r="L12" s="264"/>
      <c r="M12" s="264"/>
      <c r="N12" s="238"/>
      <c r="O12" s="238"/>
      <c r="P12" s="238"/>
      <c r="Q12" s="238"/>
      <c r="R12" s="238"/>
      <c r="S12" s="238"/>
      <c r="T12" s="238"/>
      <c r="U12" s="402"/>
      <c r="V12" s="404" t="s">
        <v>201</v>
      </c>
      <c r="W12" s="260">
        <f t="shared" si="0"/>
        <v>1230.95610850067</v>
      </c>
      <c r="X12" s="260"/>
      <c r="Y12" s="261">
        <f>+'NS(SC) Deferred Acct.'!W12</f>
        <v>0.22302111230096244</v>
      </c>
      <c r="Z12" s="12"/>
      <c r="AA12" s="239"/>
      <c r="AB12" s="238"/>
      <c r="AC12" s="238"/>
      <c r="AD12" s="238"/>
      <c r="AE12" s="238"/>
      <c r="AF12" s="238"/>
    </row>
    <row r="13" spans="1:32" ht="12.75">
      <c r="A13" s="238" t="s">
        <v>191</v>
      </c>
      <c r="B13" s="238"/>
      <c r="C13" s="238"/>
      <c r="D13" s="252">
        <f>+D6</f>
        <v>9.4</v>
      </c>
      <c r="E13" s="238"/>
      <c r="J13" s="238"/>
      <c r="K13" s="264"/>
      <c r="L13" s="264"/>
      <c r="M13" s="264"/>
      <c r="N13" s="238"/>
      <c r="O13" s="238"/>
      <c r="P13" s="238"/>
      <c r="Q13" s="238"/>
      <c r="R13" s="238"/>
      <c r="S13" s="238"/>
      <c r="T13" s="238"/>
      <c r="U13" s="402"/>
      <c r="V13" s="404" t="s">
        <v>202</v>
      </c>
      <c r="W13" s="260">
        <f t="shared" si="0"/>
        <v>69.75398966925434</v>
      </c>
      <c r="X13" s="260"/>
      <c r="Y13" s="261">
        <f>+'NS(SC) Deferred Acct.'!W13</f>
        <v>0.012637828640710204</v>
      </c>
      <c r="Z13" s="12"/>
      <c r="AA13" s="239"/>
      <c r="AB13" s="238"/>
      <c r="AC13" s="238"/>
      <c r="AD13" s="238"/>
      <c r="AE13" s="238"/>
      <c r="AF13" s="238"/>
    </row>
    <row r="14" spans="1:32" ht="12.75">
      <c r="A14" s="238" t="s">
        <v>194</v>
      </c>
      <c r="B14" s="238"/>
      <c r="C14" s="238"/>
      <c r="D14" s="257">
        <f>-Z65</f>
        <v>-1.42</v>
      </c>
      <c r="E14" s="265"/>
      <c r="J14" s="238"/>
      <c r="K14" s="264"/>
      <c r="L14" s="264"/>
      <c r="M14" s="264"/>
      <c r="N14" s="238"/>
      <c r="O14" s="238"/>
      <c r="P14" s="238"/>
      <c r="Q14" s="238"/>
      <c r="R14" s="238"/>
      <c r="S14" s="238"/>
      <c r="T14" s="238"/>
      <c r="U14" s="402"/>
      <c r="V14" s="404" t="s">
        <v>203</v>
      </c>
      <c r="W14" s="260">
        <f t="shared" si="0"/>
        <v>15.314144424522105</v>
      </c>
      <c r="X14" s="260"/>
      <c r="Y14" s="261">
        <f>+'NS(SC) Deferred Acct.'!W14</f>
        <v>0.0027745729517963903</v>
      </c>
      <c r="Z14" s="12"/>
      <c r="AA14" s="239"/>
      <c r="AB14" s="238"/>
      <c r="AC14" s="238"/>
      <c r="AD14" s="238"/>
      <c r="AE14" s="238"/>
      <c r="AF14" s="238"/>
    </row>
    <row r="15" spans="1:32" ht="12.75">
      <c r="A15" s="238"/>
      <c r="B15" s="238"/>
      <c r="C15" s="238"/>
      <c r="D15" s="252"/>
      <c r="E15" s="241"/>
      <c r="J15" s="238"/>
      <c r="K15" s="264"/>
      <c r="L15" s="264"/>
      <c r="M15" s="266"/>
      <c r="N15" s="241"/>
      <c r="O15" s="241"/>
      <c r="P15" s="241"/>
      <c r="Q15" s="241"/>
      <c r="R15" s="241"/>
      <c r="S15" s="241"/>
      <c r="T15" s="241"/>
      <c r="U15" s="402"/>
      <c r="V15" s="404" t="s">
        <v>204</v>
      </c>
      <c r="W15" s="260">
        <f t="shared" si="0"/>
        <v>16.514781411736294</v>
      </c>
      <c r="X15" s="260"/>
      <c r="Y15" s="261">
        <f>+'NS(SC) Deferred Acct.'!W15</f>
        <v>0.0029921009322898063</v>
      </c>
      <c r="Z15" s="12"/>
      <c r="AA15" s="267"/>
      <c r="AB15" s="241"/>
      <c r="AC15" s="241"/>
      <c r="AD15" s="241"/>
      <c r="AE15" s="241"/>
      <c r="AF15" s="241"/>
    </row>
    <row r="16" spans="1:32" ht="15.75" thickBot="1">
      <c r="A16" s="241" t="s">
        <v>196</v>
      </c>
      <c r="B16" s="241"/>
      <c r="C16" s="238"/>
      <c r="D16" s="263">
        <f>D13+D14</f>
        <v>7.98</v>
      </c>
      <c r="E16" s="238"/>
      <c r="J16" s="238"/>
      <c r="K16" s="264"/>
      <c r="L16" s="264"/>
      <c r="M16" s="264"/>
      <c r="N16" s="238"/>
      <c r="O16" s="238"/>
      <c r="P16" s="238"/>
      <c r="Q16" s="238"/>
      <c r="R16" s="238"/>
      <c r="S16" s="238"/>
      <c r="T16" s="238"/>
      <c r="U16" s="402"/>
      <c r="V16" s="404" t="s">
        <v>205</v>
      </c>
      <c r="W16" s="268">
        <f t="shared" si="0"/>
        <v>29.960622742551077</v>
      </c>
      <c r="X16" s="268"/>
      <c r="Y16" s="269">
        <f>+'NS(SC) Deferred Acct.'!W16</f>
        <v>0.005428180065178673</v>
      </c>
      <c r="Z16" s="12"/>
      <c r="AA16" s="239"/>
      <c r="AB16" s="238"/>
      <c r="AC16" s="238"/>
      <c r="AD16" s="238"/>
      <c r="AE16" s="238"/>
      <c r="AF16" s="238"/>
    </row>
    <row r="17" spans="1:32" ht="16.5" thickBot="1" thickTop="1">
      <c r="A17" s="238"/>
      <c r="B17" s="238"/>
      <c r="C17" s="238"/>
      <c r="D17" s="238"/>
      <c r="E17" s="238"/>
      <c r="J17" s="238"/>
      <c r="K17" s="264"/>
      <c r="L17" s="264"/>
      <c r="M17" s="264"/>
      <c r="N17" s="270"/>
      <c r="O17" s="238"/>
      <c r="P17" s="238"/>
      <c r="Q17" s="238"/>
      <c r="R17" s="238"/>
      <c r="S17" s="238"/>
      <c r="T17" s="238"/>
      <c r="U17" s="402"/>
      <c r="V17" s="405"/>
      <c r="W17" s="273">
        <f>SUM('2016-2017 Recy. Tons &amp; Revenue'!D101:D112)</f>
        <v>5519.46</v>
      </c>
      <c r="X17" s="273"/>
      <c r="Y17" s="274">
        <f>+W17/$W$17</f>
        <v>1</v>
      </c>
      <c r="Z17" s="12"/>
      <c r="AA17" s="239"/>
      <c r="AB17" s="238"/>
      <c r="AC17" s="238"/>
      <c r="AD17" s="238"/>
      <c r="AE17" s="238"/>
      <c r="AF17" s="238"/>
    </row>
    <row r="18" spans="1:32" ht="14.25" thickBot="1" thickTop="1">
      <c r="A18" s="275"/>
      <c r="B18" s="275"/>
      <c r="C18" s="275"/>
      <c r="D18" s="275"/>
      <c r="E18" s="275"/>
      <c r="F18" s="276"/>
      <c r="G18" s="276"/>
      <c r="H18" s="277"/>
      <c r="I18" s="278"/>
      <c r="J18" s="275"/>
      <c r="K18" s="275"/>
      <c r="L18" s="275"/>
      <c r="M18" s="275"/>
      <c r="N18" s="275"/>
      <c r="O18" s="275"/>
      <c r="P18" s="275"/>
      <c r="Q18" s="275"/>
      <c r="R18" s="275"/>
      <c r="S18" s="275"/>
      <c r="T18" s="275"/>
      <c r="U18" s="275"/>
      <c r="V18" s="275"/>
      <c r="W18" s="275"/>
      <c r="X18" s="275"/>
      <c r="Y18" s="275"/>
      <c r="Z18" s="275"/>
      <c r="AA18" s="239"/>
      <c r="AB18" s="238"/>
      <c r="AC18" s="238"/>
      <c r="AD18" s="238"/>
      <c r="AE18" s="238"/>
      <c r="AF18" s="238"/>
    </row>
    <row r="19" spans="1:32" ht="14.25" thickBot="1" thickTop="1">
      <c r="A19" s="241" t="s">
        <v>206</v>
      </c>
      <c r="B19" s="279">
        <f>+D36</f>
        <v>17056</v>
      </c>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9"/>
      <c r="AB19" s="238"/>
      <c r="AC19" s="238"/>
      <c r="AD19" s="238"/>
      <c r="AE19" s="238"/>
      <c r="AF19" s="238"/>
    </row>
    <row r="20" spans="1:32" ht="14.25" thickBot="1" thickTop="1">
      <c r="A20" s="241" t="s">
        <v>207</v>
      </c>
      <c r="B20" s="280">
        <f>ROUND(SUM(P24:P35)/SUM(D24:D35),2)</f>
        <v>2.33</v>
      </c>
      <c r="C20" s="238"/>
      <c r="D20" s="281"/>
      <c r="O20" s="612" t="s">
        <v>208</v>
      </c>
      <c r="P20" s="612"/>
      <c r="Q20" s="612"/>
      <c r="R20" s="612"/>
      <c r="S20" s="238"/>
      <c r="T20" s="238"/>
      <c r="U20" s="238"/>
      <c r="V20" s="238"/>
      <c r="W20" s="238"/>
      <c r="X20" s="238"/>
      <c r="Y20" s="238"/>
      <c r="Z20" s="238"/>
      <c r="AA20" s="239"/>
      <c r="AB20" s="238"/>
      <c r="AC20" s="238"/>
      <c r="AD20" s="238"/>
      <c r="AE20" s="238"/>
      <c r="AF20" s="238"/>
    </row>
    <row r="21" spans="1:32" ht="13.5" thickTop="1">
      <c r="A21" s="238"/>
      <c r="B21" s="238"/>
      <c r="C21" s="238"/>
      <c r="D21" s="281"/>
      <c r="O21" s="238"/>
      <c r="P21" s="238"/>
      <c r="Q21" s="281" t="s">
        <v>119</v>
      </c>
      <c r="R21" s="238"/>
      <c r="S21" s="238"/>
      <c r="T21" s="281"/>
      <c r="U21" s="238"/>
      <c r="V21" s="281"/>
      <c r="W21" s="238"/>
      <c r="X21" s="238"/>
      <c r="Y21" s="238"/>
      <c r="Z21" s="281"/>
      <c r="AA21" s="239"/>
      <c r="AB21" s="238"/>
      <c r="AC21" s="238"/>
      <c r="AD21" s="238"/>
      <c r="AE21" s="238"/>
      <c r="AF21" s="238"/>
    </row>
    <row r="22" spans="1:32" ht="12.75">
      <c r="A22" s="241"/>
      <c r="B22" s="238"/>
      <c r="C22" s="238"/>
      <c r="D22" s="281" t="s">
        <v>100</v>
      </c>
      <c r="O22" s="238"/>
      <c r="P22" s="281"/>
      <c r="Q22" s="281" t="s">
        <v>286</v>
      </c>
      <c r="R22" s="281" t="s">
        <v>209</v>
      </c>
      <c r="S22" s="282"/>
      <c r="T22" s="281" t="s">
        <v>210</v>
      </c>
      <c r="U22" s="238"/>
      <c r="V22" s="281" t="s">
        <v>211</v>
      </c>
      <c r="W22" s="238"/>
      <c r="X22" s="281" t="s">
        <v>100</v>
      </c>
      <c r="AA22" s="239"/>
      <c r="AB22" s="238"/>
      <c r="AC22" s="238"/>
      <c r="AD22" s="238"/>
      <c r="AE22" s="238"/>
      <c r="AF22" s="238"/>
    </row>
    <row r="23" spans="1:32" ht="12.75">
      <c r="A23" s="238"/>
      <c r="B23" s="238"/>
      <c r="C23" s="238"/>
      <c r="D23" s="247" t="s">
        <v>121</v>
      </c>
      <c r="O23" s="238"/>
      <c r="P23" s="247" t="s">
        <v>190</v>
      </c>
      <c r="Q23" s="283" t="s">
        <v>184</v>
      </c>
      <c r="R23" s="247" t="s">
        <v>190</v>
      </c>
      <c r="S23" s="247" t="s">
        <v>212</v>
      </c>
      <c r="T23" s="247" t="s">
        <v>69</v>
      </c>
      <c r="U23" s="238"/>
      <c r="V23" s="247" t="s">
        <v>213</v>
      </c>
      <c r="W23" s="238"/>
      <c r="X23" s="247" t="s">
        <v>214</v>
      </c>
      <c r="AA23" s="239"/>
      <c r="AB23" s="238"/>
      <c r="AC23" s="238"/>
      <c r="AD23" s="238"/>
      <c r="AE23" s="238"/>
      <c r="AF23" s="238"/>
    </row>
    <row r="24" spans="1:32" ht="12.75">
      <c r="A24" s="284" t="s">
        <v>293</v>
      </c>
      <c r="B24" s="238"/>
      <c r="C24" s="238"/>
      <c r="D24" s="285">
        <f>+'Customer Counts'!D18</f>
        <v>16859</v>
      </c>
      <c r="O24" s="238"/>
      <c r="P24" s="286">
        <f>+'2016-2017 Recy. Tons &amp; Revenue'!L101</f>
        <v>31030.68976375497</v>
      </c>
      <c r="Q24" s="287">
        <f>-P24*$D$76</f>
        <v>-14739.57763778361</v>
      </c>
      <c r="R24" s="286">
        <f aca="true" t="shared" si="1" ref="R24:R35">+P24+Q24</f>
        <v>16291.11212597136</v>
      </c>
      <c r="S24" s="252">
        <f aca="true" t="shared" si="2" ref="S24:S35">R24/D24</f>
        <v>0.9663154472964802</v>
      </c>
      <c r="T24" s="288">
        <f>ROUND((SUM($E$40:$X$40)+R24)/(SUM($E$52:$X$52)+D24),2)</f>
        <v>2.32</v>
      </c>
      <c r="U24" s="238"/>
      <c r="V24" s="252">
        <v>-0.87</v>
      </c>
      <c r="W24" s="238"/>
      <c r="X24" s="287">
        <f aca="true" t="shared" si="3" ref="X24:X35">+V24*D24</f>
        <v>-14667.33</v>
      </c>
      <c r="AA24" s="239"/>
      <c r="AB24" s="238"/>
      <c r="AC24" s="238"/>
      <c r="AD24" s="238"/>
      <c r="AE24" s="238"/>
      <c r="AF24" s="238"/>
    </row>
    <row r="25" spans="1:32" ht="12.75">
      <c r="A25" s="284" t="s">
        <v>73</v>
      </c>
      <c r="B25" s="238"/>
      <c r="C25" s="238"/>
      <c r="D25" s="285">
        <f>+'Customer Counts'!D19</f>
        <v>16899</v>
      </c>
      <c r="O25" s="238"/>
      <c r="P25" s="286">
        <f>+'2016-2017 Recy. Tons &amp; Revenue'!L102</f>
        <v>37929.12824405061</v>
      </c>
      <c r="Q25" s="287">
        <f aca="true" t="shared" si="4" ref="Q25:Q35">-P25*$D$76</f>
        <v>-18016.33591592404</v>
      </c>
      <c r="R25" s="286">
        <f t="shared" si="1"/>
        <v>19912.792328126572</v>
      </c>
      <c r="S25" s="252">
        <f t="shared" si="2"/>
        <v>1.1783414597388349</v>
      </c>
      <c r="T25" s="288">
        <f>ROUND((SUM($E$40:$X$40)+R25+R24)/(SUM($E$52:$X$52)+D25+D24),2)</f>
        <v>2.31</v>
      </c>
      <c r="U25" s="238"/>
      <c r="V25" s="252">
        <f>+V24</f>
        <v>-0.87</v>
      </c>
      <c r="W25" s="238"/>
      <c r="X25" s="287">
        <f t="shared" si="3"/>
        <v>-14702.13</v>
      </c>
      <c r="AA25" s="239"/>
      <c r="AB25" s="238"/>
      <c r="AC25" s="238"/>
      <c r="AD25" s="238"/>
      <c r="AE25" s="238"/>
      <c r="AF25" s="238"/>
    </row>
    <row r="26" spans="1:32" ht="12.75">
      <c r="A26" s="284" t="s">
        <v>92</v>
      </c>
      <c r="B26" s="238"/>
      <c r="C26" s="238"/>
      <c r="D26" s="285">
        <f>+'Customer Counts'!D20</f>
        <v>16925</v>
      </c>
      <c r="O26" s="238"/>
      <c r="P26" s="286">
        <f>+'2016-2017 Recy. Tons &amp; Revenue'!L103</f>
        <v>38833.44106707312</v>
      </c>
      <c r="Q26" s="287">
        <f t="shared" si="4"/>
        <v>-18445.884506859733</v>
      </c>
      <c r="R26" s="286">
        <f t="shared" si="1"/>
        <v>20387.55656021339</v>
      </c>
      <c r="S26" s="252">
        <f t="shared" si="2"/>
        <v>1.2045823669254587</v>
      </c>
      <c r="T26" s="288">
        <f>ROUND((SUM($E$40:$X$40)+R26+R25+R24)/(SUM($E$52:$X$52)+D26+D25+D24),2)</f>
        <v>2.31</v>
      </c>
      <c r="U26" s="238"/>
      <c r="V26" s="252">
        <f>+V25</f>
        <v>-0.87</v>
      </c>
      <c r="W26" s="238"/>
      <c r="X26" s="287">
        <f t="shared" si="3"/>
        <v>-14724.75</v>
      </c>
      <c r="AA26" s="239"/>
      <c r="AB26" s="238"/>
      <c r="AC26" s="238"/>
      <c r="AD26" s="238"/>
      <c r="AE26" s="238"/>
      <c r="AF26" s="238"/>
    </row>
    <row r="27" spans="1:32" ht="12.75">
      <c r="A27" s="284" t="s">
        <v>133</v>
      </c>
      <c r="B27" s="238"/>
      <c r="C27" s="238"/>
      <c r="D27" s="285">
        <f>+'Customer Counts'!D21</f>
        <v>16909</v>
      </c>
      <c r="O27" s="238"/>
      <c r="P27" s="286">
        <f>+'2016-2017 Recy. Tons &amp; Revenue'!L104</f>
        <v>38920.03624488847</v>
      </c>
      <c r="Q27" s="287">
        <f t="shared" si="4"/>
        <v>-18487.017216322023</v>
      </c>
      <c r="R27" s="286">
        <f t="shared" si="1"/>
        <v>20433.019028566447</v>
      </c>
      <c r="S27" s="252">
        <f t="shared" si="2"/>
        <v>1.2084108479842952</v>
      </c>
      <c r="T27" s="288">
        <f>ROUND((SUM($E$40:$X$40)+R27+R26+R25+R24)/(SUM($E$52:$X$52)+D27+D26+D25+D24),2)</f>
        <v>2.31</v>
      </c>
      <c r="U27" s="238"/>
      <c r="V27" s="252">
        <v>-0.49</v>
      </c>
      <c r="W27" s="238"/>
      <c r="X27" s="287">
        <f t="shared" si="3"/>
        <v>-8285.41</v>
      </c>
      <c r="AA27" s="239"/>
      <c r="AB27" s="238"/>
      <c r="AC27" s="238"/>
      <c r="AD27" s="238"/>
      <c r="AE27" s="238"/>
      <c r="AF27" s="238"/>
    </row>
    <row r="28" spans="1:32" ht="12.75">
      <c r="A28" s="284" t="s">
        <v>106</v>
      </c>
      <c r="B28" s="238"/>
      <c r="C28" s="238"/>
      <c r="D28" s="285">
        <f>+'Customer Counts'!D22</f>
        <v>16945</v>
      </c>
      <c r="O28" s="238"/>
      <c r="P28" s="286">
        <f>+'2016-2017 Recy. Tons &amp; Revenue'!L105</f>
        <v>41763.95375768223</v>
      </c>
      <c r="Q28" s="287">
        <f t="shared" si="4"/>
        <v>-19837.87803489906</v>
      </c>
      <c r="R28" s="286">
        <f t="shared" si="1"/>
        <v>21926.075722783175</v>
      </c>
      <c r="S28" s="252">
        <f t="shared" si="2"/>
        <v>1.2939554867384582</v>
      </c>
      <c r="T28" s="288">
        <f>ROUND((SUM($E$40:$X$40)+R28+R27+R26+R25+R24)/(SUM($E$52:$X$52)+D28+D27+D26+D25+D24),2)</f>
        <v>2.3</v>
      </c>
      <c r="U28" s="238"/>
      <c r="V28" s="252">
        <f aca="true" t="shared" si="5" ref="V28:V35">+V27</f>
        <v>-0.49</v>
      </c>
      <c r="W28" s="238"/>
      <c r="X28" s="287">
        <f t="shared" si="3"/>
        <v>-8303.05</v>
      </c>
      <c r="AA28" s="239"/>
      <c r="AB28" s="238"/>
      <c r="AC28" s="238"/>
      <c r="AD28" s="238"/>
      <c r="AE28" s="238"/>
      <c r="AF28" s="238"/>
    </row>
    <row r="29" spans="1:32" ht="12.75">
      <c r="A29" s="284" t="s">
        <v>107</v>
      </c>
      <c r="B29" s="238"/>
      <c r="C29" s="238"/>
      <c r="D29" s="285">
        <f>+'Customer Counts'!D23</f>
        <v>16996</v>
      </c>
      <c r="O29" s="238"/>
      <c r="P29" s="286">
        <f>+'2016-2017 Recy. Tons &amp; Revenue'!L106</f>
        <v>53406.376858706746</v>
      </c>
      <c r="Q29" s="287">
        <f t="shared" si="4"/>
        <v>-25368.029007885703</v>
      </c>
      <c r="R29" s="286">
        <f t="shared" si="1"/>
        <v>28038.347850821043</v>
      </c>
      <c r="S29" s="252">
        <f t="shared" si="2"/>
        <v>1.6497027448117818</v>
      </c>
      <c r="T29" s="288">
        <f>ROUND((SUM($E$40:$X$40)+R29+R28+R27+R26+R25+R24)/(SUM($E$52:$X$52)+D29+D28+D27+D26+D25+D24),2)</f>
        <v>2.3</v>
      </c>
      <c r="U29" s="238"/>
      <c r="V29" s="252">
        <f t="shared" si="5"/>
        <v>-0.49</v>
      </c>
      <c r="W29" s="238"/>
      <c r="X29" s="287">
        <f t="shared" si="3"/>
        <v>-8328.039999999999</v>
      </c>
      <c r="AA29" s="239"/>
      <c r="AB29" s="238"/>
      <c r="AC29" s="238"/>
      <c r="AD29" s="238"/>
      <c r="AE29" s="238"/>
      <c r="AF29" s="238"/>
    </row>
    <row r="30" spans="1:32" ht="12.75">
      <c r="A30" s="284" t="s">
        <v>108</v>
      </c>
      <c r="B30" s="238"/>
      <c r="C30" s="238"/>
      <c r="D30" s="285">
        <f>+'Customer Counts'!D24</f>
        <v>17036</v>
      </c>
      <c r="O30" s="238"/>
      <c r="P30" s="286">
        <f>+'2016-2017 Recy. Tons &amp; Revenue'!L107</f>
        <v>29761.50819922902</v>
      </c>
      <c r="Q30" s="287">
        <f t="shared" si="4"/>
        <v>-14136.716394633784</v>
      </c>
      <c r="R30" s="286">
        <f t="shared" si="1"/>
        <v>15624.791804595237</v>
      </c>
      <c r="S30" s="252">
        <f t="shared" si="2"/>
        <v>0.9171631723758651</v>
      </c>
      <c r="T30" s="288">
        <f>ROUND((SUM($E$40:$X$40)+R30+R29+R28+R27+R26+R25+R24)/(SUM($E$52:$X$52)+D30+D29+D28+D27+D26+D25+D24),2)</f>
        <v>2.3</v>
      </c>
      <c r="U30" s="238"/>
      <c r="V30" s="252">
        <f t="shared" si="5"/>
        <v>-0.49</v>
      </c>
      <c r="W30" s="238"/>
      <c r="X30" s="287">
        <f t="shared" si="3"/>
        <v>-8347.64</v>
      </c>
      <c r="AA30" s="239"/>
      <c r="AB30" s="238"/>
      <c r="AC30" s="238"/>
      <c r="AD30" s="238"/>
      <c r="AE30" s="238"/>
      <c r="AF30" s="238"/>
    </row>
    <row r="31" spans="1:32" ht="12.75">
      <c r="A31" s="284" t="s">
        <v>79</v>
      </c>
      <c r="B31" s="238"/>
      <c r="C31" s="238"/>
      <c r="D31" s="285">
        <f>+'Customer Counts'!D25</f>
        <v>17113</v>
      </c>
      <c r="O31" s="238"/>
      <c r="P31" s="286">
        <f>+'2016-2017 Recy. Tons &amp; Revenue'!L108</f>
        <v>39694.54252969114</v>
      </c>
      <c r="Q31" s="287">
        <f t="shared" si="4"/>
        <v>-18854.90770160329</v>
      </c>
      <c r="R31" s="286">
        <f t="shared" si="1"/>
        <v>20839.634828087852</v>
      </c>
      <c r="S31" s="252">
        <f t="shared" si="2"/>
        <v>1.2177663079581518</v>
      </c>
      <c r="T31" s="288">
        <f>ROUND((SUM($E$40:$X$40)+R31+R30+R29+R28+R27+R26+R25+R24)/(SUM($E$52:$X$52)+D31+D30+D29+D28+D27+D26+D25+D24),2)</f>
        <v>2.29</v>
      </c>
      <c r="U31" s="238"/>
      <c r="V31" s="252">
        <f t="shared" si="5"/>
        <v>-0.49</v>
      </c>
      <c r="W31" s="238"/>
      <c r="X31" s="287">
        <f t="shared" si="3"/>
        <v>-8385.369999999999</v>
      </c>
      <c r="AA31" s="239"/>
      <c r="AB31" s="238"/>
      <c r="AC31" s="238"/>
      <c r="AD31" s="238"/>
      <c r="AE31" s="238"/>
      <c r="AF31" s="238"/>
    </row>
    <row r="32" spans="1:32" ht="12.75">
      <c r="A32" s="284" t="s">
        <v>87</v>
      </c>
      <c r="B32" s="238"/>
      <c r="C32" s="238"/>
      <c r="D32" s="285">
        <f>+'Customer Counts'!D26</f>
        <v>17177</v>
      </c>
      <c r="O32" s="238"/>
      <c r="P32" s="286">
        <f>+'2016-2017 Recy. Tons &amp; Revenue'!L109</f>
        <v>44376.54151097695</v>
      </c>
      <c r="Q32" s="287">
        <f t="shared" si="4"/>
        <v>-21078.857217714052</v>
      </c>
      <c r="R32" s="286">
        <f t="shared" si="1"/>
        <v>23297.6842932629</v>
      </c>
      <c r="S32" s="252">
        <f t="shared" si="2"/>
        <v>1.3563302260734063</v>
      </c>
      <c r="T32" s="288">
        <f>ROUND((SUM($E$40:$X$40)+R32+R31+R30+R29+R28+R27+R26+R25+R24)/(SUM($E$52:$X$52)+D32+D31+D30+D29+D28+D27+D26+D25+D24),2)</f>
        <v>2.29</v>
      </c>
      <c r="U32" s="238"/>
      <c r="V32" s="252">
        <f t="shared" si="5"/>
        <v>-0.49</v>
      </c>
      <c r="W32" s="238"/>
      <c r="X32" s="287">
        <f t="shared" si="3"/>
        <v>-8416.73</v>
      </c>
      <c r="AA32" s="239"/>
      <c r="AB32" s="238"/>
      <c r="AC32" s="238"/>
      <c r="AD32" s="238"/>
      <c r="AE32" s="238"/>
      <c r="AF32" s="238"/>
    </row>
    <row r="33" spans="1:32" ht="12.75">
      <c r="A33" s="284" t="s">
        <v>88</v>
      </c>
      <c r="B33" s="238"/>
      <c r="C33" s="238"/>
      <c r="D33" s="285">
        <f>+'Customer Counts'!D27</f>
        <v>17208</v>
      </c>
      <c r="O33" s="238"/>
      <c r="P33" s="286">
        <f>+'2016-2017 Recy. Tons &amp; Revenue'!L110</f>
        <v>48670.30775501607</v>
      </c>
      <c r="Q33" s="287">
        <f t="shared" si="4"/>
        <v>-23118.39618363263</v>
      </c>
      <c r="R33" s="286">
        <f t="shared" si="1"/>
        <v>25551.911571383436</v>
      </c>
      <c r="S33" s="252">
        <f t="shared" si="2"/>
        <v>1.484885609680581</v>
      </c>
      <c r="T33" s="288">
        <f>ROUND((SUM($E$40:$X$40)+R33+R32+R31+R30+R29+R28+R27+R26+R25+R24)/(SUM($E$52:$X$52)+D33+D32+D31+D30+D29+D28+D27+D26+D25+D24),2)</f>
        <v>2.29</v>
      </c>
      <c r="U33" s="238"/>
      <c r="V33" s="252">
        <f t="shared" si="5"/>
        <v>-0.49</v>
      </c>
      <c r="W33" s="238"/>
      <c r="X33" s="287">
        <f t="shared" si="3"/>
        <v>-8431.92</v>
      </c>
      <c r="AA33" s="239"/>
      <c r="AB33" s="238"/>
      <c r="AC33" s="238"/>
      <c r="AD33" s="238"/>
      <c r="AE33" s="238"/>
      <c r="AF33" s="238"/>
    </row>
    <row r="34" spans="1:32" ht="12.75">
      <c r="A34" s="284" t="s">
        <v>89</v>
      </c>
      <c r="B34" s="238"/>
      <c r="C34" s="238"/>
      <c r="D34" s="285">
        <f>+'Customer Counts'!D28</f>
        <v>17256</v>
      </c>
      <c r="O34" s="238"/>
      <c r="P34" s="286">
        <f>+'2016-2017 Recy. Tons &amp; Revenue'!L111</f>
        <v>44450.62611810869</v>
      </c>
      <c r="Q34" s="287">
        <f t="shared" si="4"/>
        <v>-21114.047406101625</v>
      </c>
      <c r="R34" s="286">
        <f t="shared" si="1"/>
        <v>23336.578712007064</v>
      </c>
      <c r="S34" s="252">
        <f t="shared" si="2"/>
        <v>1.3523747515071316</v>
      </c>
      <c r="T34" s="288">
        <f>ROUND((SUM($E$40:$X$40)+R34+R33+R32+R31+R30+R29+R28+R27+R26+R25+R24)/(SUM($E$52:$X$52)+D34+D33+D32+D31+D30+D29+D28+D27+D26+D25+D24),2)</f>
        <v>2.28</v>
      </c>
      <c r="U34" s="238"/>
      <c r="V34" s="252">
        <f t="shared" si="5"/>
        <v>-0.49</v>
      </c>
      <c r="W34" s="238"/>
      <c r="X34" s="287">
        <f t="shared" si="3"/>
        <v>-8455.44</v>
      </c>
      <c r="AA34" s="239"/>
      <c r="AB34" s="238"/>
      <c r="AC34" s="238"/>
      <c r="AD34" s="238"/>
      <c r="AE34" s="238"/>
      <c r="AF34" s="238"/>
    </row>
    <row r="35" spans="1:32" ht="15">
      <c r="A35" s="284" t="s">
        <v>90</v>
      </c>
      <c r="B35" s="238"/>
      <c r="C35" s="238"/>
      <c r="D35" s="289">
        <f>+'Customer Counts'!D29</f>
        <v>17349</v>
      </c>
      <c r="O35" s="290"/>
      <c r="P35" s="291">
        <f>+'2016-2017 Recy. Tons &amp; Revenue'!L112</f>
        <v>28760.096882261023</v>
      </c>
      <c r="Q35" s="292">
        <f t="shared" si="4"/>
        <v>-13661.046019073985</v>
      </c>
      <c r="R35" s="291">
        <f t="shared" si="1"/>
        <v>15099.050863187038</v>
      </c>
      <c r="S35" s="252">
        <f t="shared" si="2"/>
        <v>0.8703124596914541</v>
      </c>
      <c r="T35" s="288">
        <f>ROUND((SUM($E$40:$X$40)+R35+R34+R33+R32+R31+R30+R29+R28+R27+R26+R25+R24)/(SUM($E$52:$X$52)+D35+D34+D33+D32+D31+D30+D29+D28+D27+D26+D25+D24),2)</f>
        <v>2.28</v>
      </c>
      <c r="U35" s="238"/>
      <c r="V35" s="252">
        <f t="shared" si="5"/>
        <v>-0.49</v>
      </c>
      <c r="W35" s="238"/>
      <c r="X35" s="292">
        <f t="shared" si="3"/>
        <v>-8501.01</v>
      </c>
      <c r="AA35" s="239"/>
      <c r="AB35" s="238"/>
      <c r="AC35" s="238"/>
      <c r="AD35" s="238"/>
      <c r="AE35" s="238"/>
      <c r="AF35" s="238"/>
    </row>
    <row r="36" spans="1:32" ht="15.75" thickBot="1">
      <c r="A36" s="293"/>
      <c r="B36" s="238"/>
      <c r="C36" s="238"/>
      <c r="D36" s="294">
        <f>AVERAGE(D24:D35)</f>
        <v>17056</v>
      </c>
      <c r="O36" s="238"/>
      <c r="P36" s="295">
        <f>SUM(P24:P35)</f>
        <v>477597.24893143907</v>
      </c>
      <c r="Q36" s="296">
        <f>SUM(Q24:Q35)</f>
        <v>-226858.69324243354</v>
      </c>
      <c r="R36" s="296">
        <f>SUM(R24:R35)</f>
        <v>250738.5556890055</v>
      </c>
      <c r="S36" s="238"/>
      <c r="T36" s="241"/>
      <c r="U36" s="241"/>
      <c r="V36" s="297"/>
      <c r="W36" s="238"/>
      <c r="X36" s="296">
        <f>SUM(X24:X35)</f>
        <v>-119548.81999999998</v>
      </c>
      <c r="AA36" s="239"/>
      <c r="AB36" s="238"/>
      <c r="AC36" s="284"/>
      <c r="AD36" s="238"/>
      <c r="AE36" s="238"/>
      <c r="AF36" s="238"/>
    </row>
    <row r="37" spans="1:32" ht="12.75">
      <c r="A37" s="275"/>
      <c r="B37" s="275"/>
      <c r="C37" s="275"/>
      <c r="D37" s="275"/>
      <c r="E37" s="299"/>
      <c r="F37" s="300"/>
      <c r="G37" s="299"/>
      <c r="H37" s="299"/>
      <c r="I37" s="299"/>
      <c r="J37" s="299"/>
      <c r="K37" s="299"/>
      <c r="L37" s="299"/>
      <c r="M37" s="299"/>
      <c r="N37" s="299"/>
      <c r="O37" s="299"/>
      <c r="P37" s="299"/>
      <c r="Q37" s="299"/>
      <c r="R37" s="299"/>
      <c r="S37" s="299"/>
      <c r="T37" s="299"/>
      <c r="U37" s="299"/>
      <c r="V37" s="299"/>
      <c r="W37" s="299"/>
      <c r="X37" s="299"/>
      <c r="Y37" s="299"/>
      <c r="Z37" s="301"/>
      <c r="AA37" s="239"/>
      <c r="AB37" s="238"/>
      <c r="AC37" s="238"/>
      <c r="AD37" s="238"/>
      <c r="AE37" s="238"/>
      <c r="AF37" s="238"/>
    </row>
    <row r="38" spans="1:32" ht="12.75">
      <c r="A38" s="302"/>
      <c r="B38" s="302"/>
      <c r="C38" s="302"/>
      <c r="D38" s="303" t="s">
        <v>215</v>
      </c>
      <c r="E38" s="304" t="s">
        <v>216</v>
      </c>
      <c r="F38" s="304" t="s">
        <v>217</v>
      </c>
      <c r="G38" s="304" t="s">
        <v>218</v>
      </c>
      <c r="H38" s="304" t="s">
        <v>219</v>
      </c>
      <c r="I38" s="304" t="s">
        <v>220</v>
      </c>
      <c r="J38" s="303" t="s">
        <v>221</v>
      </c>
      <c r="K38" s="303" t="s">
        <v>222</v>
      </c>
      <c r="L38" s="303" t="s">
        <v>223</v>
      </c>
      <c r="M38" s="303" t="s">
        <v>224</v>
      </c>
      <c r="N38" s="303" t="s">
        <v>225</v>
      </c>
      <c r="O38" s="303" t="s">
        <v>226</v>
      </c>
      <c r="P38" s="303" t="s">
        <v>227</v>
      </c>
      <c r="Q38" s="303" t="s">
        <v>228</v>
      </c>
      <c r="R38" s="303" t="s">
        <v>229</v>
      </c>
      <c r="S38" s="303" t="s">
        <v>230</v>
      </c>
      <c r="T38" s="303" t="s">
        <v>231</v>
      </c>
      <c r="U38" s="303" t="s">
        <v>232</v>
      </c>
      <c r="V38" s="303" t="s">
        <v>233</v>
      </c>
      <c r="W38" s="303" t="s">
        <v>234</v>
      </c>
      <c r="X38" s="303" t="s">
        <v>284</v>
      </c>
      <c r="Y38" s="303" t="s">
        <v>291</v>
      </c>
      <c r="Z38" s="305" t="s">
        <v>210</v>
      </c>
      <c r="AA38" s="306"/>
      <c r="AB38" s="238"/>
      <c r="AC38" s="238"/>
      <c r="AD38" s="238"/>
      <c r="AE38" s="238"/>
      <c r="AF38" s="238"/>
    </row>
    <row r="39" spans="1:32" ht="12.75">
      <c r="A39" s="254"/>
      <c r="B39" s="307"/>
      <c r="C39" s="308"/>
      <c r="D39" s="309" t="s">
        <v>235</v>
      </c>
      <c r="E39" s="310" t="s">
        <v>236</v>
      </c>
      <c r="F39" s="310" t="s">
        <v>237</v>
      </c>
      <c r="G39" s="310" t="s">
        <v>238</v>
      </c>
      <c r="H39" s="310" t="s">
        <v>239</v>
      </c>
      <c r="I39" s="310" t="s">
        <v>240</v>
      </c>
      <c r="J39" s="310" t="s">
        <v>241</v>
      </c>
      <c r="K39" s="310" t="s">
        <v>242</v>
      </c>
      <c r="L39" s="310" t="s">
        <v>243</v>
      </c>
      <c r="M39" s="310" t="s">
        <v>244</v>
      </c>
      <c r="N39" s="310" t="s">
        <v>245</v>
      </c>
      <c r="O39" s="310" t="s">
        <v>246</v>
      </c>
      <c r="P39" s="310" t="s">
        <v>247</v>
      </c>
      <c r="Q39" s="310" t="s">
        <v>248</v>
      </c>
      <c r="R39" s="310" t="s">
        <v>249</v>
      </c>
      <c r="S39" s="310" t="s">
        <v>250</v>
      </c>
      <c r="T39" s="310" t="s">
        <v>251</v>
      </c>
      <c r="U39" s="310" t="s">
        <v>252</v>
      </c>
      <c r="V39" s="310" t="s">
        <v>253</v>
      </c>
      <c r="W39" s="310" t="s">
        <v>254</v>
      </c>
      <c r="X39" s="310" t="s">
        <v>285</v>
      </c>
      <c r="Y39" s="310" t="s">
        <v>292</v>
      </c>
      <c r="Z39" s="311" t="s">
        <v>100</v>
      </c>
      <c r="AA39" s="239"/>
      <c r="AB39" s="238"/>
      <c r="AC39" s="238"/>
      <c r="AD39" s="238"/>
      <c r="AE39" s="238"/>
      <c r="AF39" s="238"/>
    </row>
    <row r="40" spans="1:32" ht="12.75">
      <c r="A40" s="238" t="s">
        <v>255</v>
      </c>
      <c r="B40" s="238"/>
      <c r="C40" s="312"/>
      <c r="D40" s="238"/>
      <c r="E40" s="287">
        <v>267270</v>
      </c>
      <c r="F40" s="287">
        <v>426954</v>
      </c>
      <c r="G40" s="287">
        <v>375567</v>
      </c>
      <c r="H40" s="287">
        <v>465726</v>
      </c>
      <c r="I40" s="287">
        <v>560897</v>
      </c>
      <c r="J40" s="287">
        <v>550588</v>
      </c>
      <c r="K40" s="287">
        <v>847366</v>
      </c>
      <c r="L40" s="287">
        <v>768504</v>
      </c>
      <c r="M40" s="313">
        <v>701634</v>
      </c>
      <c r="N40" s="313">
        <v>677860</v>
      </c>
      <c r="O40" s="313">
        <v>772811</v>
      </c>
      <c r="P40" s="313">
        <v>914968</v>
      </c>
      <c r="Q40" s="313">
        <v>555140</v>
      </c>
      <c r="R40" s="313">
        <v>524701</v>
      </c>
      <c r="S40" s="313">
        <v>995333</v>
      </c>
      <c r="T40" s="313">
        <v>660980</v>
      </c>
      <c r="U40" s="313">
        <v>540356</v>
      </c>
      <c r="V40" s="313">
        <v>541882</v>
      </c>
      <c r="W40" s="313">
        <v>443528</v>
      </c>
      <c r="X40" s="313">
        <v>335204</v>
      </c>
      <c r="Y40" s="313">
        <f>+P36</f>
        <v>477597.24893143907</v>
      </c>
      <c r="Z40" s="314">
        <f>SUM(E40:Y40)</f>
        <v>12404866.24893144</v>
      </c>
      <c r="AA40" s="239"/>
      <c r="AB40" s="286"/>
      <c r="AC40" s="238"/>
      <c r="AD40" s="238"/>
      <c r="AE40" s="238"/>
      <c r="AF40" s="238"/>
    </row>
    <row r="41" spans="1:32" ht="12.75">
      <c r="A41" s="238"/>
      <c r="B41" s="238"/>
      <c r="C41" s="312"/>
      <c r="D41" s="238"/>
      <c r="E41" s="315"/>
      <c r="F41" s="287"/>
      <c r="G41" s="287"/>
      <c r="H41" s="287"/>
      <c r="I41" s="287"/>
      <c r="J41" s="287"/>
      <c r="K41" s="287"/>
      <c r="L41" s="287"/>
      <c r="M41" s="287"/>
      <c r="N41" s="287"/>
      <c r="O41" s="287"/>
      <c r="P41" s="287"/>
      <c r="Q41" s="287"/>
      <c r="R41" s="287"/>
      <c r="S41" s="287"/>
      <c r="T41" s="287"/>
      <c r="U41" s="287"/>
      <c r="V41" s="287"/>
      <c r="W41" s="287"/>
      <c r="X41" s="287"/>
      <c r="Y41" s="287"/>
      <c r="Z41" s="314"/>
      <c r="AA41" s="239"/>
      <c r="AB41" s="238"/>
      <c r="AC41" s="238"/>
      <c r="AD41" s="238"/>
      <c r="AE41" s="238"/>
      <c r="AF41" s="238"/>
    </row>
    <row r="42" spans="1:32" ht="12.75">
      <c r="A42" s="316" t="s">
        <v>256</v>
      </c>
      <c r="B42" s="238"/>
      <c r="C42" s="317"/>
      <c r="D42" s="238"/>
      <c r="E42" s="315"/>
      <c r="F42" s="287"/>
      <c r="G42" s="287"/>
      <c r="H42" s="287"/>
      <c r="I42" s="287"/>
      <c r="J42" s="287"/>
      <c r="K42" s="287"/>
      <c r="L42" s="285">
        <v>-201327.3</v>
      </c>
      <c r="M42" s="318">
        <v>-210490.2</v>
      </c>
      <c r="N42" s="318">
        <v>-203358</v>
      </c>
      <c r="O42" s="484">
        <v>-231843</v>
      </c>
      <c r="P42" s="484">
        <v>-274490</v>
      </c>
      <c r="Q42" s="484">
        <v>-166542</v>
      </c>
      <c r="R42" s="484">
        <v>-157410</v>
      </c>
      <c r="S42" s="484">
        <v>-456270</v>
      </c>
      <c r="T42" s="484">
        <v>-232791</v>
      </c>
      <c r="U42" s="484">
        <v>-193554</v>
      </c>
      <c r="V42" s="484">
        <v>-193552</v>
      </c>
      <c r="W42" s="484">
        <v>-155235</v>
      </c>
      <c r="X42" s="484">
        <v>-149459</v>
      </c>
      <c r="Y42" s="484">
        <f>+Q36</f>
        <v>-226858.69324243354</v>
      </c>
      <c r="Z42" s="485">
        <f>SUM(E42:Y42)</f>
        <v>-3053180.1932424335</v>
      </c>
      <c r="AA42" s="239"/>
      <c r="AB42" s="238"/>
      <c r="AC42" s="238"/>
      <c r="AD42" s="238"/>
      <c r="AE42" s="238"/>
      <c r="AF42" s="238"/>
    </row>
    <row r="43" spans="1:32" ht="12.75">
      <c r="A43" s="238"/>
      <c r="B43" s="238"/>
      <c r="C43" s="312"/>
      <c r="D43" s="238"/>
      <c r="E43" s="315"/>
      <c r="F43" s="287"/>
      <c r="G43" s="287"/>
      <c r="H43" s="287"/>
      <c r="I43" s="287"/>
      <c r="J43" s="287"/>
      <c r="K43" s="287"/>
      <c r="L43" s="287"/>
      <c r="M43" s="287"/>
      <c r="N43" s="315"/>
      <c r="O43" s="315"/>
      <c r="P43" s="315"/>
      <c r="Q43" s="315"/>
      <c r="R43" s="315"/>
      <c r="S43" s="315"/>
      <c r="T43" s="315"/>
      <c r="U43" s="315"/>
      <c r="V43" s="315"/>
      <c r="W43" s="315"/>
      <c r="X43" s="315"/>
      <c r="Y43" s="315"/>
      <c r="Z43" s="314"/>
      <c r="AA43" s="239"/>
      <c r="AB43" s="238"/>
      <c r="AC43" s="238"/>
      <c r="AD43" s="238"/>
      <c r="AE43" s="238"/>
      <c r="AF43" s="238"/>
    </row>
    <row r="44" spans="1:32" ht="12.75">
      <c r="A44" s="238" t="s">
        <v>257</v>
      </c>
      <c r="B44" s="238"/>
      <c r="C44" s="312"/>
      <c r="D44" s="238"/>
      <c r="E44" s="320">
        <v>-398059</v>
      </c>
      <c r="F44" s="320">
        <v>-269365</v>
      </c>
      <c r="G44" s="320">
        <v>-597853</v>
      </c>
      <c r="H44" s="320">
        <v>-237180</v>
      </c>
      <c r="I44" s="321">
        <v>-497028</v>
      </c>
      <c r="J44" s="321">
        <v>-685915</v>
      </c>
      <c r="K44" s="321">
        <v>-628452</v>
      </c>
      <c r="L44" s="321">
        <v>-676257.82</v>
      </c>
      <c r="M44" s="321">
        <v>-517207.08</v>
      </c>
      <c r="N44" s="321">
        <v>-475295.07</v>
      </c>
      <c r="O44" s="321">
        <v>-479254</v>
      </c>
      <c r="P44" s="321">
        <v>-581952</v>
      </c>
      <c r="Q44" s="321">
        <v>-706470</v>
      </c>
      <c r="R44" s="321">
        <v>-225966</v>
      </c>
      <c r="S44" s="321">
        <v>-350381</v>
      </c>
      <c r="T44" s="321">
        <v>-596977</v>
      </c>
      <c r="U44" s="321">
        <v>-489827</v>
      </c>
      <c r="V44" s="321">
        <v>-295116</v>
      </c>
      <c r="W44" s="321">
        <v>-268982</v>
      </c>
      <c r="X44" s="321">
        <v>-201008</v>
      </c>
      <c r="Y44" s="322">
        <f>+X36</f>
        <v>-119548.81999999998</v>
      </c>
      <c r="Z44" s="323">
        <f>SUM(E44:Y44)</f>
        <v>-9298093.79</v>
      </c>
      <c r="AA44" s="239"/>
      <c r="AB44" s="286"/>
      <c r="AC44" s="238"/>
      <c r="AD44" s="238"/>
      <c r="AE44" s="238"/>
      <c r="AF44" s="238"/>
    </row>
    <row r="45" spans="1:32" ht="12.75">
      <c r="A45" s="238"/>
      <c r="B45" s="238"/>
      <c r="C45" s="312"/>
      <c r="D45" s="238"/>
      <c r="E45" s="287"/>
      <c r="F45" s="287"/>
      <c r="G45" s="287"/>
      <c r="H45" s="287"/>
      <c r="I45" s="287"/>
      <c r="J45" s="287"/>
      <c r="K45" s="287"/>
      <c r="L45" s="287"/>
      <c r="M45" s="287"/>
      <c r="N45" s="287"/>
      <c r="O45" s="287"/>
      <c r="P45" s="287"/>
      <c r="Q45" s="287"/>
      <c r="R45" s="287"/>
      <c r="S45" s="287"/>
      <c r="T45" s="315"/>
      <c r="U45" s="315"/>
      <c r="V45" s="315"/>
      <c r="W45" s="287"/>
      <c r="X45" s="287"/>
      <c r="Y45" s="287"/>
      <c r="Z45" s="314"/>
      <c r="AA45" s="239"/>
      <c r="AB45" s="238"/>
      <c r="AC45" s="238"/>
      <c r="AD45" s="238"/>
      <c r="AE45" s="238"/>
      <c r="AF45" s="238"/>
    </row>
    <row r="46" spans="1:32" ht="12.75">
      <c r="A46" s="241" t="s">
        <v>258</v>
      </c>
      <c r="B46" s="241"/>
      <c r="C46" s="241"/>
      <c r="D46" s="241"/>
      <c r="E46" s="324">
        <f>SUM(E40:E44)</f>
        <v>-130789</v>
      </c>
      <c r="F46" s="324">
        <f aca="true" t="shared" si="6" ref="F46:R46">SUM(F40:F44)</f>
        <v>157589</v>
      </c>
      <c r="G46" s="324">
        <f t="shared" si="6"/>
        <v>-222286</v>
      </c>
      <c r="H46" s="324">
        <f t="shared" si="6"/>
        <v>228546</v>
      </c>
      <c r="I46" s="324">
        <f t="shared" si="6"/>
        <v>63869</v>
      </c>
      <c r="J46" s="324">
        <f t="shared" si="6"/>
        <v>-135327</v>
      </c>
      <c r="K46" s="324">
        <f t="shared" si="6"/>
        <v>218914</v>
      </c>
      <c r="L46" s="324">
        <f t="shared" si="6"/>
        <v>-109081.12</v>
      </c>
      <c r="M46" s="324">
        <f t="shared" si="6"/>
        <v>-26063.280000000028</v>
      </c>
      <c r="N46" s="324">
        <f t="shared" si="6"/>
        <v>-793.070000000007</v>
      </c>
      <c r="O46" s="324">
        <f t="shared" si="6"/>
        <v>61714</v>
      </c>
      <c r="P46" s="324">
        <f t="shared" si="6"/>
        <v>58526</v>
      </c>
      <c r="Q46" s="324">
        <f t="shared" si="6"/>
        <v>-317872</v>
      </c>
      <c r="R46" s="324">
        <f t="shared" si="6"/>
        <v>141325</v>
      </c>
      <c r="S46" s="324">
        <f aca="true" t="shared" si="7" ref="S46:Y46">SUM(S40:S44)</f>
        <v>188682</v>
      </c>
      <c r="T46" s="325">
        <f t="shared" si="7"/>
        <v>-168788</v>
      </c>
      <c r="U46" s="325">
        <f t="shared" si="7"/>
        <v>-143025</v>
      </c>
      <c r="V46" s="325">
        <f t="shared" si="7"/>
        <v>53214</v>
      </c>
      <c r="W46" s="325">
        <f t="shared" si="7"/>
        <v>19311</v>
      </c>
      <c r="X46" s="325">
        <f>SUM(X40:X44)</f>
        <v>-15263</v>
      </c>
      <c r="Y46" s="325">
        <f t="shared" si="7"/>
        <v>131189.73568900555</v>
      </c>
      <c r="Z46" s="326">
        <f>SUM(E46:Y46)</f>
        <v>53592.26568900552</v>
      </c>
      <c r="AA46" s="267"/>
      <c r="AB46" s="327"/>
      <c r="AC46" s="241"/>
      <c r="AD46" s="241"/>
      <c r="AE46" s="241"/>
      <c r="AF46" s="241"/>
    </row>
    <row r="47" spans="1:32" ht="12.75">
      <c r="A47" s="241"/>
      <c r="B47" s="238"/>
      <c r="C47" s="238"/>
      <c r="D47" s="238"/>
      <c r="E47" s="328"/>
      <c r="F47" s="328"/>
      <c r="G47" s="328"/>
      <c r="H47" s="328"/>
      <c r="I47" s="328"/>
      <c r="J47" s="328"/>
      <c r="K47" s="328"/>
      <c r="L47" s="328"/>
      <c r="M47" s="328"/>
      <c r="N47" s="328"/>
      <c r="O47" s="328"/>
      <c r="P47" s="328"/>
      <c r="Q47" s="328"/>
      <c r="R47" s="328"/>
      <c r="S47" s="328"/>
      <c r="T47" s="329"/>
      <c r="U47" s="329"/>
      <c r="V47" s="329"/>
      <c r="W47" s="328"/>
      <c r="X47" s="328"/>
      <c r="Y47" s="328"/>
      <c r="Z47" s="314"/>
      <c r="AA47" s="239"/>
      <c r="AB47" s="238"/>
      <c r="AC47" s="238"/>
      <c r="AD47" s="238"/>
      <c r="AE47" s="238"/>
      <c r="AF47" s="238"/>
    </row>
    <row r="48" spans="1:32" ht="12.75">
      <c r="A48" s="238" t="s">
        <v>259</v>
      </c>
      <c r="B48" s="238"/>
      <c r="C48" s="238"/>
      <c r="D48" s="238"/>
      <c r="E48" s="330">
        <v>10</v>
      </c>
      <c r="F48" s="330">
        <v>12</v>
      </c>
      <c r="G48" s="330">
        <v>12</v>
      </c>
      <c r="H48" s="330">
        <v>12</v>
      </c>
      <c r="I48" s="330">
        <v>12</v>
      </c>
      <c r="J48" s="331">
        <v>13</v>
      </c>
      <c r="K48" s="331">
        <v>14</v>
      </c>
      <c r="L48" s="331">
        <v>12</v>
      </c>
      <c r="M48" s="331">
        <v>12</v>
      </c>
      <c r="N48" s="331">
        <v>12</v>
      </c>
      <c r="O48" s="331">
        <v>12</v>
      </c>
      <c r="P48" s="331">
        <v>12</v>
      </c>
      <c r="Q48" s="331">
        <v>12</v>
      </c>
      <c r="R48" s="331">
        <v>12</v>
      </c>
      <c r="S48" s="331">
        <v>16</v>
      </c>
      <c r="T48" s="332">
        <v>13</v>
      </c>
      <c r="U48" s="332">
        <v>12</v>
      </c>
      <c r="V48" s="332">
        <v>12</v>
      </c>
      <c r="W48" s="332">
        <v>12</v>
      </c>
      <c r="X48" s="332">
        <v>12</v>
      </c>
      <c r="Y48" s="333">
        <v>12</v>
      </c>
      <c r="Z48" s="334">
        <v>12</v>
      </c>
      <c r="AA48" s="239"/>
      <c r="AB48" s="238"/>
      <c r="AC48" s="238"/>
      <c r="AD48" s="238"/>
      <c r="AE48" s="238"/>
      <c r="AF48" s="238"/>
    </row>
    <row r="49" spans="1:32" ht="12.75">
      <c r="A49" s="241" t="s">
        <v>260</v>
      </c>
      <c r="B49" s="241"/>
      <c r="C49" s="241"/>
      <c r="D49" s="241"/>
      <c r="E49" s="324">
        <f>+E46/E48</f>
        <v>-13078.9</v>
      </c>
      <c r="F49" s="324">
        <f aca="true" t="shared" si="8" ref="F49:Y49">+F46/F48</f>
        <v>13132.416666666666</v>
      </c>
      <c r="G49" s="324">
        <f t="shared" si="8"/>
        <v>-18523.833333333332</v>
      </c>
      <c r="H49" s="324">
        <f t="shared" si="8"/>
        <v>19045.5</v>
      </c>
      <c r="I49" s="324">
        <f t="shared" si="8"/>
        <v>5322.416666666667</v>
      </c>
      <c r="J49" s="324">
        <f t="shared" si="8"/>
        <v>-10409.76923076923</v>
      </c>
      <c r="K49" s="324">
        <f t="shared" si="8"/>
        <v>15636.714285714286</v>
      </c>
      <c r="L49" s="324">
        <f t="shared" si="8"/>
        <v>-9090.093333333332</v>
      </c>
      <c r="M49" s="324">
        <f t="shared" si="8"/>
        <v>-2171.9400000000023</v>
      </c>
      <c r="N49" s="324">
        <f t="shared" si="8"/>
        <v>-66.08916666666725</v>
      </c>
      <c r="O49" s="324">
        <f t="shared" si="8"/>
        <v>5142.833333333333</v>
      </c>
      <c r="P49" s="324">
        <f t="shared" si="8"/>
        <v>4877.166666666667</v>
      </c>
      <c r="Q49" s="324">
        <f t="shared" si="8"/>
        <v>-26489.333333333332</v>
      </c>
      <c r="R49" s="324">
        <f t="shared" si="8"/>
        <v>11777.083333333334</v>
      </c>
      <c r="S49" s="324">
        <f t="shared" si="8"/>
        <v>11792.625</v>
      </c>
      <c r="T49" s="324">
        <f t="shared" si="8"/>
        <v>-12983.692307692309</v>
      </c>
      <c r="U49" s="324">
        <f t="shared" si="8"/>
        <v>-11918.75</v>
      </c>
      <c r="V49" s="324">
        <f t="shared" si="8"/>
        <v>4434.5</v>
      </c>
      <c r="W49" s="324">
        <f t="shared" si="8"/>
        <v>1609.25</v>
      </c>
      <c r="X49" s="324">
        <f>+X46/X48</f>
        <v>-1271.9166666666667</v>
      </c>
      <c r="Y49" s="324">
        <f t="shared" si="8"/>
        <v>10932.477974083797</v>
      </c>
      <c r="Z49" s="326">
        <f>+Z46/Z48</f>
        <v>4466.0221407504605</v>
      </c>
      <c r="AA49" s="267"/>
      <c r="AB49" s="241"/>
      <c r="AC49" s="241"/>
      <c r="AD49" s="241"/>
      <c r="AE49" s="241"/>
      <c r="AF49" s="241"/>
    </row>
    <row r="50" spans="1:32" ht="12.75">
      <c r="A50" s="241"/>
      <c r="B50" s="238"/>
      <c r="C50" s="238"/>
      <c r="D50" s="238"/>
      <c r="E50" s="238"/>
      <c r="F50" s="293"/>
      <c r="G50" s="238"/>
      <c r="H50" s="238"/>
      <c r="I50" s="238"/>
      <c r="J50" s="238"/>
      <c r="K50" s="238"/>
      <c r="L50" s="238"/>
      <c r="M50" s="238"/>
      <c r="N50" s="238"/>
      <c r="O50" s="238"/>
      <c r="P50" s="238"/>
      <c r="Q50" s="238"/>
      <c r="R50" s="238"/>
      <c r="S50" s="238"/>
      <c r="T50" s="238"/>
      <c r="U50" s="238"/>
      <c r="V50" s="238"/>
      <c r="W50" s="238"/>
      <c r="X50" s="238"/>
      <c r="Y50" s="238"/>
      <c r="Z50" s="314"/>
      <c r="AA50" s="239"/>
      <c r="AB50" s="238"/>
      <c r="AC50" s="238"/>
      <c r="AD50" s="238"/>
      <c r="AE50" s="238"/>
      <c r="AF50" s="238"/>
    </row>
    <row r="51" spans="1:32" ht="13.5" thickBot="1">
      <c r="A51" s="238" t="s">
        <v>261</v>
      </c>
      <c r="B51" s="238"/>
      <c r="C51" s="312"/>
      <c r="D51" s="312"/>
      <c r="E51" s="330">
        <v>20805</v>
      </c>
      <c r="F51" s="330">
        <v>20925</v>
      </c>
      <c r="G51" s="330">
        <v>22176</v>
      </c>
      <c r="H51" s="330">
        <v>22125</v>
      </c>
      <c r="I51" s="330">
        <v>22176</v>
      </c>
      <c r="J51" s="330">
        <v>22979</v>
      </c>
      <c r="K51" s="330">
        <v>31853</v>
      </c>
      <c r="L51" s="329">
        <v>31960.25</v>
      </c>
      <c r="M51" s="329">
        <v>26315.583333333332</v>
      </c>
      <c r="N51" s="329">
        <v>23549.583333333332</v>
      </c>
      <c r="O51" s="329">
        <v>23844</v>
      </c>
      <c r="P51" s="329">
        <v>23908</v>
      </c>
      <c r="Q51" s="329">
        <v>23119</v>
      </c>
      <c r="R51" s="329">
        <v>18604</v>
      </c>
      <c r="S51" s="329">
        <v>18935.25</v>
      </c>
      <c r="T51" s="329">
        <v>15470</v>
      </c>
      <c r="U51" s="329">
        <v>15900</v>
      </c>
      <c r="V51" s="329">
        <v>15987</v>
      </c>
      <c r="W51" s="329">
        <v>16329</v>
      </c>
      <c r="X51" s="329">
        <v>16723</v>
      </c>
      <c r="Y51" s="329">
        <f>+B19</f>
        <v>17056</v>
      </c>
      <c r="Z51" s="335">
        <f>+Y51</f>
        <v>17056</v>
      </c>
      <c r="AA51" s="239"/>
      <c r="AB51" s="238"/>
      <c r="AC51" s="238"/>
      <c r="AD51" s="238"/>
      <c r="AE51" s="238"/>
      <c r="AF51" s="238"/>
    </row>
    <row r="52" spans="1:32" ht="12.75">
      <c r="A52" s="238"/>
      <c r="B52" s="238"/>
      <c r="C52" s="238"/>
      <c r="D52" s="238"/>
      <c r="E52" s="336">
        <f aca="true" t="shared" si="9" ref="E52:W52">E51*E48</f>
        <v>208050</v>
      </c>
      <c r="F52" s="336">
        <f t="shared" si="9"/>
        <v>251100</v>
      </c>
      <c r="G52" s="336">
        <f t="shared" si="9"/>
        <v>266112</v>
      </c>
      <c r="H52" s="336">
        <f t="shared" si="9"/>
        <v>265500</v>
      </c>
      <c r="I52" s="336">
        <f t="shared" si="9"/>
        <v>266112</v>
      </c>
      <c r="J52" s="336">
        <f t="shared" si="9"/>
        <v>298727</v>
      </c>
      <c r="K52" s="336">
        <f t="shared" si="9"/>
        <v>445942</v>
      </c>
      <c r="L52" s="336">
        <f t="shared" si="9"/>
        <v>383523</v>
      </c>
      <c r="M52" s="336">
        <f t="shared" si="9"/>
        <v>315787</v>
      </c>
      <c r="N52" s="336">
        <f t="shared" si="9"/>
        <v>282595</v>
      </c>
      <c r="O52" s="336">
        <f t="shared" si="9"/>
        <v>286128</v>
      </c>
      <c r="P52" s="336">
        <f t="shared" si="9"/>
        <v>286896</v>
      </c>
      <c r="Q52" s="336">
        <f t="shared" si="9"/>
        <v>277428</v>
      </c>
      <c r="R52" s="336">
        <f t="shared" si="9"/>
        <v>223248</v>
      </c>
      <c r="S52" s="336">
        <f t="shared" si="9"/>
        <v>302964</v>
      </c>
      <c r="T52" s="336">
        <f t="shared" si="9"/>
        <v>201110</v>
      </c>
      <c r="U52" s="336">
        <f t="shared" si="9"/>
        <v>190800</v>
      </c>
      <c r="V52" s="336">
        <f t="shared" si="9"/>
        <v>191844</v>
      </c>
      <c r="W52" s="336">
        <f t="shared" si="9"/>
        <v>195948</v>
      </c>
      <c r="X52" s="336"/>
      <c r="Y52" s="336"/>
      <c r="Z52" s="337">
        <f>Z51*Z48</f>
        <v>204672</v>
      </c>
      <c r="AA52" s="239"/>
      <c r="AB52" s="238"/>
      <c r="AC52" s="238"/>
      <c r="AD52" s="238"/>
      <c r="AE52" s="238"/>
      <c r="AF52" s="238"/>
    </row>
    <row r="53" spans="1:32" ht="13.5" thickBot="1">
      <c r="A53" s="241" t="s">
        <v>262</v>
      </c>
      <c r="B53" s="238"/>
      <c r="C53" s="238"/>
      <c r="D53" s="252"/>
      <c r="E53" s="263">
        <f aca="true" t="shared" si="10" ref="E53:Z53">ROUND(E49/E51,2)</f>
        <v>-0.63</v>
      </c>
      <c r="F53" s="263">
        <f t="shared" si="10"/>
        <v>0.63</v>
      </c>
      <c r="G53" s="263">
        <f t="shared" si="10"/>
        <v>-0.84</v>
      </c>
      <c r="H53" s="263">
        <f t="shared" si="10"/>
        <v>0.86</v>
      </c>
      <c r="I53" s="263">
        <f t="shared" si="10"/>
        <v>0.24</v>
      </c>
      <c r="J53" s="263">
        <f t="shared" si="10"/>
        <v>-0.45</v>
      </c>
      <c r="K53" s="263">
        <f t="shared" si="10"/>
        <v>0.49</v>
      </c>
      <c r="L53" s="263">
        <f t="shared" si="10"/>
        <v>-0.28</v>
      </c>
      <c r="M53" s="263">
        <f t="shared" si="10"/>
        <v>-0.08</v>
      </c>
      <c r="N53" s="263">
        <f t="shared" si="10"/>
        <v>0</v>
      </c>
      <c r="O53" s="263">
        <f t="shared" si="10"/>
        <v>0.22</v>
      </c>
      <c r="P53" s="263">
        <f t="shared" si="10"/>
        <v>0.2</v>
      </c>
      <c r="Q53" s="263">
        <f t="shared" si="10"/>
        <v>-1.15</v>
      </c>
      <c r="R53" s="263">
        <f t="shared" si="10"/>
        <v>0.63</v>
      </c>
      <c r="S53" s="263">
        <f t="shared" si="10"/>
        <v>0.62</v>
      </c>
      <c r="T53" s="263">
        <f t="shared" si="10"/>
        <v>-0.84</v>
      </c>
      <c r="U53" s="263">
        <f t="shared" si="10"/>
        <v>-0.75</v>
      </c>
      <c r="V53" s="263">
        <f t="shared" si="10"/>
        <v>0.28</v>
      </c>
      <c r="W53" s="263">
        <f t="shared" si="10"/>
        <v>0.1</v>
      </c>
      <c r="X53" s="263">
        <f t="shared" si="10"/>
        <v>-0.08</v>
      </c>
      <c r="Y53" s="263">
        <f t="shared" si="10"/>
        <v>0.64</v>
      </c>
      <c r="Z53" s="338">
        <f t="shared" si="10"/>
        <v>0.26</v>
      </c>
      <c r="AA53" s="239"/>
      <c r="AB53" s="238"/>
      <c r="AC53" s="238"/>
      <c r="AD53" s="238"/>
      <c r="AE53" s="238"/>
      <c r="AF53" s="238"/>
    </row>
    <row r="54" spans="1:32" ht="13.5" thickTop="1">
      <c r="A54" s="238"/>
      <c r="B54" s="238"/>
      <c r="C54" s="238"/>
      <c r="D54" s="252"/>
      <c r="E54" s="252"/>
      <c r="F54" s="252"/>
      <c r="G54" s="252"/>
      <c r="H54" s="252"/>
      <c r="I54" s="252"/>
      <c r="J54" s="252"/>
      <c r="K54" s="252"/>
      <c r="L54" s="252"/>
      <c r="M54" s="252"/>
      <c r="N54" s="252"/>
      <c r="O54" s="252"/>
      <c r="P54" s="252"/>
      <c r="Q54" s="252"/>
      <c r="R54" s="252"/>
      <c r="S54" s="252"/>
      <c r="T54" s="252"/>
      <c r="U54" s="252"/>
      <c r="V54" s="252"/>
      <c r="W54" s="252"/>
      <c r="X54" s="252"/>
      <c r="Y54" s="252"/>
      <c r="Z54" s="314"/>
      <c r="AA54" s="239"/>
      <c r="AB54" s="238"/>
      <c r="AC54" s="238"/>
      <c r="AD54" s="238"/>
      <c r="AE54" s="238"/>
      <c r="AF54" s="238"/>
    </row>
    <row r="55" spans="1:32" ht="12.75">
      <c r="A55" s="339" t="s">
        <v>263</v>
      </c>
      <c r="B55" s="244"/>
      <c r="C55" s="244"/>
      <c r="D55" s="252"/>
      <c r="E55" s="252"/>
      <c r="F55" s="252"/>
      <c r="G55" s="252"/>
      <c r="H55" s="252"/>
      <c r="I55" s="252"/>
      <c r="J55" s="252"/>
      <c r="K55" s="252"/>
      <c r="L55" s="252"/>
      <c r="M55" s="252"/>
      <c r="N55" s="252"/>
      <c r="O55" s="252"/>
      <c r="P55" s="252"/>
      <c r="Q55" s="252"/>
      <c r="R55" s="252"/>
      <c r="S55" s="252"/>
      <c r="T55" s="252"/>
      <c r="U55" s="252"/>
      <c r="V55" s="252"/>
      <c r="W55" s="252"/>
      <c r="X55" s="252"/>
      <c r="Y55" s="252"/>
      <c r="Z55" s="314"/>
      <c r="AA55" s="239"/>
      <c r="AB55" s="238"/>
      <c r="AC55" s="238"/>
      <c r="AD55" s="238"/>
      <c r="AE55" s="238"/>
      <c r="AF55" s="238"/>
    </row>
    <row r="56" spans="1:32" ht="12.75">
      <c r="A56" s="238" t="s">
        <v>264</v>
      </c>
      <c r="B56" s="238"/>
      <c r="C56" s="238"/>
      <c r="D56" s="252"/>
      <c r="E56" s="252">
        <v>1.34</v>
      </c>
      <c r="F56" s="252">
        <v>1.93</v>
      </c>
      <c r="G56" s="252">
        <v>2.13</v>
      </c>
      <c r="H56" s="252">
        <v>1.75</v>
      </c>
      <c r="I56" s="252">
        <v>2.04</v>
      </c>
      <c r="J56" s="252">
        <v>1.84</v>
      </c>
      <c r="K56" s="252">
        <v>1.96</v>
      </c>
      <c r="L56" s="252">
        <v>2</v>
      </c>
      <c r="M56" s="252">
        <v>2.2218584045575023</v>
      </c>
      <c r="N56" s="252">
        <v>2.3986977830464093</v>
      </c>
      <c r="O56" s="252">
        <v>2.7</v>
      </c>
      <c r="P56" s="252">
        <v>3.19</v>
      </c>
      <c r="Q56" s="252">
        <v>2</v>
      </c>
      <c r="R56" s="252">
        <v>2.35</v>
      </c>
      <c r="S56" s="252">
        <v>3.469490324482997</v>
      </c>
      <c r="T56" s="252">
        <v>3.29</v>
      </c>
      <c r="U56" s="252">
        <v>2.832145840338845</v>
      </c>
      <c r="V56" s="252">
        <v>2.82</v>
      </c>
      <c r="W56" s="252">
        <v>2.26</v>
      </c>
      <c r="X56" s="252">
        <v>1.67</v>
      </c>
      <c r="Y56" s="252">
        <f>+B20</f>
        <v>2.33</v>
      </c>
      <c r="Z56" s="340">
        <f>+Y56</f>
        <v>2.33</v>
      </c>
      <c r="AA56" s="239"/>
      <c r="AB56" s="238"/>
      <c r="AC56" s="238"/>
      <c r="AD56" s="238"/>
      <c r="AE56" s="238"/>
      <c r="AF56" s="238"/>
    </row>
    <row r="57" spans="1:32" ht="12.75">
      <c r="A57" s="341" t="s">
        <v>265</v>
      </c>
      <c r="B57" s="238"/>
      <c r="C57" s="238"/>
      <c r="D57" s="252"/>
      <c r="E57" s="252"/>
      <c r="F57" s="252"/>
      <c r="G57" s="252"/>
      <c r="H57" s="252"/>
      <c r="I57" s="252"/>
      <c r="J57" s="252"/>
      <c r="K57" s="252"/>
      <c r="L57" s="252"/>
      <c r="M57" s="252"/>
      <c r="N57" s="252"/>
      <c r="O57" s="252"/>
      <c r="P57" s="252"/>
      <c r="Q57" s="252"/>
      <c r="R57" s="252"/>
      <c r="S57" s="252"/>
      <c r="T57" s="252"/>
      <c r="U57" s="252"/>
      <c r="V57" s="252"/>
      <c r="W57" s="252"/>
      <c r="X57" s="252"/>
      <c r="Y57" s="252"/>
      <c r="Z57" s="314"/>
      <c r="AA57" s="239"/>
      <c r="AB57" s="238"/>
      <c r="AC57" s="238"/>
      <c r="AD57" s="238"/>
      <c r="AE57" s="238"/>
      <c r="AF57" s="238"/>
    </row>
    <row r="58" spans="1:32" ht="12.75">
      <c r="A58" s="238" t="s">
        <v>262</v>
      </c>
      <c r="B58" s="238"/>
      <c r="C58" s="238"/>
      <c r="D58" s="257"/>
      <c r="E58" s="257">
        <v>-0.63</v>
      </c>
      <c r="F58" s="257">
        <v>0.63</v>
      </c>
      <c r="G58" s="257">
        <v>-0.84</v>
      </c>
      <c r="H58" s="257">
        <v>0.86</v>
      </c>
      <c r="I58" s="257">
        <v>0.24</v>
      </c>
      <c r="J58" s="257">
        <v>-0.45</v>
      </c>
      <c r="K58" s="257">
        <v>0.49</v>
      </c>
      <c r="L58" s="257">
        <v>-0.28</v>
      </c>
      <c r="M58" s="257">
        <v>-0.08</v>
      </c>
      <c r="N58" s="257">
        <v>0</v>
      </c>
      <c r="O58" s="257">
        <v>0.21</v>
      </c>
      <c r="P58" s="257">
        <v>0.21</v>
      </c>
      <c r="Q58" s="257">
        <v>-1.15</v>
      </c>
      <c r="R58" s="257">
        <v>0.63</v>
      </c>
      <c r="S58" s="257">
        <v>0.62</v>
      </c>
      <c r="T58" s="257">
        <f>+T53</f>
        <v>-0.84</v>
      </c>
      <c r="U58" s="257">
        <v>-0.75</v>
      </c>
      <c r="V58" s="257">
        <v>0.25</v>
      </c>
      <c r="W58" s="257">
        <f>+W53</f>
        <v>0.1</v>
      </c>
      <c r="X58" s="257">
        <f>+X53</f>
        <v>-0.08</v>
      </c>
      <c r="Y58" s="257">
        <f>+Y53</f>
        <v>0.64</v>
      </c>
      <c r="Z58" s="342">
        <f>+Z53</f>
        <v>0.26</v>
      </c>
      <c r="AA58" s="239"/>
      <c r="AB58" s="343"/>
      <c r="AC58" s="238"/>
      <c r="AD58" s="238"/>
      <c r="AE58" s="238"/>
      <c r="AF58" s="238"/>
    </row>
    <row r="59" spans="1:32" ht="13.5" thickBot="1">
      <c r="A59" s="238" t="s">
        <v>266</v>
      </c>
      <c r="B59" s="238"/>
      <c r="C59" s="238"/>
      <c r="D59" s="263">
        <v>1.91</v>
      </c>
      <c r="E59" s="263">
        <f aca="true" t="shared" si="11" ref="E59:R59">SUM(E56:E58)</f>
        <v>0.7100000000000001</v>
      </c>
      <c r="F59" s="263">
        <f t="shared" si="11"/>
        <v>2.56</v>
      </c>
      <c r="G59" s="263">
        <f t="shared" si="11"/>
        <v>1.29</v>
      </c>
      <c r="H59" s="263">
        <f t="shared" si="11"/>
        <v>2.61</v>
      </c>
      <c r="I59" s="263">
        <f t="shared" si="11"/>
        <v>2.2800000000000002</v>
      </c>
      <c r="J59" s="263">
        <f t="shared" si="11"/>
        <v>1.3900000000000001</v>
      </c>
      <c r="K59" s="263">
        <f t="shared" si="11"/>
        <v>2.45</v>
      </c>
      <c r="L59" s="263">
        <f t="shared" si="11"/>
        <v>1.72</v>
      </c>
      <c r="M59" s="263">
        <f t="shared" si="11"/>
        <v>2.141858404557502</v>
      </c>
      <c r="N59" s="263">
        <f t="shared" si="11"/>
        <v>2.3986977830464093</v>
      </c>
      <c r="O59" s="263">
        <f t="shared" si="11"/>
        <v>2.91</v>
      </c>
      <c r="P59" s="263">
        <f t="shared" si="11"/>
        <v>3.4</v>
      </c>
      <c r="Q59" s="263">
        <f t="shared" si="11"/>
        <v>0.8500000000000001</v>
      </c>
      <c r="R59" s="263">
        <f t="shared" si="11"/>
        <v>2.98</v>
      </c>
      <c r="S59" s="263">
        <f aca="true" t="shared" si="12" ref="S59:Z59">SUM(S56:S58)</f>
        <v>4.0894903244829965</v>
      </c>
      <c r="T59" s="263">
        <f t="shared" si="12"/>
        <v>2.45</v>
      </c>
      <c r="U59" s="263">
        <f t="shared" si="12"/>
        <v>2.082145840338845</v>
      </c>
      <c r="V59" s="263">
        <f t="shared" si="12"/>
        <v>3.07</v>
      </c>
      <c r="W59" s="263">
        <f t="shared" si="12"/>
        <v>2.36</v>
      </c>
      <c r="X59" s="263">
        <f>SUM(X56:X58)</f>
        <v>1.5899999999999999</v>
      </c>
      <c r="Y59" s="263">
        <f t="shared" si="12"/>
        <v>2.97</v>
      </c>
      <c r="Z59" s="344">
        <f t="shared" si="12"/>
        <v>2.59</v>
      </c>
      <c r="AA59" s="239"/>
      <c r="AB59" s="238"/>
      <c r="AC59" s="343"/>
      <c r="AD59" s="345"/>
      <c r="AE59" s="238"/>
      <c r="AF59" s="238"/>
    </row>
    <row r="60" spans="1:32" ht="13.5" thickTop="1">
      <c r="A60" s="238"/>
      <c r="B60" s="238"/>
      <c r="C60" s="238"/>
      <c r="D60" s="346"/>
      <c r="E60" s="346"/>
      <c r="F60" s="346"/>
      <c r="G60" s="346"/>
      <c r="H60" s="346"/>
      <c r="I60" s="346"/>
      <c r="J60" s="346"/>
      <c r="K60" s="346"/>
      <c r="L60" s="346"/>
      <c r="M60" s="346"/>
      <c r="N60" s="346"/>
      <c r="O60" s="346"/>
      <c r="P60" s="346"/>
      <c r="Q60" s="346"/>
      <c r="R60" s="346"/>
      <c r="S60" s="346"/>
      <c r="T60" s="346"/>
      <c r="U60" s="346"/>
      <c r="V60" s="346"/>
      <c r="W60" s="346"/>
      <c r="X60" s="346"/>
      <c r="Y60" s="346"/>
      <c r="Z60" s="347"/>
      <c r="AA60" s="239"/>
      <c r="AB60" s="238"/>
      <c r="AC60" s="343"/>
      <c r="AD60" s="345"/>
      <c r="AE60" s="238"/>
      <c r="AF60" s="238"/>
    </row>
    <row r="61" spans="1:32" ht="12.75">
      <c r="A61" s="238" t="s">
        <v>267</v>
      </c>
      <c r="B61" s="238"/>
      <c r="C61" s="238"/>
      <c r="D61" s="346"/>
      <c r="E61" s="346"/>
      <c r="F61" s="346"/>
      <c r="G61" s="346"/>
      <c r="H61" s="346"/>
      <c r="I61" s="346"/>
      <c r="J61" s="346"/>
      <c r="K61" s="346"/>
      <c r="L61" s="346"/>
      <c r="M61" s="346"/>
      <c r="N61" s="346"/>
      <c r="O61" s="346"/>
      <c r="P61" s="346"/>
      <c r="Q61" s="346"/>
      <c r="R61" s="346"/>
      <c r="S61" s="346"/>
      <c r="T61" s="346"/>
      <c r="U61" s="346"/>
      <c r="V61" s="346"/>
      <c r="W61" s="348">
        <f>+'[1]2014-2015 RSA Budget vs. Actual'!N45</f>
        <v>93887.32669815079</v>
      </c>
      <c r="X61" s="348"/>
      <c r="Y61" s="348"/>
      <c r="Z61" s="349"/>
      <c r="AA61" s="239"/>
      <c r="AB61" s="238"/>
      <c r="AC61" s="343"/>
      <c r="AD61" s="345"/>
      <c r="AE61" s="238"/>
      <c r="AF61" s="238"/>
    </row>
    <row r="62" spans="1:32" ht="12.75">
      <c r="A62" s="238"/>
      <c r="B62" s="238"/>
      <c r="C62" s="238"/>
      <c r="D62" s="346"/>
      <c r="E62" s="346"/>
      <c r="F62" s="346"/>
      <c r="G62" s="346"/>
      <c r="H62" s="346"/>
      <c r="I62" s="346"/>
      <c r="J62" s="346"/>
      <c r="K62" s="346"/>
      <c r="L62" s="346"/>
      <c r="M62" s="346"/>
      <c r="N62" s="346"/>
      <c r="O62" s="346"/>
      <c r="P62" s="346"/>
      <c r="Q62" s="346"/>
      <c r="R62" s="346"/>
      <c r="S62" s="346"/>
      <c r="T62" s="346"/>
      <c r="U62" s="346"/>
      <c r="V62" s="346"/>
      <c r="W62" s="346"/>
      <c r="X62" s="346"/>
      <c r="Y62" s="346"/>
      <c r="Z62" s="347"/>
      <c r="AA62" s="239"/>
      <c r="AB62" s="238"/>
      <c r="AC62" s="343"/>
      <c r="AD62" s="345"/>
      <c r="AE62" s="238"/>
      <c r="AF62" s="238"/>
    </row>
    <row r="63" spans="1:32" ht="38.25">
      <c r="A63" s="350" t="s">
        <v>335</v>
      </c>
      <c r="B63" s="238"/>
      <c r="C63" s="351">
        <f>+D77</f>
        <v>0.5</v>
      </c>
      <c r="D63" s="252"/>
      <c r="E63" s="252"/>
      <c r="F63" s="252"/>
      <c r="G63" s="252"/>
      <c r="H63" s="252"/>
      <c r="I63" s="252"/>
      <c r="J63" s="252"/>
      <c r="K63" s="252"/>
      <c r="L63" s="252"/>
      <c r="M63" s="252"/>
      <c r="N63" s="252"/>
      <c r="O63" s="252"/>
      <c r="P63" s="252"/>
      <c r="Q63" s="252"/>
      <c r="R63" s="252"/>
      <c r="S63" s="252"/>
      <c r="T63" s="252"/>
      <c r="U63" s="252"/>
      <c r="V63" s="252"/>
      <c r="W63" s="252"/>
      <c r="X63" s="252"/>
      <c r="Y63" s="252"/>
      <c r="Z63" s="352">
        <f>ROUND(-Z56*C63,2)</f>
        <v>-1.17</v>
      </c>
      <c r="AA63" s="239"/>
      <c r="AB63" s="287"/>
      <c r="AC63" s="287"/>
      <c r="AD63" s="343"/>
      <c r="AE63" s="238"/>
      <c r="AF63" s="238"/>
    </row>
    <row r="64" spans="1:32" ht="12.75">
      <c r="A64" s="238"/>
      <c r="B64" s="238"/>
      <c r="C64" s="238"/>
      <c r="D64" s="252"/>
      <c r="E64" s="252"/>
      <c r="F64" s="252"/>
      <c r="G64" s="252"/>
      <c r="H64" s="252"/>
      <c r="I64" s="252"/>
      <c r="J64" s="252"/>
      <c r="K64" s="252"/>
      <c r="L64" s="252"/>
      <c r="M64" s="252"/>
      <c r="N64" s="252"/>
      <c r="O64" s="252"/>
      <c r="P64" s="252"/>
      <c r="Q64" s="252"/>
      <c r="R64" s="252"/>
      <c r="S64" s="252"/>
      <c r="T64" s="252"/>
      <c r="U64" s="252"/>
      <c r="V64" s="252"/>
      <c r="W64" s="252"/>
      <c r="X64" s="252"/>
      <c r="Y64" s="252"/>
      <c r="Z64" s="314"/>
      <c r="AA64" s="239"/>
      <c r="AB64" s="238"/>
      <c r="AC64" s="238"/>
      <c r="AD64" s="238"/>
      <c r="AE64" s="238"/>
      <c r="AF64" s="238"/>
    </row>
    <row r="65" spans="1:32" ht="13.5" thickBot="1">
      <c r="A65" s="238" t="s">
        <v>268</v>
      </c>
      <c r="B65" s="238"/>
      <c r="C65" s="238"/>
      <c r="D65" s="263">
        <v>1.91</v>
      </c>
      <c r="E65" s="263">
        <v>0.91</v>
      </c>
      <c r="F65" s="263">
        <v>2.56</v>
      </c>
      <c r="G65" s="353">
        <v>0.56</v>
      </c>
      <c r="H65" s="354">
        <v>2.13</v>
      </c>
      <c r="I65" s="354">
        <v>2.33</v>
      </c>
      <c r="J65" s="354">
        <v>1.7</v>
      </c>
      <c r="K65" s="354">
        <v>1.84</v>
      </c>
      <c r="L65" s="354">
        <v>1.59</v>
      </c>
      <c r="M65" s="354">
        <v>1.7</v>
      </c>
      <c r="N65" s="354">
        <v>1.67</v>
      </c>
      <c r="O65" s="354">
        <v>2.1</v>
      </c>
      <c r="P65" s="354">
        <v>2.64</v>
      </c>
      <c r="Q65" s="354">
        <v>0.68</v>
      </c>
      <c r="R65" s="354">
        <v>1.315</v>
      </c>
      <c r="S65" s="354">
        <v>3.41</v>
      </c>
      <c r="T65" s="354">
        <v>2.29</v>
      </c>
      <c r="U65" s="354">
        <v>1.29</v>
      </c>
      <c r="V65" s="354">
        <v>1.4</v>
      </c>
      <c r="W65" s="354">
        <v>0.87</v>
      </c>
      <c r="X65" s="354">
        <v>0.49</v>
      </c>
      <c r="Y65" s="355"/>
      <c r="Z65" s="356">
        <f>+Z63+Z59</f>
        <v>1.42</v>
      </c>
      <c r="AA65" s="239"/>
      <c r="AB65" s="357"/>
      <c r="AC65" s="252"/>
      <c r="AD65" s="252"/>
      <c r="AE65" s="238"/>
      <c r="AF65" s="343"/>
    </row>
    <row r="66" spans="1:32" ht="14.25" thickBot="1" thickTop="1">
      <c r="A66" s="238"/>
      <c r="B66" s="238"/>
      <c r="C66" s="238"/>
      <c r="D66" s="346"/>
      <c r="E66" s="346"/>
      <c r="F66" s="346"/>
      <c r="G66" s="358"/>
      <c r="H66" s="346"/>
      <c r="I66" s="346"/>
      <c r="J66" s="346"/>
      <c r="K66" s="346"/>
      <c r="L66" s="346"/>
      <c r="M66" s="252"/>
      <c r="N66" s="252"/>
      <c r="O66" s="252"/>
      <c r="P66" s="252"/>
      <c r="Q66" s="252"/>
      <c r="R66" s="252"/>
      <c r="S66" s="252"/>
      <c r="T66" s="252"/>
      <c r="U66" s="252"/>
      <c r="V66" s="252"/>
      <c r="W66" s="252"/>
      <c r="X66" s="252"/>
      <c r="Y66" s="252"/>
      <c r="Z66" s="359"/>
      <c r="AA66" s="239"/>
      <c r="AB66" s="238"/>
      <c r="AC66" s="343"/>
      <c r="AD66" s="343"/>
      <c r="AE66" s="238"/>
      <c r="AF66" s="238"/>
    </row>
    <row r="67" spans="1:32" ht="13.5" thickBot="1">
      <c r="A67" s="238" t="s">
        <v>269</v>
      </c>
      <c r="B67" s="238"/>
      <c r="C67" s="238"/>
      <c r="D67" s="360"/>
      <c r="E67" s="361">
        <v>7896.18</v>
      </c>
      <c r="F67" s="361">
        <v>7528.25</v>
      </c>
      <c r="G67" s="361">
        <v>8162.79</v>
      </c>
      <c r="H67" s="361">
        <v>8325.95</v>
      </c>
      <c r="I67" s="361">
        <v>8424.47</v>
      </c>
      <c r="J67" s="361">
        <v>9054.611076923078</v>
      </c>
      <c r="K67" s="361">
        <v>11958.96857142857</v>
      </c>
      <c r="L67" s="361">
        <v>11706.094141667125</v>
      </c>
      <c r="M67" s="361">
        <v>9059.515480630878</v>
      </c>
      <c r="N67" s="361">
        <v>8199.202012675878</v>
      </c>
      <c r="O67" s="361">
        <v>8698.76487207301</v>
      </c>
      <c r="P67" s="361">
        <v>8784.742061640472</v>
      </c>
      <c r="Q67" s="361">
        <v>8384.623158593984</v>
      </c>
      <c r="R67" s="361">
        <v>6824.62</v>
      </c>
      <c r="S67" s="361">
        <v>8776.103530275153</v>
      </c>
      <c r="T67" s="362">
        <v>6061.080429599028</v>
      </c>
      <c r="U67" s="362">
        <v>5237.642272109166</v>
      </c>
      <c r="V67" s="362">
        <v>5476.424782415852</v>
      </c>
      <c r="W67" s="362">
        <v>5478.72</v>
      </c>
      <c r="X67" s="362">
        <v>5509.889999999999</v>
      </c>
      <c r="Y67" s="362">
        <f>+W17</f>
        <v>5519.46</v>
      </c>
      <c r="Z67" s="363">
        <f>SUM(E67:Y67)</f>
        <v>165068.10239003217</v>
      </c>
      <c r="AA67" s="239"/>
      <c r="AB67" s="238"/>
      <c r="AC67" s="238"/>
      <c r="AD67" s="238"/>
      <c r="AE67" s="238"/>
      <c r="AF67" s="238"/>
    </row>
    <row r="68" spans="1:32" ht="13.5" thickTop="1">
      <c r="A68" s="238"/>
      <c r="B68" s="238"/>
      <c r="C68" s="238"/>
      <c r="D68" s="360"/>
      <c r="E68" s="364"/>
      <c r="F68" s="365">
        <f aca="true" t="shared" si="13" ref="F68:R68">+F67/E67-1</f>
        <v>-0.04659594892720276</v>
      </c>
      <c r="G68" s="365">
        <f t="shared" si="13"/>
        <v>0.08428784910171694</v>
      </c>
      <c r="H68" s="365">
        <f t="shared" si="13"/>
        <v>0.019988263816660856</v>
      </c>
      <c r="I68" s="365">
        <f t="shared" si="13"/>
        <v>0.01183288393516646</v>
      </c>
      <c r="J68" s="365">
        <f t="shared" si="13"/>
        <v>0.07479889855659505</v>
      </c>
      <c r="K68" s="365">
        <f t="shared" si="13"/>
        <v>0.32076004919831913</v>
      </c>
      <c r="L68" s="365">
        <f t="shared" si="13"/>
        <v>-0.021145170526293722</v>
      </c>
      <c r="M68" s="365">
        <f t="shared" si="13"/>
        <v>-0.2260855439062216</v>
      </c>
      <c r="N68" s="365">
        <f t="shared" si="13"/>
        <v>-0.09496241490997381</v>
      </c>
      <c r="O68" s="365">
        <f t="shared" si="13"/>
        <v>0.060928229189232574</v>
      </c>
      <c r="P68" s="365">
        <f t="shared" si="13"/>
        <v>0.009883838778478538</v>
      </c>
      <c r="Q68" s="365">
        <f t="shared" si="13"/>
        <v>-0.045547029182979815</v>
      </c>
      <c r="R68" s="365">
        <f t="shared" si="13"/>
        <v>-0.18605525007943002</v>
      </c>
      <c r="S68" s="365">
        <f>+S67/16*12/R67-1</f>
        <v>-0.035539319741412</v>
      </c>
      <c r="T68" s="365">
        <f>+T67/13*16/S67-1</f>
        <v>-0.14998822971563652</v>
      </c>
      <c r="U68" s="365">
        <f>+U67/12*12/T67-1</f>
        <v>-0.13585666236478855</v>
      </c>
      <c r="V68" s="365">
        <f>+V67/12*12/U67-1</f>
        <v>0.04558969435125815</v>
      </c>
      <c r="W68" s="366">
        <f>+W67/12*12/V67-1</f>
        <v>0.0004191087571434604</v>
      </c>
      <c r="X68" s="366">
        <f>+X67/12*12/W67-1</f>
        <v>0.005689285088487761</v>
      </c>
      <c r="Y68" s="366">
        <f>+Y67/12*12/W67-1</f>
        <v>0.007436043455405494</v>
      </c>
      <c r="Z68" s="367"/>
      <c r="AA68" s="239"/>
      <c r="AB68" s="238"/>
      <c r="AC68" s="238"/>
      <c r="AD68" s="238"/>
      <c r="AE68" s="238"/>
      <c r="AF68" s="238"/>
    </row>
    <row r="69" spans="1:32" ht="13.5" thickBot="1">
      <c r="A69" s="238" t="s">
        <v>270</v>
      </c>
      <c r="B69" s="238"/>
      <c r="C69" s="238"/>
      <c r="D69" s="360"/>
      <c r="E69" s="368">
        <f aca="true" t="shared" si="14" ref="E69:W69">+E51</f>
        <v>20805</v>
      </c>
      <c r="F69" s="368">
        <f t="shared" si="14"/>
        <v>20925</v>
      </c>
      <c r="G69" s="368">
        <f t="shared" si="14"/>
        <v>22176</v>
      </c>
      <c r="H69" s="368">
        <f t="shared" si="14"/>
        <v>22125</v>
      </c>
      <c r="I69" s="368">
        <f t="shared" si="14"/>
        <v>22176</v>
      </c>
      <c r="J69" s="368">
        <f t="shared" si="14"/>
        <v>22979</v>
      </c>
      <c r="K69" s="368">
        <f t="shared" si="14"/>
        <v>31853</v>
      </c>
      <c r="L69" s="368">
        <f t="shared" si="14"/>
        <v>31960.25</v>
      </c>
      <c r="M69" s="368">
        <f t="shared" si="14"/>
        <v>26315.583333333332</v>
      </c>
      <c r="N69" s="368">
        <f t="shared" si="14"/>
        <v>23549.583333333332</v>
      </c>
      <c r="O69" s="368">
        <f t="shared" si="14"/>
        <v>23844</v>
      </c>
      <c r="P69" s="368">
        <f t="shared" si="14"/>
        <v>23908</v>
      </c>
      <c r="Q69" s="368">
        <f t="shared" si="14"/>
        <v>23119</v>
      </c>
      <c r="R69" s="368">
        <f t="shared" si="14"/>
        <v>18604</v>
      </c>
      <c r="S69" s="368">
        <f t="shared" si="14"/>
        <v>18935.25</v>
      </c>
      <c r="T69" s="368">
        <f t="shared" si="14"/>
        <v>15470</v>
      </c>
      <c r="U69" s="368">
        <f t="shared" si="14"/>
        <v>15900</v>
      </c>
      <c r="V69" s="368">
        <f t="shared" si="14"/>
        <v>15987</v>
      </c>
      <c r="W69" s="369">
        <f t="shared" si="14"/>
        <v>16329</v>
      </c>
      <c r="X69" s="369">
        <f>+X51</f>
        <v>16723</v>
      </c>
      <c r="Y69" s="369">
        <f>+Y51</f>
        <v>17056</v>
      </c>
      <c r="Z69" s="370">
        <f>SUM(E69:Y69)</f>
        <v>450739.6666666667</v>
      </c>
      <c r="AA69" s="239"/>
      <c r="AB69" s="238"/>
      <c r="AC69" s="238"/>
      <c r="AD69" s="238"/>
      <c r="AE69" s="238"/>
      <c r="AF69" s="238"/>
    </row>
    <row r="70" spans="1:32" ht="13.5" thickTop="1">
      <c r="A70" s="238"/>
      <c r="B70" s="238"/>
      <c r="C70" s="238"/>
      <c r="D70" s="238"/>
      <c r="E70" s="371"/>
      <c r="F70" s="365">
        <f>+F69/(E69)-1</f>
        <v>0.005767844268204758</v>
      </c>
      <c r="G70" s="365">
        <f aca="true" t="shared" si="15" ref="G70:V70">+G69/F69-1</f>
        <v>0.05978494623655917</v>
      </c>
      <c r="H70" s="365">
        <f t="shared" si="15"/>
        <v>-0.0022997835497835517</v>
      </c>
      <c r="I70" s="365">
        <f t="shared" si="15"/>
        <v>0.002305084745762631</v>
      </c>
      <c r="J70" s="365">
        <f t="shared" si="15"/>
        <v>0.03621031746031744</v>
      </c>
      <c r="K70" s="365">
        <f t="shared" si="15"/>
        <v>0.38617868488620055</v>
      </c>
      <c r="L70" s="365">
        <f t="shared" si="15"/>
        <v>0.0033670297931120974</v>
      </c>
      <c r="M70" s="365">
        <f t="shared" si="15"/>
        <v>-0.17661522255510098</v>
      </c>
      <c r="N70" s="365">
        <f t="shared" si="15"/>
        <v>-0.10510882335244964</v>
      </c>
      <c r="O70" s="365">
        <f t="shared" si="15"/>
        <v>0.012501990481077252</v>
      </c>
      <c r="P70" s="365">
        <f t="shared" si="15"/>
        <v>0.002684113403791377</v>
      </c>
      <c r="Q70" s="365">
        <f t="shared" si="15"/>
        <v>-0.03300150577212646</v>
      </c>
      <c r="R70" s="365">
        <f t="shared" si="15"/>
        <v>-0.19529391409663044</v>
      </c>
      <c r="S70" s="365">
        <f t="shared" si="15"/>
        <v>0.017805310685873987</v>
      </c>
      <c r="T70" s="365">
        <f t="shared" si="15"/>
        <v>-0.1830052415468505</v>
      </c>
      <c r="U70" s="365">
        <f t="shared" si="15"/>
        <v>0.02779573367808652</v>
      </c>
      <c r="V70" s="365">
        <f t="shared" si="15"/>
        <v>0.005471698113207468</v>
      </c>
      <c r="W70" s="365">
        <f>+W69/V69-1</f>
        <v>0.021392381309814246</v>
      </c>
      <c r="X70" s="365">
        <f>+X69/W69-1</f>
        <v>0.024128850511360156</v>
      </c>
      <c r="Y70" s="365">
        <f>+Y69/W69-1</f>
        <v>0.04452201604507322</v>
      </c>
      <c r="Z70" s="238"/>
      <c r="AA70" s="239"/>
      <c r="AB70" s="238"/>
      <c r="AC70" s="238"/>
      <c r="AD70" s="238"/>
      <c r="AE70" s="238"/>
      <c r="AF70" s="238"/>
    </row>
    <row r="71" spans="1:32" ht="12.75">
      <c r="A71" s="238" t="s">
        <v>271</v>
      </c>
      <c r="B71" s="372"/>
      <c r="C71" s="372"/>
      <c r="D71" s="373"/>
      <c r="E71" s="374">
        <f aca="true" t="shared" si="16" ref="E71:Z71">+E67*2000/E69/E48</f>
        <v>75.90656092285508</v>
      </c>
      <c r="F71" s="374">
        <f t="shared" si="16"/>
        <v>59.96216646754281</v>
      </c>
      <c r="G71" s="374">
        <f t="shared" si="16"/>
        <v>61.348529942279946</v>
      </c>
      <c r="H71" s="374">
        <f t="shared" si="16"/>
        <v>62.7190207156309</v>
      </c>
      <c r="I71" s="374">
        <f t="shared" si="16"/>
        <v>63.31522065897065</v>
      </c>
      <c r="J71" s="374">
        <f t="shared" si="16"/>
        <v>60.62131027274453</v>
      </c>
      <c r="K71" s="374">
        <f t="shared" si="16"/>
        <v>53.634636663191934</v>
      </c>
      <c r="L71" s="374">
        <f t="shared" si="16"/>
        <v>61.04506974375527</v>
      </c>
      <c r="M71" s="374">
        <f t="shared" si="16"/>
        <v>57.37738083347876</v>
      </c>
      <c r="N71" s="374">
        <f t="shared" si="16"/>
        <v>58.027934058818296</v>
      </c>
      <c r="O71" s="374">
        <f t="shared" si="16"/>
        <v>60.80331091031294</v>
      </c>
      <c r="P71" s="374">
        <f t="shared" si="16"/>
        <v>61.2399061795248</v>
      </c>
      <c r="Q71" s="374">
        <f t="shared" si="16"/>
        <v>60.445399589039205</v>
      </c>
      <c r="R71" s="374">
        <f t="shared" si="16"/>
        <v>61.139360710958215</v>
      </c>
      <c r="S71" s="374">
        <f t="shared" si="16"/>
        <v>57.93495946894782</v>
      </c>
      <c r="T71" s="374">
        <f t="shared" si="16"/>
        <v>60.27627099198477</v>
      </c>
      <c r="U71" s="374">
        <f t="shared" si="16"/>
        <v>54.90191060911075</v>
      </c>
      <c r="V71" s="374">
        <f t="shared" si="16"/>
        <v>57.092479122785726</v>
      </c>
      <c r="W71" s="374">
        <f t="shared" si="16"/>
        <v>55.92014207851062</v>
      </c>
      <c r="X71" s="374">
        <f>+X67*2000/X69/X48</f>
        <v>54.91329306942533</v>
      </c>
      <c r="Y71" s="374">
        <f>+Y67*2000/Y69/Y48</f>
        <v>53.93468574108818</v>
      </c>
      <c r="Z71" s="375">
        <f t="shared" si="16"/>
        <v>61.036009104306395</v>
      </c>
      <c r="AA71" s="239"/>
      <c r="AB71" s="376"/>
      <c r="AC71" s="238"/>
      <c r="AD71" s="238"/>
      <c r="AE71" s="238"/>
      <c r="AF71" s="238"/>
    </row>
    <row r="72" spans="1:32" ht="12.75">
      <c r="A72" s="238"/>
      <c r="B72" s="372"/>
      <c r="C72" s="372"/>
      <c r="D72" s="373"/>
      <c r="E72" s="377"/>
      <c r="F72" s="377"/>
      <c r="G72" s="377"/>
      <c r="H72" s="377"/>
      <c r="I72" s="377"/>
      <c r="J72" s="377"/>
      <c r="K72" s="377"/>
      <c r="L72" s="377"/>
      <c r="M72" s="377"/>
      <c r="N72" s="377"/>
      <c r="O72" s="377"/>
      <c r="P72" s="377"/>
      <c r="Q72" s="377"/>
      <c r="R72" s="377"/>
      <c r="S72" s="377"/>
      <c r="T72" s="377"/>
      <c r="U72" s="377"/>
      <c r="V72" s="377"/>
      <c r="W72" s="377"/>
      <c r="X72" s="377"/>
      <c r="Y72" s="377"/>
      <c r="Z72" s="238"/>
      <c r="AA72" s="239"/>
      <c r="AB72" s="238"/>
      <c r="AC72" s="238"/>
      <c r="AD72" s="238"/>
      <c r="AE72" s="238"/>
      <c r="AF72" s="238"/>
    </row>
    <row r="73" spans="1:32" ht="12.75">
      <c r="A73" s="238" t="s">
        <v>272</v>
      </c>
      <c r="B73" s="372"/>
      <c r="C73" s="372"/>
      <c r="D73" s="373"/>
      <c r="E73" s="378">
        <f aca="true" t="shared" si="17" ref="E73:Z73">+E40/E67</f>
        <v>33.84801258329977</v>
      </c>
      <c r="F73" s="378">
        <f t="shared" si="17"/>
        <v>56.713578852987084</v>
      </c>
      <c r="G73" s="378">
        <f t="shared" si="17"/>
        <v>46.00963641108004</v>
      </c>
      <c r="H73" s="378">
        <f t="shared" si="17"/>
        <v>55.93667989838997</v>
      </c>
      <c r="I73" s="378">
        <f t="shared" si="17"/>
        <v>66.57949995667384</v>
      </c>
      <c r="J73" s="378">
        <f t="shared" si="17"/>
        <v>60.8074709473993</v>
      </c>
      <c r="K73" s="378">
        <f t="shared" si="17"/>
        <v>70.85611062014667</v>
      </c>
      <c r="L73" s="378">
        <f t="shared" si="17"/>
        <v>65.64990770615428</v>
      </c>
      <c r="M73" s="378">
        <f t="shared" si="17"/>
        <v>77.44718815262074</v>
      </c>
      <c r="N73" s="378">
        <f t="shared" si="17"/>
        <v>82.67389911262532</v>
      </c>
      <c r="O73" s="378">
        <f t="shared" si="17"/>
        <v>88.84146328418126</v>
      </c>
      <c r="P73" s="378">
        <f t="shared" si="17"/>
        <v>104.1542248571312</v>
      </c>
      <c r="Q73" s="378">
        <f t="shared" si="17"/>
        <v>66.20929641077528</v>
      </c>
      <c r="R73" s="378">
        <f t="shared" si="17"/>
        <v>76.88354809498551</v>
      </c>
      <c r="S73" s="378">
        <f t="shared" si="17"/>
        <v>113.41399934109411</v>
      </c>
      <c r="T73" s="378">
        <f t="shared" si="17"/>
        <v>109.05316431244376</v>
      </c>
      <c r="U73" s="378">
        <f t="shared" si="17"/>
        <v>103.1677941957655</v>
      </c>
      <c r="V73" s="378">
        <f t="shared" si="17"/>
        <v>98.94813158758586</v>
      </c>
      <c r="W73" s="378">
        <f t="shared" si="17"/>
        <v>80.95467554465276</v>
      </c>
      <c r="X73" s="378">
        <f>+X40/X67</f>
        <v>60.8367862153328</v>
      </c>
      <c r="Y73" s="378">
        <f>+Y40/Y67</f>
        <v>86.52970561095452</v>
      </c>
      <c r="Z73" s="378">
        <f t="shared" si="17"/>
        <v>75.14999003029989</v>
      </c>
      <c r="AA73" s="239"/>
      <c r="AB73" s="238"/>
      <c r="AC73" s="345"/>
      <c r="AD73" s="238"/>
      <c r="AE73" s="238"/>
      <c r="AF73" s="238"/>
    </row>
    <row r="74" spans="1:32" ht="15">
      <c r="A74" s="238"/>
      <c r="B74" s="372"/>
      <c r="C74" s="372"/>
      <c r="D74" s="373"/>
      <c r="E74" s="379"/>
      <c r="F74" s="379"/>
      <c r="G74" s="379"/>
      <c r="H74" s="379"/>
      <c r="I74" s="379"/>
      <c r="J74" s="379"/>
      <c r="K74" s="379"/>
      <c r="L74" s="379"/>
      <c r="M74" s="379"/>
      <c r="N74" s="379"/>
      <c r="O74" s="379"/>
      <c r="P74" s="379"/>
      <c r="Q74" s="379"/>
      <c r="R74" s="379"/>
      <c r="S74" s="379"/>
      <c r="T74" s="379"/>
      <c r="U74" s="379"/>
      <c r="V74" s="379"/>
      <c r="W74" s="379"/>
      <c r="X74" s="379"/>
      <c r="Y74" s="379"/>
      <c r="Z74" s="238"/>
      <c r="AA74" s="238"/>
      <c r="AB74" s="238"/>
      <c r="AC74" s="238"/>
      <c r="AD74" s="238"/>
      <c r="AE74" s="238"/>
      <c r="AF74" s="238"/>
    </row>
    <row r="75" spans="1:32" ht="12.75">
      <c r="A75" s="238"/>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row>
    <row r="76" spans="1:32" ht="12.75">
      <c r="A76" s="241" t="s">
        <v>334</v>
      </c>
      <c r="B76" s="241"/>
      <c r="D76" s="400">
        <v>0.475</v>
      </c>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row>
    <row r="77" spans="1:32" ht="12.75">
      <c r="A77" s="241" t="s">
        <v>336</v>
      </c>
      <c r="B77" s="241"/>
      <c r="D77" s="401">
        <f>+'KC 2018-2019 Budget'!C19</f>
        <v>0.5</v>
      </c>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row>
    <row r="78" spans="1:32" ht="12.75">
      <c r="A78" s="238"/>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row>
    <row r="79" spans="1:32" ht="12.75">
      <c r="A79" s="238"/>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row>
    <row r="80" spans="1:32" ht="12.75">
      <c r="A80" s="238"/>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row>
    <row r="81" spans="1:32" ht="12.75">
      <c r="A81" s="238"/>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row>
    <row r="82" spans="1:32" ht="12.75">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row>
    <row r="83" spans="1:32" ht="12.75">
      <c r="A83" s="238"/>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row>
    <row r="84" spans="1:32" ht="12.75">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row>
    <row r="85" spans="1:32" ht="12.75">
      <c r="A85" s="238"/>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row>
    <row r="86" spans="1:32" ht="12.75">
      <c r="A86" s="238"/>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row>
    <row r="87" spans="1:32" ht="12.75">
      <c r="A87" s="238"/>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row>
    <row r="88" spans="1:32" ht="12.75">
      <c r="A88" s="238"/>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row>
    <row r="89" spans="1:32" ht="12.75">
      <c r="A89" s="238"/>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row>
  </sheetData>
  <sheetProtection/>
  <mergeCells count="1">
    <mergeCell ref="O20:R20"/>
  </mergeCells>
  <printOptions/>
  <pageMargins left="0.45" right="0.45" top="0.25" bottom="0.25" header="0.3" footer="0.3"/>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1:AC42"/>
  <sheetViews>
    <sheetView zoomScalePageLayoutView="0" workbookViewId="0" topLeftCell="A11">
      <selection activeCell="X28" sqref="X28"/>
    </sheetView>
  </sheetViews>
  <sheetFormatPr defaultColWidth="9.140625" defaultRowHeight="12.75"/>
  <cols>
    <col min="1" max="1" width="18.28125" style="0" customWidth="1"/>
    <col min="5" max="5" width="4.421875" style="0" customWidth="1"/>
    <col min="7" max="7" width="10.00390625" style="0" bestFit="1" customWidth="1"/>
    <col min="8" max="8" width="10.140625" style="0" bestFit="1" customWidth="1"/>
    <col min="9" max="9" width="10.57421875" style="0" bestFit="1" customWidth="1"/>
    <col min="10" max="10" width="3.57421875" style="0" customWidth="1"/>
    <col min="13" max="13" width="10.28125" style="0" bestFit="1" customWidth="1"/>
    <col min="14" max="14" width="2.7109375" style="0" customWidth="1"/>
    <col min="15" max="15" width="10.28125" style="0" bestFit="1" customWidth="1"/>
    <col min="16" max="16" width="10.00390625" style="0" bestFit="1" customWidth="1"/>
    <col min="17" max="17" width="10.140625" style="0" bestFit="1" customWidth="1"/>
    <col min="18" max="18" width="10.28125" style="0" bestFit="1" customWidth="1"/>
    <col min="19" max="19" width="4.00390625" style="0" customWidth="1"/>
    <col min="20" max="20" width="10.28125" style="0" bestFit="1" customWidth="1"/>
    <col min="21" max="21" width="4.00390625" style="0" customWidth="1"/>
    <col min="22" max="24" width="11.57421875" style="0" bestFit="1" customWidth="1"/>
    <col min="25" max="25" width="5.140625" style="0" customWidth="1"/>
    <col min="27" max="27" width="9.140625" style="100" customWidth="1"/>
  </cols>
  <sheetData>
    <row r="1" ht="26.25">
      <c r="A1" s="407" t="s">
        <v>287</v>
      </c>
    </row>
    <row r="2" ht="12.75"/>
    <row r="3" spans="2:18" ht="12.75">
      <c r="B3" s="613" t="s">
        <v>93</v>
      </c>
      <c r="C3" s="613"/>
      <c r="D3" s="613"/>
      <c r="E3" s="613"/>
      <c r="F3" s="613"/>
      <c r="G3" s="613"/>
      <c r="H3" s="613"/>
      <c r="I3" s="613"/>
      <c r="K3" s="613" t="s">
        <v>94</v>
      </c>
      <c r="L3" s="613"/>
      <c r="M3" s="613"/>
      <c r="N3" s="613"/>
      <c r="O3" s="613"/>
      <c r="P3" s="613"/>
      <c r="Q3" s="613"/>
      <c r="R3" s="613"/>
    </row>
    <row r="4" spans="2:28" ht="15">
      <c r="B4" s="614" t="s">
        <v>95</v>
      </c>
      <c r="C4" s="614"/>
      <c r="D4" s="614"/>
      <c r="E4" s="101"/>
      <c r="F4" s="614" t="s">
        <v>96</v>
      </c>
      <c r="G4" s="614"/>
      <c r="H4" s="614"/>
      <c r="I4" s="614"/>
      <c r="K4" s="614" t="s">
        <v>95</v>
      </c>
      <c r="L4" s="614"/>
      <c r="M4" s="614"/>
      <c r="N4" s="101"/>
      <c r="O4" s="614" t="s">
        <v>96</v>
      </c>
      <c r="P4" s="614"/>
      <c r="Q4" s="614"/>
      <c r="R4" s="614"/>
      <c r="T4" s="13" t="s">
        <v>97</v>
      </c>
      <c r="AB4" s="406" t="s">
        <v>100</v>
      </c>
    </row>
    <row r="5" spans="1:29" ht="15">
      <c r="A5" s="14" t="s">
        <v>62</v>
      </c>
      <c r="B5" s="102" t="s">
        <v>98</v>
      </c>
      <c r="C5" s="103" t="s">
        <v>99</v>
      </c>
      <c r="D5" s="103" t="s">
        <v>100</v>
      </c>
      <c r="E5" s="103"/>
      <c r="F5" s="103" t="s">
        <v>101</v>
      </c>
      <c r="G5" s="103" t="s">
        <v>102</v>
      </c>
      <c r="H5" s="103" t="s">
        <v>103</v>
      </c>
      <c r="I5" s="103" t="s">
        <v>100</v>
      </c>
      <c r="K5" s="102" t="s">
        <v>98</v>
      </c>
      <c r="L5" s="103" t="s">
        <v>99</v>
      </c>
      <c r="M5" s="103" t="s">
        <v>100</v>
      </c>
      <c r="N5" s="103"/>
      <c r="O5" s="103" t="s">
        <v>101</v>
      </c>
      <c r="P5" s="103" t="s">
        <v>102</v>
      </c>
      <c r="Q5" s="103" t="s">
        <v>103</v>
      </c>
      <c r="R5" s="103" t="s">
        <v>100</v>
      </c>
      <c r="T5" s="103" t="s">
        <v>100</v>
      </c>
      <c r="V5" s="103" t="s">
        <v>93</v>
      </c>
      <c r="W5" s="14" t="s">
        <v>104</v>
      </c>
      <c r="X5" s="14" t="s">
        <v>100</v>
      </c>
      <c r="AA5" s="104" t="s">
        <v>105</v>
      </c>
      <c r="AB5" s="101" t="s">
        <v>276</v>
      </c>
      <c r="AC5" s="101" t="s">
        <v>193</v>
      </c>
    </row>
    <row r="6" spans="1:29" ht="15">
      <c r="A6" s="11" t="s">
        <v>112</v>
      </c>
      <c r="B6" s="105">
        <v>5973</v>
      </c>
      <c r="C6" s="105">
        <v>10615</v>
      </c>
      <c r="D6" s="105">
        <f aca="true" t="shared" si="0" ref="D6:D29">SUM(B6:C6)</f>
        <v>16588</v>
      </c>
      <c r="E6" s="105"/>
      <c r="F6" s="105">
        <v>20584</v>
      </c>
      <c r="G6" s="105">
        <v>58765</v>
      </c>
      <c r="H6" s="105">
        <v>32526</v>
      </c>
      <c r="I6" s="105">
        <f aca="true" t="shared" si="1" ref="I6:I29">SUM(F6:H6)</f>
        <v>111875</v>
      </c>
      <c r="J6" s="105"/>
      <c r="K6" s="105">
        <v>32816</v>
      </c>
      <c r="L6" s="105">
        <v>22942</v>
      </c>
      <c r="M6" s="105">
        <f aca="true" t="shared" si="2" ref="M6:M29">SUM(K6:L6)</f>
        <v>55758</v>
      </c>
      <c r="N6" s="105"/>
      <c r="O6" s="105">
        <v>47482</v>
      </c>
      <c r="P6" s="105">
        <v>14421</v>
      </c>
      <c r="Q6" s="105">
        <v>17866</v>
      </c>
      <c r="R6" s="105">
        <f aca="true" t="shared" si="3" ref="R6:R29">SUM(O6:Q6)</f>
        <v>79769</v>
      </c>
      <c r="T6" s="106">
        <f aca="true" t="shared" si="4" ref="T6:T29">+R6+M6+I6+D6</f>
        <v>263990</v>
      </c>
      <c r="V6" s="106">
        <f>+I6+D6</f>
        <v>128463</v>
      </c>
      <c r="W6" s="106">
        <f aca="true" t="shared" si="5" ref="W6:W28">+R6+M6</f>
        <v>135527</v>
      </c>
      <c r="X6" s="106">
        <f aca="true" t="shared" si="6" ref="X6:X28">+W6+V6</f>
        <v>263990</v>
      </c>
      <c r="Z6" s="106"/>
      <c r="AA6" s="107">
        <v>1744</v>
      </c>
      <c r="AB6" s="106">
        <f aca="true" t="shared" si="7" ref="AB6:AB17">+G6+H6</f>
        <v>91291</v>
      </c>
      <c r="AC6" s="396">
        <f>+AA6/AB6</f>
        <v>0.019103745166555303</v>
      </c>
    </row>
    <row r="7" spans="1:29" ht="15">
      <c r="A7" s="11" t="s">
        <v>73</v>
      </c>
      <c r="B7" s="105">
        <v>5989</v>
      </c>
      <c r="C7" s="105">
        <v>10666</v>
      </c>
      <c r="D7" s="105">
        <f t="shared" si="0"/>
        <v>16655</v>
      </c>
      <c r="E7" s="105"/>
      <c r="F7" s="105">
        <v>20583</v>
      </c>
      <c r="G7" s="105">
        <v>59081</v>
      </c>
      <c r="H7" s="105">
        <v>32667</v>
      </c>
      <c r="I7" s="105">
        <f t="shared" si="1"/>
        <v>112331</v>
      </c>
      <c r="J7" s="105"/>
      <c r="K7" s="105">
        <v>33351</v>
      </c>
      <c r="L7" s="105">
        <v>22989</v>
      </c>
      <c r="M7" s="105">
        <f t="shared" si="2"/>
        <v>56340</v>
      </c>
      <c r="N7" s="105"/>
      <c r="O7" s="105">
        <v>47526</v>
      </c>
      <c r="P7" s="105">
        <v>14451</v>
      </c>
      <c r="Q7" s="105">
        <v>17892</v>
      </c>
      <c r="R7" s="105">
        <f t="shared" si="3"/>
        <v>79869</v>
      </c>
      <c r="T7" s="106">
        <f t="shared" si="4"/>
        <v>265195</v>
      </c>
      <c r="V7" s="106">
        <f aca="true" t="shared" si="8" ref="V7:V28">+I7+D7</f>
        <v>128986</v>
      </c>
      <c r="W7" s="106">
        <f t="shared" si="5"/>
        <v>136209</v>
      </c>
      <c r="X7" s="106">
        <f t="shared" si="6"/>
        <v>265195</v>
      </c>
      <c r="AA7" s="107">
        <v>1746</v>
      </c>
      <c r="AB7" s="106">
        <f t="shared" si="7"/>
        <v>91748</v>
      </c>
      <c r="AC7" s="396">
        <f aca="true" t="shared" si="9" ref="AC7:AC17">+AA7/AB7</f>
        <v>0.019030387583380565</v>
      </c>
    </row>
    <row r="8" spans="1:29" ht="15">
      <c r="A8" s="11" t="s">
        <v>92</v>
      </c>
      <c r="B8" s="105">
        <v>5981</v>
      </c>
      <c r="C8" s="105">
        <v>10635</v>
      </c>
      <c r="D8" s="105">
        <f t="shared" si="0"/>
        <v>16616</v>
      </c>
      <c r="E8" s="105"/>
      <c r="F8" s="105">
        <v>20540</v>
      </c>
      <c r="G8" s="105">
        <v>58920</v>
      </c>
      <c r="H8" s="105">
        <v>32578</v>
      </c>
      <c r="I8" s="105">
        <f t="shared" si="1"/>
        <v>112038</v>
      </c>
      <c r="J8" s="105"/>
      <c r="K8" s="105">
        <v>33213</v>
      </c>
      <c r="L8" s="105">
        <v>22979</v>
      </c>
      <c r="M8" s="105">
        <f t="shared" si="2"/>
        <v>56192</v>
      </c>
      <c r="N8" s="105"/>
      <c r="O8" s="105">
        <v>47516</v>
      </c>
      <c r="P8" s="105">
        <v>14427</v>
      </c>
      <c r="Q8" s="105">
        <v>17877</v>
      </c>
      <c r="R8" s="105">
        <f t="shared" si="3"/>
        <v>79820</v>
      </c>
      <c r="T8" s="106">
        <f t="shared" si="4"/>
        <v>264666</v>
      </c>
      <c r="V8" s="106">
        <f t="shared" si="8"/>
        <v>128654</v>
      </c>
      <c r="W8" s="106">
        <f t="shared" si="5"/>
        <v>136012</v>
      </c>
      <c r="X8" s="106">
        <f t="shared" si="6"/>
        <v>264666</v>
      </c>
      <c r="AA8" s="107">
        <v>1726</v>
      </c>
      <c r="AB8" s="106">
        <f t="shared" si="7"/>
        <v>91498</v>
      </c>
      <c r="AC8" s="396">
        <f t="shared" si="9"/>
        <v>0.018863800301645937</v>
      </c>
    </row>
    <row r="9" spans="1:29" ht="15">
      <c r="A9" s="11" t="s">
        <v>113</v>
      </c>
      <c r="B9" s="105">
        <v>5980</v>
      </c>
      <c r="C9" s="105">
        <v>10669</v>
      </c>
      <c r="D9" s="105">
        <f t="shared" si="0"/>
        <v>16649</v>
      </c>
      <c r="E9" s="105"/>
      <c r="F9" s="105">
        <v>20570</v>
      </c>
      <c r="G9" s="105">
        <v>59254</v>
      </c>
      <c r="H9" s="105">
        <v>32651</v>
      </c>
      <c r="I9" s="105">
        <f t="shared" si="1"/>
        <v>112475</v>
      </c>
      <c r="J9" s="105"/>
      <c r="K9" s="105">
        <v>33279</v>
      </c>
      <c r="L9" s="105">
        <v>22998</v>
      </c>
      <c r="M9" s="105">
        <f t="shared" si="2"/>
        <v>56277</v>
      </c>
      <c r="N9" s="105"/>
      <c r="O9" s="105">
        <v>47595</v>
      </c>
      <c r="P9" s="105">
        <v>14451</v>
      </c>
      <c r="Q9" s="105">
        <v>17896</v>
      </c>
      <c r="R9" s="105">
        <f t="shared" si="3"/>
        <v>79942</v>
      </c>
      <c r="T9" s="106">
        <f t="shared" si="4"/>
        <v>265343</v>
      </c>
      <c r="V9" s="106">
        <f t="shared" si="8"/>
        <v>129124</v>
      </c>
      <c r="W9" s="106">
        <f t="shared" si="5"/>
        <v>136219</v>
      </c>
      <c r="X9" s="106">
        <f t="shared" si="6"/>
        <v>265343</v>
      </c>
      <c r="AA9" s="107">
        <v>1720</v>
      </c>
      <c r="AB9" s="106">
        <f t="shared" si="7"/>
        <v>91905</v>
      </c>
      <c r="AC9" s="396">
        <f t="shared" si="9"/>
        <v>0.018714977422338283</v>
      </c>
    </row>
    <row r="10" spans="1:29" ht="15">
      <c r="A10" s="11" t="s">
        <v>106</v>
      </c>
      <c r="B10" s="105">
        <v>5961</v>
      </c>
      <c r="C10" s="105">
        <v>10662</v>
      </c>
      <c r="D10" s="105">
        <f t="shared" si="0"/>
        <v>16623</v>
      </c>
      <c r="E10" s="105"/>
      <c r="F10" s="105">
        <v>20551</v>
      </c>
      <c r="G10" s="105">
        <v>59184</v>
      </c>
      <c r="H10" s="105">
        <v>32544</v>
      </c>
      <c r="I10" s="105">
        <f t="shared" si="1"/>
        <v>112279</v>
      </c>
      <c r="J10" s="105"/>
      <c r="K10" s="105">
        <v>33257</v>
      </c>
      <c r="L10" s="105">
        <v>22967</v>
      </c>
      <c r="M10" s="105">
        <f t="shared" si="2"/>
        <v>56224</v>
      </c>
      <c r="N10" s="105"/>
      <c r="O10" s="105">
        <v>47554</v>
      </c>
      <c r="P10" s="105">
        <v>14441</v>
      </c>
      <c r="Q10" s="105">
        <v>17888</v>
      </c>
      <c r="R10" s="105">
        <f t="shared" si="3"/>
        <v>79883</v>
      </c>
      <c r="T10" s="106">
        <f t="shared" si="4"/>
        <v>265009</v>
      </c>
      <c r="V10" s="106">
        <f t="shared" si="8"/>
        <v>128902</v>
      </c>
      <c r="W10" s="106">
        <f t="shared" si="5"/>
        <v>136107</v>
      </c>
      <c r="X10" s="106">
        <f t="shared" si="6"/>
        <v>265009</v>
      </c>
      <c r="AA10" s="107">
        <v>1717</v>
      </c>
      <c r="AB10" s="106">
        <f t="shared" si="7"/>
        <v>91728</v>
      </c>
      <c r="AC10" s="396">
        <f t="shared" si="9"/>
        <v>0.01871838478981336</v>
      </c>
    </row>
    <row r="11" spans="1:29" ht="15">
      <c r="A11" s="11" t="s">
        <v>107</v>
      </c>
      <c r="B11" s="105">
        <v>5993</v>
      </c>
      <c r="C11" s="105">
        <v>10678</v>
      </c>
      <c r="D11" s="105">
        <f t="shared" si="0"/>
        <v>16671</v>
      </c>
      <c r="E11" s="105"/>
      <c r="F11" s="105">
        <v>20411</v>
      </c>
      <c r="G11" s="105">
        <v>59510</v>
      </c>
      <c r="H11" s="105">
        <v>32708</v>
      </c>
      <c r="I11" s="105">
        <f t="shared" si="1"/>
        <v>112629</v>
      </c>
      <c r="J11" s="105"/>
      <c r="K11" s="105">
        <v>33372</v>
      </c>
      <c r="L11" s="105">
        <v>22996</v>
      </c>
      <c r="M11" s="105">
        <f t="shared" si="2"/>
        <v>56368</v>
      </c>
      <c r="N11" s="105"/>
      <c r="O11" s="105">
        <v>47861</v>
      </c>
      <c r="P11" s="105">
        <v>14464</v>
      </c>
      <c r="Q11" s="105">
        <v>17913</v>
      </c>
      <c r="R11" s="105">
        <f t="shared" si="3"/>
        <v>80238</v>
      </c>
      <c r="S11" s="108"/>
      <c r="T11" s="109">
        <f t="shared" si="4"/>
        <v>265906</v>
      </c>
      <c r="V11" s="106">
        <f t="shared" si="8"/>
        <v>129300</v>
      </c>
      <c r="W11" s="106">
        <f t="shared" si="5"/>
        <v>136606</v>
      </c>
      <c r="X11" s="106">
        <f t="shared" si="6"/>
        <v>265906</v>
      </c>
      <c r="AA11" s="107">
        <v>1732</v>
      </c>
      <c r="AB11" s="106">
        <f t="shared" si="7"/>
        <v>92218</v>
      </c>
      <c r="AC11" s="396">
        <f t="shared" si="9"/>
        <v>0.01878158277125941</v>
      </c>
    </row>
    <row r="12" spans="1:29" ht="15">
      <c r="A12" s="11" t="s">
        <v>108</v>
      </c>
      <c r="B12" s="105">
        <v>6023</v>
      </c>
      <c r="C12" s="105">
        <v>10742</v>
      </c>
      <c r="D12" s="105">
        <f t="shared" si="0"/>
        <v>16765</v>
      </c>
      <c r="E12" s="105"/>
      <c r="F12" s="105">
        <v>20545</v>
      </c>
      <c r="G12" s="105">
        <v>59812</v>
      </c>
      <c r="H12" s="105">
        <v>32988</v>
      </c>
      <c r="I12" s="105">
        <f t="shared" si="1"/>
        <v>113345</v>
      </c>
      <c r="J12" s="105"/>
      <c r="K12" s="105">
        <v>33480</v>
      </c>
      <c r="L12" s="105">
        <v>23046</v>
      </c>
      <c r="M12" s="105">
        <f t="shared" si="2"/>
        <v>56526</v>
      </c>
      <c r="N12" s="105"/>
      <c r="O12" s="105">
        <v>47946</v>
      </c>
      <c r="P12" s="105">
        <v>14515</v>
      </c>
      <c r="Q12" s="105">
        <v>17984</v>
      </c>
      <c r="R12" s="105">
        <f t="shared" si="3"/>
        <v>80445</v>
      </c>
      <c r="S12" s="108"/>
      <c r="T12" s="109">
        <f t="shared" si="4"/>
        <v>267081</v>
      </c>
      <c r="U12" s="108"/>
      <c r="V12" s="106">
        <f t="shared" si="8"/>
        <v>130110</v>
      </c>
      <c r="W12" s="106">
        <f t="shared" si="5"/>
        <v>136971</v>
      </c>
      <c r="X12" s="106">
        <f t="shared" si="6"/>
        <v>267081</v>
      </c>
      <c r="AA12" s="107">
        <v>1731</v>
      </c>
      <c r="AB12" s="106">
        <f t="shared" si="7"/>
        <v>92800</v>
      </c>
      <c r="AC12" s="396">
        <f t="shared" si="9"/>
        <v>0.01865301724137931</v>
      </c>
    </row>
    <row r="13" spans="1:29" ht="15">
      <c r="A13" s="11" t="s">
        <v>79</v>
      </c>
      <c r="B13" s="105">
        <v>6019</v>
      </c>
      <c r="C13" s="105">
        <v>10715</v>
      </c>
      <c r="D13" s="105">
        <f t="shared" si="0"/>
        <v>16734</v>
      </c>
      <c r="E13" s="105"/>
      <c r="F13" s="105">
        <v>20543</v>
      </c>
      <c r="G13" s="105">
        <v>59807</v>
      </c>
      <c r="H13" s="105">
        <v>33075</v>
      </c>
      <c r="I13" s="105">
        <f t="shared" si="1"/>
        <v>113425</v>
      </c>
      <c r="J13" s="105"/>
      <c r="K13" s="105">
        <v>33533</v>
      </c>
      <c r="L13" s="105">
        <v>23015</v>
      </c>
      <c r="M13" s="105">
        <f t="shared" si="2"/>
        <v>56548</v>
      </c>
      <c r="N13" s="105"/>
      <c r="O13" s="105">
        <v>47979</v>
      </c>
      <c r="P13" s="105">
        <v>14531</v>
      </c>
      <c r="Q13" s="105">
        <v>18010</v>
      </c>
      <c r="R13" s="105">
        <f t="shared" si="3"/>
        <v>80520</v>
      </c>
      <c r="S13" s="108"/>
      <c r="T13" s="109">
        <f t="shared" si="4"/>
        <v>267227</v>
      </c>
      <c r="U13" s="108"/>
      <c r="V13" s="106">
        <f t="shared" si="8"/>
        <v>130159</v>
      </c>
      <c r="W13" s="106">
        <f t="shared" si="5"/>
        <v>137068</v>
      </c>
      <c r="X13" s="106">
        <f t="shared" si="6"/>
        <v>267227</v>
      </c>
      <c r="AA13" s="107">
        <v>1733</v>
      </c>
      <c r="AB13" s="106">
        <f t="shared" si="7"/>
        <v>92882</v>
      </c>
      <c r="AC13" s="396">
        <f t="shared" si="9"/>
        <v>0.018658082297969468</v>
      </c>
    </row>
    <row r="14" spans="1:29" ht="15">
      <c r="A14" s="11" t="s">
        <v>87</v>
      </c>
      <c r="B14" s="105">
        <v>6042</v>
      </c>
      <c r="C14" s="105">
        <v>10753</v>
      </c>
      <c r="D14" s="105">
        <f t="shared" si="0"/>
        <v>16795</v>
      </c>
      <c r="E14" s="105"/>
      <c r="F14" s="105">
        <v>20586</v>
      </c>
      <c r="G14" s="105">
        <v>59936</v>
      </c>
      <c r="H14" s="105">
        <v>33305</v>
      </c>
      <c r="I14" s="105">
        <f t="shared" si="1"/>
        <v>113827</v>
      </c>
      <c r="J14" s="105"/>
      <c r="K14" s="105">
        <v>33560</v>
      </c>
      <c r="L14" s="105">
        <v>22971</v>
      </c>
      <c r="M14" s="105">
        <f t="shared" si="2"/>
        <v>56531</v>
      </c>
      <c r="N14" s="105"/>
      <c r="O14" s="105">
        <v>48000</v>
      </c>
      <c r="P14" s="105">
        <v>14528</v>
      </c>
      <c r="Q14" s="105">
        <v>18013</v>
      </c>
      <c r="R14" s="105">
        <f t="shared" si="3"/>
        <v>80541</v>
      </c>
      <c r="S14" s="108"/>
      <c r="T14" s="109">
        <f t="shared" si="4"/>
        <v>267694</v>
      </c>
      <c r="U14" s="108"/>
      <c r="V14" s="106">
        <f t="shared" si="8"/>
        <v>130622</v>
      </c>
      <c r="W14" s="106">
        <f t="shared" si="5"/>
        <v>137072</v>
      </c>
      <c r="X14" s="106">
        <f t="shared" si="6"/>
        <v>267694</v>
      </c>
      <c r="AA14" s="107">
        <v>1741</v>
      </c>
      <c r="AB14" s="106">
        <f t="shared" si="7"/>
        <v>93241</v>
      </c>
      <c r="AC14" s="396">
        <f t="shared" si="9"/>
        <v>0.018672043414377795</v>
      </c>
    </row>
    <row r="15" spans="1:29" ht="15">
      <c r="A15" s="11" t="s">
        <v>88</v>
      </c>
      <c r="B15" s="105">
        <v>6056</v>
      </c>
      <c r="C15" s="105">
        <v>10756</v>
      </c>
      <c r="D15" s="105">
        <f t="shared" si="0"/>
        <v>16812</v>
      </c>
      <c r="E15" s="105"/>
      <c r="F15" s="105">
        <v>20613</v>
      </c>
      <c r="G15" s="105">
        <v>60067</v>
      </c>
      <c r="H15" s="105">
        <v>33430</v>
      </c>
      <c r="I15" s="105">
        <f t="shared" si="1"/>
        <v>114110</v>
      </c>
      <c r="J15" s="105"/>
      <c r="K15" s="105">
        <v>33589</v>
      </c>
      <c r="L15" s="105">
        <v>23016</v>
      </c>
      <c r="M15" s="105">
        <f t="shared" si="2"/>
        <v>56605</v>
      </c>
      <c r="N15" s="105"/>
      <c r="O15" s="105">
        <v>48044</v>
      </c>
      <c r="P15" s="105">
        <v>14517</v>
      </c>
      <c r="Q15" s="105">
        <v>18049</v>
      </c>
      <c r="R15" s="105">
        <f t="shared" si="3"/>
        <v>80610</v>
      </c>
      <c r="S15" s="108"/>
      <c r="T15" s="109">
        <f t="shared" si="4"/>
        <v>268137</v>
      </c>
      <c r="U15" s="108"/>
      <c r="V15" s="106">
        <f t="shared" si="8"/>
        <v>130922</v>
      </c>
      <c r="W15" s="106">
        <f t="shared" si="5"/>
        <v>137215</v>
      </c>
      <c r="X15" s="106">
        <f t="shared" si="6"/>
        <v>268137</v>
      </c>
      <c r="AA15" s="107">
        <v>1738</v>
      </c>
      <c r="AB15" s="106">
        <f t="shared" si="7"/>
        <v>93497</v>
      </c>
      <c r="AC15" s="396">
        <f t="shared" si="9"/>
        <v>0.018588831727221193</v>
      </c>
    </row>
    <row r="16" spans="1:29" ht="15">
      <c r="A16" s="11" t="s">
        <v>89</v>
      </c>
      <c r="B16" s="105">
        <v>6092</v>
      </c>
      <c r="C16" s="105">
        <v>10782</v>
      </c>
      <c r="D16" s="105">
        <f t="shared" si="0"/>
        <v>16874</v>
      </c>
      <c r="E16" s="105"/>
      <c r="F16" s="105">
        <v>20668</v>
      </c>
      <c r="G16" s="105">
        <v>60329</v>
      </c>
      <c r="H16" s="105">
        <v>33570</v>
      </c>
      <c r="I16" s="105">
        <f t="shared" si="1"/>
        <v>114567</v>
      </c>
      <c r="J16" s="105"/>
      <c r="K16" s="105">
        <v>33662</v>
      </c>
      <c r="L16" s="105">
        <v>23058</v>
      </c>
      <c r="M16" s="105">
        <f t="shared" si="2"/>
        <v>56720</v>
      </c>
      <c r="N16" s="105"/>
      <c r="O16" s="105">
        <v>48144</v>
      </c>
      <c r="P16" s="105">
        <v>14512</v>
      </c>
      <c r="Q16" s="105">
        <v>18050</v>
      </c>
      <c r="R16" s="105">
        <f t="shared" si="3"/>
        <v>80706</v>
      </c>
      <c r="S16" s="108"/>
      <c r="T16" s="109">
        <f t="shared" si="4"/>
        <v>268867</v>
      </c>
      <c r="U16" s="108"/>
      <c r="V16" s="106">
        <f t="shared" si="8"/>
        <v>131441</v>
      </c>
      <c r="W16" s="106">
        <f t="shared" si="5"/>
        <v>137426</v>
      </c>
      <c r="X16" s="106">
        <f t="shared" si="6"/>
        <v>268867</v>
      </c>
      <c r="AA16" s="107">
        <v>1740</v>
      </c>
      <c r="AB16" s="106">
        <f t="shared" si="7"/>
        <v>93899</v>
      </c>
      <c r="AC16" s="396">
        <f t="shared" si="9"/>
        <v>0.01853054878113718</v>
      </c>
    </row>
    <row r="17" spans="1:29" ht="15">
      <c r="A17" s="11" t="s">
        <v>90</v>
      </c>
      <c r="B17" s="105">
        <v>6106</v>
      </c>
      <c r="C17" s="105">
        <v>10782</v>
      </c>
      <c r="D17" s="105">
        <f t="shared" si="0"/>
        <v>16888</v>
      </c>
      <c r="E17" s="105"/>
      <c r="F17" s="105">
        <v>20664</v>
      </c>
      <c r="G17" s="105">
        <v>60462</v>
      </c>
      <c r="H17" s="105">
        <v>33659</v>
      </c>
      <c r="I17" s="105">
        <f t="shared" si="1"/>
        <v>114785</v>
      </c>
      <c r="J17" s="105"/>
      <c r="K17" s="105">
        <v>33679</v>
      </c>
      <c r="L17" s="105">
        <v>23055</v>
      </c>
      <c r="M17" s="105">
        <f t="shared" si="2"/>
        <v>56734</v>
      </c>
      <c r="N17" s="105"/>
      <c r="O17" s="105">
        <v>48143</v>
      </c>
      <c r="P17" s="105">
        <v>14511</v>
      </c>
      <c r="Q17" s="105">
        <v>18069</v>
      </c>
      <c r="R17" s="105">
        <f t="shared" si="3"/>
        <v>80723</v>
      </c>
      <c r="S17" s="108"/>
      <c r="T17" s="109">
        <f t="shared" si="4"/>
        <v>269130</v>
      </c>
      <c r="U17" s="108"/>
      <c r="V17" s="106">
        <f t="shared" si="8"/>
        <v>131673</v>
      </c>
      <c r="W17" s="106">
        <f t="shared" si="5"/>
        <v>137457</v>
      </c>
      <c r="X17" s="106">
        <f t="shared" si="6"/>
        <v>269130</v>
      </c>
      <c r="AA17" s="107">
        <v>1730</v>
      </c>
      <c r="AB17" s="106">
        <f t="shared" si="7"/>
        <v>94121</v>
      </c>
      <c r="AC17" s="396">
        <f t="shared" si="9"/>
        <v>0.01838059519129631</v>
      </c>
    </row>
    <row r="18" spans="1:27" s="108" customFormat="1" ht="15">
      <c r="A18" s="11" t="s">
        <v>72</v>
      </c>
      <c r="B18" s="105">
        <v>6087</v>
      </c>
      <c r="C18" s="105">
        <v>10772</v>
      </c>
      <c r="D18" s="105">
        <f t="shared" si="0"/>
        <v>16859</v>
      </c>
      <c r="E18" s="105"/>
      <c r="F18" s="105">
        <v>20613</v>
      </c>
      <c r="G18" s="105">
        <v>60439</v>
      </c>
      <c r="H18" s="105">
        <v>33586</v>
      </c>
      <c r="I18" s="105">
        <f t="shared" si="1"/>
        <v>114638</v>
      </c>
      <c r="J18" s="105"/>
      <c r="K18" s="105">
        <v>33658</v>
      </c>
      <c r="L18" s="105">
        <v>23062</v>
      </c>
      <c r="M18" s="105">
        <f t="shared" si="2"/>
        <v>56720</v>
      </c>
      <c r="N18" s="105"/>
      <c r="O18" s="105">
        <v>48157</v>
      </c>
      <c r="P18" s="105">
        <v>14462</v>
      </c>
      <c r="Q18" s="105">
        <v>18057</v>
      </c>
      <c r="R18" s="105">
        <f t="shared" si="3"/>
        <v>80676</v>
      </c>
      <c r="T18" s="109">
        <f t="shared" si="4"/>
        <v>268893</v>
      </c>
      <c r="V18" s="109">
        <f t="shared" si="8"/>
        <v>131497</v>
      </c>
      <c r="W18" s="109">
        <f t="shared" si="5"/>
        <v>137396</v>
      </c>
      <c r="X18" s="109">
        <f t="shared" si="6"/>
        <v>268893</v>
      </c>
      <c r="AA18" s="107"/>
    </row>
    <row r="19" spans="1:27" s="108" customFormat="1" ht="15">
      <c r="A19" s="11" t="s">
        <v>73</v>
      </c>
      <c r="B19" s="105">
        <v>6119</v>
      </c>
      <c r="C19" s="105">
        <v>10780</v>
      </c>
      <c r="D19" s="105">
        <f t="shared" si="0"/>
        <v>16899</v>
      </c>
      <c r="E19" s="105"/>
      <c r="F19" s="105">
        <v>20656</v>
      </c>
      <c r="G19" s="105">
        <v>60595</v>
      </c>
      <c r="H19" s="105">
        <v>33653</v>
      </c>
      <c r="I19" s="105">
        <f t="shared" si="1"/>
        <v>114904</v>
      </c>
      <c r="J19" s="105"/>
      <c r="K19" s="105">
        <v>33741</v>
      </c>
      <c r="L19" s="105">
        <v>23062</v>
      </c>
      <c r="M19" s="105">
        <f t="shared" si="2"/>
        <v>56803</v>
      </c>
      <c r="N19" s="105"/>
      <c r="O19" s="105">
        <v>48233</v>
      </c>
      <c r="P19" s="105">
        <v>14467</v>
      </c>
      <c r="Q19" s="105">
        <v>18077</v>
      </c>
      <c r="R19" s="105">
        <f t="shared" si="3"/>
        <v>80777</v>
      </c>
      <c r="T19" s="109">
        <f t="shared" si="4"/>
        <v>269383</v>
      </c>
      <c r="V19" s="109">
        <f t="shared" si="8"/>
        <v>131803</v>
      </c>
      <c r="W19" s="109">
        <f t="shared" si="5"/>
        <v>137580</v>
      </c>
      <c r="X19" s="109">
        <f t="shared" si="6"/>
        <v>269383</v>
      </c>
      <c r="AA19" s="107"/>
    </row>
    <row r="20" spans="1:27" ht="17.25">
      <c r="A20" s="11" t="s">
        <v>92</v>
      </c>
      <c r="B20" s="105">
        <v>6124</v>
      </c>
      <c r="C20" s="105">
        <v>10801</v>
      </c>
      <c r="D20" s="105">
        <f t="shared" si="0"/>
        <v>16925</v>
      </c>
      <c r="E20" s="110"/>
      <c r="F20" s="105">
        <v>20638</v>
      </c>
      <c r="G20" s="105">
        <v>60767</v>
      </c>
      <c r="H20" s="105">
        <v>33681</v>
      </c>
      <c r="I20" s="105">
        <f t="shared" si="1"/>
        <v>115086</v>
      </c>
      <c r="J20" s="110"/>
      <c r="K20" s="105">
        <v>33762</v>
      </c>
      <c r="L20" s="105">
        <v>23077</v>
      </c>
      <c r="M20" s="105">
        <f t="shared" si="2"/>
        <v>56839</v>
      </c>
      <c r="N20" s="105"/>
      <c r="O20" s="105">
        <v>48260</v>
      </c>
      <c r="P20" s="105">
        <v>14468</v>
      </c>
      <c r="Q20" s="105">
        <v>18081</v>
      </c>
      <c r="R20" s="105">
        <f t="shared" si="3"/>
        <v>80809</v>
      </c>
      <c r="S20" s="111"/>
      <c r="T20" s="109">
        <f t="shared" si="4"/>
        <v>269659</v>
      </c>
      <c r="U20" s="108"/>
      <c r="V20" s="106">
        <f t="shared" si="8"/>
        <v>132011</v>
      </c>
      <c r="W20" s="106">
        <f t="shared" si="5"/>
        <v>137648</v>
      </c>
      <c r="X20" s="106">
        <f t="shared" si="6"/>
        <v>269659</v>
      </c>
      <c r="AA20" s="107"/>
    </row>
    <row r="21" spans="1:27" ht="17.25">
      <c r="A21" s="11" t="s">
        <v>133</v>
      </c>
      <c r="B21" s="105">
        <v>6122</v>
      </c>
      <c r="C21" s="105">
        <v>10787</v>
      </c>
      <c r="D21" s="105">
        <f t="shared" si="0"/>
        <v>16909</v>
      </c>
      <c r="E21" s="110"/>
      <c r="F21" s="105">
        <v>20616</v>
      </c>
      <c r="G21" s="105">
        <v>60757</v>
      </c>
      <c r="H21" s="105">
        <v>33668</v>
      </c>
      <c r="I21" s="105">
        <f t="shared" si="1"/>
        <v>115041</v>
      </c>
      <c r="J21" s="110"/>
      <c r="K21" s="105">
        <v>33754</v>
      </c>
      <c r="L21" s="105">
        <v>5987</v>
      </c>
      <c r="M21" s="105">
        <f t="shared" si="2"/>
        <v>39741</v>
      </c>
      <c r="N21" s="105"/>
      <c r="O21" s="105">
        <v>42439</v>
      </c>
      <c r="P21" s="105">
        <v>14485</v>
      </c>
      <c r="Q21" s="105">
        <v>18086</v>
      </c>
      <c r="R21" s="105">
        <f t="shared" si="3"/>
        <v>75010</v>
      </c>
      <c r="S21" s="111"/>
      <c r="T21" s="109">
        <f t="shared" si="4"/>
        <v>246701</v>
      </c>
      <c r="U21" s="108"/>
      <c r="V21" s="106">
        <f t="shared" si="8"/>
        <v>131950</v>
      </c>
      <c r="W21" s="106">
        <f t="shared" si="5"/>
        <v>114751</v>
      </c>
      <c r="X21" s="106">
        <f t="shared" si="6"/>
        <v>246701</v>
      </c>
      <c r="AA21" s="107"/>
    </row>
    <row r="22" spans="1:27" ht="17.25">
      <c r="A22" s="11" t="s">
        <v>106</v>
      </c>
      <c r="B22" s="105">
        <v>6131</v>
      </c>
      <c r="C22" s="105">
        <v>10814</v>
      </c>
      <c r="D22" s="105">
        <f t="shared" si="0"/>
        <v>16945</v>
      </c>
      <c r="E22" s="110"/>
      <c r="F22" s="105">
        <v>20614</v>
      </c>
      <c r="G22" s="105">
        <v>60866</v>
      </c>
      <c r="H22" s="105">
        <v>33753</v>
      </c>
      <c r="I22" s="105">
        <f t="shared" si="1"/>
        <v>115233</v>
      </c>
      <c r="J22" s="110"/>
      <c r="K22" s="105">
        <v>33795</v>
      </c>
      <c r="L22" s="105">
        <v>5983</v>
      </c>
      <c r="M22" s="105">
        <f t="shared" si="2"/>
        <v>39778</v>
      </c>
      <c r="N22" s="105"/>
      <c r="O22" s="105">
        <v>42491</v>
      </c>
      <c r="P22" s="105">
        <v>15287</v>
      </c>
      <c r="Q22" s="105">
        <v>18108</v>
      </c>
      <c r="R22" s="105">
        <f t="shared" si="3"/>
        <v>75886</v>
      </c>
      <c r="S22" s="111"/>
      <c r="T22" s="109">
        <f t="shared" si="4"/>
        <v>247842</v>
      </c>
      <c r="U22" s="108"/>
      <c r="V22" s="106">
        <f t="shared" si="8"/>
        <v>132178</v>
      </c>
      <c r="W22" s="106">
        <f t="shared" si="5"/>
        <v>115664</v>
      </c>
      <c r="X22" s="106">
        <f t="shared" si="6"/>
        <v>247842</v>
      </c>
      <c r="AA22" s="107"/>
    </row>
    <row r="23" spans="1:27" ht="15">
      <c r="A23" s="11" t="s">
        <v>107</v>
      </c>
      <c r="B23" s="105">
        <v>6163</v>
      </c>
      <c r="C23" s="105">
        <v>10833</v>
      </c>
      <c r="D23" s="105">
        <f t="shared" si="0"/>
        <v>16996</v>
      </c>
      <c r="E23" s="105"/>
      <c r="F23" s="105">
        <v>20647</v>
      </c>
      <c r="G23" s="105">
        <v>61043</v>
      </c>
      <c r="H23" s="105">
        <v>33879</v>
      </c>
      <c r="I23" s="105">
        <f t="shared" si="1"/>
        <v>115569</v>
      </c>
      <c r="J23" s="105"/>
      <c r="K23" s="105">
        <v>33899</v>
      </c>
      <c r="L23" s="105">
        <v>6017</v>
      </c>
      <c r="M23" s="105">
        <f t="shared" si="2"/>
        <v>39916</v>
      </c>
      <c r="N23" s="105"/>
      <c r="O23" s="105">
        <v>42583</v>
      </c>
      <c r="P23" s="105">
        <v>15313</v>
      </c>
      <c r="Q23" s="105">
        <v>18164</v>
      </c>
      <c r="R23" s="105">
        <f t="shared" si="3"/>
        <v>76060</v>
      </c>
      <c r="S23" s="108"/>
      <c r="T23" s="109">
        <f t="shared" si="4"/>
        <v>248541</v>
      </c>
      <c r="U23" s="108"/>
      <c r="V23" s="106">
        <f t="shared" si="8"/>
        <v>132565</v>
      </c>
      <c r="W23" s="106">
        <f t="shared" si="5"/>
        <v>115976</v>
      </c>
      <c r="X23" s="106">
        <f t="shared" si="6"/>
        <v>248541</v>
      </c>
      <c r="AA23" s="107"/>
    </row>
    <row r="24" spans="1:27" ht="15">
      <c r="A24" s="11" t="s">
        <v>108</v>
      </c>
      <c r="B24" s="105">
        <v>6186</v>
      </c>
      <c r="C24" s="105">
        <v>10850</v>
      </c>
      <c r="D24" s="105">
        <f t="shared" si="0"/>
        <v>17036</v>
      </c>
      <c r="E24" s="105"/>
      <c r="F24" s="105">
        <v>20717</v>
      </c>
      <c r="G24" s="105">
        <v>61170</v>
      </c>
      <c r="H24" s="105">
        <v>34092</v>
      </c>
      <c r="I24" s="105">
        <f t="shared" si="1"/>
        <v>115979</v>
      </c>
      <c r="J24" s="105"/>
      <c r="K24" s="105">
        <v>33963</v>
      </c>
      <c r="L24" s="105">
        <v>6029</v>
      </c>
      <c r="M24" s="105">
        <f t="shared" si="2"/>
        <v>39992</v>
      </c>
      <c r="N24" s="105"/>
      <c r="O24" s="105">
        <v>42623</v>
      </c>
      <c r="P24" s="105">
        <v>15354</v>
      </c>
      <c r="Q24" s="105">
        <v>18193</v>
      </c>
      <c r="R24" s="105">
        <f t="shared" si="3"/>
        <v>76170</v>
      </c>
      <c r="S24" s="108"/>
      <c r="T24" s="109">
        <f t="shared" si="4"/>
        <v>249177</v>
      </c>
      <c r="U24" s="108"/>
      <c r="V24" s="106">
        <f t="shared" si="8"/>
        <v>133015</v>
      </c>
      <c r="W24" s="106">
        <f t="shared" si="5"/>
        <v>116162</v>
      </c>
      <c r="X24" s="106">
        <f t="shared" si="6"/>
        <v>249177</v>
      </c>
      <c r="AA24" s="107"/>
    </row>
    <row r="25" spans="1:27" ht="15">
      <c r="A25" s="11" t="s">
        <v>79</v>
      </c>
      <c r="B25" s="105">
        <v>6241</v>
      </c>
      <c r="C25" s="105">
        <v>10872</v>
      </c>
      <c r="D25" s="105">
        <f t="shared" si="0"/>
        <v>17113</v>
      </c>
      <c r="E25" s="105"/>
      <c r="F25" s="105">
        <v>20782</v>
      </c>
      <c r="G25" s="105">
        <v>61320</v>
      </c>
      <c r="H25" s="105">
        <v>34278</v>
      </c>
      <c r="I25" s="105">
        <f t="shared" si="1"/>
        <v>116380</v>
      </c>
      <c r="J25" s="105"/>
      <c r="K25" s="105">
        <v>34050</v>
      </c>
      <c r="L25" s="105">
        <v>6029</v>
      </c>
      <c r="M25" s="105">
        <f t="shared" si="2"/>
        <v>40079</v>
      </c>
      <c r="N25" s="105"/>
      <c r="O25" s="105">
        <v>42677</v>
      </c>
      <c r="P25" s="105">
        <v>15388</v>
      </c>
      <c r="Q25" s="105">
        <v>18201</v>
      </c>
      <c r="R25" s="105">
        <f t="shared" si="3"/>
        <v>76266</v>
      </c>
      <c r="S25" s="108"/>
      <c r="T25" s="109">
        <f t="shared" si="4"/>
        <v>249838</v>
      </c>
      <c r="U25" s="108"/>
      <c r="V25" s="106">
        <f t="shared" si="8"/>
        <v>133493</v>
      </c>
      <c r="W25" s="106">
        <f t="shared" si="5"/>
        <v>116345</v>
      </c>
      <c r="X25" s="106">
        <f t="shared" si="6"/>
        <v>249838</v>
      </c>
      <c r="AA25" s="107"/>
    </row>
    <row r="26" spans="1:27" ht="15">
      <c r="A26" s="11" t="s">
        <v>87</v>
      </c>
      <c r="B26" s="105">
        <v>6269</v>
      </c>
      <c r="C26" s="105">
        <v>10908</v>
      </c>
      <c r="D26" s="105">
        <f t="shared" si="0"/>
        <v>17177</v>
      </c>
      <c r="E26" s="105"/>
      <c r="F26" s="105">
        <v>20806</v>
      </c>
      <c r="G26" s="105">
        <v>61492</v>
      </c>
      <c r="H26" s="105">
        <v>34417</v>
      </c>
      <c r="I26" s="105">
        <f t="shared" si="1"/>
        <v>116715</v>
      </c>
      <c r="J26" s="105"/>
      <c r="K26" s="105">
        <v>34126</v>
      </c>
      <c r="L26" s="105">
        <v>6051</v>
      </c>
      <c r="M26" s="105">
        <f t="shared" si="2"/>
        <v>40177</v>
      </c>
      <c r="N26" s="105"/>
      <c r="O26" s="105">
        <v>42703</v>
      </c>
      <c r="P26" s="105">
        <v>15390</v>
      </c>
      <c r="Q26" s="105">
        <v>18211</v>
      </c>
      <c r="R26" s="105">
        <f t="shared" si="3"/>
        <v>76304</v>
      </c>
      <c r="S26" s="108"/>
      <c r="T26" s="109">
        <f t="shared" si="4"/>
        <v>250373</v>
      </c>
      <c r="U26" s="108"/>
      <c r="V26" s="106">
        <f t="shared" si="8"/>
        <v>133892</v>
      </c>
      <c r="W26" s="106">
        <f t="shared" si="5"/>
        <v>116481</v>
      </c>
      <c r="X26" s="106">
        <f t="shared" si="6"/>
        <v>250373</v>
      </c>
      <c r="AA26" s="107"/>
    </row>
    <row r="27" spans="1:27" ht="15">
      <c r="A27" s="11" t="s">
        <v>88</v>
      </c>
      <c r="B27" s="105">
        <v>6308</v>
      </c>
      <c r="C27" s="105">
        <v>10900</v>
      </c>
      <c r="D27" s="105">
        <f t="shared" si="0"/>
        <v>17208</v>
      </c>
      <c r="E27" s="105"/>
      <c r="F27" s="105">
        <v>20837</v>
      </c>
      <c r="G27" s="105">
        <v>61639</v>
      </c>
      <c r="H27" s="105">
        <v>34502</v>
      </c>
      <c r="I27" s="105">
        <f t="shared" si="1"/>
        <v>116978</v>
      </c>
      <c r="J27" s="105"/>
      <c r="K27" s="105">
        <v>34138</v>
      </c>
      <c r="L27" s="105">
        <v>6050</v>
      </c>
      <c r="M27" s="105">
        <f t="shared" si="2"/>
        <v>40188</v>
      </c>
      <c r="N27" s="105"/>
      <c r="O27" s="105">
        <v>42714</v>
      </c>
      <c r="P27" s="105">
        <v>15386</v>
      </c>
      <c r="Q27" s="105">
        <v>18237</v>
      </c>
      <c r="R27" s="105">
        <f t="shared" si="3"/>
        <v>76337</v>
      </c>
      <c r="S27" s="108"/>
      <c r="T27" s="109">
        <f t="shared" si="4"/>
        <v>250711</v>
      </c>
      <c r="U27" s="108"/>
      <c r="V27" s="106">
        <f t="shared" si="8"/>
        <v>134186</v>
      </c>
      <c r="W27" s="106">
        <f t="shared" si="5"/>
        <v>116525</v>
      </c>
      <c r="X27" s="106">
        <f t="shared" si="6"/>
        <v>250711</v>
      </c>
      <c r="AA27" s="107"/>
    </row>
    <row r="28" spans="1:27" ht="15">
      <c r="A28" s="11" t="s">
        <v>89</v>
      </c>
      <c r="B28" s="105">
        <v>6341</v>
      </c>
      <c r="C28" s="105">
        <v>10915</v>
      </c>
      <c r="D28" s="105">
        <f t="shared" si="0"/>
        <v>17256</v>
      </c>
      <c r="E28" s="105"/>
      <c r="F28" s="105">
        <v>20850</v>
      </c>
      <c r="G28" s="105">
        <v>61873</v>
      </c>
      <c r="H28" s="105">
        <v>34679</v>
      </c>
      <c r="I28" s="105">
        <f t="shared" si="1"/>
        <v>117402</v>
      </c>
      <c r="J28" s="105"/>
      <c r="K28" s="105">
        <v>34210</v>
      </c>
      <c r="L28" s="105">
        <v>6060</v>
      </c>
      <c r="M28" s="105">
        <f t="shared" si="2"/>
        <v>40270</v>
      </c>
      <c r="N28" s="105"/>
      <c r="O28" s="105">
        <v>42785</v>
      </c>
      <c r="P28" s="105">
        <v>15381</v>
      </c>
      <c r="Q28" s="105">
        <v>18232</v>
      </c>
      <c r="R28" s="105">
        <f t="shared" si="3"/>
        <v>76398</v>
      </c>
      <c r="S28" s="108"/>
      <c r="T28" s="109">
        <f t="shared" si="4"/>
        <v>251326</v>
      </c>
      <c r="U28" s="108"/>
      <c r="V28" s="106">
        <f t="shared" si="8"/>
        <v>134658</v>
      </c>
      <c r="W28" s="106">
        <f t="shared" si="5"/>
        <v>116668</v>
      </c>
      <c r="X28" s="106">
        <f t="shared" si="6"/>
        <v>251326</v>
      </c>
      <c r="AA28" s="107"/>
    </row>
    <row r="29" spans="1:27" s="95" customFormat="1" ht="17.25">
      <c r="A29" s="11" t="s">
        <v>90</v>
      </c>
      <c r="B29" s="110">
        <v>6354</v>
      </c>
      <c r="C29" s="110">
        <v>10995</v>
      </c>
      <c r="D29" s="110">
        <f t="shared" si="0"/>
        <v>17349</v>
      </c>
      <c r="E29" s="112"/>
      <c r="F29" s="110">
        <v>20790</v>
      </c>
      <c r="G29" s="110">
        <v>62733</v>
      </c>
      <c r="H29" s="110">
        <v>34581</v>
      </c>
      <c r="I29" s="110">
        <f t="shared" si="1"/>
        <v>118104</v>
      </c>
      <c r="J29" s="112"/>
      <c r="K29" s="110">
        <v>33988</v>
      </c>
      <c r="L29" s="110">
        <v>6063</v>
      </c>
      <c r="M29" s="110">
        <f t="shared" si="2"/>
        <v>40051</v>
      </c>
      <c r="N29" s="112"/>
      <c r="O29" s="110">
        <v>42802</v>
      </c>
      <c r="P29" s="110">
        <v>16074</v>
      </c>
      <c r="Q29" s="110">
        <v>18354</v>
      </c>
      <c r="R29" s="110">
        <f t="shared" si="3"/>
        <v>77230</v>
      </c>
      <c r="S29" s="113"/>
      <c r="T29" s="114">
        <f t="shared" si="4"/>
        <v>252734</v>
      </c>
      <c r="V29" s="114">
        <f>+I29+D29</f>
        <v>135453</v>
      </c>
      <c r="W29" s="114">
        <f>+R29+M29</f>
        <v>117281</v>
      </c>
      <c r="X29" s="114">
        <f>+W29+V29</f>
        <v>252734</v>
      </c>
      <c r="AA29" s="115"/>
    </row>
    <row r="30" spans="1:24" ht="17.25">
      <c r="A30" s="116"/>
      <c r="B30" s="117">
        <f>SUM(B6:B29)</f>
        <v>146660</v>
      </c>
      <c r="C30" s="117">
        <f aca="true" t="shared" si="10" ref="C30:T30">SUM(C6:C29)</f>
        <v>258682</v>
      </c>
      <c r="D30" s="117">
        <f t="shared" si="10"/>
        <v>405342</v>
      </c>
      <c r="E30" s="117"/>
      <c r="F30" s="117">
        <f t="shared" si="10"/>
        <v>495424</v>
      </c>
      <c r="G30" s="117">
        <f t="shared" si="10"/>
        <v>1449821</v>
      </c>
      <c r="H30" s="117">
        <f t="shared" si="10"/>
        <v>804470</v>
      </c>
      <c r="I30" s="117">
        <f t="shared" si="10"/>
        <v>2749715</v>
      </c>
      <c r="J30" s="117"/>
      <c r="K30" s="117">
        <f t="shared" si="10"/>
        <v>807875</v>
      </c>
      <c r="L30" s="117">
        <f t="shared" si="10"/>
        <v>399502</v>
      </c>
      <c r="M30" s="117">
        <f t="shared" si="10"/>
        <v>1207377</v>
      </c>
      <c r="N30" s="117"/>
      <c r="O30" s="117">
        <f t="shared" si="10"/>
        <v>1102257</v>
      </c>
      <c r="P30" s="117">
        <f t="shared" si="10"/>
        <v>355224</v>
      </c>
      <c r="Q30" s="117">
        <f t="shared" si="10"/>
        <v>433508</v>
      </c>
      <c r="R30" s="117">
        <f t="shared" si="10"/>
        <v>1890989</v>
      </c>
      <c r="S30" s="117"/>
      <c r="T30" s="117">
        <f t="shared" si="10"/>
        <v>6253423</v>
      </c>
      <c r="V30" s="37">
        <f>SUM(V6:V29)</f>
        <v>3155057</v>
      </c>
      <c r="W30" s="37">
        <f>SUM(W6:W29)</f>
        <v>3098366</v>
      </c>
      <c r="X30" s="37">
        <f>SUM(X6:X29)</f>
        <v>6253423</v>
      </c>
    </row>
    <row r="32" spans="1:24" ht="17.25">
      <c r="A32" s="1" t="s">
        <v>69</v>
      </c>
      <c r="B32" s="37">
        <f>AVERAGE(B6:B29)</f>
        <v>6110.833333333333</v>
      </c>
      <c r="C32" s="37">
        <f aca="true" t="shared" si="11" ref="C32:Q32">AVERAGE(C6:C29)</f>
        <v>10778.416666666666</v>
      </c>
      <c r="D32" s="37">
        <f>+C32+B32</f>
        <v>16889.25</v>
      </c>
      <c r="E32" s="37"/>
      <c r="F32" s="37">
        <f t="shared" si="11"/>
        <v>20642.666666666668</v>
      </c>
      <c r="G32" s="37">
        <f t="shared" si="11"/>
        <v>60409.208333333336</v>
      </c>
      <c r="H32" s="37">
        <f t="shared" si="11"/>
        <v>33519.583333333336</v>
      </c>
      <c r="I32" s="37">
        <f>+H32+G32+F32</f>
        <v>114571.45833333334</v>
      </c>
      <c r="J32" s="37"/>
      <c r="K32" s="37">
        <f t="shared" si="11"/>
        <v>33661.458333333336</v>
      </c>
      <c r="L32" s="37">
        <f t="shared" si="11"/>
        <v>16645.916666666668</v>
      </c>
      <c r="M32" s="37">
        <f>+L32+K32</f>
        <v>50307.375</v>
      </c>
      <c r="N32" s="37"/>
      <c r="O32" s="37">
        <f t="shared" si="11"/>
        <v>45927.375</v>
      </c>
      <c r="P32" s="37">
        <f t="shared" si="11"/>
        <v>14801</v>
      </c>
      <c r="Q32" s="37">
        <f t="shared" si="11"/>
        <v>18062.833333333332</v>
      </c>
      <c r="R32" s="37">
        <f>+Q32+P32+O32</f>
        <v>78791.20833333333</v>
      </c>
      <c r="S32" s="37"/>
      <c r="T32" s="158">
        <f>+R32+M32+I32+D32</f>
        <v>260559.2916666667</v>
      </c>
      <c r="V32" s="158">
        <f>+I32+D32</f>
        <v>131460.70833333334</v>
      </c>
      <c r="W32" s="158">
        <f>+R32+M32</f>
        <v>129098.58333333333</v>
      </c>
      <c r="X32" s="158">
        <f>+W32+V32</f>
        <v>260559.2916666667</v>
      </c>
    </row>
    <row r="33" spans="2:6" ht="12.75">
      <c r="B33" s="118">
        <f>+B32/$I$36</f>
        <v>0.1628169802146173</v>
      </c>
      <c r="C33" s="118">
        <f>+C32/$I$36</f>
        <v>0.2871800223365446</v>
      </c>
      <c r="D33" s="118">
        <f>+D32/$I$36</f>
        <v>0.44999700255116193</v>
      </c>
      <c r="E33" s="118"/>
      <c r="F33" s="118">
        <f>+F32/$I$36</f>
        <v>0.550002997448838</v>
      </c>
    </row>
    <row r="34" spans="2:6" ht="15">
      <c r="B34" s="118"/>
      <c r="F34" s="26">
        <f>+F33+D33</f>
        <v>0.9999999999999999</v>
      </c>
    </row>
    <row r="35" ht="15">
      <c r="A35" s="97" t="s">
        <v>109</v>
      </c>
    </row>
    <row r="36" spans="1:9" ht="15">
      <c r="A36" s="96" t="s">
        <v>110</v>
      </c>
      <c r="I36" s="119">
        <f>+F32+D32</f>
        <v>37531.91666666667</v>
      </c>
    </row>
    <row r="37" spans="1:9" ht="17.25">
      <c r="A37" s="96" t="s">
        <v>111</v>
      </c>
      <c r="I37" s="120">
        <f>+G32+H32</f>
        <v>93928.79166666667</v>
      </c>
    </row>
    <row r="38" spans="1:9" ht="17.25">
      <c r="A38" s="96"/>
      <c r="I38" s="37">
        <f>SUM(I36:I37)</f>
        <v>131460.70833333334</v>
      </c>
    </row>
    <row r="39" ht="15">
      <c r="A39" s="97" t="s">
        <v>134</v>
      </c>
    </row>
    <row r="40" spans="1:9" ht="15">
      <c r="A40" s="96" t="s">
        <v>110</v>
      </c>
      <c r="I40" s="121">
        <f>+'KC 2016-2017 Budget'!D8</f>
        <v>37164</v>
      </c>
    </row>
    <row r="41" spans="1:9" ht="17.25">
      <c r="A41" s="96" t="s">
        <v>111</v>
      </c>
      <c r="I41" s="122">
        <f>+'SC 2016-2017 Budget'!D7</f>
        <v>91210</v>
      </c>
    </row>
    <row r="42" ht="17.25">
      <c r="I42" s="37">
        <f>SUM(I40:I41)</f>
        <v>128374</v>
      </c>
    </row>
  </sheetData>
  <sheetProtection/>
  <mergeCells count="6">
    <mergeCell ref="B3:I3"/>
    <mergeCell ref="K3:R3"/>
    <mergeCell ref="B4:D4"/>
    <mergeCell ref="F4:I4"/>
    <mergeCell ref="K4:M4"/>
    <mergeCell ref="O4:R4"/>
  </mergeCells>
  <printOptions/>
  <pageMargins left="0.45" right="0.45" top="0.5" bottom="0.5" header="0.3" footer="0.3"/>
  <pageSetup fitToHeight="1" fitToWidth="1" horizontalDpi="600" verticalDpi="600" orientation="landscape" scale="6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Y146"/>
  <sheetViews>
    <sheetView zoomScalePageLayoutView="0" workbookViewId="0" topLeftCell="A1">
      <pane xSplit="2" ySplit="7" topLeftCell="C98" activePane="bottomRight" state="frozen"/>
      <selection pane="topLeft" activeCell="A1" sqref="A1"/>
      <selection pane="topRight" activeCell="C1" sqref="C1"/>
      <selection pane="bottomLeft" activeCell="A7" sqref="A7"/>
      <selection pane="bottomRight" activeCell="Q119" sqref="Q119"/>
    </sheetView>
  </sheetViews>
  <sheetFormatPr defaultColWidth="9.140625" defaultRowHeight="12.75"/>
  <cols>
    <col min="2" max="2" width="19.57421875" style="0" customWidth="1"/>
    <col min="3" max="3" width="12.7109375" style="0" bestFit="1" customWidth="1"/>
    <col min="4" max="4" width="12.140625" style="0" bestFit="1" customWidth="1"/>
    <col min="5" max="5" width="12.7109375" style="0" bestFit="1" customWidth="1"/>
    <col min="6" max="6" width="2.57421875" style="0" customWidth="1"/>
    <col min="7" max="8" width="12.7109375" style="0" bestFit="1" customWidth="1"/>
    <col min="9" max="9" width="2.8515625" style="0" customWidth="1"/>
    <col min="10" max="10" width="14.00390625" style="0" bestFit="1" customWidth="1"/>
    <col min="11" max="11" width="2.57421875" style="0" customWidth="1"/>
    <col min="12" max="12" width="12.140625" style="0" bestFit="1" customWidth="1"/>
    <col min="13" max="13" width="2.57421875" style="0" customWidth="1"/>
    <col min="14" max="15" width="12.7109375" style="0" bestFit="1" customWidth="1"/>
    <col min="16" max="16" width="11.57421875" style="0" bestFit="1" customWidth="1"/>
    <col min="17" max="17" width="2.57421875" style="0" customWidth="1"/>
    <col min="18" max="20" width="12.8515625" style="0" bestFit="1" customWidth="1"/>
    <col min="21" max="21" width="9.00390625" style="0" customWidth="1"/>
    <col min="22" max="24" width="9.28125" style="0" bestFit="1" customWidth="1"/>
  </cols>
  <sheetData>
    <row r="1" spans="1:10" ht="20.25">
      <c r="A1" s="124" t="s">
        <v>114</v>
      </c>
      <c r="B1" s="96"/>
      <c r="C1" s="96"/>
      <c r="D1" s="96"/>
      <c r="E1" s="96"/>
      <c r="F1" s="96"/>
      <c r="G1" s="96"/>
      <c r="H1" s="96"/>
      <c r="I1" s="96"/>
      <c r="J1" s="96"/>
    </row>
    <row r="2" spans="1:10" ht="15.75">
      <c r="A2" s="408" t="s">
        <v>288</v>
      </c>
      <c r="B2" s="96"/>
      <c r="C2" s="96"/>
      <c r="D2" s="96"/>
      <c r="E2" s="96"/>
      <c r="F2" s="96"/>
      <c r="G2" s="96"/>
      <c r="H2" s="96"/>
      <c r="I2" s="96"/>
      <c r="J2" s="96"/>
    </row>
    <row r="3" spans="1:10" ht="15.75">
      <c r="A3" s="408"/>
      <c r="B3" s="96"/>
      <c r="C3" s="96"/>
      <c r="D3" s="96"/>
      <c r="E3" s="96"/>
      <c r="F3" s="96"/>
      <c r="G3" s="96"/>
      <c r="H3" s="96"/>
      <c r="I3" s="96"/>
      <c r="J3" s="96"/>
    </row>
    <row r="4" spans="1:19" ht="15">
      <c r="A4" s="97" t="s">
        <v>115</v>
      </c>
      <c r="B4" s="96"/>
      <c r="C4" s="96"/>
      <c r="D4" s="96"/>
      <c r="E4" s="96"/>
      <c r="F4" s="96"/>
      <c r="G4" s="96"/>
      <c r="H4" s="96"/>
      <c r="I4" s="96"/>
      <c r="J4" s="96"/>
      <c r="R4" s="13" t="s">
        <v>116</v>
      </c>
      <c r="S4" s="13" t="s">
        <v>54</v>
      </c>
    </row>
    <row r="5" spans="1:19" ht="15">
      <c r="A5" s="96"/>
      <c r="B5" s="96"/>
      <c r="C5" s="615" t="s">
        <v>117</v>
      </c>
      <c r="D5" s="615"/>
      <c r="E5" s="615"/>
      <c r="F5" s="96"/>
      <c r="G5" s="615" t="s">
        <v>118</v>
      </c>
      <c r="H5" s="615"/>
      <c r="I5" s="615"/>
      <c r="J5" s="615"/>
      <c r="L5" s="13" t="s">
        <v>69</v>
      </c>
      <c r="N5" s="13" t="s">
        <v>116</v>
      </c>
      <c r="O5" s="13" t="s">
        <v>54</v>
      </c>
      <c r="R5" s="13" t="s">
        <v>16</v>
      </c>
      <c r="S5" s="13" t="s">
        <v>16</v>
      </c>
    </row>
    <row r="6" spans="1:20" ht="15">
      <c r="A6" s="96"/>
      <c r="B6" s="96"/>
      <c r="C6" s="13" t="s">
        <v>116</v>
      </c>
      <c r="D6" s="13" t="s">
        <v>54</v>
      </c>
      <c r="E6" s="96"/>
      <c r="F6" s="96"/>
      <c r="G6" s="13" t="s">
        <v>116</v>
      </c>
      <c r="H6" s="13" t="s">
        <v>54</v>
      </c>
      <c r="I6" s="13"/>
      <c r="J6" s="96"/>
      <c r="L6" s="13" t="s">
        <v>119</v>
      </c>
      <c r="N6" s="13" t="s">
        <v>16</v>
      </c>
      <c r="O6" s="13" t="s">
        <v>16</v>
      </c>
      <c r="P6" s="13" t="s">
        <v>100</v>
      </c>
      <c r="R6" s="13" t="s">
        <v>69</v>
      </c>
      <c r="S6" s="13" t="s">
        <v>69</v>
      </c>
      <c r="T6" s="13" t="s">
        <v>69</v>
      </c>
    </row>
    <row r="7" spans="1:20" ht="15">
      <c r="A7" s="97"/>
      <c r="B7" s="97"/>
      <c r="C7" s="14" t="s">
        <v>16</v>
      </c>
      <c r="D7" s="14" t="s">
        <v>16</v>
      </c>
      <c r="E7" s="14" t="s">
        <v>100</v>
      </c>
      <c r="F7" s="97"/>
      <c r="G7" s="14" t="s">
        <v>16</v>
      </c>
      <c r="H7" s="14" t="s">
        <v>16</v>
      </c>
      <c r="I7" s="14"/>
      <c r="J7" s="14" t="s">
        <v>100</v>
      </c>
      <c r="L7" s="14" t="s">
        <v>120</v>
      </c>
      <c r="M7" s="14"/>
      <c r="N7" s="14" t="s">
        <v>121</v>
      </c>
      <c r="O7" s="14" t="s">
        <v>121</v>
      </c>
      <c r="P7" s="14" t="s">
        <v>121</v>
      </c>
      <c r="R7" s="97" t="s">
        <v>122</v>
      </c>
      <c r="S7" s="97" t="s">
        <v>122</v>
      </c>
      <c r="T7" s="97" t="s">
        <v>122</v>
      </c>
    </row>
    <row r="8" spans="1:25" ht="15">
      <c r="A8" s="11" t="s">
        <v>131</v>
      </c>
      <c r="C8" s="20">
        <v>4722.11</v>
      </c>
      <c r="D8" s="20">
        <v>3787.6</v>
      </c>
      <c r="E8" s="20">
        <f>+D8+C8</f>
        <v>8509.71</v>
      </c>
      <c r="G8" s="43">
        <f>+'CRC Prices &amp; Revenue'!M35</f>
        <v>306851.60764999286</v>
      </c>
      <c r="H8" s="43">
        <f>+'CRC Prices &amp; Revenue'!M138</f>
        <v>246125.38656132808</v>
      </c>
      <c r="I8" s="43"/>
      <c r="J8" s="43">
        <f>+H8+G8</f>
        <v>552976.994211321</v>
      </c>
      <c r="L8" s="125">
        <f aca="true" t="shared" si="0" ref="L8:L31">+J8/E8</f>
        <v>64.98188471890595</v>
      </c>
      <c r="N8" s="99">
        <f>+'Customer Counts'!D6+'Customer Counts'!F6+'Customer Counts'!M6+'Customer Counts'!O6</f>
        <v>140412</v>
      </c>
      <c r="O8" s="106">
        <f>+'Customer Counts'!G6+'Customer Counts'!H6+'Customer Counts'!P6+'Customer Counts'!Q6</f>
        <v>123578</v>
      </c>
      <c r="P8" s="99">
        <f>+O8+N8</f>
        <v>263990</v>
      </c>
      <c r="R8" s="20">
        <f aca="true" t="shared" si="1" ref="R8:T19">+C8*2000/N8</f>
        <v>67.26077543229924</v>
      </c>
      <c r="S8" s="20">
        <f t="shared" si="1"/>
        <v>61.298936703944065</v>
      </c>
      <c r="T8" s="20">
        <f t="shared" si="1"/>
        <v>64.46994204325921</v>
      </c>
      <c r="V8" s="20"/>
      <c r="W8" s="20"/>
      <c r="X8" s="20"/>
      <c r="Y8" s="20"/>
    </row>
    <row r="9" spans="1:25" ht="15">
      <c r="A9" t="s">
        <v>73</v>
      </c>
      <c r="C9" s="20">
        <v>4950.79</v>
      </c>
      <c r="D9" s="20">
        <v>3886.81</v>
      </c>
      <c r="E9" s="20">
        <f aca="true" t="shared" si="2" ref="E9:E31">+D9+C9</f>
        <v>8837.6</v>
      </c>
      <c r="G9" s="43">
        <f>+'CRC Prices &amp; Revenue'!M39</f>
        <v>259862.60283444446</v>
      </c>
      <c r="H9" s="43">
        <f>+'CRC Prices &amp; Revenue'!M142</f>
        <v>204015.2305637983</v>
      </c>
      <c r="I9" s="43"/>
      <c r="J9" s="43">
        <f aca="true" t="shared" si="3" ref="J9:J31">+H9+G9</f>
        <v>463877.8333982428</v>
      </c>
      <c r="L9" s="125">
        <f t="shared" si="0"/>
        <v>52.48911847087928</v>
      </c>
      <c r="N9" s="99">
        <f>+'Customer Counts'!D7+'Customer Counts'!F7+'Customer Counts'!M7+'Customer Counts'!O7</f>
        <v>141104</v>
      </c>
      <c r="O9" s="106">
        <f>+'Customer Counts'!G7+'Customer Counts'!H7+'Customer Counts'!P7+'Customer Counts'!Q7</f>
        <v>124091</v>
      </c>
      <c r="P9" s="99">
        <f aca="true" t="shared" si="4" ref="P9:P19">+O9+N9</f>
        <v>265195</v>
      </c>
      <c r="R9" s="20">
        <f t="shared" si="1"/>
        <v>70.17221340288015</v>
      </c>
      <c r="S9" s="20">
        <f t="shared" si="1"/>
        <v>62.64451088314221</v>
      </c>
      <c r="T9" s="20">
        <f t="shared" si="1"/>
        <v>66.64982371462509</v>
      </c>
      <c r="V9" s="20"/>
      <c r="W9" s="20"/>
      <c r="X9" s="20"/>
      <c r="Y9" s="20"/>
    </row>
    <row r="10" spans="1:25" ht="15">
      <c r="A10" t="s">
        <v>92</v>
      </c>
      <c r="C10" s="20">
        <v>5779.5</v>
      </c>
      <c r="D10" s="20">
        <v>4675.73</v>
      </c>
      <c r="E10" s="20">
        <f t="shared" si="2"/>
        <v>10455.23</v>
      </c>
      <c r="G10" s="43">
        <f>+'CRC Prices &amp; Revenue'!M43</f>
        <v>301029.2253932355</v>
      </c>
      <c r="H10" s="43">
        <f>+'CRC Prices &amp; Revenue'!M146</f>
        <v>243538.60715423708</v>
      </c>
      <c r="I10" s="43"/>
      <c r="J10" s="43">
        <f t="shared" si="3"/>
        <v>544567.8325474726</v>
      </c>
      <c r="L10" s="125">
        <f t="shared" si="0"/>
        <v>52.08568654610875</v>
      </c>
      <c r="N10" s="99">
        <f>+'Customer Counts'!D8+'Customer Counts'!F8+'Customer Counts'!M8+'Customer Counts'!O8</f>
        <v>140864</v>
      </c>
      <c r="O10" s="106">
        <f>+'Customer Counts'!G8+'Customer Counts'!H8+'Customer Counts'!P8+'Customer Counts'!Q8</f>
        <v>123802</v>
      </c>
      <c r="P10" s="99">
        <f t="shared" si="4"/>
        <v>264666</v>
      </c>
      <c r="R10" s="20">
        <f t="shared" si="1"/>
        <v>82.05787142208088</v>
      </c>
      <c r="S10" s="20">
        <f t="shared" si="1"/>
        <v>75.53561331804009</v>
      </c>
      <c r="T10" s="20">
        <f t="shared" si="1"/>
        <v>79.00697482865196</v>
      </c>
      <c r="V10" s="20"/>
      <c r="W10" s="20"/>
      <c r="X10" s="20"/>
      <c r="Y10" s="20"/>
    </row>
    <row r="11" spans="1:25" ht="15">
      <c r="A11" s="11" t="s">
        <v>132</v>
      </c>
      <c r="C11" s="20">
        <v>5045.59</v>
      </c>
      <c r="D11" s="20">
        <v>4213.72</v>
      </c>
      <c r="E11" s="20">
        <f t="shared" si="2"/>
        <v>9259.310000000001</v>
      </c>
      <c r="G11" s="43">
        <f>+'CRC Prices &amp; Revenue'!M47</f>
        <v>231274.23837822516</v>
      </c>
      <c r="H11" s="43">
        <f>+'CRC Prices &amp; Revenue'!M150</f>
        <v>193143.89075194276</v>
      </c>
      <c r="I11" s="43"/>
      <c r="J11" s="43">
        <f t="shared" si="3"/>
        <v>424418.1291301679</v>
      </c>
      <c r="L11" s="125">
        <f t="shared" si="0"/>
        <v>45.83690675980908</v>
      </c>
      <c r="N11" s="99">
        <f>+'Customer Counts'!D9+'Customer Counts'!F9+'Customer Counts'!M9+'Customer Counts'!O9</f>
        <v>141091</v>
      </c>
      <c r="O11" s="106">
        <f>+'Customer Counts'!G9+'Customer Counts'!H9+'Customer Counts'!P9+'Customer Counts'!Q9</f>
        <v>124252</v>
      </c>
      <c r="P11" s="99">
        <f t="shared" si="4"/>
        <v>265343</v>
      </c>
      <c r="R11" s="20">
        <f t="shared" si="1"/>
        <v>71.52249257571354</v>
      </c>
      <c r="S11" s="20">
        <f t="shared" si="1"/>
        <v>67.82538711650517</v>
      </c>
      <c r="T11" s="20">
        <f t="shared" si="1"/>
        <v>69.79125132375832</v>
      </c>
      <c r="V11" s="20"/>
      <c r="W11" s="20"/>
      <c r="X11" s="20"/>
      <c r="Y11" s="20"/>
    </row>
    <row r="12" spans="1:25" ht="15">
      <c r="A12" t="s">
        <v>106</v>
      </c>
      <c r="C12" s="20">
        <v>4604.44</v>
      </c>
      <c r="D12" s="20">
        <v>3695.43</v>
      </c>
      <c r="E12" s="20">
        <f t="shared" si="2"/>
        <v>8299.869999999999</v>
      </c>
      <c r="G12" s="43">
        <f>+'CRC Prices &amp; Revenue'!M51</f>
        <v>227465.00135685652</v>
      </c>
      <c r="H12" s="43">
        <f>+'CRC Prices &amp; Revenue'!M154</f>
        <v>182558.78890031547</v>
      </c>
      <c r="I12" s="43"/>
      <c r="J12" s="43">
        <f t="shared" si="3"/>
        <v>410023.79025717196</v>
      </c>
      <c r="L12" s="125">
        <f t="shared" si="0"/>
        <v>49.401230411701874</v>
      </c>
      <c r="N12" s="99">
        <f>+'Customer Counts'!D10+'Customer Counts'!F10+'Customer Counts'!M10+'Customer Counts'!O10</f>
        <v>140952</v>
      </c>
      <c r="O12" s="106">
        <f>+'Customer Counts'!G10+'Customer Counts'!H10+'Customer Counts'!P10+'Customer Counts'!Q10</f>
        <v>124057</v>
      </c>
      <c r="P12" s="99">
        <f t="shared" si="4"/>
        <v>265009</v>
      </c>
      <c r="R12" s="20">
        <f t="shared" si="1"/>
        <v>65.33344684715364</v>
      </c>
      <c r="S12" s="20">
        <f t="shared" si="1"/>
        <v>59.57632378664646</v>
      </c>
      <c r="T12" s="20">
        <f aca="true" t="shared" si="5" ref="T12:T32">+E12*2000/P12</f>
        <v>62.63840095996739</v>
      </c>
      <c r="V12" s="20"/>
      <c r="W12" s="20"/>
      <c r="X12" s="20"/>
      <c r="Y12" s="20"/>
    </row>
    <row r="13" spans="1:25" ht="15">
      <c r="A13" t="s">
        <v>107</v>
      </c>
      <c r="C13" s="20">
        <v>5055.41</v>
      </c>
      <c r="D13" s="20">
        <v>4070.52</v>
      </c>
      <c r="E13" s="20">
        <f t="shared" si="2"/>
        <v>9125.93</v>
      </c>
      <c r="G13" s="43">
        <f>+'CRC Prices &amp; Revenue'!M55</f>
        <v>291953.62265647267</v>
      </c>
      <c r="H13" s="43">
        <f>+'CRC Prices &amp; Revenue'!M158</f>
        <v>235075.50526972592</v>
      </c>
      <c r="I13" s="43"/>
      <c r="J13" s="43">
        <f t="shared" si="3"/>
        <v>527029.1279261985</v>
      </c>
      <c r="L13" s="125">
        <f t="shared" si="0"/>
        <v>57.750730931115896</v>
      </c>
      <c r="N13" s="99">
        <f>+'Customer Counts'!D11+'Customer Counts'!F11+'Customer Counts'!M11+'Customer Counts'!O11</f>
        <v>141311</v>
      </c>
      <c r="O13" s="106">
        <f>+'Customer Counts'!G11+'Customer Counts'!H11+'Customer Counts'!P11+'Customer Counts'!Q11</f>
        <v>124595</v>
      </c>
      <c r="P13" s="99">
        <f t="shared" si="4"/>
        <v>265906</v>
      </c>
      <c r="R13" s="20">
        <f t="shared" si="1"/>
        <v>71.55012702478929</v>
      </c>
      <c r="S13" s="20">
        <f t="shared" si="1"/>
        <v>65.34002167021148</v>
      </c>
      <c r="T13" s="20">
        <f t="shared" si="5"/>
        <v>68.64027137409461</v>
      </c>
      <c r="V13" s="20"/>
      <c r="W13" s="20"/>
      <c r="X13" s="20"/>
      <c r="Y13" s="20"/>
    </row>
    <row r="14" spans="1:25" ht="15">
      <c r="A14" t="s">
        <v>108</v>
      </c>
      <c r="C14" s="20">
        <v>4554.05</v>
      </c>
      <c r="D14" s="20">
        <v>3749.35</v>
      </c>
      <c r="E14" s="20">
        <f t="shared" si="2"/>
        <v>8303.4</v>
      </c>
      <c r="G14" s="43">
        <f>+'CRC Prices &amp; Revenue'!M59</f>
        <v>272711.50539571536</v>
      </c>
      <c r="H14" s="43">
        <f>+'CRC Prices &amp; Revenue'!M162</f>
        <v>224523.42041818288</v>
      </c>
      <c r="I14" s="43"/>
      <c r="J14" s="43">
        <f t="shared" si="3"/>
        <v>497234.9258138982</v>
      </c>
      <c r="L14" s="125">
        <f t="shared" si="0"/>
        <v>59.883291882108324</v>
      </c>
      <c r="N14" s="99">
        <f>+'Customer Counts'!D12+'Customer Counts'!F12+'Customer Counts'!M12+'Customer Counts'!O12</f>
        <v>141782</v>
      </c>
      <c r="O14" s="106">
        <f>+'Customer Counts'!G12+'Customer Counts'!H12+'Customer Counts'!P12+'Customer Counts'!Q12</f>
        <v>125299</v>
      </c>
      <c r="P14" s="99">
        <f t="shared" si="4"/>
        <v>267081</v>
      </c>
      <c r="R14" s="20">
        <f t="shared" si="1"/>
        <v>64.24017153094186</v>
      </c>
      <c r="S14" s="20">
        <f t="shared" si="1"/>
        <v>59.84644729806303</v>
      </c>
      <c r="T14" s="20">
        <f t="shared" si="5"/>
        <v>62.17888955036113</v>
      </c>
      <c r="V14" s="20"/>
      <c r="W14" s="20"/>
      <c r="X14" s="20"/>
      <c r="Y14" s="20"/>
    </row>
    <row r="15" spans="1:25" ht="15">
      <c r="A15" t="s">
        <v>79</v>
      </c>
      <c r="C15" s="20">
        <v>4868.63</v>
      </c>
      <c r="D15" s="20">
        <v>3932.17</v>
      </c>
      <c r="E15" s="20">
        <f t="shared" si="2"/>
        <v>8800.8</v>
      </c>
      <c r="F15" s="108"/>
      <c r="G15" s="43">
        <f>+'CRC Prices &amp; Revenue'!M63</f>
        <v>271760.55296087766</v>
      </c>
      <c r="H15" s="43">
        <f>+'CRC Prices &amp; Revenue'!M166</f>
        <v>219488.58170289677</v>
      </c>
      <c r="I15" s="43"/>
      <c r="J15" s="43">
        <f t="shared" si="3"/>
        <v>491249.1346637744</v>
      </c>
      <c r="L15" s="125">
        <f t="shared" si="0"/>
        <v>55.818690876258344</v>
      </c>
      <c r="N15" s="99">
        <f>+'Customer Counts'!D13+'Customer Counts'!F13+'Customer Counts'!M13+'Customer Counts'!O13</f>
        <v>141804</v>
      </c>
      <c r="O15" s="106">
        <f>+'Customer Counts'!G13+'Customer Counts'!H13+'Customer Counts'!P13+'Customer Counts'!Q13</f>
        <v>125423</v>
      </c>
      <c r="P15" s="99">
        <f t="shared" si="4"/>
        <v>267227</v>
      </c>
      <c r="R15" s="20">
        <f t="shared" si="1"/>
        <v>68.66703337000367</v>
      </c>
      <c r="S15" s="20">
        <f t="shared" si="1"/>
        <v>62.702534622836325</v>
      </c>
      <c r="T15" s="20">
        <f t="shared" si="5"/>
        <v>65.8675957145049</v>
      </c>
      <c r="V15" s="20"/>
      <c r="W15" s="20"/>
      <c r="X15" s="126"/>
      <c r="Y15" s="126"/>
    </row>
    <row r="16" spans="1:25" ht="15">
      <c r="A16" t="s">
        <v>87</v>
      </c>
      <c r="C16" s="20">
        <v>4979.78</v>
      </c>
      <c r="D16" s="20">
        <v>4034.75</v>
      </c>
      <c r="E16" s="20">
        <f t="shared" si="2"/>
        <v>9014.529999999999</v>
      </c>
      <c r="F16" s="108"/>
      <c r="G16" s="43">
        <f>+'CRC Prices &amp; Revenue'!M67</f>
        <v>331548.13371791755</v>
      </c>
      <c r="H16" s="43">
        <f>+'CRC Prices &amp; Revenue'!M170</f>
        <v>268629.102594566</v>
      </c>
      <c r="I16" s="43"/>
      <c r="J16" s="43">
        <f t="shared" si="3"/>
        <v>600177.2363124836</v>
      </c>
      <c r="L16" s="125">
        <f t="shared" si="0"/>
        <v>66.57887170074132</v>
      </c>
      <c r="N16" s="99">
        <f>+'Customer Counts'!D14+'Customer Counts'!F14+'Customer Counts'!M14+'Customer Counts'!O14</f>
        <v>141912</v>
      </c>
      <c r="O16" s="106">
        <f>+'Customer Counts'!G14+'Customer Counts'!H14+'Customer Counts'!P14+'Customer Counts'!Q14</f>
        <v>125782</v>
      </c>
      <c r="P16" s="99">
        <f t="shared" si="4"/>
        <v>267694</v>
      </c>
      <c r="R16" s="20">
        <f t="shared" si="1"/>
        <v>70.18123907773831</v>
      </c>
      <c r="S16" s="20">
        <f t="shared" si="1"/>
        <v>64.15464851886597</v>
      </c>
      <c r="T16" s="20">
        <f t="shared" si="5"/>
        <v>67.34951100883843</v>
      </c>
      <c r="V16" s="20"/>
      <c r="W16" s="20"/>
      <c r="X16" s="126"/>
      <c r="Y16" s="126"/>
    </row>
    <row r="17" spans="1:25" ht="15">
      <c r="A17" t="s">
        <v>88</v>
      </c>
      <c r="C17" s="20">
        <v>4768.12</v>
      </c>
      <c r="D17" s="20">
        <v>3869.72</v>
      </c>
      <c r="E17" s="20">
        <f t="shared" si="2"/>
        <v>8637.84</v>
      </c>
      <c r="G17" s="43">
        <f>+'CRC Prices &amp; Revenue'!M71</f>
        <v>319928.9371377369</v>
      </c>
      <c r="H17" s="43">
        <f>+'CRC Prices &amp; Revenue'!M174</f>
        <v>259648.54211316895</v>
      </c>
      <c r="I17" s="43"/>
      <c r="J17" s="43">
        <f t="shared" si="3"/>
        <v>579577.4792509058</v>
      </c>
      <c r="L17" s="125">
        <f t="shared" si="0"/>
        <v>67.09750114043624</v>
      </c>
      <c r="N17" s="99">
        <f>+'Customer Counts'!D15+'Customer Counts'!F15+'Customer Counts'!M15+'Customer Counts'!O15</f>
        <v>142074</v>
      </c>
      <c r="O17" s="106">
        <f>+'Customer Counts'!G15+'Customer Counts'!H15+'Customer Counts'!P15+'Customer Counts'!Q15</f>
        <v>126063</v>
      </c>
      <c r="P17" s="99">
        <f t="shared" si="4"/>
        <v>268137</v>
      </c>
      <c r="R17" s="20">
        <f t="shared" si="1"/>
        <v>67.12164083505779</v>
      </c>
      <c r="S17" s="20">
        <f t="shared" si="1"/>
        <v>61.39343026899249</v>
      </c>
      <c r="T17" s="20">
        <f t="shared" si="5"/>
        <v>64.42855704360085</v>
      </c>
      <c r="V17" s="20"/>
      <c r="W17" s="20"/>
      <c r="X17" s="126"/>
      <c r="Y17" s="126"/>
    </row>
    <row r="18" spans="1:25" ht="15">
      <c r="A18" t="s">
        <v>89</v>
      </c>
      <c r="C18" s="20">
        <v>5110.85</v>
      </c>
      <c r="D18" s="20">
        <v>4175.03</v>
      </c>
      <c r="E18" s="20">
        <f t="shared" si="2"/>
        <v>9285.880000000001</v>
      </c>
      <c r="G18" s="43">
        <f>+'CRC Prices &amp; Revenue'!M75</f>
        <v>416156.0400064972</v>
      </c>
      <c r="H18" s="43">
        <f>+'CRC Prices &amp; Revenue'!M178</f>
        <v>339955.9665629642</v>
      </c>
      <c r="I18" s="43"/>
      <c r="J18" s="43">
        <f t="shared" si="3"/>
        <v>756112.0065694614</v>
      </c>
      <c r="L18" s="125">
        <f t="shared" si="0"/>
        <v>81.42599372051559</v>
      </c>
      <c r="N18" s="99">
        <f>+'Customer Counts'!D16+'Customer Counts'!F16+'Customer Counts'!M16+'Customer Counts'!O16</f>
        <v>142406</v>
      </c>
      <c r="O18" s="106">
        <f>+'Customer Counts'!G16+'Customer Counts'!H16+'Customer Counts'!P16+'Customer Counts'!Q16</f>
        <v>126461</v>
      </c>
      <c r="P18" s="99">
        <f t="shared" si="4"/>
        <v>268867</v>
      </c>
      <c r="R18" s="20">
        <f t="shared" si="1"/>
        <v>71.77857674536185</v>
      </c>
      <c r="S18" s="20">
        <f t="shared" si="1"/>
        <v>66.02873613208814</v>
      </c>
      <c r="T18" s="20">
        <f t="shared" si="5"/>
        <v>69.0741519041013</v>
      </c>
      <c r="V18" s="20"/>
      <c r="W18" s="20"/>
      <c r="X18" s="126"/>
      <c r="Y18" s="126"/>
    </row>
    <row r="19" spans="1:25" ht="15">
      <c r="A19" t="s">
        <v>90</v>
      </c>
      <c r="C19" s="20">
        <v>4990.04</v>
      </c>
      <c r="D19" s="20">
        <v>3984.69</v>
      </c>
      <c r="E19" s="126">
        <f t="shared" si="2"/>
        <v>8974.73</v>
      </c>
      <c r="F19" s="108"/>
      <c r="G19" s="43">
        <f>+'CRC Prices &amp; Revenue'!M79</f>
        <v>371300.49038051406</v>
      </c>
      <c r="H19" s="43">
        <f>+'CRC Prices &amp; Revenue'!M182</f>
        <v>296494.0864230208</v>
      </c>
      <c r="I19" s="43"/>
      <c r="J19" s="43">
        <f t="shared" si="3"/>
        <v>667794.5768035349</v>
      </c>
      <c r="K19" s="108"/>
      <c r="L19" s="125">
        <f t="shared" si="0"/>
        <v>74.40831944844412</v>
      </c>
      <c r="M19" s="108"/>
      <c r="N19" s="99">
        <f>+'Customer Counts'!D17+'Customer Counts'!F17+'Customer Counts'!M17+'Customer Counts'!O17</f>
        <v>142429</v>
      </c>
      <c r="O19" s="106">
        <f>+'Customer Counts'!G17+'Customer Counts'!H17+'Customer Counts'!P17+'Customer Counts'!Q17</f>
        <v>126701</v>
      </c>
      <c r="P19" s="99">
        <f t="shared" si="4"/>
        <v>269130</v>
      </c>
      <c r="Q19" s="108"/>
      <c r="R19" s="20">
        <f t="shared" si="1"/>
        <v>70.07056147273379</v>
      </c>
      <c r="S19" s="20">
        <f t="shared" si="1"/>
        <v>62.89910892573855</v>
      </c>
      <c r="T19" s="126">
        <f t="shared" si="5"/>
        <v>66.69438561290083</v>
      </c>
      <c r="V19" s="20"/>
      <c r="W19" s="20"/>
      <c r="X19" s="126"/>
      <c r="Y19" s="126"/>
    </row>
    <row r="20" spans="1:23" ht="17.25">
      <c r="A20" t="s">
        <v>72</v>
      </c>
      <c r="C20" s="20">
        <v>4860.15</v>
      </c>
      <c r="D20" s="20">
        <v>3786.36</v>
      </c>
      <c r="E20" s="126">
        <f t="shared" si="2"/>
        <v>8646.51</v>
      </c>
      <c r="F20" s="111"/>
      <c r="G20" s="43">
        <f>+'CRC Prices &amp; Revenue'!M83</f>
        <v>355969.9928135429</v>
      </c>
      <c r="H20" s="43">
        <f>+'CRC Prices &amp; Revenue'!M186</f>
        <v>277322.8278940951</v>
      </c>
      <c r="I20" s="45"/>
      <c r="J20" s="43">
        <f t="shared" si="3"/>
        <v>633292.820707638</v>
      </c>
      <c r="L20" s="125">
        <f t="shared" si="0"/>
        <v>73.24259391449706</v>
      </c>
      <c r="N20" s="99">
        <f>+'Customer Counts'!D18+'Customer Counts'!F18+'Customer Counts'!M18+'Customer Counts'!O18</f>
        <v>142349</v>
      </c>
      <c r="O20" s="106">
        <f>+'Customer Counts'!G18+'Customer Counts'!H18+'Customer Counts'!P18+'Customer Counts'!Q18</f>
        <v>126544</v>
      </c>
      <c r="P20" s="99">
        <f aca="true" t="shared" si="6" ref="P20:P31">+O20+N20</f>
        <v>268893</v>
      </c>
      <c r="R20" s="20">
        <f aca="true" t="shared" si="7" ref="R20:R31">+C20*2000/N20</f>
        <v>68.28498970839276</v>
      </c>
      <c r="S20" s="20">
        <f aca="true" t="shared" si="8" ref="S20:S31">+D20*2000/O20</f>
        <v>59.84258439752181</v>
      </c>
      <c r="T20" s="126">
        <f t="shared" si="5"/>
        <v>64.31190101638941</v>
      </c>
      <c r="V20" s="20"/>
      <c r="W20" s="20"/>
    </row>
    <row r="21" spans="1:23" ht="17.25">
      <c r="A21" t="s">
        <v>73</v>
      </c>
      <c r="C21" s="20">
        <v>5396.37</v>
      </c>
      <c r="D21" s="20">
        <v>4198.11</v>
      </c>
      <c r="E21" s="126">
        <f t="shared" si="2"/>
        <v>9594.48</v>
      </c>
      <c r="F21" s="111"/>
      <c r="G21" s="43">
        <f>+'CRC Prices &amp; Revenue'!M87</f>
        <v>436008.03038161935</v>
      </c>
      <c r="H21" s="43">
        <f>+'CRC Prices &amp; Revenue'!M190</f>
        <v>339192.7670684887</v>
      </c>
      <c r="I21" s="45"/>
      <c r="J21" s="43">
        <f t="shared" si="3"/>
        <v>775200.797450108</v>
      </c>
      <c r="L21" s="125">
        <f t="shared" si="0"/>
        <v>80.79654107883992</v>
      </c>
      <c r="N21" s="99">
        <f>+'Customer Counts'!D19+'Customer Counts'!F19+'Customer Counts'!M19+'Customer Counts'!O19</f>
        <v>142591</v>
      </c>
      <c r="O21" s="106">
        <f>+'Customer Counts'!G19+'Customer Counts'!H19+'Customer Counts'!P19+'Customer Counts'!Q19</f>
        <v>126792</v>
      </c>
      <c r="P21" s="99">
        <f t="shared" si="6"/>
        <v>269383</v>
      </c>
      <c r="R21" s="20">
        <f t="shared" si="7"/>
        <v>75.69019082550793</v>
      </c>
      <c r="S21" s="20">
        <f t="shared" si="8"/>
        <v>66.22042400151429</v>
      </c>
      <c r="T21" s="126">
        <f t="shared" si="5"/>
        <v>71.23300282497411</v>
      </c>
      <c r="V21" s="20"/>
      <c r="W21" s="20"/>
    </row>
    <row r="22" spans="1:23" ht="15">
      <c r="A22" t="s">
        <v>92</v>
      </c>
      <c r="C22" s="20">
        <v>5092.39</v>
      </c>
      <c r="D22" s="20">
        <v>4332.24</v>
      </c>
      <c r="E22" s="126">
        <f t="shared" si="2"/>
        <v>9424.630000000001</v>
      </c>
      <c r="F22" s="108"/>
      <c r="G22" s="43">
        <f>+'CRC Prices &amp; Revenue'!M91</f>
        <v>432175.8533055478</v>
      </c>
      <c r="H22" s="43">
        <f>+'CRC Prices &amp; Revenue'!M194</f>
        <v>367664.2045727891</v>
      </c>
      <c r="I22" s="43"/>
      <c r="J22" s="43">
        <f t="shared" si="3"/>
        <v>799840.0578783369</v>
      </c>
      <c r="K22" s="108"/>
      <c r="L22" s="125">
        <f t="shared" si="0"/>
        <v>84.8669982671295</v>
      </c>
      <c r="M22" s="108"/>
      <c r="N22" s="99">
        <f>+'Customer Counts'!D20+'Customer Counts'!F20+'Customer Counts'!M20+'Customer Counts'!O20</f>
        <v>142662</v>
      </c>
      <c r="O22" s="106">
        <f>+'Customer Counts'!G20+'Customer Counts'!H20+'Customer Counts'!P20+'Customer Counts'!Q20</f>
        <v>126997</v>
      </c>
      <c r="P22" s="99">
        <f t="shared" si="6"/>
        <v>269659</v>
      </c>
      <c r="Q22" s="108"/>
      <c r="R22" s="20">
        <f t="shared" si="7"/>
        <v>71.39098007878762</v>
      </c>
      <c r="S22" s="20">
        <f t="shared" si="8"/>
        <v>68.22586360307724</v>
      </c>
      <c r="T22" s="126">
        <f t="shared" si="5"/>
        <v>69.9003556343382</v>
      </c>
      <c r="V22" s="20"/>
      <c r="W22" s="20"/>
    </row>
    <row r="23" spans="1:23" ht="17.25">
      <c r="A23" t="s">
        <v>75</v>
      </c>
      <c r="C23" s="20">
        <v>4651.23</v>
      </c>
      <c r="D23" s="20">
        <v>4302.22</v>
      </c>
      <c r="E23" s="126">
        <f t="shared" si="2"/>
        <v>8953.45</v>
      </c>
      <c r="F23" s="111"/>
      <c r="G23" s="43">
        <f>+'CRC Prices &amp; Revenue'!M95</f>
        <v>452587.7298447735</v>
      </c>
      <c r="H23" s="43">
        <f>+'CRC Prices &amp; Revenue'!M198</f>
        <v>418627.3272000701</v>
      </c>
      <c r="I23" s="45"/>
      <c r="J23" s="43">
        <f t="shared" si="3"/>
        <v>871215.0570448436</v>
      </c>
      <c r="L23" s="125">
        <f t="shared" si="0"/>
        <v>97.30495586001413</v>
      </c>
      <c r="N23" s="99">
        <f>+'Customer Counts'!D21+'Customer Counts'!F21+'Customer Counts'!M21+'Customer Counts'!O21</f>
        <v>119705</v>
      </c>
      <c r="O23" s="106">
        <f>+'Customer Counts'!G21+'Customer Counts'!H21+'Customer Counts'!P21+'Customer Counts'!Q21</f>
        <v>126996</v>
      </c>
      <c r="P23" s="99">
        <f t="shared" si="6"/>
        <v>246701</v>
      </c>
      <c r="R23" s="20">
        <f t="shared" si="7"/>
        <v>77.71154087130863</v>
      </c>
      <c r="S23" s="20">
        <f t="shared" si="8"/>
        <v>67.75363003559167</v>
      </c>
      <c r="T23" s="126">
        <f t="shared" si="5"/>
        <v>72.5854374323574</v>
      </c>
      <c r="V23" s="20"/>
      <c r="W23" s="20"/>
    </row>
    <row r="24" spans="1:23" ht="17.25">
      <c r="A24" t="s">
        <v>106</v>
      </c>
      <c r="C24" s="20">
        <v>3673.69</v>
      </c>
      <c r="D24" s="20">
        <v>3570.04</v>
      </c>
      <c r="E24" s="126">
        <f t="shared" si="2"/>
        <v>7243.73</v>
      </c>
      <c r="F24" s="111"/>
      <c r="G24" s="43">
        <f>+'CRC Prices &amp; Revenue'!M99</f>
        <v>357190.99334185314</v>
      </c>
      <c r="H24" s="43">
        <f>+'CRC Prices &amp; Revenue'!M202</f>
        <v>347113.1570356099</v>
      </c>
      <c r="I24" s="45"/>
      <c r="J24" s="43">
        <f t="shared" si="3"/>
        <v>704304.1503774631</v>
      </c>
      <c r="L24" s="125">
        <f t="shared" si="0"/>
        <v>97.22948679443645</v>
      </c>
      <c r="N24" s="99">
        <f>+'Customer Counts'!D22+'Customer Counts'!F22+'Customer Counts'!M22+'Customer Counts'!O22</f>
        <v>119828</v>
      </c>
      <c r="O24" s="106">
        <f>+'Customer Counts'!G22+'Customer Counts'!H22+'Customer Counts'!P22+'Customer Counts'!Q22</f>
        <v>128014</v>
      </c>
      <c r="P24" s="99">
        <f t="shared" si="6"/>
        <v>247842</v>
      </c>
      <c r="R24" s="20">
        <f t="shared" si="7"/>
        <v>61.31605300931335</v>
      </c>
      <c r="S24" s="20">
        <f t="shared" si="8"/>
        <v>55.775774524661365</v>
      </c>
      <c r="T24" s="126">
        <f t="shared" si="5"/>
        <v>58.45441854084457</v>
      </c>
      <c r="V24" s="20"/>
      <c r="W24" s="20"/>
    </row>
    <row r="25" spans="1:23" ht="15">
      <c r="A25" t="s">
        <v>107</v>
      </c>
      <c r="C25" s="20">
        <v>4437.3</v>
      </c>
      <c r="D25" s="20">
        <v>4117.14</v>
      </c>
      <c r="E25" s="126">
        <f t="shared" si="2"/>
        <v>8554.44</v>
      </c>
      <c r="F25" s="108"/>
      <c r="G25" s="43">
        <f>+'CRC Prices &amp; Revenue'!M103</f>
        <v>490347.65055171726</v>
      </c>
      <c r="H25" s="43">
        <f>+'CRC Prices &amp; Revenue'!M206</f>
        <v>454968.09456031764</v>
      </c>
      <c r="I25" s="43"/>
      <c r="J25" s="43">
        <f t="shared" si="3"/>
        <v>945315.745112035</v>
      </c>
      <c r="K25" s="108"/>
      <c r="L25" s="125">
        <f t="shared" si="0"/>
        <v>110.50585954335233</v>
      </c>
      <c r="M25" s="108"/>
      <c r="N25" s="99">
        <f>+'Customer Counts'!D23+'Customer Counts'!F23+'Customer Counts'!M23+'Customer Counts'!O23</f>
        <v>120142</v>
      </c>
      <c r="O25" s="106">
        <f>+'Customer Counts'!G23+'Customer Counts'!H23+'Customer Counts'!P23+'Customer Counts'!Q23</f>
        <v>128399</v>
      </c>
      <c r="P25" s="99">
        <f t="shared" si="6"/>
        <v>248541</v>
      </c>
      <c r="Q25" s="108"/>
      <c r="R25" s="20">
        <f t="shared" si="7"/>
        <v>73.86759001847814</v>
      </c>
      <c r="S25" s="20">
        <f t="shared" si="8"/>
        <v>64.13040600004673</v>
      </c>
      <c r="T25" s="126">
        <f t="shared" si="5"/>
        <v>68.83725421560226</v>
      </c>
      <c r="V25" s="20"/>
      <c r="W25" s="20"/>
    </row>
    <row r="26" spans="1:23" ht="15">
      <c r="A26" t="s">
        <v>108</v>
      </c>
      <c r="C26" s="20">
        <v>3801.72</v>
      </c>
      <c r="D26" s="20">
        <v>3617.81</v>
      </c>
      <c r="E26" s="126">
        <f t="shared" si="2"/>
        <v>7419.53</v>
      </c>
      <c r="F26" s="108"/>
      <c r="G26" s="43">
        <f>+'CRC Prices &amp; Revenue'!M107</f>
        <v>266129.415385565</v>
      </c>
      <c r="H26" s="43">
        <f>+'CRC Prices &amp; Revenue'!M210</f>
        <v>253255.2792620316</v>
      </c>
      <c r="I26" s="43"/>
      <c r="J26" s="43">
        <f t="shared" si="3"/>
        <v>519384.6946475966</v>
      </c>
      <c r="K26" s="108"/>
      <c r="L26" s="125">
        <f t="shared" si="0"/>
        <v>70.00237139651658</v>
      </c>
      <c r="M26" s="108"/>
      <c r="N26" s="99">
        <f>+'Customer Counts'!D24+'Customer Counts'!F24+'Customer Counts'!M24+'Customer Counts'!O24</f>
        <v>120368</v>
      </c>
      <c r="O26" s="106">
        <f>+'Customer Counts'!G24+'Customer Counts'!H24+'Customer Counts'!P24+'Customer Counts'!Q24</f>
        <v>128809</v>
      </c>
      <c r="P26" s="99">
        <f t="shared" si="6"/>
        <v>249177</v>
      </c>
      <c r="Q26" s="108"/>
      <c r="R26" s="20">
        <f t="shared" si="7"/>
        <v>63.16828392928353</v>
      </c>
      <c r="S26" s="20">
        <f t="shared" si="8"/>
        <v>56.17324876367334</v>
      </c>
      <c r="T26" s="126">
        <f t="shared" si="5"/>
        <v>59.55228612592655</v>
      </c>
      <c r="V26" s="20"/>
      <c r="W26" s="20"/>
    </row>
    <row r="27" spans="1:23" ht="15">
      <c r="A27" t="s">
        <v>79</v>
      </c>
      <c r="C27" s="20">
        <v>4498.71</v>
      </c>
      <c r="D27" s="20">
        <v>4206.88</v>
      </c>
      <c r="E27" s="126">
        <f t="shared" si="2"/>
        <v>8705.59</v>
      </c>
      <c r="F27" s="108"/>
      <c r="G27" s="43">
        <f>+'CRC Prices &amp; Revenue'!M111</f>
        <v>328454.6708058911</v>
      </c>
      <c r="H27" s="43">
        <f>+'CRC Prices &amp; Revenue'!M214</f>
        <v>307147.91251711873</v>
      </c>
      <c r="I27" s="43"/>
      <c r="J27" s="43">
        <f t="shared" si="3"/>
        <v>635602.5833230098</v>
      </c>
      <c r="K27" s="108"/>
      <c r="L27" s="125">
        <f t="shared" si="0"/>
        <v>73.01085662465263</v>
      </c>
      <c r="M27" s="108"/>
      <c r="N27" s="99">
        <f>+'Customer Counts'!D25+'Customer Counts'!F25+'Customer Counts'!M25+'Customer Counts'!O25</f>
        <v>120651</v>
      </c>
      <c r="O27" s="106">
        <f>+'Customer Counts'!G25+'Customer Counts'!H25+'Customer Counts'!P25+'Customer Counts'!Q25</f>
        <v>129187</v>
      </c>
      <c r="P27" s="99">
        <f t="shared" si="6"/>
        <v>249838</v>
      </c>
      <c r="Q27" s="108"/>
      <c r="R27" s="20">
        <f t="shared" si="7"/>
        <v>74.57393639505682</v>
      </c>
      <c r="S27" s="20">
        <f t="shared" si="8"/>
        <v>65.1285346048751</v>
      </c>
      <c r="T27" s="126">
        <f t="shared" si="5"/>
        <v>69.68987904161897</v>
      </c>
      <c r="V27" s="20"/>
      <c r="W27" s="20"/>
    </row>
    <row r="28" spans="1:23" ht="15">
      <c r="A28" t="s">
        <v>87</v>
      </c>
      <c r="C28" s="20">
        <v>4281.1</v>
      </c>
      <c r="D28" s="20">
        <v>4257.35</v>
      </c>
      <c r="E28" s="126">
        <f t="shared" si="2"/>
        <v>8538.45</v>
      </c>
      <c r="F28" s="108"/>
      <c r="G28" s="43">
        <f>+'CRC Prices &amp; Revenue'!M115</f>
        <v>397598.283585123</v>
      </c>
      <c r="H28" s="43">
        <f>+'CRC Prices &amp; Revenue'!M218</f>
        <v>395392.55159214296</v>
      </c>
      <c r="I28" s="43"/>
      <c r="J28" s="43">
        <f t="shared" si="3"/>
        <v>792990.835177266</v>
      </c>
      <c r="K28" s="108"/>
      <c r="L28" s="125">
        <f t="shared" si="0"/>
        <v>92.87292602021046</v>
      </c>
      <c r="M28" s="108"/>
      <c r="N28" s="99">
        <f>+'Customer Counts'!D26+'Customer Counts'!F26+'Customer Counts'!M26+'Customer Counts'!O26</f>
        <v>120863</v>
      </c>
      <c r="O28" s="106">
        <f>+'Customer Counts'!G26+'Customer Counts'!H26+'Customer Counts'!P26+'Customer Counts'!Q26</f>
        <v>129510</v>
      </c>
      <c r="P28" s="99">
        <f t="shared" si="6"/>
        <v>250373</v>
      </c>
      <c r="Q28" s="108"/>
      <c r="R28" s="20">
        <f t="shared" si="7"/>
        <v>70.84219322704219</v>
      </c>
      <c r="S28" s="20">
        <f t="shared" si="8"/>
        <v>65.74550227781639</v>
      </c>
      <c r="T28" s="126">
        <f t="shared" si="5"/>
        <v>68.20583689135809</v>
      </c>
      <c r="V28" s="20"/>
      <c r="W28" s="20"/>
    </row>
    <row r="29" spans="1:23" ht="15">
      <c r="A29" t="s">
        <v>88</v>
      </c>
      <c r="C29" s="20">
        <v>4045.63</v>
      </c>
      <c r="D29" s="20">
        <v>3965.86</v>
      </c>
      <c r="E29" s="126">
        <f t="shared" si="2"/>
        <v>8011.49</v>
      </c>
      <c r="F29" s="108"/>
      <c r="G29" s="43">
        <f>+'CRC Prices &amp; Revenue'!M119</f>
        <v>407943.43373925384</v>
      </c>
      <c r="H29" s="43">
        <f>+'CRC Prices &amp; Revenue'!M222</f>
        <v>399899.779794286</v>
      </c>
      <c r="I29" s="43"/>
      <c r="J29" s="43">
        <f t="shared" si="3"/>
        <v>807843.2135335398</v>
      </c>
      <c r="K29" s="108"/>
      <c r="L29" s="125">
        <f t="shared" si="0"/>
        <v>100.83557659480819</v>
      </c>
      <c r="M29" s="108"/>
      <c r="N29" s="99">
        <f>+'Customer Counts'!D27+'Customer Counts'!F27+'Customer Counts'!M27+'Customer Counts'!O27</f>
        <v>120947</v>
      </c>
      <c r="O29" s="106">
        <f>+'Customer Counts'!G27+'Customer Counts'!H27+'Customer Counts'!P27+'Customer Counts'!Q27</f>
        <v>129764</v>
      </c>
      <c r="P29" s="99">
        <f t="shared" si="6"/>
        <v>250711</v>
      </c>
      <c r="Q29" s="108"/>
      <c r="R29" s="20">
        <f t="shared" si="7"/>
        <v>66.89922031964414</v>
      </c>
      <c r="S29" s="20">
        <f t="shared" si="8"/>
        <v>61.124194691902225</v>
      </c>
      <c r="T29" s="126">
        <f t="shared" si="5"/>
        <v>63.910159506363904</v>
      </c>
      <c r="V29" s="20"/>
      <c r="W29" s="20"/>
    </row>
    <row r="30" spans="1:23" ht="15">
      <c r="A30" t="s">
        <v>89</v>
      </c>
      <c r="C30" s="20">
        <v>4126.32</v>
      </c>
      <c r="D30" s="20">
        <v>4010.89</v>
      </c>
      <c r="E30" s="126">
        <f t="shared" si="2"/>
        <v>8137.209999999999</v>
      </c>
      <c r="F30" s="108"/>
      <c r="G30" s="43">
        <f>+'CRC Prices &amp; Revenue'!M123</f>
        <v>379872.2300631145</v>
      </c>
      <c r="H30" s="43">
        <f>+'CRC Prices &amp; Revenue'!M226</f>
        <v>369245.6544421773</v>
      </c>
      <c r="I30" s="43"/>
      <c r="J30" s="43">
        <f t="shared" si="3"/>
        <v>749117.8845052918</v>
      </c>
      <c r="K30" s="108"/>
      <c r="L30" s="125">
        <f t="shared" si="0"/>
        <v>92.06077814205261</v>
      </c>
      <c r="M30" s="108"/>
      <c r="N30" s="99">
        <f>+'Customer Counts'!D28+'Customer Counts'!F28+'Customer Counts'!M28+'Customer Counts'!O28</f>
        <v>121161</v>
      </c>
      <c r="O30" s="106">
        <f>+'Customer Counts'!G28+'Customer Counts'!H28+'Customer Counts'!P28+'Customer Counts'!Q28</f>
        <v>130165</v>
      </c>
      <c r="P30" s="99">
        <f t="shared" si="6"/>
        <v>251326</v>
      </c>
      <c r="Q30" s="108"/>
      <c r="R30" s="20">
        <f t="shared" si="7"/>
        <v>68.11300666055908</v>
      </c>
      <c r="S30" s="20">
        <f t="shared" si="8"/>
        <v>61.62778012522568</v>
      </c>
      <c r="T30" s="126">
        <f t="shared" si="5"/>
        <v>64.754223598036</v>
      </c>
      <c r="V30" s="20"/>
      <c r="W30" s="20"/>
    </row>
    <row r="31" spans="1:23" s="95" customFormat="1" ht="17.25">
      <c r="A31" t="s">
        <v>90</v>
      </c>
      <c r="C31" s="156">
        <v>4026.54</v>
      </c>
      <c r="D31" s="156">
        <v>3890.3</v>
      </c>
      <c r="E31" s="156">
        <f t="shared" si="2"/>
        <v>7916.84</v>
      </c>
      <c r="F31" s="476"/>
      <c r="G31" s="45">
        <f>+'CRC Prices &amp; Revenue'!M127</f>
        <v>260936.6392525897</v>
      </c>
      <c r="H31" s="45">
        <f>+'CRC Prices &amp; Revenue'!M230</f>
        <v>252107.71721735035</v>
      </c>
      <c r="I31" s="476"/>
      <c r="J31" s="45">
        <f t="shared" si="3"/>
        <v>513044.35646994004</v>
      </c>
      <c r="K31" s="127"/>
      <c r="L31" s="128">
        <f t="shared" si="0"/>
        <v>64.80418405196265</v>
      </c>
      <c r="M31" s="111"/>
      <c r="N31" s="129">
        <f>+'Customer Counts'!D29+'Customer Counts'!F29+'Customer Counts'!M29+'Customer Counts'!O29</f>
        <v>120992</v>
      </c>
      <c r="O31" s="477">
        <f>+'Customer Counts'!G29+'Customer Counts'!H29+'Customer Counts'!P29+'Customer Counts'!Q29</f>
        <v>131742</v>
      </c>
      <c r="P31" s="129">
        <f t="shared" si="6"/>
        <v>252734</v>
      </c>
      <c r="Q31" s="111"/>
      <c r="R31" s="156">
        <f t="shared" si="7"/>
        <v>66.55878074583444</v>
      </c>
      <c r="S31" s="156">
        <f t="shared" si="8"/>
        <v>59.05937362420489</v>
      </c>
      <c r="T31" s="22">
        <f t="shared" si="5"/>
        <v>62.649584147760095</v>
      </c>
      <c r="V31" s="156"/>
      <c r="W31" s="156"/>
    </row>
    <row r="32" spans="3:20" ht="17.25">
      <c r="C32" s="27">
        <f>SUM(C8:C31)</f>
        <v>112320.46</v>
      </c>
      <c r="D32" s="27">
        <f>SUM(D8:D31)</f>
        <v>96330.72000000002</v>
      </c>
      <c r="E32" s="27">
        <f>SUM(E8:E31)</f>
        <v>208651.18</v>
      </c>
      <c r="F32" s="27"/>
      <c r="G32" s="130">
        <f>SUM(G8:G31)</f>
        <v>8167056.880939076</v>
      </c>
      <c r="H32" s="130">
        <f>SUM(H8:H31)</f>
        <v>7095134.3821726255</v>
      </c>
      <c r="I32" s="130"/>
      <c r="J32" s="130">
        <f>SUM(J8:J31)</f>
        <v>15262191.263111701</v>
      </c>
      <c r="L32" s="131">
        <f>+J32/E32</f>
        <v>73.14692043971044</v>
      </c>
      <c r="N32" s="37">
        <f>SUM(N8:N31)</f>
        <v>3210400</v>
      </c>
      <c r="O32" s="37">
        <f>SUM(O8:O31)</f>
        <v>3043023</v>
      </c>
      <c r="P32" s="37">
        <f>SUM(P8:P31)</f>
        <v>6253423</v>
      </c>
      <c r="R32" s="27">
        <f>+C32*2000/N32</f>
        <v>69.9728756541241</v>
      </c>
      <c r="S32" s="27">
        <f>+D32*2000/O32</f>
        <v>63.31251521924088</v>
      </c>
      <c r="T32" s="27">
        <f t="shared" si="5"/>
        <v>66.73182991139413</v>
      </c>
    </row>
    <row r="35" ht="15">
      <c r="A35" s="97" t="s">
        <v>123</v>
      </c>
    </row>
    <row r="36" spans="1:23" ht="15">
      <c r="A36" t="str">
        <f aca="true" t="shared" si="9" ref="A36:A59">+A8</f>
        <v>Oct., 2015</v>
      </c>
      <c r="C36" s="20">
        <v>1153.91</v>
      </c>
      <c r="D36" s="20">
        <v>2723.03</v>
      </c>
      <c r="E36" s="20">
        <f>+D36+C36</f>
        <v>3876.9400000000005</v>
      </c>
      <c r="G36" s="43">
        <f aca="true" t="shared" si="10" ref="G36:G59">+C36/C8*G8</f>
        <v>74983.24659599275</v>
      </c>
      <c r="H36" s="43">
        <f aca="true" t="shared" si="11" ref="H36:H59">+D36/D8*H8</f>
        <v>176947.62154612242</v>
      </c>
      <c r="I36" s="43"/>
      <c r="J36" s="43">
        <f>+H36+G36</f>
        <v>251930.86814211519</v>
      </c>
      <c r="L36" s="125">
        <f aca="true" t="shared" si="12" ref="L36:L43">+J36/E36</f>
        <v>64.98188471890593</v>
      </c>
      <c r="N36" s="99">
        <f>+'Customer Counts'!D6+'Customer Counts'!F6</f>
        <v>37172</v>
      </c>
      <c r="O36" s="106">
        <f>+'Customer Counts'!G6+'Customer Counts'!H6</f>
        <v>91291</v>
      </c>
      <c r="P36" s="99">
        <f>+O36+N36</f>
        <v>128463</v>
      </c>
      <c r="R36" s="20">
        <f aca="true" t="shared" si="13" ref="R36:T39">+C36*2000/N36</f>
        <v>62.08490261487141</v>
      </c>
      <c r="S36" s="20">
        <f t="shared" si="13"/>
        <v>59.65604495514344</v>
      </c>
      <c r="T36" s="20">
        <f t="shared" si="13"/>
        <v>60.358858192631345</v>
      </c>
      <c r="V36" s="20"/>
      <c r="W36" s="20"/>
    </row>
    <row r="37" spans="1:23" ht="15">
      <c r="A37" t="str">
        <f t="shared" si="9"/>
        <v>Nov</v>
      </c>
      <c r="C37" s="20">
        <v>1196.22</v>
      </c>
      <c r="D37" s="20">
        <v>2740.48</v>
      </c>
      <c r="E37" s="20">
        <f aca="true" t="shared" si="14" ref="E37:E59">+D37+C37</f>
        <v>3936.7</v>
      </c>
      <c r="G37" s="43">
        <f t="shared" si="10"/>
        <v>62788.533297235226</v>
      </c>
      <c r="H37" s="43">
        <f t="shared" si="11"/>
        <v>143845.37938707526</v>
      </c>
      <c r="I37" s="43"/>
      <c r="J37" s="43">
        <f aca="true" t="shared" si="15" ref="J37:J59">+H37+G37</f>
        <v>206633.9126843105</v>
      </c>
      <c r="L37" s="125">
        <f t="shared" si="12"/>
        <v>52.48911847087929</v>
      </c>
      <c r="N37" s="99">
        <f>+'Customer Counts'!D7+'Customer Counts'!F7</f>
        <v>37238</v>
      </c>
      <c r="O37" s="106">
        <f>+'Customer Counts'!G7+'Customer Counts'!H7</f>
        <v>91748</v>
      </c>
      <c r="P37" s="99">
        <f aca="true" t="shared" si="16" ref="P37:P59">+O37+N37</f>
        <v>128986</v>
      </c>
      <c r="R37" s="20">
        <f t="shared" si="13"/>
        <v>64.24727428970407</v>
      </c>
      <c r="S37" s="20">
        <f t="shared" si="13"/>
        <v>59.73928586999172</v>
      </c>
      <c r="T37" s="20">
        <f t="shared" si="13"/>
        <v>61.04073310281736</v>
      </c>
      <c r="V37" s="20"/>
      <c r="W37" s="20"/>
    </row>
    <row r="38" spans="1:23" ht="15">
      <c r="A38" t="str">
        <f t="shared" si="9"/>
        <v>Dec</v>
      </c>
      <c r="C38" s="20">
        <v>1335.6</v>
      </c>
      <c r="D38" s="20">
        <v>3390.1</v>
      </c>
      <c r="E38" s="20">
        <f t="shared" si="14"/>
        <v>4725.7</v>
      </c>
      <c r="G38" s="43">
        <f t="shared" si="10"/>
        <v>69565.64295098283</v>
      </c>
      <c r="H38" s="43">
        <f t="shared" si="11"/>
        <v>176575.6859599633</v>
      </c>
      <c r="I38" s="43"/>
      <c r="J38" s="43">
        <f t="shared" si="15"/>
        <v>246141.32891094615</v>
      </c>
      <c r="L38" s="125">
        <f t="shared" si="12"/>
        <v>52.08568654610876</v>
      </c>
      <c r="N38" s="99">
        <f>+'Customer Counts'!D8+'Customer Counts'!F8</f>
        <v>37156</v>
      </c>
      <c r="O38" s="106">
        <f>+'Customer Counts'!G8+'Customer Counts'!H8</f>
        <v>91498</v>
      </c>
      <c r="P38" s="99">
        <f t="shared" si="16"/>
        <v>128654</v>
      </c>
      <c r="R38" s="20">
        <f t="shared" si="13"/>
        <v>71.8914845516202</v>
      </c>
      <c r="S38" s="20">
        <f t="shared" si="13"/>
        <v>74.10216616756651</v>
      </c>
      <c r="T38" s="20">
        <f t="shared" si="13"/>
        <v>73.46370886253051</v>
      </c>
      <c r="V38" s="20"/>
      <c r="W38" s="20"/>
    </row>
    <row r="39" spans="1:23" ht="15">
      <c r="A39" t="str">
        <f t="shared" si="9"/>
        <v>Jan., 2016</v>
      </c>
      <c r="B39" s="29"/>
      <c r="C39" s="20">
        <v>1253.22</v>
      </c>
      <c r="D39" s="20">
        <v>3060.9</v>
      </c>
      <c r="E39" s="132">
        <f t="shared" si="14"/>
        <v>4314.12</v>
      </c>
      <c r="F39" s="29"/>
      <c r="G39" s="43">
        <f t="shared" si="10"/>
        <v>57443.72828952795</v>
      </c>
      <c r="H39" s="43">
        <f t="shared" si="11"/>
        <v>140302.18790109962</v>
      </c>
      <c r="I39" s="43"/>
      <c r="J39" s="133">
        <f t="shared" si="15"/>
        <v>197745.91619062755</v>
      </c>
      <c r="L39" s="125">
        <f t="shared" si="12"/>
        <v>45.83690675980908</v>
      </c>
      <c r="N39" s="99">
        <f>+'Customer Counts'!D9+'Customer Counts'!F9</f>
        <v>37219</v>
      </c>
      <c r="O39" s="106">
        <f>+'Customer Counts'!G9+'Customer Counts'!H9</f>
        <v>91905</v>
      </c>
      <c r="P39" s="99">
        <f t="shared" si="16"/>
        <v>129124</v>
      </c>
      <c r="R39" s="20">
        <f t="shared" si="13"/>
        <v>67.34302372444182</v>
      </c>
      <c r="S39" s="20">
        <f t="shared" si="13"/>
        <v>66.61008650236657</v>
      </c>
      <c r="T39" s="20">
        <f t="shared" si="13"/>
        <v>66.82135002013568</v>
      </c>
      <c r="V39" s="20"/>
      <c r="W39" s="20"/>
    </row>
    <row r="40" spans="1:23" ht="15">
      <c r="A40" t="str">
        <f t="shared" si="9"/>
        <v>Feb</v>
      </c>
      <c r="B40" s="29"/>
      <c r="C40" s="20">
        <v>1116.79</v>
      </c>
      <c r="D40" s="20">
        <v>2622.58</v>
      </c>
      <c r="E40" s="132">
        <f t="shared" si="14"/>
        <v>3739.37</v>
      </c>
      <c r="F40" s="29"/>
      <c r="G40" s="43">
        <f t="shared" si="10"/>
        <v>55170.800111484525</v>
      </c>
      <c r="H40" s="43">
        <f t="shared" si="11"/>
        <v>129558.6788531211</v>
      </c>
      <c r="I40" s="43"/>
      <c r="J40" s="133">
        <f t="shared" si="15"/>
        <v>184729.47896460563</v>
      </c>
      <c r="L40" s="125">
        <f t="shared" si="12"/>
        <v>49.401230411701874</v>
      </c>
      <c r="N40" s="99">
        <f>+'Customer Counts'!D10+'Customer Counts'!F10</f>
        <v>37174</v>
      </c>
      <c r="O40" s="106">
        <f>+'Customer Counts'!G10+'Customer Counts'!H10</f>
        <v>91728</v>
      </c>
      <c r="P40" s="99">
        <f t="shared" si="16"/>
        <v>128902</v>
      </c>
      <c r="R40" s="20">
        <f aca="true" t="shared" si="17" ref="R40:T43">+C40*2000/N40</f>
        <v>60.08446763867219</v>
      </c>
      <c r="S40" s="20">
        <f t="shared" si="17"/>
        <v>57.181667538810395</v>
      </c>
      <c r="T40" s="20">
        <f t="shared" si="17"/>
        <v>58.01880498363098</v>
      </c>
      <c r="V40" s="20"/>
      <c r="W40" s="20"/>
    </row>
    <row r="41" spans="1:23" ht="15">
      <c r="A41" t="str">
        <f t="shared" si="9"/>
        <v>Mar</v>
      </c>
      <c r="B41" s="29"/>
      <c r="C41" s="20">
        <v>1265.72</v>
      </c>
      <c r="D41" s="20">
        <v>2911.2</v>
      </c>
      <c r="E41" s="132">
        <f t="shared" si="14"/>
        <v>4176.92</v>
      </c>
      <c r="F41" s="29"/>
      <c r="G41" s="43">
        <f t="shared" si="10"/>
        <v>73096.25515413203</v>
      </c>
      <c r="H41" s="43">
        <f t="shared" si="11"/>
        <v>168123.92788666463</v>
      </c>
      <c r="I41" s="43"/>
      <c r="J41" s="133">
        <f t="shared" si="15"/>
        <v>241220.18304079666</v>
      </c>
      <c r="L41" s="125">
        <f t="shared" si="12"/>
        <v>57.75073093111591</v>
      </c>
      <c r="N41" s="99">
        <f>+'Customer Counts'!D11+'Customer Counts'!F11</f>
        <v>37082</v>
      </c>
      <c r="O41" s="106">
        <f>+'Customer Counts'!G11+'Customer Counts'!H11</f>
        <v>92218</v>
      </c>
      <c r="P41" s="99">
        <f t="shared" si="16"/>
        <v>129300</v>
      </c>
      <c r="R41" s="20">
        <f t="shared" si="17"/>
        <v>68.2660050698452</v>
      </c>
      <c r="S41" s="20">
        <f t="shared" si="17"/>
        <v>63.1373484569173</v>
      </c>
      <c r="T41" s="20">
        <f t="shared" si="17"/>
        <v>64.60819798917247</v>
      </c>
      <c r="V41" s="20"/>
      <c r="W41" s="20"/>
    </row>
    <row r="42" spans="1:23" ht="15">
      <c r="A42" t="str">
        <f t="shared" si="9"/>
        <v>Apr</v>
      </c>
      <c r="B42" s="29"/>
      <c r="C42" s="20">
        <v>1075.03</v>
      </c>
      <c r="D42" s="20">
        <v>2713.76</v>
      </c>
      <c r="E42" s="132">
        <f t="shared" si="14"/>
        <v>3788.79</v>
      </c>
      <c r="F42" s="29"/>
      <c r="G42" s="43">
        <f t="shared" si="10"/>
        <v>64376.335272022894</v>
      </c>
      <c r="H42" s="43">
        <f t="shared" si="11"/>
        <v>162508.8821779903</v>
      </c>
      <c r="I42" s="43"/>
      <c r="J42" s="133">
        <f t="shared" si="15"/>
        <v>226885.2174500132</v>
      </c>
      <c r="L42" s="125">
        <f t="shared" si="12"/>
        <v>59.88329188210833</v>
      </c>
      <c r="N42" s="99">
        <f>+'Customer Counts'!D12+'Customer Counts'!F12</f>
        <v>37310</v>
      </c>
      <c r="O42" s="106">
        <f>+'Customer Counts'!G12+'Customer Counts'!H12</f>
        <v>92800</v>
      </c>
      <c r="P42" s="99">
        <f t="shared" si="16"/>
        <v>130110</v>
      </c>
      <c r="R42" s="20">
        <f t="shared" si="17"/>
        <v>57.626909675690165</v>
      </c>
      <c r="S42" s="20">
        <f t="shared" si="17"/>
        <v>58.48620689655172</v>
      </c>
      <c r="T42" s="20">
        <f t="shared" si="17"/>
        <v>58.23979709476597</v>
      </c>
      <c r="V42" s="20"/>
      <c r="W42" s="20"/>
    </row>
    <row r="43" spans="1:23" ht="15">
      <c r="A43" t="str">
        <f t="shared" si="9"/>
        <v>May</v>
      </c>
      <c r="B43" s="29"/>
      <c r="C43" s="20">
        <v>1164.26</v>
      </c>
      <c r="D43" s="20">
        <v>2824.16</v>
      </c>
      <c r="E43" s="132">
        <f t="shared" si="14"/>
        <v>3988.42</v>
      </c>
      <c r="F43" s="135"/>
      <c r="G43" s="43">
        <f t="shared" si="10"/>
        <v>64987.469039592535</v>
      </c>
      <c r="H43" s="43">
        <f t="shared" si="11"/>
        <v>157640.91402509375</v>
      </c>
      <c r="I43" s="43"/>
      <c r="J43" s="133">
        <f t="shared" si="15"/>
        <v>222628.3830646863</v>
      </c>
      <c r="L43" s="125">
        <f t="shared" si="12"/>
        <v>55.81869087625834</v>
      </c>
      <c r="N43" s="99">
        <f>+'Customer Counts'!D13+'Customer Counts'!F13</f>
        <v>37277</v>
      </c>
      <c r="O43" s="106">
        <f>+'Customer Counts'!G13+'Customer Counts'!H13</f>
        <v>92882</v>
      </c>
      <c r="P43" s="99">
        <f t="shared" si="16"/>
        <v>130159</v>
      </c>
      <c r="R43" s="20">
        <f t="shared" si="17"/>
        <v>62.465327145424794</v>
      </c>
      <c r="S43" s="20">
        <f t="shared" si="17"/>
        <v>60.81178269201783</v>
      </c>
      <c r="T43" s="20">
        <f t="shared" si="17"/>
        <v>61.285350993784526</v>
      </c>
      <c r="V43" s="20"/>
      <c r="W43" s="20"/>
    </row>
    <row r="44" spans="1:23" ht="15">
      <c r="A44" t="str">
        <f t="shared" si="9"/>
        <v>Jun</v>
      </c>
      <c r="B44" s="29"/>
      <c r="C44" s="20">
        <v>1210.68</v>
      </c>
      <c r="D44" s="20">
        <v>2871.72</v>
      </c>
      <c r="E44" s="132">
        <f t="shared" si="14"/>
        <v>4082.3999999999996</v>
      </c>
      <c r="F44" s="135"/>
      <c r="G44" s="43">
        <f t="shared" si="10"/>
        <v>80605.7083906535</v>
      </c>
      <c r="H44" s="43">
        <f t="shared" si="11"/>
        <v>191195.87744045284</v>
      </c>
      <c r="I44" s="43"/>
      <c r="J44" s="133">
        <f t="shared" si="15"/>
        <v>271801.58583110635</v>
      </c>
      <c r="L44" s="125">
        <f>+J44/E44</f>
        <v>66.57887170074132</v>
      </c>
      <c r="N44" s="99">
        <f>+'Customer Counts'!D14+'Customer Counts'!F14</f>
        <v>37381</v>
      </c>
      <c r="O44" s="106">
        <f>+'Customer Counts'!G14+'Customer Counts'!H14</f>
        <v>93241</v>
      </c>
      <c r="P44" s="99">
        <f>+O44+N44</f>
        <v>130622</v>
      </c>
      <c r="R44" s="20">
        <f aca="true" t="shared" si="18" ref="R44:T45">+C44*2000/N44</f>
        <v>64.77515315267114</v>
      </c>
      <c r="S44" s="20">
        <f t="shared" si="18"/>
        <v>61.597794961444</v>
      </c>
      <c r="T44" s="20">
        <f t="shared" si="18"/>
        <v>62.50708150235029</v>
      </c>
      <c r="V44" s="20"/>
      <c r="W44" s="20"/>
    </row>
    <row r="45" spans="1:23" ht="17.25">
      <c r="A45" t="str">
        <f t="shared" si="9"/>
        <v>Jul</v>
      </c>
      <c r="B45" s="29"/>
      <c r="C45" s="20">
        <v>1175.73</v>
      </c>
      <c r="D45" s="20">
        <v>2777.6</v>
      </c>
      <c r="E45" s="132">
        <f t="shared" si="14"/>
        <v>3953.33</v>
      </c>
      <c r="F45" s="136"/>
      <c r="G45" s="43">
        <f t="shared" si="10"/>
        <v>78888.54501584511</v>
      </c>
      <c r="H45" s="43">
        <f t="shared" si="11"/>
        <v>186370.01916767572</v>
      </c>
      <c r="I45" s="43"/>
      <c r="J45" s="133">
        <f t="shared" si="15"/>
        <v>265258.56418352085</v>
      </c>
      <c r="L45" s="125">
        <f>+J45/E45</f>
        <v>67.09750114043625</v>
      </c>
      <c r="N45" s="99">
        <f>+'Customer Counts'!D15+'Customer Counts'!F15</f>
        <v>37425</v>
      </c>
      <c r="O45" s="106">
        <f>+'Customer Counts'!G15+'Customer Counts'!H15</f>
        <v>93497</v>
      </c>
      <c r="P45" s="99">
        <f>+O45+N45</f>
        <v>130922</v>
      </c>
      <c r="R45" s="20">
        <f t="shared" si="18"/>
        <v>62.8312625250501</v>
      </c>
      <c r="S45" s="20">
        <f t="shared" si="18"/>
        <v>59.415810132945445</v>
      </c>
      <c r="T45" s="20">
        <f t="shared" si="18"/>
        <v>60.39214188600846</v>
      </c>
      <c r="V45" s="20"/>
      <c r="W45" s="20"/>
    </row>
    <row r="46" spans="1:23" ht="17.25">
      <c r="A46" t="str">
        <f t="shared" si="9"/>
        <v>Aug</v>
      </c>
      <c r="B46" s="29"/>
      <c r="C46" s="20">
        <v>1324.62</v>
      </c>
      <c r="D46" s="20">
        <v>2990.64</v>
      </c>
      <c r="E46" s="132">
        <f t="shared" si="14"/>
        <v>4315.26</v>
      </c>
      <c r="F46" s="136"/>
      <c r="G46" s="43">
        <f t="shared" si="10"/>
        <v>107858.49980206937</v>
      </c>
      <c r="H46" s="43">
        <f t="shared" si="11"/>
        <v>243515.83386032275</v>
      </c>
      <c r="I46" s="43"/>
      <c r="J46" s="133">
        <f t="shared" si="15"/>
        <v>351374.3336623921</v>
      </c>
      <c r="L46" s="125">
        <f>+J46/E46</f>
        <v>81.42599372051559</v>
      </c>
      <c r="N46" s="99">
        <f>+'Customer Counts'!D16+'Customer Counts'!F16</f>
        <v>37542</v>
      </c>
      <c r="O46" s="106">
        <f>+'Customer Counts'!G16+'Customer Counts'!H16</f>
        <v>93899</v>
      </c>
      <c r="P46" s="99">
        <f t="shared" si="16"/>
        <v>131441</v>
      </c>
      <c r="R46" s="20">
        <f aca="true" t="shared" si="19" ref="R46:T47">+C46*2000/N46</f>
        <v>70.5673645517021</v>
      </c>
      <c r="S46" s="20">
        <f t="shared" si="19"/>
        <v>63.69908092737942</v>
      </c>
      <c r="T46" s="20">
        <f t="shared" si="19"/>
        <v>65.66079077304646</v>
      </c>
      <c r="V46" s="20"/>
      <c r="W46" s="20"/>
    </row>
    <row r="47" spans="1:23" ht="15">
      <c r="A47" t="str">
        <f t="shared" si="9"/>
        <v>Sep</v>
      </c>
      <c r="B47" s="29"/>
      <c r="C47" s="20">
        <v>1180.24</v>
      </c>
      <c r="D47" s="20">
        <v>2888.25</v>
      </c>
      <c r="E47" s="134">
        <f t="shared" si="14"/>
        <v>4068.49</v>
      </c>
      <c r="F47" s="135"/>
      <c r="G47" s="43">
        <f t="shared" si="10"/>
        <v>87819.67494583168</v>
      </c>
      <c r="H47" s="43">
        <f t="shared" si="11"/>
        <v>214909.82864696873</v>
      </c>
      <c r="I47" s="43"/>
      <c r="J47" s="133">
        <f t="shared" si="15"/>
        <v>302729.5035928004</v>
      </c>
      <c r="K47" s="108"/>
      <c r="L47" s="125">
        <f>+J47/E47</f>
        <v>74.40831944844412</v>
      </c>
      <c r="M47" s="108"/>
      <c r="N47" s="99">
        <f>+'Customer Counts'!D17+'Customer Counts'!F17</f>
        <v>37552</v>
      </c>
      <c r="O47" s="106">
        <f>+'Customer Counts'!G17+'Customer Counts'!H17</f>
        <v>94121</v>
      </c>
      <c r="P47" s="99">
        <f t="shared" si="16"/>
        <v>131673</v>
      </c>
      <c r="Q47" s="108"/>
      <c r="R47" s="20">
        <f t="shared" si="19"/>
        <v>62.85896889646357</v>
      </c>
      <c r="S47" s="20">
        <f t="shared" si="19"/>
        <v>61.373126082383315</v>
      </c>
      <c r="T47" s="20">
        <f t="shared" si="19"/>
        <v>61.79687559332589</v>
      </c>
      <c r="V47" s="20"/>
      <c r="W47" s="20"/>
    </row>
    <row r="48" spans="1:23" ht="17.25">
      <c r="A48" t="str">
        <f t="shared" si="9"/>
        <v>Oct</v>
      </c>
      <c r="B48" s="29"/>
      <c r="C48" s="20">
        <v>1166.28</v>
      </c>
      <c r="D48" s="20">
        <v>2700.01</v>
      </c>
      <c r="E48" s="134">
        <f t="shared" si="14"/>
        <v>3866.29</v>
      </c>
      <c r="F48" s="136"/>
      <c r="G48" s="43">
        <f t="shared" si="10"/>
        <v>85421.37243059964</v>
      </c>
      <c r="H48" s="43">
        <f t="shared" si="11"/>
        <v>197755.73599508122</v>
      </c>
      <c r="I48" s="45"/>
      <c r="J48" s="133">
        <f t="shared" si="15"/>
        <v>283177.1084256809</v>
      </c>
      <c r="L48" s="125">
        <f aca="true" t="shared" si="20" ref="L48:L59">+J48/E48</f>
        <v>73.24259391449708</v>
      </c>
      <c r="N48" s="99">
        <f>+'Customer Counts'!D18+'Customer Counts'!F18</f>
        <v>37472</v>
      </c>
      <c r="O48" s="106">
        <f>+'Customer Counts'!G18+'Customer Counts'!H18</f>
        <v>94025</v>
      </c>
      <c r="P48" s="99">
        <f t="shared" si="16"/>
        <v>131497</v>
      </c>
      <c r="R48" s="20">
        <f aca="true" t="shared" si="21" ref="R48:R59">+C48*2000/N48</f>
        <v>62.248078565328775</v>
      </c>
      <c r="S48" s="20">
        <f aca="true" t="shared" si="22" ref="S48:S59">+D48*2000/O48</f>
        <v>57.431746875830896</v>
      </c>
      <c r="T48" s="20">
        <f aca="true" t="shared" si="23" ref="T48:T59">+E48*2000/P48</f>
        <v>58.804231275238216</v>
      </c>
      <c r="V48" s="20"/>
      <c r="W48" s="20"/>
    </row>
    <row r="49" spans="1:23" ht="17.25">
      <c r="A49" t="str">
        <f t="shared" si="9"/>
        <v>Nov</v>
      </c>
      <c r="B49" s="29"/>
      <c r="C49" s="20">
        <v>1249.13</v>
      </c>
      <c r="D49" s="20">
        <v>3060.22</v>
      </c>
      <c r="E49" s="134">
        <f t="shared" si="14"/>
        <v>4309.35</v>
      </c>
      <c r="F49" s="136"/>
      <c r="G49" s="43">
        <f t="shared" si="10"/>
        <v>100925.38335781131</v>
      </c>
      <c r="H49" s="43">
        <f t="shared" si="11"/>
        <v>247255.19094028752</v>
      </c>
      <c r="I49" s="45"/>
      <c r="J49" s="133">
        <f t="shared" si="15"/>
        <v>348180.5742980988</v>
      </c>
      <c r="L49" s="125">
        <f t="shared" si="20"/>
        <v>80.79654107883991</v>
      </c>
      <c r="N49" s="99">
        <f>+'Customer Counts'!D19+'Customer Counts'!F19</f>
        <v>37555</v>
      </c>
      <c r="O49" s="106">
        <f>+'Customer Counts'!G19+'Customer Counts'!H19</f>
        <v>94248</v>
      </c>
      <c r="P49" s="99">
        <f t="shared" si="16"/>
        <v>131803</v>
      </c>
      <c r="R49" s="20">
        <f t="shared" si="21"/>
        <v>66.52270003994141</v>
      </c>
      <c r="S49" s="20">
        <f t="shared" si="22"/>
        <v>64.93973346914524</v>
      </c>
      <c r="T49" s="20">
        <f t="shared" si="23"/>
        <v>65.39077259242961</v>
      </c>
      <c r="V49" s="20"/>
      <c r="W49" s="20"/>
    </row>
    <row r="50" spans="1:23" ht="15">
      <c r="A50" t="str">
        <f t="shared" si="9"/>
        <v>Dec</v>
      </c>
      <c r="B50" s="29"/>
      <c r="C50" s="20">
        <v>1268.54</v>
      </c>
      <c r="D50" s="20">
        <v>3157.49</v>
      </c>
      <c r="E50" s="134">
        <f t="shared" si="14"/>
        <v>4426.03</v>
      </c>
      <c r="F50" s="135"/>
      <c r="G50" s="43">
        <f t="shared" si="10"/>
        <v>107657.1819817845</v>
      </c>
      <c r="H50" s="43">
        <f t="shared" si="11"/>
        <v>267966.6983584787</v>
      </c>
      <c r="I50" s="43"/>
      <c r="J50" s="133">
        <f t="shared" si="15"/>
        <v>375623.88034026325</v>
      </c>
      <c r="K50" s="108"/>
      <c r="L50" s="125">
        <f t="shared" si="20"/>
        <v>84.86699826712952</v>
      </c>
      <c r="M50" s="108"/>
      <c r="N50" s="99">
        <f>+'Customer Counts'!D20+'Customer Counts'!F20</f>
        <v>37563</v>
      </c>
      <c r="O50" s="106">
        <f>+'Customer Counts'!G20+'Customer Counts'!H20</f>
        <v>94448</v>
      </c>
      <c r="P50" s="99">
        <f t="shared" si="16"/>
        <v>132011</v>
      </c>
      <c r="Q50" s="108"/>
      <c r="R50" s="20">
        <f t="shared" si="21"/>
        <v>67.54199611319649</v>
      </c>
      <c r="S50" s="20">
        <f t="shared" si="22"/>
        <v>66.86197696086735</v>
      </c>
      <c r="T50" s="20">
        <f t="shared" si="23"/>
        <v>67.05547265000644</v>
      </c>
      <c r="V50" s="20"/>
      <c r="W50" s="20"/>
    </row>
    <row r="51" spans="1:23" ht="17.25">
      <c r="A51" t="str">
        <f t="shared" si="9"/>
        <v>Jan</v>
      </c>
      <c r="B51" s="29"/>
      <c r="C51" s="20">
        <v>1173.9</v>
      </c>
      <c r="D51" s="20">
        <v>3052.43</v>
      </c>
      <c r="E51" s="134">
        <f t="shared" si="14"/>
        <v>4226.33</v>
      </c>
      <c r="F51" s="136"/>
      <c r="G51" s="43">
        <f t="shared" si="10"/>
        <v>114226.2876840706</v>
      </c>
      <c r="H51" s="43">
        <f t="shared" si="11"/>
        <v>297016.56641578296</v>
      </c>
      <c r="I51" s="45"/>
      <c r="J51" s="133">
        <f t="shared" si="15"/>
        <v>411242.85409985355</v>
      </c>
      <c r="L51" s="125">
        <f t="shared" si="20"/>
        <v>97.30495586001413</v>
      </c>
      <c r="N51" s="99">
        <f>+'Customer Counts'!D21+'Customer Counts'!F21</f>
        <v>37525</v>
      </c>
      <c r="O51" s="106">
        <f>+'Customer Counts'!G21+'Customer Counts'!H21</f>
        <v>94425</v>
      </c>
      <c r="P51" s="99">
        <f t="shared" si="16"/>
        <v>131950</v>
      </c>
      <c r="R51" s="20">
        <f t="shared" si="21"/>
        <v>62.56628914057295</v>
      </c>
      <c r="S51" s="20">
        <f t="shared" si="22"/>
        <v>64.65300503044745</v>
      </c>
      <c r="T51" s="20">
        <f t="shared" si="23"/>
        <v>64.05956801818871</v>
      </c>
      <c r="V51" s="20"/>
      <c r="W51" s="20"/>
    </row>
    <row r="52" spans="1:23" ht="17.25">
      <c r="A52" t="str">
        <f t="shared" si="9"/>
        <v>Feb</v>
      </c>
      <c r="B52" s="29"/>
      <c r="C52" s="20">
        <v>1065.41</v>
      </c>
      <c r="D52" s="20">
        <v>2560.08</v>
      </c>
      <c r="E52" s="134">
        <f t="shared" si="14"/>
        <v>3625.49</v>
      </c>
      <c r="F52" s="136"/>
      <c r="G52" s="43">
        <f t="shared" si="10"/>
        <v>103589.26752566051</v>
      </c>
      <c r="H52" s="43">
        <f t="shared" si="11"/>
        <v>248915.26455270086</v>
      </c>
      <c r="I52" s="45"/>
      <c r="J52" s="133">
        <f t="shared" si="15"/>
        <v>352504.5320783614</v>
      </c>
      <c r="L52" s="125">
        <f t="shared" si="20"/>
        <v>97.22948679443644</v>
      </c>
      <c r="N52" s="99">
        <f>+'Customer Counts'!D22+'Customer Counts'!F22</f>
        <v>37559</v>
      </c>
      <c r="O52" s="106">
        <f>+'Customer Counts'!G22+'Customer Counts'!H22</f>
        <v>94619</v>
      </c>
      <c r="P52" s="99">
        <f t="shared" si="16"/>
        <v>132178</v>
      </c>
      <c r="R52" s="20">
        <f t="shared" si="21"/>
        <v>56.732607364413326</v>
      </c>
      <c r="S52" s="20">
        <f t="shared" si="22"/>
        <v>54.11344444561875</v>
      </c>
      <c r="T52" s="20">
        <f t="shared" si="23"/>
        <v>54.85769190031624</v>
      </c>
      <c r="V52" s="20"/>
      <c r="W52" s="20"/>
    </row>
    <row r="53" spans="1:23" ht="15">
      <c r="A53" t="str">
        <f t="shared" si="9"/>
        <v>Mar</v>
      </c>
      <c r="B53" s="29"/>
      <c r="C53" s="20">
        <v>1276.24</v>
      </c>
      <c r="D53" s="20">
        <v>2977.5</v>
      </c>
      <c r="E53" s="134">
        <f t="shared" si="14"/>
        <v>4253.74</v>
      </c>
      <c r="F53" s="135"/>
      <c r="G53" s="43">
        <f t="shared" si="10"/>
        <v>141031.99818360797</v>
      </c>
      <c r="H53" s="43">
        <f t="shared" si="11"/>
        <v>329031.19679033157</v>
      </c>
      <c r="I53" s="43"/>
      <c r="J53" s="133">
        <f t="shared" si="15"/>
        <v>470063.19497393956</v>
      </c>
      <c r="K53" s="108"/>
      <c r="L53" s="125">
        <f t="shared" si="20"/>
        <v>110.50585954335234</v>
      </c>
      <c r="M53" s="108"/>
      <c r="N53" s="99">
        <f>+'Customer Counts'!D23+'Customer Counts'!F23</f>
        <v>37643</v>
      </c>
      <c r="O53" s="106">
        <f>+'Customer Counts'!G23+'Customer Counts'!H23</f>
        <v>94922</v>
      </c>
      <c r="P53" s="99">
        <f t="shared" si="16"/>
        <v>132565</v>
      </c>
      <c r="Q53" s="108"/>
      <c r="R53" s="20">
        <f t="shared" si="21"/>
        <v>67.8075605026167</v>
      </c>
      <c r="S53" s="20">
        <f t="shared" si="22"/>
        <v>62.73571985419608</v>
      </c>
      <c r="T53" s="20">
        <f t="shared" si="23"/>
        <v>64.17591370271188</v>
      </c>
      <c r="V53" s="20"/>
      <c r="W53" s="20"/>
    </row>
    <row r="54" spans="1:23" ht="17.25">
      <c r="A54" t="str">
        <f t="shared" si="9"/>
        <v>Apr</v>
      </c>
      <c r="B54" s="29"/>
      <c r="C54" s="20">
        <v>1082.88</v>
      </c>
      <c r="D54" s="20">
        <v>2609.18</v>
      </c>
      <c r="E54" s="134">
        <f t="shared" si="14"/>
        <v>3692.06</v>
      </c>
      <c r="F54" s="136"/>
      <c r="G54" s="43">
        <f t="shared" si="10"/>
        <v>75804.1679378599</v>
      </c>
      <c r="H54" s="43">
        <f t="shared" si="11"/>
        <v>182648.7874003631</v>
      </c>
      <c r="I54" s="45"/>
      <c r="J54" s="133">
        <f t="shared" si="15"/>
        <v>258452.955338223</v>
      </c>
      <c r="L54" s="125">
        <f t="shared" si="20"/>
        <v>70.00237139651658</v>
      </c>
      <c r="N54" s="99">
        <f>+'Customer Counts'!D24+'Customer Counts'!F24</f>
        <v>37753</v>
      </c>
      <c r="O54" s="106">
        <f>+'Customer Counts'!G24+'Customer Counts'!H24</f>
        <v>95262</v>
      </c>
      <c r="P54" s="99">
        <f t="shared" si="16"/>
        <v>133015</v>
      </c>
      <c r="R54" s="20">
        <f t="shared" si="21"/>
        <v>57.36656689534607</v>
      </c>
      <c r="S54" s="20">
        <f t="shared" si="22"/>
        <v>54.7790304633537</v>
      </c>
      <c r="T54" s="20">
        <f t="shared" si="23"/>
        <v>55.51343833402248</v>
      </c>
      <c r="V54" s="20"/>
      <c r="W54" s="20"/>
    </row>
    <row r="55" spans="1:23" ht="17.25">
      <c r="A55" t="str">
        <f t="shared" si="9"/>
        <v>May</v>
      </c>
      <c r="B55" s="29"/>
      <c r="C55" s="20">
        <v>1309.19</v>
      </c>
      <c r="D55" s="20">
        <v>3038.15</v>
      </c>
      <c r="E55" s="134">
        <f t="shared" si="14"/>
        <v>4347.34</v>
      </c>
      <c r="F55" s="136"/>
      <c r="G55" s="43">
        <f t="shared" si="10"/>
        <v>95585.083384429</v>
      </c>
      <c r="H55" s="43">
        <f t="shared" si="11"/>
        <v>221817.93405418843</v>
      </c>
      <c r="I55" s="45"/>
      <c r="J55" s="133">
        <f t="shared" si="15"/>
        <v>317403.0174386174</v>
      </c>
      <c r="L55" s="125">
        <f t="shared" si="20"/>
        <v>73.01085662465265</v>
      </c>
      <c r="N55" s="99">
        <f>+'Customer Counts'!D25+'Customer Counts'!F25</f>
        <v>37895</v>
      </c>
      <c r="O55" s="106">
        <f>+'Customer Counts'!G25+'Customer Counts'!H25</f>
        <v>95598</v>
      </c>
      <c r="P55" s="99">
        <f t="shared" si="16"/>
        <v>133493</v>
      </c>
      <c r="R55" s="20">
        <f t="shared" si="21"/>
        <v>69.09565905792321</v>
      </c>
      <c r="S55" s="20">
        <f t="shared" si="22"/>
        <v>63.560953158015856</v>
      </c>
      <c r="T55" s="20">
        <f t="shared" si="23"/>
        <v>65.13210430509464</v>
      </c>
      <c r="V55" s="20"/>
      <c r="W55" s="20"/>
    </row>
    <row r="56" spans="1:23" ht="17.25">
      <c r="A56" t="str">
        <f t="shared" si="9"/>
        <v>Jun</v>
      </c>
      <c r="B56" s="29"/>
      <c r="C56" s="20">
        <v>1204.14</v>
      </c>
      <c r="D56" s="20">
        <v>3102.73</v>
      </c>
      <c r="E56" s="134">
        <f t="shared" si="14"/>
        <v>4306.87</v>
      </c>
      <c r="F56" s="136"/>
      <c r="G56" s="43">
        <f t="shared" si="10"/>
        <v>111832.00513797623</v>
      </c>
      <c r="H56" s="43">
        <f t="shared" si="11"/>
        <v>288159.61375068757</v>
      </c>
      <c r="I56" s="45"/>
      <c r="J56" s="133">
        <f t="shared" si="15"/>
        <v>399991.6188886638</v>
      </c>
      <c r="L56" s="125">
        <f t="shared" si="20"/>
        <v>92.87292602021046</v>
      </c>
      <c r="N56" s="99">
        <f>+'Customer Counts'!D26+'Customer Counts'!F26</f>
        <v>37983</v>
      </c>
      <c r="O56" s="106">
        <f>+'Customer Counts'!G26+'Customer Counts'!H26</f>
        <v>95909</v>
      </c>
      <c r="P56" s="99">
        <f t="shared" si="16"/>
        <v>133892</v>
      </c>
      <c r="R56" s="20">
        <f t="shared" si="21"/>
        <v>63.404154490166654</v>
      </c>
      <c r="S56" s="20">
        <f t="shared" si="22"/>
        <v>64.70154000145972</v>
      </c>
      <c r="T56" s="20">
        <f t="shared" si="23"/>
        <v>64.33349266573059</v>
      </c>
      <c r="V56" s="20"/>
      <c r="W56" s="20"/>
    </row>
    <row r="57" spans="1:23" ht="17.25">
      <c r="A57" t="str">
        <f t="shared" si="9"/>
        <v>Jul</v>
      </c>
      <c r="B57" s="29"/>
      <c r="C57" s="20">
        <v>1190.02</v>
      </c>
      <c r="D57" s="20">
        <v>2862.28</v>
      </c>
      <c r="E57" s="134">
        <f t="shared" si="14"/>
        <v>4052.3</v>
      </c>
      <c r="F57" s="136"/>
      <c r="G57" s="43">
        <f t="shared" si="10"/>
        <v>119996.35285935363</v>
      </c>
      <c r="H57" s="43">
        <f t="shared" si="11"/>
        <v>288619.6541757876</v>
      </c>
      <c r="I57" s="45"/>
      <c r="J57" s="133">
        <f t="shared" si="15"/>
        <v>408616.0070351412</v>
      </c>
      <c r="L57" s="125">
        <f t="shared" si="20"/>
        <v>100.83557659480819</v>
      </c>
      <c r="N57" s="99">
        <f>+'Customer Counts'!D27+'Customer Counts'!F27</f>
        <v>38045</v>
      </c>
      <c r="O57" s="106">
        <f>+'Customer Counts'!G27+'Customer Counts'!H27</f>
        <v>96141</v>
      </c>
      <c r="P57" s="99">
        <f t="shared" si="16"/>
        <v>134186</v>
      </c>
      <c r="R57" s="20">
        <f t="shared" si="21"/>
        <v>62.55854908660796</v>
      </c>
      <c r="S57" s="20">
        <f t="shared" si="22"/>
        <v>59.54337899543379</v>
      </c>
      <c r="T57" s="20">
        <f t="shared" si="23"/>
        <v>60.398253170971635</v>
      </c>
      <c r="V57" s="20"/>
      <c r="W57" s="20"/>
    </row>
    <row r="58" spans="1:23" ht="17.25">
      <c r="A58" t="str">
        <f t="shared" si="9"/>
        <v>Aug</v>
      </c>
      <c r="B58" s="29"/>
      <c r="C58" s="20">
        <v>1215</v>
      </c>
      <c r="D58" s="20">
        <v>2861.92</v>
      </c>
      <c r="E58" s="134">
        <f t="shared" si="14"/>
        <v>4076.92</v>
      </c>
      <c r="F58" s="136"/>
      <c r="G58" s="43">
        <f t="shared" si="10"/>
        <v>111853.84544259391</v>
      </c>
      <c r="H58" s="43">
        <f t="shared" si="11"/>
        <v>263470.5821803032</v>
      </c>
      <c r="I58" s="45"/>
      <c r="J58" s="133">
        <f t="shared" si="15"/>
        <v>375324.4276228971</v>
      </c>
      <c r="L58" s="125">
        <f t="shared" si="20"/>
        <v>92.0607781420526</v>
      </c>
      <c r="N58" s="99">
        <f>+'Customer Counts'!D28+'Customer Counts'!F28</f>
        <v>38106</v>
      </c>
      <c r="O58" s="106">
        <f>+'Customer Counts'!G28+'Customer Counts'!H28</f>
        <v>96552</v>
      </c>
      <c r="P58" s="99">
        <f t="shared" si="16"/>
        <v>134658</v>
      </c>
      <c r="R58" s="20">
        <f t="shared" si="21"/>
        <v>63.769485120453474</v>
      </c>
      <c r="S58" s="20">
        <f t="shared" si="22"/>
        <v>59.28245919297373</v>
      </c>
      <c r="T58" s="20">
        <f t="shared" si="23"/>
        <v>60.55221375633085</v>
      </c>
      <c r="V58" s="20"/>
      <c r="W58" s="20"/>
    </row>
    <row r="59" spans="1:23" ht="17.25">
      <c r="A59" t="str">
        <f t="shared" si="9"/>
        <v>Sep</v>
      </c>
      <c r="B59" s="29"/>
      <c r="C59" s="156">
        <v>1183.14</v>
      </c>
      <c r="D59" s="156">
        <v>2807.1</v>
      </c>
      <c r="E59" s="137">
        <f t="shared" si="14"/>
        <v>3990.24</v>
      </c>
      <c r="F59" s="136"/>
      <c r="G59" s="45">
        <f t="shared" si="10"/>
        <v>76672.42231923911</v>
      </c>
      <c r="H59" s="45">
        <f t="shared" si="11"/>
        <v>181911.82505226438</v>
      </c>
      <c r="I59" s="45"/>
      <c r="J59" s="138">
        <f t="shared" si="15"/>
        <v>258584.2473715035</v>
      </c>
      <c r="L59" s="128">
        <f t="shared" si="20"/>
        <v>64.80418405196266</v>
      </c>
      <c r="N59" s="129">
        <f>+'Customer Counts'!D29+'Customer Counts'!F29</f>
        <v>38139</v>
      </c>
      <c r="O59" s="477">
        <f>+'Customer Counts'!G29+'Customer Counts'!H29</f>
        <v>97314</v>
      </c>
      <c r="P59" s="129">
        <f t="shared" si="16"/>
        <v>135453</v>
      </c>
      <c r="R59" s="156">
        <f t="shared" si="21"/>
        <v>62.043577440415326</v>
      </c>
      <c r="S59" s="156">
        <f t="shared" si="22"/>
        <v>57.69159627597262</v>
      </c>
      <c r="T59" s="156">
        <f t="shared" si="23"/>
        <v>58.91696750902527</v>
      </c>
      <c r="V59" s="156"/>
      <c r="W59" s="156"/>
    </row>
    <row r="60" spans="3:20" ht="17.25">
      <c r="C60" s="27">
        <f>SUM(C36:C59)</f>
        <v>28835.890000000003</v>
      </c>
      <c r="D60" s="27">
        <f>SUM(D36:D59)</f>
        <v>69303.51000000001</v>
      </c>
      <c r="E60" s="27">
        <f>SUM(E36:E59)</f>
        <v>98139.40000000001</v>
      </c>
      <c r="F60" s="27"/>
      <c r="G60" s="130">
        <f>SUM(G36:G59)</f>
        <v>2122179.807110357</v>
      </c>
      <c r="H60" s="130">
        <f>SUM(H36:H59)</f>
        <v>5106063.886518807</v>
      </c>
      <c r="I60" s="27"/>
      <c r="J60" s="130">
        <f>SUM(J36:J59)</f>
        <v>7228243.693629163</v>
      </c>
      <c r="K60" s="27"/>
      <c r="L60" s="131">
        <f>+J60/E60</f>
        <v>73.65282132995681</v>
      </c>
      <c r="M60" s="27"/>
      <c r="N60" s="37">
        <f>SUM(N36:N59)</f>
        <v>900766</v>
      </c>
      <c r="O60" s="37">
        <f>SUM(O36:O59)</f>
        <v>2254291</v>
      </c>
      <c r="P60" s="37">
        <f>SUM(P36:P59)</f>
        <v>3155057</v>
      </c>
      <c r="R60" s="27">
        <f>+C60*2000/N60</f>
        <v>64.02526294287307</v>
      </c>
      <c r="S60" s="27">
        <f>+D60*2000/O60</f>
        <v>61.48585963391595</v>
      </c>
      <c r="T60" s="27">
        <f>+E60*2000/P60</f>
        <v>62.210857046322786</v>
      </c>
    </row>
    <row r="62" spans="1:20" s="95" customFormat="1" ht="17.25">
      <c r="A62" s="139" t="s">
        <v>143</v>
      </c>
      <c r="C62" s="140">
        <f>+C67/24*24</f>
        <v>28764</v>
      </c>
      <c r="D62" s="140">
        <f>+D67/24*24</f>
        <v>66420</v>
      </c>
      <c r="E62" s="141">
        <f>+D62+C62</f>
        <v>95184</v>
      </c>
      <c r="G62" s="142">
        <f>+G67/24*24</f>
        <v>2332800</v>
      </c>
      <c r="H62" s="142">
        <f>+H67/24*24</f>
        <v>5403200</v>
      </c>
      <c r="I62" s="142"/>
      <c r="J62" s="143">
        <f>+H62+G62</f>
        <v>7736000</v>
      </c>
      <c r="L62" s="144">
        <f>+J62/E62</f>
        <v>81.2741637249958</v>
      </c>
      <c r="N62" s="145">
        <f>+N67/24*24</f>
        <v>891936</v>
      </c>
      <c r="O62" s="145">
        <f>+O67/24*24</f>
        <v>2189040</v>
      </c>
      <c r="P62" s="145">
        <f>+O62+N62</f>
        <v>3080976</v>
      </c>
      <c r="R62" s="141">
        <f>+C62*2000/N62</f>
        <v>64.49790119470455</v>
      </c>
      <c r="S62" s="141">
        <f>+D62*2000/O62</f>
        <v>60.68413551145708</v>
      </c>
      <c r="T62" s="141">
        <f>+E62*2000/P62</f>
        <v>61.78821256640753</v>
      </c>
    </row>
    <row r="63" ht="12.75">
      <c r="A63" s="146"/>
    </row>
    <row r="64" spans="1:20" s="96" customFormat="1" ht="17.25">
      <c r="A64" s="96" t="s">
        <v>124</v>
      </c>
      <c r="C64" s="27">
        <f>+C60-C62</f>
        <v>71.89000000000306</v>
      </c>
      <c r="D64" s="27">
        <f>+D60-D62</f>
        <v>2883.5100000000093</v>
      </c>
      <c r="E64" s="27">
        <f>+E60-E62</f>
        <v>2955.4000000000087</v>
      </c>
      <c r="F64" s="27"/>
      <c r="G64" s="130">
        <f>+G60-G62</f>
        <v>-210620.1928896429</v>
      </c>
      <c r="H64" s="130">
        <f>+H60-H62</f>
        <v>-297136.11348119285</v>
      </c>
      <c r="I64" s="130"/>
      <c r="J64" s="130">
        <f>+J60-J62</f>
        <v>-507756.3063708367</v>
      </c>
      <c r="K64" s="27"/>
      <c r="L64" s="27">
        <f>+L60-L62</f>
        <v>-7.621342395038994</v>
      </c>
      <c r="M64" s="27"/>
      <c r="N64" s="37">
        <f>+N60-N62</f>
        <v>8830</v>
      </c>
      <c r="O64" s="37">
        <f>+O60-O62</f>
        <v>65251</v>
      </c>
      <c r="P64" s="37">
        <f>+P60-P62</f>
        <v>74081</v>
      </c>
      <c r="Q64" s="27"/>
      <c r="R64" s="27">
        <f>+R60-R62</f>
        <v>-0.47263825183148356</v>
      </c>
      <c r="S64" s="27">
        <f>+S60-S62</f>
        <v>0.8017241224588716</v>
      </c>
      <c r="T64" s="27">
        <f>+T60-T62</f>
        <v>0.422644479915256</v>
      </c>
    </row>
    <row r="65" spans="3:20" ht="12.75">
      <c r="C65" s="118">
        <f>+C64/C62</f>
        <v>0.002499304686413679</v>
      </c>
      <c r="D65" s="118">
        <f>+D64/D62</f>
        <v>0.04341327913279147</v>
      </c>
      <c r="E65" s="118">
        <f>+E64/E62</f>
        <v>0.031049336022861078</v>
      </c>
      <c r="F65" s="118"/>
      <c r="G65" s="118">
        <f>+G64/G62</f>
        <v>-0.09028643385187024</v>
      </c>
      <c r="H65" s="118">
        <f>+H64/H62</f>
        <v>-0.0549926179821574</v>
      </c>
      <c r="I65" s="118"/>
      <c r="J65" s="118">
        <f>+J64/J62</f>
        <v>-0.06563551013066658</v>
      </c>
      <c r="L65" s="118">
        <f>+L64/L62</f>
        <v>-0.09377324903430605</v>
      </c>
      <c r="M65" s="118"/>
      <c r="N65" s="118">
        <f>+N64/N62</f>
        <v>0.009899813439529294</v>
      </c>
      <c r="O65" s="118">
        <f>+O64/O62</f>
        <v>0.029808043708657677</v>
      </c>
      <c r="P65" s="118">
        <f>+P64/P62</f>
        <v>0.024044653382564486</v>
      </c>
      <c r="Q65" s="118"/>
      <c r="R65" s="118">
        <f>+R64/R62</f>
        <v>-0.007327963283715167</v>
      </c>
      <c r="S65" s="118">
        <f>+S64/S62</f>
        <v>0.013211428583464078</v>
      </c>
      <c r="T65" s="118">
        <f>+T64/T62</f>
        <v>0.006840212111023837</v>
      </c>
    </row>
    <row r="67" spans="1:20" s="95" customFormat="1" ht="17.25">
      <c r="A67" s="139" t="s">
        <v>144</v>
      </c>
      <c r="C67" s="140">
        <f>+'KC 2016-2017 Budget'!D12</f>
        <v>28764</v>
      </c>
      <c r="D67" s="140">
        <f>+'SC 2016-2017 Budget'!D11</f>
        <v>66420</v>
      </c>
      <c r="E67" s="141">
        <f>+D67+C67</f>
        <v>95184</v>
      </c>
      <c r="G67" s="142">
        <f>+'KC 2016-2017 Budget'!D16</f>
        <v>2332800</v>
      </c>
      <c r="H67" s="142">
        <f>+'SC 2016-2017 Budget'!D15</f>
        <v>5403200</v>
      </c>
      <c r="I67" s="142"/>
      <c r="J67" s="143">
        <f>+H67+G67</f>
        <v>7736000</v>
      </c>
      <c r="L67" s="144">
        <f>+J67/E67</f>
        <v>81.2741637249958</v>
      </c>
      <c r="N67" s="145">
        <f>+'KC 2016-2017 Budget'!D8*24</f>
        <v>891936</v>
      </c>
      <c r="O67" s="145">
        <f>+'SC 2016-2017 Budget'!D7*24</f>
        <v>2189040</v>
      </c>
      <c r="P67" s="145">
        <f>+O67+N67</f>
        <v>3080976</v>
      </c>
      <c r="R67" s="141">
        <f>+R62</f>
        <v>64.49790119470455</v>
      </c>
      <c r="S67" s="141">
        <f>+S62</f>
        <v>60.68413551145708</v>
      </c>
      <c r="T67" s="141">
        <f>+T62</f>
        <v>61.78821256640753</v>
      </c>
    </row>
    <row r="68" spans="1:20" s="95" customFormat="1" ht="17.25">
      <c r="A68" s="139"/>
      <c r="C68" s="140"/>
      <c r="D68" s="140"/>
      <c r="E68" s="141"/>
      <c r="G68" s="142"/>
      <c r="H68" s="142"/>
      <c r="I68" s="142"/>
      <c r="J68" s="143"/>
      <c r="L68" s="144"/>
      <c r="N68" s="145"/>
      <c r="O68" s="145"/>
      <c r="P68" s="145"/>
      <c r="R68" s="141"/>
      <c r="S68" s="141"/>
      <c r="T68" s="141"/>
    </row>
    <row r="69" spans="1:20" s="95" customFormat="1" ht="17.25">
      <c r="A69" s="161" t="s">
        <v>145</v>
      </c>
      <c r="C69" s="140"/>
      <c r="D69" s="140"/>
      <c r="E69" s="141"/>
      <c r="G69" s="159">
        <f>+G73*G62</f>
        <v>1108080</v>
      </c>
      <c r="H69" s="159">
        <f>+H73*H62</f>
        <v>2431440</v>
      </c>
      <c r="I69" s="142"/>
      <c r="J69" s="160">
        <f>+H69+G69</f>
        <v>3539520</v>
      </c>
      <c r="L69" s="144"/>
      <c r="N69" s="145"/>
      <c r="O69" s="145"/>
      <c r="P69" s="145"/>
      <c r="R69" s="141"/>
      <c r="S69" s="141"/>
      <c r="T69" s="141"/>
    </row>
    <row r="70" spans="1:20" s="95" customFormat="1" ht="17.25">
      <c r="A70" s="139"/>
      <c r="C70" s="140"/>
      <c r="D70" s="140"/>
      <c r="E70" s="141"/>
      <c r="G70" s="142"/>
      <c r="H70" s="142"/>
      <c r="I70" s="142"/>
      <c r="J70" s="143"/>
      <c r="L70" s="144"/>
      <c r="N70" s="145"/>
      <c r="O70" s="145"/>
      <c r="P70" s="145"/>
      <c r="R70" s="141"/>
      <c r="S70" s="141"/>
      <c r="T70" s="141"/>
    </row>
    <row r="71" spans="1:20" s="95" customFormat="1" ht="17.25">
      <c r="A71" s="161" t="s">
        <v>141</v>
      </c>
      <c r="C71" s="140"/>
      <c r="D71" s="140"/>
      <c r="E71" s="141"/>
      <c r="G71" s="159">
        <f>+G69*G65</f>
        <v>-100044.59162258038</v>
      </c>
      <c r="H71" s="159">
        <f>+H69*H65</f>
        <v>-133711.2510665368</v>
      </c>
      <c r="I71" s="159"/>
      <c r="J71" s="160">
        <f>+H71+G71</f>
        <v>-233755.84268911718</v>
      </c>
      <c r="L71" s="144"/>
      <c r="N71" s="145"/>
      <c r="O71" s="145"/>
      <c r="P71" s="145"/>
      <c r="R71" s="141"/>
      <c r="S71" s="141"/>
      <c r="T71" s="141"/>
    </row>
    <row r="72" spans="1:20" s="95" customFormat="1" ht="17.25">
      <c r="A72" s="139"/>
      <c r="C72" s="140"/>
      <c r="D72" s="140"/>
      <c r="E72" s="141"/>
      <c r="G72" s="142"/>
      <c r="H72" s="142"/>
      <c r="I72" s="142"/>
      <c r="J72" s="143"/>
      <c r="L72" s="144"/>
      <c r="N72" s="145"/>
      <c r="O72" s="145"/>
      <c r="P72" s="145"/>
      <c r="R72" s="141"/>
      <c r="S72" s="141"/>
      <c r="T72" s="141"/>
    </row>
    <row r="73" spans="1:20" s="95" customFormat="1" ht="17.25">
      <c r="A73" s="161" t="s">
        <v>140</v>
      </c>
      <c r="C73" s="140"/>
      <c r="D73" s="140"/>
      <c r="E73" s="141"/>
      <c r="G73" s="162">
        <f>+'KC 2016-2017 Budget'!C19</f>
        <v>0.475</v>
      </c>
      <c r="H73" s="162">
        <f>+'SC 2016-2017 Budget'!C18</f>
        <v>0.45</v>
      </c>
      <c r="I73" s="142"/>
      <c r="J73" s="143"/>
      <c r="L73" s="144"/>
      <c r="N73" s="145"/>
      <c r="O73" s="145"/>
      <c r="P73" s="145"/>
      <c r="R73" s="141"/>
      <c r="S73" s="141"/>
      <c r="T73" s="141"/>
    </row>
    <row r="74" spans="1:20" s="95" customFormat="1" ht="17.25">
      <c r="A74" s="161"/>
      <c r="C74" s="140"/>
      <c r="D74" s="140"/>
      <c r="E74" s="141"/>
      <c r="G74" s="162"/>
      <c r="H74" s="162"/>
      <c r="I74" s="142"/>
      <c r="J74" s="143"/>
      <c r="L74" s="144"/>
      <c r="N74" s="145"/>
      <c r="O74" s="145"/>
      <c r="P74" s="145"/>
      <c r="R74" s="141"/>
      <c r="S74" s="141"/>
      <c r="T74" s="141"/>
    </row>
    <row r="75" spans="1:20" s="95" customFormat="1" ht="17.25">
      <c r="A75" s="161" t="s">
        <v>153</v>
      </c>
      <c r="C75" s="140"/>
      <c r="D75" s="140"/>
      <c r="E75" s="141"/>
      <c r="G75" s="164">
        <f>+G73*G67</f>
        <v>1108080</v>
      </c>
      <c r="H75" s="164">
        <f>+H73*H67</f>
        <v>2431440</v>
      </c>
      <c r="I75" s="164"/>
      <c r="J75" s="164">
        <f>+H75+G75</f>
        <v>3539520</v>
      </c>
      <c r="K75" s="163"/>
      <c r="L75" s="144"/>
      <c r="N75" s="145"/>
      <c r="O75" s="145"/>
      <c r="P75" s="145"/>
      <c r="R75" s="141"/>
      <c r="S75" s="141"/>
      <c r="T75" s="141"/>
    </row>
    <row r="76" spans="1:20" s="95" customFormat="1" ht="17.25">
      <c r="A76" s="161" t="s">
        <v>142</v>
      </c>
      <c r="C76" s="140"/>
      <c r="D76" s="140"/>
      <c r="E76" s="141"/>
      <c r="G76" s="167">
        <f>+G71/24*24</f>
        <v>-100044.59162258037</v>
      </c>
      <c r="H76" s="167">
        <f>+H71/24*24</f>
        <v>-133711.2510665368</v>
      </c>
      <c r="I76" s="168"/>
      <c r="J76" s="169">
        <f>+H76+G76</f>
        <v>-233755.84268911715</v>
      </c>
      <c r="L76" s="144"/>
      <c r="N76" s="145"/>
      <c r="O76" s="145"/>
      <c r="P76" s="145"/>
      <c r="R76" s="141"/>
      <c r="S76" s="141"/>
      <c r="T76" s="141"/>
    </row>
    <row r="77" spans="1:20" s="95" customFormat="1" ht="17.25">
      <c r="A77" s="161"/>
      <c r="B77" s="161" t="s">
        <v>154</v>
      </c>
      <c r="C77" s="140"/>
      <c r="D77" s="140"/>
      <c r="E77" s="141"/>
      <c r="G77" s="159">
        <f>SUM(G75:G76)</f>
        <v>1008035.4083774197</v>
      </c>
      <c r="H77" s="159">
        <f>SUM(H75:H76)</f>
        <v>2297728.7489334634</v>
      </c>
      <c r="I77" s="159"/>
      <c r="J77" s="159">
        <f>SUM(J75:J76)</f>
        <v>3305764.157310883</v>
      </c>
      <c r="L77" s="144"/>
      <c r="N77" s="145"/>
      <c r="O77" s="145"/>
      <c r="P77" s="145"/>
      <c r="R77" s="141"/>
      <c r="S77" s="141"/>
      <c r="T77" s="141"/>
    </row>
    <row r="78" spans="1:20" s="95" customFormat="1" ht="17.25">
      <c r="A78" s="161"/>
      <c r="C78" s="140"/>
      <c r="D78" s="140"/>
      <c r="E78" s="141"/>
      <c r="G78" s="159"/>
      <c r="H78" s="159"/>
      <c r="I78" s="142"/>
      <c r="J78" s="160"/>
      <c r="L78" s="144"/>
      <c r="N78" s="145"/>
      <c r="O78" s="145"/>
      <c r="P78" s="145"/>
      <c r="R78" s="141"/>
      <c r="S78" s="141"/>
      <c r="T78" s="141"/>
    </row>
    <row r="79" spans="1:20" s="95" customFormat="1" ht="17.25">
      <c r="A79" s="161" t="s">
        <v>147</v>
      </c>
      <c r="C79" s="140"/>
      <c r="D79" s="140"/>
      <c r="E79" s="141"/>
      <c r="G79" s="164">
        <f>+'KC 2016-2017 Budget'!D34</f>
        <v>1265500</v>
      </c>
      <c r="H79" s="164">
        <f>+'SC 2016-2017 Budget'!D38</f>
        <v>2195100</v>
      </c>
      <c r="I79" s="165"/>
      <c r="J79" s="166">
        <f>+H79+G79</f>
        <v>3460600</v>
      </c>
      <c r="L79" s="144"/>
      <c r="N79" s="145"/>
      <c r="O79" s="145"/>
      <c r="P79" s="145"/>
      <c r="R79" s="141"/>
      <c r="S79" s="141"/>
      <c r="T79" s="141"/>
    </row>
    <row r="80" spans="1:20" s="95" customFormat="1" ht="17.25">
      <c r="A80" s="161" t="s">
        <v>149</v>
      </c>
      <c r="C80" s="140"/>
      <c r="D80" s="140"/>
      <c r="E80" s="141"/>
      <c r="G80" s="167">
        <f>+G79*G65-G82</f>
        <v>-169078.55432337313</v>
      </c>
      <c r="H80" s="167">
        <f>+H79*H65-H82</f>
        <v>-219494.56736441306</v>
      </c>
      <c r="I80" s="168"/>
      <c r="J80" s="169">
        <f>+H80+G80</f>
        <v>-388573.1216877862</v>
      </c>
      <c r="L80" s="144"/>
      <c r="N80" s="145"/>
      <c r="O80" s="145"/>
      <c r="P80" s="145"/>
      <c r="R80" s="141"/>
      <c r="S80" s="141"/>
      <c r="T80" s="141"/>
    </row>
    <row r="81" spans="1:20" s="95" customFormat="1" ht="17.25">
      <c r="A81" s="161" t="s">
        <v>150</v>
      </c>
      <c r="C81" s="140"/>
      <c r="D81" s="140"/>
      <c r="E81" s="141"/>
      <c r="G81" s="164">
        <f>SUM(G79:G80)</f>
        <v>1096421.4456766269</v>
      </c>
      <c r="H81" s="164">
        <f>SUM(H79:H80)</f>
        <v>1975605.432635587</v>
      </c>
      <c r="I81" s="164"/>
      <c r="J81" s="164">
        <f>SUM(J79:J80)</f>
        <v>3072026.878312214</v>
      </c>
      <c r="L81" s="144"/>
      <c r="N81" s="145"/>
      <c r="O81" s="145"/>
      <c r="P81" s="145"/>
      <c r="R81" s="141"/>
      <c r="S81" s="141"/>
      <c r="T81" s="141"/>
    </row>
    <row r="82" spans="1:20" s="95" customFormat="1" ht="17.25">
      <c r="A82" s="161" t="s">
        <v>151</v>
      </c>
      <c r="C82" s="140"/>
      <c r="D82" s="140"/>
      <c r="E82" s="141"/>
      <c r="G82" s="167">
        <f>+G81*0.05</f>
        <v>54821.072283831345</v>
      </c>
      <c r="H82" s="167">
        <f>+H81*0.05</f>
        <v>98780.27163177935</v>
      </c>
      <c r="I82" s="167"/>
      <c r="J82" s="167">
        <f>+H82+G82</f>
        <v>153601.3439156107</v>
      </c>
      <c r="L82" s="144"/>
      <c r="N82" s="145"/>
      <c r="O82" s="145"/>
      <c r="P82" s="145"/>
      <c r="R82" s="141"/>
      <c r="S82" s="141"/>
      <c r="T82" s="141"/>
    </row>
    <row r="83" spans="1:20" s="95" customFormat="1" ht="17.25">
      <c r="A83" s="139"/>
      <c r="B83" s="161" t="s">
        <v>152</v>
      </c>
      <c r="C83" s="140"/>
      <c r="D83" s="140"/>
      <c r="E83" s="141"/>
      <c r="G83" s="159">
        <f>+G82+G81</f>
        <v>1151242.5179604583</v>
      </c>
      <c r="H83" s="159">
        <f>+H82+H81</f>
        <v>2074385.7042673663</v>
      </c>
      <c r="I83" s="159"/>
      <c r="J83" s="159">
        <f>+J82+J81</f>
        <v>3225628.2222278244</v>
      </c>
      <c r="L83" s="144"/>
      <c r="N83" s="145"/>
      <c r="O83" s="145"/>
      <c r="P83" s="145"/>
      <c r="R83" s="141"/>
      <c r="S83" s="141"/>
      <c r="T83" s="141"/>
    </row>
    <row r="84" spans="1:20" s="95" customFormat="1" ht="17.25">
      <c r="A84" s="139"/>
      <c r="C84" s="140"/>
      <c r="D84" s="140"/>
      <c r="E84" s="141"/>
      <c r="G84" s="159"/>
      <c r="H84" s="159"/>
      <c r="I84" s="159"/>
      <c r="J84" s="159"/>
      <c r="L84" s="144"/>
      <c r="N84" s="145"/>
      <c r="O84" s="145"/>
      <c r="P84" s="145"/>
      <c r="R84" s="141"/>
      <c r="S84" s="141"/>
      <c r="T84" s="141"/>
    </row>
    <row r="85" spans="1:8" ht="15">
      <c r="A85" s="97" t="s">
        <v>125</v>
      </c>
      <c r="H85" s="42"/>
    </row>
    <row r="86" spans="1:16" ht="15">
      <c r="A86" s="97"/>
      <c r="E86" s="13" t="s">
        <v>100</v>
      </c>
      <c r="G86" s="13" t="s">
        <v>100</v>
      </c>
      <c r="N86" s="13" t="s">
        <v>100</v>
      </c>
      <c r="O86" s="13" t="s">
        <v>100</v>
      </c>
      <c r="P86" s="13" t="s">
        <v>69</v>
      </c>
    </row>
    <row r="87" spans="1:16" ht="15">
      <c r="A87" s="97"/>
      <c r="C87" s="11"/>
      <c r="D87" s="13" t="s">
        <v>15</v>
      </c>
      <c r="E87" s="13" t="s">
        <v>116</v>
      </c>
      <c r="G87" s="13" t="s">
        <v>54</v>
      </c>
      <c r="L87" s="13" t="s">
        <v>15</v>
      </c>
      <c r="N87" s="13" t="s">
        <v>116</v>
      </c>
      <c r="O87" s="13" t="s">
        <v>54</v>
      </c>
      <c r="P87" s="13" t="s">
        <v>119</v>
      </c>
    </row>
    <row r="88" spans="1:16" ht="15">
      <c r="A88" s="97"/>
      <c r="C88" s="14" t="s">
        <v>17</v>
      </c>
      <c r="D88" s="14" t="s">
        <v>18</v>
      </c>
      <c r="E88" s="14" t="s">
        <v>16</v>
      </c>
      <c r="G88" s="14" t="s">
        <v>16</v>
      </c>
      <c r="H88" s="14" t="s">
        <v>100</v>
      </c>
      <c r="I88" s="14"/>
      <c r="J88" s="14" t="s">
        <v>17</v>
      </c>
      <c r="L88" s="14" t="s">
        <v>18</v>
      </c>
      <c r="N88" s="14" t="s">
        <v>16</v>
      </c>
      <c r="O88" s="14" t="s">
        <v>16</v>
      </c>
      <c r="P88" s="14" t="s">
        <v>120</v>
      </c>
    </row>
    <row r="89" spans="1:23" ht="15">
      <c r="A89" t="str">
        <f aca="true" t="shared" si="24" ref="A89:A112">+A36</f>
        <v>Oct., 2015</v>
      </c>
      <c r="C89" s="464">
        <v>606.37</v>
      </c>
      <c r="D89" s="464">
        <v>456.52</v>
      </c>
      <c r="E89" s="465">
        <f>+D89+C89</f>
        <v>1062.8899999999999</v>
      </c>
      <c r="F89" s="446"/>
      <c r="G89" s="464">
        <v>2535.7</v>
      </c>
      <c r="H89" s="20">
        <f aca="true" t="shared" si="25" ref="H89:H112">+G89+E89</f>
        <v>3598.5899999999997</v>
      </c>
      <c r="I89" s="20"/>
      <c r="J89" s="43">
        <f aca="true" t="shared" si="26" ref="J89:J112">+C89/E89*N89</f>
        <v>39403.065437002995</v>
      </c>
      <c r="L89" s="43">
        <f>+N89-J89</f>
        <v>29665.53001187493</v>
      </c>
      <c r="N89" s="43">
        <f aca="true" t="shared" si="27" ref="N89:N100">+E89/C8*G8</f>
        <v>69068.59544887792</v>
      </c>
      <c r="O89" s="43">
        <f aca="true" t="shared" si="28" ref="O89:O100">+G89/D8*H8</f>
        <v>164774.56508172973</v>
      </c>
      <c r="P89" s="125">
        <f aca="true" t="shared" si="29" ref="P89:P96">(O89+N89)/H89</f>
        <v>64.98188471890593</v>
      </c>
      <c r="Q89" s="43"/>
      <c r="S89" s="98"/>
      <c r="T89" s="464"/>
      <c r="V89" s="464"/>
      <c r="W89" s="464"/>
    </row>
    <row r="90" spans="1:23" ht="15">
      <c r="A90" t="str">
        <f t="shared" si="24"/>
        <v>Nov</v>
      </c>
      <c r="C90" s="464">
        <v>664.76</v>
      </c>
      <c r="D90" s="464">
        <v>443.04</v>
      </c>
      <c r="E90" s="20">
        <f aca="true" t="shared" si="30" ref="E90:E112">+D90+C90</f>
        <v>1107.8</v>
      </c>
      <c r="G90" s="464">
        <v>2529.49</v>
      </c>
      <c r="H90" s="20">
        <f t="shared" si="25"/>
        <v>3637.29</v>
      </c>
      <c r="I90" s="20"/>
      <c r="J90" s="43">
        <f t="shared" si="26"/>
        <v>34892.666394701715</v>
      </c>
      <c r="L90" s="43">
        <f aca="true" t="shared" si="31" ref="L90:L111">+N90-J90</f>
        <v>23254.779047338357</v>
      </c>
      <c r="N90" s="43">
        <f t="shared" si="27"/>
        <v>58147.44544204007</v>
      </c>
      <c r="O90" s="43">
        <f t="shared" si="28"/>
        <v>132770.70028090442</v>
      </c>
      <c r="P90" s="125">
        <f t="shared" si="29"/>
        <v>52.489118470879276</v>
      </c>
      <c r="Q90" s="43"/>
      <c r="S90" s="98"/>
      <c r="T90" s="464"/>
      <c r="V90" s="464"/>
      <c r="W90" s="464"/>
    </row>
    <row r="91" spans="1:23" ht="15">
      <c r="A91" t="str">
        <f t="shared" si="24"/>
        <v>Dec</v>
      </c>
      <c r="C91" s="464">
        <v>762.02</v>
      </c>
      <c r="D91" s="464">
        <v>483.44</v>
      </c>
      <c r="E91" s="20">
        <f t="shared" si="30"/>
        <v>1245.46</v>
      </c>
      <c r="G91" s="464">
        <v>3154.61</v>
      </c>
      <c r="H91" s="20">
        <f t="shared" si="25"/>
        <v>4400.07</v>
      </c>
      <c r="I91" s="20"/>
      <c r="J91" s="43">
        <f t="shared" si="26"/>
        <v>39690.33486186579</v>
      </c>
      <c r="L91" s="43">
        <f t="shared" si="31"/>
        <v>25180.30430385082</v>
      </c>
      <c r="N91" s="43">
        <f t="shared" si="27"/>
        <v>64870.63916571661</v>
      </c>
      <c r="O91" s="43">
        <f t="shared" si="28"/>
        <v>164310.02763522015</v>
      </c>
      <c r="P91" s="125">
        <f t="shared" si="29"/>
        <v>52.085686546108754</v>
      </c>
      <c r="Q91" s="43"/>
      <c r="S91" s="98"/>
      <c r="T91" s="464"/>
      <c r="V91" s="464"/>
      <c r="W91" s="464"/>
    </row>
    <row r="92" spans="1:23" ht="15">
      <c r="A92" t="str">
        <f t="shared" si="24"/>
        <v>Jan., 2016</v>
      </c>
      <c r="C92" s="464">
        <v>713.99</v>
      </c>
      <c r="D92" s="464">
        <v>450.32</v>
      </c>
      <c r="E92" s="20">
        <f t="shared" si="30"/>
        <v>1164.31</v>
      </c>
      <c r="G92" s="464">
        <v>2859.05</v>
      </c>
      <c r="H92" s="132">
        <f t="shared" si="25"/>
        <v>4023.36</v>
      </c>
      <c r="I92" s="132"/>
      <c r="J92" s="43">
        <f t="shared" si="26"/>
        <v>32727.093057436094</v>
      </c>
      <c r="L92" s="43">
        <f t="shared" si="31"/>
        <v>20641.27585207723</v>
      </c>
      <c r="N92" s="43">
        <f t="shared" si="27"/>
        <v>53368.36890951332</v>
      </c>
      <c r="O92" s="43">
        <f t="shared" si="28"/>
        <v>131050.00827163218</v>
      </c>
      <c r="P92" s="125">
        <f t="shared" si="29"/>
        <v>45.83690675980909</v>
      </c>
      <c r="Q92" s="133"/>
      <c r="S92" s="98"/>
      <c r="T92" s="464"/>
      <c r="V92" s="464"/>
      <c r="W92" s="464"/>
    </row>
    <row r="93" spans="1:23" ht="15">
      <c r="A93" t="str">
        <f t="shared" si="24"/>
        <v>Feb</v>
      </c>
      <c r="C93" s="464">
        <v>608.05</v>
      </c>
      <c r="D93" s="464">
        <v>431.2</v>
      </c>
      <c r="E93" s="20">
        <f t="shared" si="30"/>
        <v>1039.25</v>
      </c>
      <c r="G93" s="464">
        <v>2427.38</v>
      </c>
      <c r="H93" s="132">
        <f t="shared" si="25"/>
        <v>3466.63</v>
      </c>
      <c r="I93" s="132"/>
      <c r="J93" s="43">
        <f t="shared" si="26"/>
        <v>30038.418151835318</v>
      </c>
      <c r="L93" s="43">
        <f t="shared" si="31"/>
        <v>21301.810553525847</v>
      </c>
      <c r="N93" s="43">
        <f t="shared" si="27"/>
        <v>51340.228705361165</v>
      </c>
      <c r="O93" s="43">
        <f t="shared" si="28"/>
        <v>119915.55867675692</v>
      </c>
      <c r="P93" s="125">
        <f t="shared" si="29"/>
        <v>49.401230411701874</v>
      </c>
      <c r="Q93" s="133"/>
      <c r="S93" s="98"/>
      <c r="T93" s="464"/>
      <c r="V93" s="464"/>
      <c r="W93" s="464"/>
    </row>
    <row r="94" spans="1:23" ht="15">
      <c r="A94" t="str">
        <f t="shared" si="24"/>
        <v>Mar</v>
      </c>
      <c r="C94" s="464">
        <v>661.78</v>
      </c>
      <c r="D94" s="464">
        <v>511.96</v>
      </c>
      <c r="E94" s="20">
        <f t="shared" si="30"/>
        <v>1173.74</v>
      </c>
      <c r="G94" s="464">
        <v>2690.95</v>
      </c>
      <c r="H94" s="132">
        <f t="shared" si="25"/>
        <v>3864.6899999999996</v>
      </c>
      <c r="I94" s="132"/>
      <c r="J94" s="43">
        <f t="shared" si="26"/>
        <v>38218.278715593886</v>
      </c>
      <c r="L94" s="43">
        <f t="shared" si="31"/>
        <v>29566.0642074941</v>
      </c>
      <c r="N94" s="43">
        <f t="shared" si="27"/>
        <v>67784.34292308798</v>
      </c>
      <c r="O94" s="43">
        <f t="shared" si="28"/>
        <v>155404.32939908633</v>
      </c>
      <c r="P94" s="125">
        <f t="shared" si="29"/>
        <v>57.7507309311159</v>
      </c>
      <c r="Q94" s="133"/>
      <c r="S94" s="98"/>
      <c r="T94" s="464"/>
      <c r="V94" s="464"/>
      <c r="W94" s="464"/>
    </row>
    <row r="95" spans="1:23" ht="15">
      <c r="A95" t="str">
        <f t="shared" si="24"/>
        <v>Apr</v>
      </c>
      <c r="C95" s="464">
        <v>592.81</v>
      </c>
      <c r="D95" s="464">
        <v>401.77</v>
      </c>
      <c r="E95" s="20">
        <f t="shared" si="30"/>
        <v>994.5799999999999</v>
      </c>
      <c r="G95" s="464">
        <v>2539.24</v>
      </c>
      <c r="H95" s="132">
        <f t="shared" si="25"/>
        <v>3533.8199999999997</v>
      </c>
      <c r="I95" s="132"/>
      <c r="J95" s="43">
        <f t="shared" si="26"/>
        <v>35499.41426063262</v>
      </c>
      <c r="L95" s="43">
        <f t="shared" si="31"/>
        <v>24059.31017947466</v>
      </c>
      <c r="N95" s="43">
        <f t="shared" si="27"/>
        <v>59558.72444010728</v>
      </c>
      <c r="O95" s="43">
        <f t="shared" si="28"/>
        <v>152058.05007872477</v>
      </c>
      <c r="P95" s="125">
        <f t="shared" si="29"/>
        <v>59.88329188210833</v>
      </c>
      <c r="Q95" s="133"/>
      <c r="S95" s="98"/>
      <c r="T95" s="464"/>
      <c r="V95" s="464"/>
      <c r="W95" s="464"/>
    </row>
    <row r="96" spans="1:23" ht="15">
      <c r="A96" t="str">
        <f t="shared" si="24"/>
        <v>May</v>
      </c>
      <c r="C96" s="464">
        <v>632.15</v>
      </c>
      <c r="D96" s="464">
        <v>452.07</v>
      </c>
      <c r="E96" s="20">
        <f t="shared" si="30"/>
        <v>1084.22</v>
      </c>
      <c r="G96" s="464">
        <v>2632.86</v>
      </c>
      <c r="H96" s="132">
        <f t="shared" si="25"/>
        <v>3717.08</v>
      </c>
      <c r="I96" s="132"/>
      <c r="J96" s="43">
        <f t="shared" si="26"/>
        <v>35285.78543742672</v>
      </c>
      <c r="L96" s="43">
        <f t="shared" si="31"/>
        <v>25233.955584430107</v>
      </c>
      <c r="N96" s="43">
        <f t="shared" si="27"/>
        <v>60519.741021856826</v>
      </c>
      <c r="O96" s="43">
        <f t="shared" si="28"/>
        <v>146962.79846046554</v>
      </c>
      <c r="P96" s="125">
        <f t="shared" si="29"/>
        <v>55.81869087625834</v>
      </c>
      <c r="Q96" s="133"/>
      <c r="S96" s="98"/>
      <c r="T96" s="464"/>
      <c r="V96" s="464"/>
      <c r="W96" s="464"/>
    </row>
    <row r="97" spans="1:23" ht="15">
      <c r="A97" t="str">
        <f t="shared" si="24"/>
        <v>Jun</v>
      </c>
      <c r="C97" s="464">
        <v>646.72</v>
      </c>
      <c r="D97" s="464">
        <v>475.08</v>
      </c>
      <c r="E97" s="20">
        <f t="shared" si="30"/>
        <v>1121.8</v>
      </c>
      <c r="G97" s="464">
        <v>2671.29</v>
      </c>
      <c r="H97" s="132">
        <f t="shared" si="25"/>
        <v>3793.09</v>
      </c>
      <c r="I97" s="132"/>
      <c r="J97" s="43">
        <f t="shared" si="26"/>
        <v>43057.88790630342</v>
      </c>
      <c r="L97" s="43">
        <f t="shared" si="31"/>
        <v>31630.290367588175</v>
      </c>
      <c r="N97" s="43">
        <f t="shared" si="27"/>
        <v>74688.1782738916</v>
      </c>
      <c r="O97" s="43">
        <f t="shared" si="28"/>
        <v>177851.47418547326</v>
      </c>
      <c r="P97" s="125">
        <f>(O97+N97)/H97</f>
        <v>66.5788717007413</v>
      </c>
      <c r="Q97" s="133"/>
      <c r="S97" s="98"/>
      <c r="T97" s="464"/>
      <c r="V97" s="464"/>
      <c r="W97" s="464"/>
    </row>
    <row r="98" spans="1:23" ht="15">
      <c r="A98" t="str">
        <f t="shared" si="24"/>
        <v>Jul</v>
      </c>
      <c r="C98" s="464">
        <v>625.6</v>
      </c>
      <c r="D98" s="464">
        <v>461.27</v>
      </c>
      <c r="E98" s="20">
        <f t="shared" si="30"/>
        <v>1086.87</v>
      </c>
      <c r="G98" s="464">
        <v>2607.67</v>
      </c>
      <c r="H98" s="132">
        <f t="shared" si="25"/>
        <v>3694.54</v>
      </c>
      <c r="I98" s="132"/>
      <c r="J98" s="43">
        <f t="shared" si="26"/>
        <v>41976.19671345692</v>
      </c>
      <c r="L98" s="43">
        <f t="shared" si="31"/>
        <v>30950.064351049026</v>
      </c>
      <c r="N98" s="43">
        <f t="shared" si="27"/>
        <v>72926.26106450595</v>
      </c>
      <c r="O98" s="43">
        <f t="shared" si="28"/>
        <v>174968.14079888142</v>
      </c>
      <c r="P98" s="125">
        <f>(O98+N98)/H98</f>
        <v>67.09750114043626</v>
      </c>
      <c r="Q98" s="133"/>
      <c r="S98" s="98"/>
      <c r="T98" s="464"/>
      <c r="V98" s="464"/>
      <c r="W98" s="464"/>
    </row>
    <row r="99" spans="1:23" ht="15">
      <c r="A99" t="str">
        <f t="shared" si="24"/>
        <v>Aug</v>
      </c>
      <c r="C99" s="464">
        <v>727.38</v>
      </c>
      <c r="D99" s="464">
        <v>503.99</v>
      </c>
      <c r="E99" s="20">
        <f t="shared" si="30"/>
        <v>1231.37</v>
      </c>
      <c r="G99" s="464">
        <v>2795.69</v>
      </c>
      <c r="H99" s="132">
        <f t="shared" si="25"/>
        <v>4027.06</v>
      </c>
      <c r="I99" s="132"/>
      <c r="J99" s="43">
        <f t="shared" si="26"/>
        <v>59227.63931242864</v>
      </c>
      <c r="L99" s="43">
        <f t="shared" si="31"/>
        <v>41037.88657520265</v>
      </c>
      <c r="N99" s="43">
        <f t="shared" si="27"/>
        <v>100265.52588763129</v>
      </c>
      <c r="O99" s="43">
        <f t="shared" si="28"/>
        <v>227641.83638450823</v>
      </c>
      <c r="P99" s="125">
        <f>(O99+N99)/H99</f>
        <v>81.42599372051559</v>
      </c>
      <c r="Q99" s="133"/>
      <c r="S99" s="98"/>
      <c r="T99" s="464"/>
      <c r="V99" s="464"/>
      <c r="W99" s="464"/>
    </row>
    <row r="100" spans="1:23" ht="15">
      <c r="A100" t="str">
        <f t="shared" si="24"/>
        <v>Sep</v>
      </c>
      <c r="C100" s="464">
        <v>657.71</v>
      </c>
      <c r="D100" s="464">
        <v>439.23</v>
      </c>
      <c r="E100" s="20">
        <f t="shared" si="30"/>
        <v>1096.94</v>
      </c>
      <c r="F100" s="108"/>
      <c r="G100" s="464">
        <v>2697.48</v>
      </c>
      <c r="H100" s="134">
        <f t="shared" si="25"/>
        <v>3794.42</v>
      </c>
      <c r="I100" s="134"/>
      <c r="J100" s="43">
        <f t="shared" si="26"/>
        <v>48939.09578443618</v>
      </c>
      <c r="K100" s="108"/>
      <c r="L100" s="43">
        <f t="shared" si="31"/>
        <v>32682.36615134011</v>
      </c>
      <c r="M100" s="108"/>
      <c r="N100" s="43">
        <f t="shared" si="27"/>
        <v>81621.46193577629</v>
      </c>
      <c r="O100" s="43">
        <f t="shared" si="28"/>
        <v>200714.95354578906</v>
      </c>
      <c r="P100" s="125">
        <f>(O100+N100)/H100</f>
        <v>74.40831944844412</v>
      </c>
      <c r="Q100" s="133"/>
      <c r="S100" s="98"/>
      <c r="T100" s="464"/>
      <c r="V100" s="464"/>
      <c r="W100" s="464"/>
    </row>
    <row r="101" spans="1:23" ht="17.25">
      <c r="A101" t="str">
        <f t="shared" si="24"/>
        <v>Oct</v>
      </c>
      <c r="C101" s="464">
        <v>652.66</v>
      </c>
      <c r="D101" s="464">
        <v>423.67</v>
      </c>
      <c r="E101" s="20">
        <f t="shared" si="30"/>
        <v>1076.33</v>
      </c>
      <c r="G101" s="464">
        <v>2480.8</v>
      </c>
      <c r="H101" s="134">
        <f t="shared" si="25"/>
        <v>3557.13</v>
      </c>
      <c r="I101" s="137"/>
      <c r="J101" s="43">
        <f t="shared" si="26"/>
        <v>47802.51134423565</v>
      </c>
      <c r="K101" s="111"/>
      <c r="L101" s="43">
        <f t="shared" si="31"/>
        <v>31030.68976375497</v>
      </c>
      <c r="N101" s="43">
        <f aca="true" t="shared" si="32" ref="N101:N112">+E101/C20*G20</f>
        <v>78833.20110799062</v>
      </c>
      <c r="O101" s="43">
        <f aca="true" t="shared" si="33" ref="O101:O112">+G101/D20*H20</f>
        <v>181700.22698308434</v>
      </c>
      <c r="P101" s="125">
        <f aca="true" t="shared" si="34" ref="P101:P112">(O101+N101)/H101</f>
        <v>73.24259391449708</v>
      </c>
      <c r="Q101" s="133"/>
      <c r="T101" s="464"/>
      <c r="V101" s="464"/>
      <c r="W101" s="464"/>
    </row>
    <row r="102" spans="1:23" ht="17.25">
      <c r="A102" t="str">
        <f t="shared" si="24"/>
        <v>Nov</v>
      </c>
      <c r="C102" s="464">
        <v>679.68</v>
      </c>
      <c r="D102" s="464">
        <v>469.44</v>
      </c>
      <c r="E102" s="20">
        <f t="shared" si="30"/>
        <v>1149.12</v>
      </c>
      <c r="G102" s="464">
        <v>2838.21</v>
      </c>
      <c r="H102" s="134">
        <f t="shared" si="25"/>
        <v>3987.33</v>
      </c>
      <c r="I102" s="137"/>
      <c r="J102" s="43">
        <f t="shared" si="26"/>
        <v>54915.793040465906</v>
      </c>
      <c r="K102" s="111"/>
      <c r="L102" s="43">
        <f t="shared" si="31"/>
        <v>37929.12824405061</v>
      </c>
      <c r="N102" s="43">
        <f t="shared" si="32"/>
        <v>92844.92128451652</v>
      </c>
      <c r="O102" s="43">
        <f t="shared" si="33"/>
        <v>229317.5508553743</v>
      </c>
      <c r="P102" s="125">
        <f t="shared" si="34"/>
        <v>80.79654107883994</v>
      </c>
      <c r="Q102" s="133"/>
      <c r="T102" s="464"/>
      <c r="V102" s="464"/>
      <c r="W102" s="464"/>
    </row>
    <row r="103" spans="1:23" ht="15">
      <c r="A103" t="str">
        <f t="shared" si="24"/>
        <v>Dec</v>
      </c>
      <c r="C103" s="464">
        <v>722.01</v>
      </c>
      <c r="D103" s="464">
        <v>457.58</v>
      </c>
      <c r="E103" s="20">
        <f t="shared" si="30"/>
        <v>1179.59</v>
      </c>
      <c r="F103" s="108"/>
      <c r="G103" s="464">
        <v>2935.02</v>
      </c>
      <c r="H103" s="134">
        <f t="shared" si="25"/>
        <v>4114.61</v>
      </c>
      <c r="I103" s="134"/>
      <c r="J103" s="43">
        <f t="shared" si="26"/>
        <v>61274.821418850195</v>
      </c>
      <c r="K103" s="108"/>
      <c r="L103" s="43">
        <f t="shared" si="31"/>
        <v>38833.44106707312</v>
      </c>
      <c r="M103" s="108"/>
      <c r="N103" s="43">
        <f t="shared" si="32"/>
        <v>100108.26248592332</v>
      </c>
      <c r="O103" s="43">
        <f t="shared" si="33"/>
        <v>249086.3372539904</v>
      </c>
      <c r="P103" s="125">
        <f t="shared" si="34"/>
        <v>84.8669982671295</v>
      </c>
      <c r="Q103" s="133"/>
      <c r="T103" s="464"/>
      <c r="V103" s="464"/>
      <c r="W103" s="464"/>
    </row>
    <row r="104" spans="1:23" ht="17.25">
      <c r="A104" t="str">
        <f t="shared" si="24"/>
        <v>Jan</v>
      </c>
      <c r="C104" s="464">
        <v>699.57</v>
      </c>
      <c r="D104" s="464">
        <v>399.98</v>
      </c>
      <c r="E104" s="20">
        <f t="shared" si="30"/>
        <v>1099.5500000000002</v>
      </c>
      <c r="G104" s="464">
        <v>2850</v>
      </c>
      <c r="H104" s="134">
        <f t="shared" si="25"/>
        <v>3949.55</v>
      </c>
      <c r="I104" s="137"/>
      <c r="J104" s="43">
        <f t="shared" si="26"/>
        <v>68071.62797099008</v>
      </c>
      <c r="K104" s="108"/>
      <c r="L104" s="43">
        <f t="shared" si="31"/>
        <v>38920.03624488847</v>
      </c>
      <c r="M104" s="108"/>
      <c r="N104" s="43">
        <f t="shared" si="32"/>
        <v>106991.66421587855</v>
      </c>
      <c r="O104" s="43">
        <f t="shared" si="33"/>
        <v>277319.1242010403</v>
      </c>
      <c r="P104" s="125">
        <f t="shared" si="34"/>
        <v>97.30495586001413</v>
      </c>
      <c r="Q104" s="133"/>
      <c r="T104" s="464"/>
      <c r="V104" s="464"/>
      <c r="W104" s="464"/>
    </row>
    <row r="105" spans="1:23" ht="17.25">
      <c r="A105" t="str">
        <f t="shared" si="24"/>
        <v>Feb</v>
      </c>
      <c r="C105" s="464">
        <v>545.07</v>
      </c>
      <c r="D105" s="464">
        <v>429.54</v>
      </c>
      <c r="E105" s="20">
        <f t="shared" si="30"/>
        <v>974.6100000000001</v>
      </c>
      <c r="G105" s="464">
        <v>2367.85</v>
      </c>
      <c r="H105" s="134">
        <f t="shared" si="25"/>
        <v>3342.46</v>
      </c>
      <c r="I105" s="137"/>
      <c r="J105" s="43">
        <f t="shared" si="26"/>
        <v>52996.87636704346</v>
      </c>
      <c r="K105" s="108"/>
      <c r="L105" s="43">
        <f t="shared" si="31"/>
        <v>41763.95375768223</v>
      </c>
      <c r="M105" s="108"/>
      <c r="N105" s="43">
        <f t="shared" si="32"/>
        <v>94760.83012472569</v>
      </c>
      <c r="O105" s="43">
        <f t="shared" si="33"/>
        <v>230224.84030620632</v>
      </c>
      <c r="P105" s="125">
        <f t="shared" si="34"/>
        <v>97.22948679443644</v>
      </c>
      <c r="Q105" s="133"/>
      <c r="T105" s="464"/>
      <c r="V105" s="464"/>
      <c r="W105" s="464"/>
    </row>
    <row r="106" spans="1:23" ht="15">
      <c r="A106" t="str">
        <f t="shared" si="24"/>
        <v>Mar</v>
      </c>
      <c r="C106" s="464">
        <v>695.65</v>
      </c>
      <c r="D106" s="464">
        <v>483.29</v>
      </c>
      <c r="E106" s="20">
        <f t="shared" si="30"/>
        <v>1178.94</v>
      </c>
      <c r="F106" s="108"/>
      <c r="G106" s="464">
        <v>2757.27</v>
      </c>
      <c r="H106" s="134">
        <f t="shared" si="25"/>
        <v>3936.21</v>
      </c>
      <c r="I106" s="134"/>
      <c r="J106" s="43">
        <f t="shared" si="26"/>
        <v>76873.40119133305</v>
      </c>
      <c r="K106" s="108"/>
      <c r="L106" s="43">
        <f t="shared" si="31"/>
        <v>53406.376858706746</v>
      </c>
      <c r="M106" s="108"/>
      <c r="N106" s="43">
        <f t="shared" si="32"/>
        <v>130279.7780500398</v>
      </c>
      <c r="O106" s="43">
        <f t="shared" si="33"/>
        <v>304694.49134309904</v>
      </c>
      <c r="P106" s="125">
        <f t="shared" si="34"/>
        <v>110.50585954335232</v>
      </c>
      <c r="Q106" s="133"/>
      <c r="T106" s="464"/>
      <c r="V106" s="464"/>
      <c r="W106" s="464"/>
    </row>
    <row r="107" spans="1:23" ht="15">
      <c r="A107" t="str">
        <f t="shared" si="24"/>
        <v>Apr</v>
      </c>
      <c r="C107" s="464">
        <v>564.8</v>
      </c>
      <c r="D107" s="464">
        <v>425.15</v>
      </c>
      <c r="E107" s="20">
        <f t="shared" si="30"/>
        <v>989.9499999999999</v>
      </c>
      <c r="F107" s="108"/>
      <c r="G107" s="464">
        <v>2422.38</v>
      </c>
      <c r="H107" s="134">
        <f t="shared" si="25"/>
        <v>3412.33</v>
      </c>
      <c r="I107" s="134"/>
      <c r="J107" s="43">
        <f t="shared" si="26"/>
        <v>39537.339364752566</v>
      </c>
      <c r="K107" s="108"/>
      <c r="L107" s="43">
        <f t="shared" si="31"/>
        <v>29761.50819922902</v>
      </c>
      <c r="M107" s="108"/>
      <c r="N107" s="43">
        <f t="shared" si="32"/>
        <v>69298.84756398159</v>
      </c>
      <c r="O107" s="43">
        <f t="shared" si="33"/>
        <v>169572.34442349384</v>
      </c>
      <c r="P107" s="125">
        <f t="shared" si="34"/>
        <v>70.00237139651658</v>
      </c>
      <c r="Q107" s="133"/>
      <c r="R107" s="108"/>
      <c r="T107" s="464"/>
      <c r="V107" s="464"/>
      <c r="W107" s="464"/>
    </row>
    <row r="108" spans="1:23" ht="15">
      <c r="A108" t="str">
        <f t="shared" si="24"/>
        <v>May</v>
      </c>
      <c r="C108" s="464">
        <v>658.57</v>
      </c>
      <c r="D108" s="464">
        <v>543.68</v>
      </c>
      <c r="E108" s="20">
        <f t="shared" si="30"/>
        <v>1202.25</v>
      </c>
      <c r="F108" s="108"/>
      <c r="G108" s="464">
        <v>2836.31</v>
      </c>
      <c r="H108" s="134">
        <f t="shared" si="25"/>
        <v>4038.56</v>
      </c>
      <c r="I108" s="134"/>
      <c r="J108" s="43">
        <f t="shared" si="26"/>
        <v>48082.75984729749</v>
      </c>
      <c r="K108" s="108"/>
      <c r="L108" s="43">
        <f t="shared" si="31"/>
        <v>39694.54252969114</v>
      </c>
      <c r="M108" s="108"/>
      <c r="N108" s="43">
        <f t="shared" si="32"/>
        <v>87777.30237698863</v>
      </c>
      <c r="O108" s="43">
        <f t="shared" si="33"/>
        <v>207081.42275306853</v>
      </c>
      <c r="P108" s="125">
        <f t="shared" si="34"/>
        <v>73.01085662465265</v>
      </c>
      <c r="Q108" s="133"/>
      <c r="R108" s="108"/>
      <c r="T108" s="464"/>
      <c r="V108" s="464"/>
      <c r="W108" s="464"/>
    </row>
    <row r="109" spans="1:23" ht="15">
      <c r="A109" t="str">
        <f t="shared" si="24"/>
        <v>Jun</v>
      </c>
      <c r="C109" s="464">
        <v>624.95</v>
      </c>
      <c r="D109" s="464">
        <v>477.82</v>
      </c>
      <c r="E109" s="20">
        <f t="shared" si="30"/>
        <v>1102.77</v>
      </c>
      <c r="F109" s="108"/>
      <c r="G109" s="464">
        <v>2903.03</v>
      </c>
      <c r="H109" s="134">
        <f t="shared" si="25"/>
        <v>4005.8</v>
      </c>
      <c r="I109" s="134"/>
      <c r="J109" s="43">
        <f t="shared" si="26"/>
        <v>58040.935116330525</v>
      </c>
      <c r="K109" s="108"/>
      <c r="L109" s="43">
        <f t="shared" si="31"/>
        <v>44376.54151097695</v>
      </c>
      <c r="M109" s="108"/>
      <c r="N109" s="43">
        <f t="shared" si="32"/>
        <v>102417.47662730748</v>
      </c>
      <c r="O109" s="43">
        <f t="shared" si="33"/>
        <v>269612.89042445156</v>
      </c>
      <c r="P109" s="125">
        <f t="shared" si="34"/>
        <v>92.87292602021044</v>
      </c>
      <c r="Q109" s="133"/>
      <c r="R109" s="108"/>
      <c r="T109" s="464"/>
      <c r="V109" s="464"/>
      <c r="W109" s="464"/>
    </row>
    <row r="110" spans="1:23" ht="15">
      <c r="A110" t="str">
        <f t="shared" si="24"/>
        <v>Jul</v>
      </c>
      <c r="C110" s="464">
        <v>615.98</v>
      </c>
      <c r="D110" s="464">
        <v>482.67</v>
      </c>
      <c r="E110" s="20">
        <f t="shared" si="30"/>
        <v>1098.65</v>
      </c>
      <c r="F110" s="108"/>
      <c r="G110" s="464">
        <v>2691.91</v>
      </c>
      <c r="H110" s="134">
        <f t="shared" si="25"/>
        <v>3790.56</v>
      </c>
      <c r="I110" s="134"/>
      <c r="J110" s="43">
        <f t="shared" si="26"/>
        <v>62112.698470869946</v>
      </c>
      <c r="K110" s="108"/>
      <c r="L110" s="43">
        <f t="shared" si="31"/>
        <v>48670.30775501607</v>
      </c>
      <c r="M110" s="108"/>
      <c r="N110" s="43">
        <f t="shared" si="32"/>
        <v>110783.00622588601</v>
      </c>
      <c r="O110" s="43">
        <f t="shared" si="33"/>
        <v>271440.2969913301</v>
      </c>
      <c r="P110" s="125">
        <f t="shared" si="34"/>
        <v>100.83557659480819</v>
      </c>
      <c r="Q110" s="133"/>
      <c r="R110" s="108"/>
      <c r="T110" s="464"/>
      <c r="V110" s="464"/>
      <c r="W110" s="464"/>
    </row>
    <row r="111" spans="1:23" ht="15">
      <c r="A111" t="str">
        <f t="shared" si="24"/>
        <v>Aug</v>
      </c>
      <c r="C111" s="464">
        <v>647.61</v>
      </c>
      <c r="D111" s="464">
        <v>482.84</v>
      </c>
      <c r="E111" s="20">
        <f t="shared" si="30"/>
        <v>1130.45</v>
      </c>
      <c r="F111" s="108"/>
      <c r="G111" s="464">
        <v>2675.65</v>
      </c>
      <c r="H111" s="134">
        <f t="shared" si="25"/>
        <v>3806.1000000000004</v>
      </c>
      <c r="I111" s="134"/>
      <c r="J111" s="43">
        <f t="shared" si="26"/>
        <v>59619.480532574686</v>
      </c>
      <c r="K111" s="108"/>
      <c r="L111" s="43">
        <f t="shared" si="31"/>
        <v>44450.62611810869</v>
      </c>
      <c r="M111" s="108"/>
      <c r="N111" s="43">
        <f t="shared" si="32"/>
        <v>104070.10665068337</v>
      </c>
      <c r="O111" s="43">
        <f t="shared" si="33"/>
        <v>246322.42103578305</v>
      </c>
      <c r="P111" s="125">
        <f t="shared" si="34"/>
        <v>92.0607781420526</v>
      </c>
      <c r="Q111" s="133"/>
      <c r="R111" s="108"/>
      <c r="T111" s="464"/>
      <c r="V111" s="464"/>
      <c r="W111" s="464"/>
    </row>
    <row r="112" spans="1:23" s="95" customFormat="1" ht="17.25">
      <c r="A112" t="str">
        <f t="shared" si="24"/>
        <v>Sep</v>
      </c>
      <c r="C112" s="478">
        <v>643.21</v>
      </c>
      <c r="D112" s="478">
        <v>443.8</v>
      </c>
      <c r="E112" s="156">
        <f t="shared" si="30"/>
        <v>1087.01</v>
      </c>
      <c r="G112" s="478">
        <v>2618.25</v>
      </c>
      <c r="H112" s="137">
        <f t="shared" si="25"/>
        <v>3705.26</v>
      </c>
      <c r="I112" s="148"/>
      <c r="J112" s="45">
        <f t="shared" si="26"/>
        <v>41682.6992240629</v>
      </c>
      <c r="K112" s="111"/>
      <c r="L112" s="45">
        <f>+N112-J112</f>
        <v>28760.096882261023</v>
      </c>
      <c r="M112" s="111"/>
      <c r="N112" s="45">
        <f t="shared" si="32"/>
        <v>70442.79610632392</v>
      </c>
      <c r="O112" s="45">
        <f t="shared" si="33"/>
        <v>169673.55489405122</v>
      </c>
      <c r="P112" s="128">
        <f t="shared" si="34"/>
        <v>64.80418405196265</v>
      </c>
      <c r="Q112" s="149"/>
      <c r="T112" s="478"/>
      <c r="V112" s="478"/>
      <c r="W112" s="478"/>
    </row>
    <row r="113" spans="3:17" ht="17.25">
      <c r="C113" s="27">
        <f>SUM(C89:C112)</f>
        <v>15649.100000000002</v>
      </c>
      <c r="D113" s="27">
        <f aca="true" t="shared" si="35" ref="D113:O113">SUM(D89:D112)</f>
        <v>11029.349999999999</v>
      </c>
      <c r="E113" s="27">
        <f t="shared" si="35"/>
        <v>26678.449999999997</v>
      </c>
      <c r="F113" s="27"/>
      <c r="G113" s="27">
        <f t="shared" si="35"/>
        <v>64518.08999999999</v>
      </c>
      <c r="H113" s="27">
        <f t="shared" si="35"/>
        <v>91196.54</v>
      </c>
      <c r="I113" s="27"/>
      <c r="J113" s="130">
        <f t="shared" si="35"/>
        <v>1149966.8199219268</v>
      </c>
      <c r="K113" s="130"/>
      <c r="L113" s="130">
        <f t="shared" si="35"/>
        <v>812800.886116685</v>
      </c>
      <c r="M113" s="130"/>
      <c r="N113" s="130">
        <f t="shared" si="35"/>
        <v>1962767.7060386115</v>
      </c>
      <c r="O113" s="130">
        <f t="shared" si="35"/>
        <v>4754467.9442641465</v>
      </c>
      <c r="P113" s="131">
        <f>(O113+N113)/H113</f>
        <v>73.65669410596892</v>
      </c>
      <c r="Q113" s="130"/>
    </row>
    <row r="114" spans="2:17" ht="15">
      <c r="B114" s="150" t="s">
        <v>126</v>
      </c>
      <c r="E114" s="118">
        <f>+E113/C60</f>
        <v>0.9251821254693368</v>
      </c>
      <c r="G114" s="118">
        <f>+G113/D60</f>
        <v>0.9309498176932162</v>
      </c>
      <c r="H114" s="118">
        <f>+H113/E60</f>
        <v>0.9292551207771801</v>
      </c>
      <c r="I114" s="118"/>
      <c r="N114" s="118">
        <f>+N113/G60</f>
        <v>0.9248828489755506</v>
      </c>
      <c r="O114" s="118">
        <f>+O113/H60</f>
        <v>0.9311414917500435</v>
      </c>
      <c r="Q114" s="118"/>
    </row>
    <row r="117" ht="15">
      <c r="A117" s="97" t="s">
        <v>127</v>
      </c>
    </row>
    <row r="118" spans="1:20" ht="15">
      <c r="A118" t="str">
        <f>+A89</f>
        <v>Oct., 2015</v>
      </c>
      <c r="C118" s="98">
        <v>33.57</v>
      </c>
      <c r="D118" s="98">
        <v>57.44</v>
      </c>
      <c r="E118" s="20">
        <f>+D118+C118</f>
        <v>91.00999999999999</v>
      </c>
      <c r="G118" s="20">
        <f aca="true" t="shared" si="36" ref="G118:G141">+D36-G89</f>
        <v>187.33000000000038</v>
      </c>
      <c r="H118" s="20">
        <f aca="true" t="shared" si="37" ref="H118:H140">+G118+E118</f>
        <v>278.3400000000004</v>
      </c>
      <c r="I118" s="20"/>
      <c r="J118" s="43">
        <f aca="true" t="shared" si="38" ref="J118:J141">+C118/E118*N118</f>
        <v>2181.68156256065</v>
      </c>
      <c r="L118" s="43">
        <f>+N118-J118</f>
        <v>3732.969584554176</v>
      </c>
      <c r="N118" s="43">
        <f aca="true" t="shared" si="39" ref="N118:N141">+G36-N89</f>
        <v>5914.651147114826</v>
      </c>
      <c r="O118" s="43">
        <f aca="true" t="shared" si="40" ref="O118:O141">+H36-O89</f>
        <v>12173.056464392692</v>
      </c>
      <c r="P118" s="125">
        <f aca="true" t="shared" si="41" ref="P118:P141">(O118+N118)/H118</f>
        <v>64.98421934147983</v>
      </c>
      <c r="Q118" s="106"/>
      <c r="S118" s="98"/>
      <c r="T118" s="98"/>
    </row>
    <row r="119" spans="1:20" ht="15">
      <c r="A119" t="str">
        <f aca="true" t="shared" si="42" ref="A119:A141">+A90</f>
        <v>Nov</v>
      </c>
      <c r="C119" s="98">
        <v>34.17</v>
      </c>
      <c r="D119" s="98">
        <v>54.26</v>
      </c>
      <c r="E119" s="20">
        <f aca="true" t="shared" si="43" ref="E119:E141">+D119+C119</f>
        <v>88.43</v>
      </c>
      <c r="G119" s="20">
        <f t="shared" si="36"/>
        <v>210.99000000000024</v>
      </c>
      <c r="H119" s="20">
        <f t="shared" si="37"/>
        <v>299.42000000000024</v>
      </c>
      <c r="I119" s="20"/>
      <c r="J119" s="43">
        <f t="shared" si="38"/>
        <v>1793.3503563498632</v>
      </c>
      <c r="L119" s="43">
        <f aca="true" t="shared" si="44" ref="L119:L140">+N119-J119</f>
        <v>2847.7374988452902</v>
      </c>
      <c r="N119" s="43">
        <f t="shared" si="39"/>
        <v>4641.087855195154</v>
      </c>
      <c r="O119" s="43">
        <f t="shared" si="40"/>
        <v>11074.679106170835</v>
      </c>
      <c r="P119" s="125">
        <f t="shared" si="41"/>
        <v>52.487365444412454</v>
      </c>
      <c r="Q119" s="106"/>
      <c r="S119" s="98"/>
      <c r="T119" s="98"/>
    </row>
    <row r="120" spans="1:20" ht="15">
      <c r="A120" t="str">
        <f t="shared" si="42"/>
        <v>Dec</v>
      </c>
      <c r="C120" s="98">
        <v>35.75</v>
      </c>
      <c r="D120" s="98">
        <v>54.39</v>
      </c>
      <c r="E120" s="20">
        <f t="shared" si="43"/>
        <v>90.14</v>
      </c>
      <c r="G120" s="20">
        <f t="shared" si="36"/>
        <v>235.48999999999978</v>
      </c>
      <c r="H120" s="20">
        <f t="shared" si="37"/>
        <v>325.62999999999977</v>
      </c>
      <c r="I120" s="20"/>
      <c r="J120" s="43">
        <f t="shared" si="38"/>
        <v>1862.0632940233793</v>
      </c>
      <c r="L120" s="43">
        <f t="shared" si="44"/>
        <v>2832.9404912428417</v>
      </c>
      <c r="N120" s="43">
        <f t="shared" si="39"/>
        <v>4695.003785266221</v>
      </c>
      <c r="O120" s="43">
        <f t="shared" si="40"/>
        <v>12265.658324743155</v>
      </c>
      <c r="P120" s="125">
        <f t="shared" si="41"/>
        <v>52.08568654610874</v>
      </c>
      <c r="Q120" s="106"/>
      <c r="S120" s="98"/>
      <c r="T120" s="98"/>
    </row>
    <row r="121" spans="1:20" ht="15">
      <c r="A121" t="str">
        <f t="shared" si="42"/>
        <v>Jan., 2016</v>
      </c>
      <c r="C121" s="98">
        <v>32.97</v>
      </c>
      <c r="D121" s="98">
        <v>55.94</v>
      </c>
      <c r="E121" s="20">
        <f t="shared" si="43"/>
        <v>88.91</v>
      </c>
      <c r="G121" s="20">
        <f t="shared" si="36"/>
        <v>201.8499999999999</v>
      </c>
      <c r="H121" s="132">
        <f t="shared" si="37"/>
        <v>290.7599999999999</v>
      </c>
      <c r="I121" s="132"/>
      <c r="J121" s="43">
        <f t="shared" si="38"/>
        <v>1511.2428158709058</v>
      </c>
      <c r="L121" s="43">
        <f t="shared" si="44"/>
        <v>2564.1165641437206</v>
      </c>
      <c r="N121" s="43">
        <f t="shared" si="39"/>
        <v>4075.3593800146264</v>
      </c>
      <c r="O121" s="43">
        <f t="shared" si="40"/>
        <v>9252.179629467442</v>
      </c>
      <c r="P121" s="125">
        <f t="shared" si="41"/>
        <v>45.83690675980903</v>
      </c>
      <c r="Q121" s="151"/>
      <c r="S121" s="98"/>
      <c r="T121" s="98"/>
    </row>
    <row r="122" spans="1:20" ht="15">
      <c r="A122" t="str">
        <f t="shared" si="42"/>
        <v>Feb</v>
      </c>
      <c r="C122" s="98">
        <v>26.02</v>
      </c>
      <c r="D122" s="98">
        <v>51.52</v>
      </c>
      <c r="E122" s="20">
        <f t="shared" si="43"/>
        <v>77.54</v>
      </c>
      <c r="G122" s="20">
        <f t="shared" si="36"/>
        <v>195.19999999999982</v>
      </c>
      <c r="H122" s="132">
        <f t="shared" si="37"/>
        <v>272.73999999999984</v>
      </c>
      <c r="I122" s="132"/>
      <c r="J122" s="43">
        <f t="shared" si="38"/>
        <v>1285.4200153124814</v>
      </c>
      <c r="L122" s="43">
        <f t="shared" si="44"/>
        <v>2545.151390810878</v>
      </c>
      <c r="N122" s="43">
        <f t="shared" si="39"/>
        <v>3830.5714061233593</v>
      </c>
      <c r="O122" s="43">
        <f t="shared" si="40"/>
        <v>9643.120176364188</v>
      </c>
      <c r="P122" s="125">
        <f t="shared" si="41"/>
        <v>49.401230411701825</v>
      </c>
      <c r="Q122" s="151"/>
      <c r="S122" s="98"/>
      <c r="T122" s="98"/>
    </row>
    <row r="123" spans="1:20" ht="15">
      <c r="A123" t="str">
        <f t="shared" si="42"/>
        <v>Mar</v>
      </c>
      <c r="C123" s="98">
        <v>30.51</v>
      </c>
      <c r="D123" s="98">
        <v>61.48</v>
      </c>
      <c r="E123" s="20">
        <f t="shared" si="43"/>
        <v>91.99</v>
      </c>
      <c r="G123" s="20">
        <f t="shared" si="36"/>
        <v>220.25</v>
      </c>
      <c r="H123" s="132">
        <f t="shared" si="37"/>
        <v>312.24</v>
      </c>
      <c r="I123" s="132"/>
      <c r="J123" s="43">
        <f t="shared" si="38"/>
        <v>1761.7832608887245</v>
      </c>
      <c r="L123" s="43">
        <f t="shared" si="44"/>
        <v>3550.1289701553187</v>
      </c>
      <c r="N123" s="43">
        <f t="shared" si="39"/>
        <v>5311.912231044043</v>
      </c>
      <c r="O123" s="43">
        <f t="shared" si="40"/>
        <v>12719.598487578303</v>
      </c>
      <c r="P123" s="125">
        <f t="shared" si="41"/>
        <v>57.74888136889042</v>
      </c>
      <c r="Q123" s="151"/>
      <c r="S123" s="98"/>
      <c r="T123" s="98"/>
    </row>
    <row r="124" spans="1:20" ht="15">
      <c r="A124" t="str">
        <f t="shared" si="42"/>
        <v>Apr</v>
      </c>
      <c r="C124" s="98">
        <v>27.04</v>
      </c>
      <c r="D124" s="98">
        <v>53.41</v>
      </c>
      <c r="E124" s="20">
        <f t="shared" si="43"/>
        <v>80.44999999999999</v>
      </c>
      <c r="G124" s="20">
        <f t="shared" si="36"/>
        <v>174.52000000000044</v>
      </c>
      <c r="H124" s="132">
        <f t="shared" si="37"/>
        <v>254.97000000000043</v>
      </c>
      <c r="I124" s="132"/>
      <c r="J124" s="43">
        <f t="shared" si="38"/>
        <v>1619.2442124922084</v>
      </c>
      <c r="L124" s="43">
        <f t="shared" si="44"/>
        <v>3198.366619423404</v>
      </c>
      <c r="N124" s="43">
        <f t="shared" si="39"/>
        <v>4817.610831915612</v>
      </c>
      <c r="O124" s="43">
        <f t="shared" si="40"/>
        <v>10450.832099265535</v>
      </c>
      <c r="P124" s="125">
        <f t="shared" si="41"/>
        <v>59.883291882108175</v>
      </c>
      <c r="Q124" s="151"/>
      <c r="S124" s="98"/>
      <c r="T124" s="98"/>
    </row>
    <row r="125" spans="1:20" ht="15">
      <c r="A125" t="str">
        <f t="shared" si="42"/>
        <v>May</v>
      </c>
      <c r="C125" s="98">
        <v>30.5</v>
      </c>
      <c r="D125" s="98">
        <v>49.54</v>
      </c>
      <c r="E125" s="20">
        <f t="shared" si="43"/>
        <v>80.03999999999999</v>
      </c>
      <c r="G125" s="20">
        <f t="shared" si="36"/>
        <v>191.29999999999973</v>
      </c>
      <c r="H125" s="132">
        <f t="shared" si="37"/>
        <v>271.3399999999997</v>
      </c>
      <c r="I125" s="132"/>
      <c r="J125" s="43">
        <f t="shared" si="38"/>
        <v>1702.4700717258766</v>
      </c>
      <c r="L125" s="43">
        <f t="shared" si="44"/>
        <v>2765.257946009833</v>
      </c>
      <c r="N125" s="43">
        <f t="shared" si="39"/>
        <v>4467.72801773571</v>
      </c>
      <c r="O125" s="43">
        <f t="shared" si="40"/>
        <v>10678.115564628213</v>
      </c>
      <c r="P125" s="125">
        <f t="shared" si="41"/>
        <v>55.81869087625835</v>
      </c>
      <c r="Q125" s="151"/>
      <c r="S125" s="98"/>
      <c r="T125" s="98"/>
    </row>
    <row r="126" spans="1:20" ht="15">
      <c r="A126" t="str">
        <f t="shared" si="42"/>
        <v>Jun</v>
      </c>
      <c r="C126" s="98">
        <v>31.91</v>
      </c>
      <c r="D126" s="98">
        <v>56.96</v>
      </c>
      <c r="E126" s="20">
        <f t="shared" si="43"/>
        <v>88.87</v>
      </c>
      <c r="G126" s="20">
        <f t="shared" si="36"/>
        <v>200.42999999999984</v>
      </c>
      <c r="H126" s="132">
        <f t="shared" si="37"/>
        <v>289.29999999999984</v>
      </c>
      <c r="I126" s="132"/>
      <c r="J126" s="43">
        <f t="shared" si="38"/>
        <v>2124.7708565980906</v>
      </c>
      <c r="L126" s="43">
        <f t="shared" si="44"/>
        <v>3792.759260163813</v>
      </c>
      <c r="N126" s="43">
        <f t="shared" si="39"/>
        <v>5917.530116761904</v>
      </c>
      <c r="O126" s="43">
        <f t="shared" si="40"/>
        <v>13344.403254979581</v>
      </c>
      <c r="P126" s="125">
        <f t="shared" si="41"/>
        <v>66.58117307895435</v>
      </c>
      <c r="Q126" s="151"/>
      <c r="S126" s="98"/>
      <c r="T126" s="98"/>
    </row>
    <row r="127" spans="1:20" ht="15">
      <c r="A127" t="str">
        <f t="shared" si="42"/>
        <v>Jul</v>
      </c>
      <c r="C127" s="98">
        <v>28.93</v>
      </c>
      <c r="D127" s="98">
        <v>59.92</v>
      </c>
      <c r="E127" s="20">
        <f t="shared" si="43"/>
        <v>88.85</v>
      </c>
      <c r="G127" s="20">
        <f t="shared" si="36"/>
        <v>169.92999999999984</v>
      </c>
      <c r="H127" s="132">
        <f t="shared" si="37"/>
        <v>258.77999999999986</v>
      </c>
      <c r="I127" s="132"/>
      <c r="J127" s="43">
        <f t="shared" si="38"/>
        <v>1941.3491807793143</v>
      </c>
      <c r="L127" s="43">
        <f t="shared" si="44"/>
        <v>4020.934770559852</v>
      </c>
      <c r="N127" s="43">
        <f t="shared" si="39"/>
        <v>5962.283951339166</v>
      </c>
      <c r="O127" s="43">
        <f t="shared" si="40"/>
        <v>11401.878368794307</v>
      </c>
      <c r="P127" s="125">
        <f t="shared" si="41"/>
        <v>67.10009397995782</v>
      </c>
      <c r="Q127" s="151"/>
      <c r="S127" s="98"/>
      <c r="T127" s="98"/>
    </row>
    <row r="128" spans="1:20" ht="15">
      <c r="A128" t="str">
        <f t="shared" si="42"/>
        <v>Aug</v>
      </c>
      <c r="C128" s="98">
        <v>35.97</v>
      </c>
      <c r="D128" s="98">
        <v>57.28</v>
      </c>
      <c r="E128" s="20">
        <f t="shared" si="43"/>
        <v>93.25</v>
      </c>
      <c r="G128" s="20">
        <f t="shared" si="36"/>
        <v>194.94999999999982</v>
      </c>
      <c r="H128" s="132">
        <f t="shared" si="37"/>
        <v>288.1999999999998</v>
      </c>
      <c r="I128" s="132"/>
      <c r="J128" s="43">
        <f t="shared" si="38"/>
        <v>2928.892994126949</v>
      </c>
      <c r="L128" s="43">
        <f t="shared" si="44"/>
        <v>4664.0809203111385</v>
      </c>
      <c r="N128" s="43">
        <f t="shared" si="39"/>
        <v>7592.973914438087</v>
      </c>
      <c r="O128" s="43">
        <f t="shared" si="40"/>
        <v>15873.99747581451</v>
      </c>
      <c r="P128" s="125">
        <f t="shared" si="41"/>
        <v>81.42599372051566</v>
      </c>
      <c r="Q128" s="151"/>
      <c r="S128" s="98"/>
      <c r="T128" s="98"/>
    </row>
    <row r="129" spans="1:20" ht="15">
      <c r="A129" t="str">
        <f t="shared" si="42"/>
        <v>Sep</v>
      </c>
      <c r="C129" s="98">
        <v>31.7</v>
      </c>
      <c r="D129" s="98">
        <v>51.6</v>
      </c>
      <c r="E129" s="20">
        <f t="shared" si="43"/>
        <v>83.3</v>
      </c>
      <c r="F129" s="108"/>
      <c r="G129" s="126">
        <f t="shared" si="36"/>
        <v>190.76999999999998</v>
      </c>
      <c r="H129" s="134">
        <f t="shared" si="37"/>
        <v>274.07</v>
      </c>
      <c r="I129" s="134"/>
      <c r="J129" s="43">
        <f t="shared" si="38"/>
        <v>2358.7437265156773</v>
      </c>
      <c r="K129" s="108"/>
      <c r="L129" s="43">
        <f t="shared" si="44"/>
        <v>3839.469283539714</v>
      </c>
      <c r="M129" s="108"/>
      <c r="N129" s="43">
        <f t="shared" si="39"/>
        <v>6198.213010055391</v>
      </c>
      <c r="O129" s="43">
        <f t="shared" si="40"/>
        <v>14194.87510117967</v>
      </c>
      <c r="P129" s="125">
        <f t="shared" si="41"/>
        <v>74.40831944844406</v>
      </c>
      <c r="Q129" s="151"/>
      <c r="S129" s="98"/>
      <c r="T129" s="98"/>
    </row>
    <row r="130" spans="1:20" ht="15">
      <c r="A130" t="str">
        <f t="shared" si="42"/>
        <v>Oct</v>
      </c>
      <c r="C130" s="98">
        <v>32.49</v>
      </c>
      <c r="D130" s="98">
        <v>57.47</v>
      </c>
      <c r="E130" s="20">
        <f t="shared" si="43"/>
        <v>89.96000000000001</v>
      </c>
      <c r="G130" s="126">
        <f t="shared" si="36"/>
        <v>219.21000000000004</v>
      </c>
      <c r="H130" s="134">
        <f t="shared" si="37"/>
        <v>309.1700000000001</v>
      </c>
      <c r="I130" s="134"/>
      <c r="J130" s="43">
        <f t="shared" si="38"/>
        <v>2379.387352952058</v>
      </c>
      <c r="K130" s="108"/>
      <c r="L130" s="43">
        <f t="shared" si="44"/>
        <v>4208.783969656964</v>
      </c>
      <c r="N130" s="43">
        <f t="shared" si="39"/>
        <v>6588.171322609021</v>
      </c>
      <c r="O130" s="43">
        <f t="shared" si="40"/>
        <v>16055.50901199688</v>
      </c>
      <c r="P130" s="125">
        <f t="shared" si="41"/>
        <v>73.2402249073516</v>
      </c>
      <c r="Q130" s="151"/>
      <c r="S130" s="98"/>
      <c r="T130" s="98"/>
    </row>
    <row r="131" spans="1:20" ht="15">
      <c r="A131" t="str">
        <f t="shared" si="42"/>
        <v>Nov</v>
      </c>
      <c r="C131" s="98">
        <v>33.6</v>
      </c>
      <c r="D131" s="98">
        <v>66.42</v>
      </c>
      <c r="E131" s="20">
        <f t="shared" si="43"/>
        <v>100.02000000000001</v>
      </c>
      <c r="G131" s="126">
        <f t="shared" si="36"/>
        <v>222.00999999999976</v>
      </c>
      <c r="H131" s="134">
        <f t="shared" si="37"/>
        <v>322.02999999999975</v>
      </c>
      <c r="I131" s="134"/>
      <c r="J131" s="43">
        <f t="shared" si="38"/>
        <v>2714.49235815542</v>
      </c>
      <c r="K131" s="108"/>
      <c r="L131" s="43">
        <f t="shared" si="44"/>
        <v>5365.969715139376</v>
      </c>
      <c r="N131" s="43">
        <f t="shared" si="39"/>
        <v>8080.462073294795</v>
      </c>
      <c r="O131" s="43">
        <f t="shared" si="40"/>
        <v>17937.640084913204</v>
      </c>
      <c r="P131" s="125">
        <f t="shared" si="41"/>
        <v>80.7940321032451</v>
      </c>
      <c r="Q131" s="151"/>
      <c r="S131" s="98"/>
      <c r="T131" s="98"/>
    </row>
    <row r="132" spans="1:20" ht="15">
      <c r="A132" t="str">
        <f t="shared" si="42"/>
        <v>Dec</v>
      </c>
      <c r="C132" s="98">
        <v>30.96</v>
      </c>
      <c r="D132" s="98">
        <v>57.99</v>
      </c>
      <c r="E132" s="20">
        <f t="shared" si="43"/>
        <v>88.95</v>
      </c>
      <c r="F132" s="108"/>
      <c r="G132" s="126">
        <f t="shared" si="36"/>
        <v>222.4699999999998</v>
      </c>
      <c r="H132" s="134">
        <f t="shared" si="37"/>
        <v>311.4199999999998</v>
      </c>
      <c r="I132" s="134"/>
      <c r="J132" s="43">
        <f t="shared" si="38"/>
        <v>2627.482266350332</v>
      </c>
      <c r="K132" s="108"/>
      <c r="L132" s="43">
        <f t="shared" si="44"/>
        <v>4921.437229510845</v>
      </c>
      <c r="M132" s="108"/>
      <c r="N132" s="43">
        <f t="shared" si="39"/>
        <v>7548.919495861177</v>
      </c>
      <c r="O132" s="43">
        <f t="shared" si="40"/>
        <v>18880.361104488315</v>
      </c>
      <c r="P132" s="125">
        <f t="shared" si="41"/>
        <v>84.86699826712963</v>
      </c>
      <c r="Q132" s="151"/>
      <c r="S132" s="98"/>
      <c r="T132" s="98"/>
    </row>
    <row r="133" spans="1:20" ht="15">
      <c r="A133" t="str">
        <f t="shared" si="42"/>
        <v>Jan</v>
      </c>
      <c r="C133" s="98">
        <v>34.24</v>
      </c>
      <c r="D133" s="98">
        <v>40.11</v>
      </c>
      <c r="E133" s="20">
        <f t="shared" si="43"/>
        <v>74.35</v>
      </c>
      <c r="G133" s="126">
        <f t="shared" si="36"/>
        <v>202.42999999999984</v>
      </c>
      <c r="H133" s="134">
        <f t="shared" si="37"/>
        <v>276.77999999999986</v>
      </c>
      <c r="I133" s="134"/>
      <c r="J133" s="43">
        <f t="shared" si="38"/>
        <v>3331.7216886468827</v>
      </c>
      <c r="K133" s="108"/>
      <c r="L133" s="43">
        <f t="shared" si="44"/>
        <v>3902.901779545164</v>
      </c>
      <c r="M133" s="108"/>
      <c r="N133" s="43">
        <f t="shared" si="39"/>
        <v>7234.623468192047</v>
      </c>
      <c r="O133" s="43">
        <f t="shared" si="40"/>
        <v>19697.442214742652</v>
      </c>
      <c r="P133" s="125">
        <f t="shared" si="41"/>
        <v>97.30495586001413</v>
      </c>
      <c r="Q133" s="151"/>
      <c r="S133" s="98"/>
      <c r="T133" s="98"/>
    </row>
    <row r="134" spans="1:20" ht="15">
      <c r="A134" t="str">
        <f t="shared" si="42"/>
        <v>Feb</v>
      </c>
      <c r="C134" s="98">
        <v>34.31</v>
      </c>
      <c r="D134" s="98">
        <v>56.49</v>
      </c>
      <c r="E134" s="20">
        <f t="shared" si="43"/>
        <v>90.80000000000001</v>
      </c>
      <c r="G134" s="126">
        <f t="shared" si="36"/>
        <v>192.23000000000002</v>
      </c>
      <c r="H134" s="134">
        <f t="shared" si="37"/>
        <v>283.03000000000003</v>
      </c>
      <c r="I134" s="134"/>
      <c r="J134" s="43">
        <f t="shared" si="38"/>
        <v>3335.9436919171126</v>
      </c>
      <c r="K134" s="108"/>
      <c r="L134" s="43">
        <f t="shared" si="44"/>
        <v>5492.493709017712</v>
      </c>
      <c r="M134" s="108"/>
      <c r="N134" s="43">
        <f t="shared" si="39"/>
        <v>8828.437400934825</v>
      </c>
      <c r="O134" s="43">
        <f t="shared" si="40"/>
        <v>18690.424246494542</v>
      </c>
      <c r="P134" s="125">
        <f t="shared" si="41"/>
        <v>97.22948679443651</v>
      </c>
      <c r="Q134" s="151"/>
      <c r="S134" s="98"/>
      <c r="T134" s="98"/>
    </row>
    <row r="135" spans="1:20" ht="15">
      <c r="A135" t="str">
        <f t="shared" si="42"/>
        <v>Mar</v>
      </c>
      <c r="C135" s="98">
        <v>34.21</v>
      </c>
      <c r="D135" s="98">
        <v>63.1</v>
      </c>
      <c r="E135" s="20">
        <f t="shared" si="43"/>
        <v>97.31</v>
      </c>
      <c r="F135" s="108"/>
      <c r="G135" s="126">
        <f t="shared" si="36"/>
        <v>220.23000000000002</v>
      </c>
      <c r="H135" s="134">
        <f t="shared" si="37"/>
        <v>317.54</v>
      </c>
      <c r="I135" s="134"/>
      <c r="J135" s="43">
        <f t="shared" si="38"/>
        <v>3780.016964025971</v>
      </c>
      <c r="K135" s="108"/>
      <c r="L135" s="43">
        <f t="shared" si="44"/>
        <v>6972.203169542204</v>
      </c>
      <c r="M135" s="108"/>
      <c r="N135" s="43">
        <f t="shared" si="39"/>
        <v>10752.220133568175</v>
      </c>
      <c r="O135" s="43">
        <f t="shared" si="40"/>
        <v>24336.705447232525</v>
      </c>
      <c r="P135" s="125">
        <f t="shared" si="41"/>
        <v>110.50237948227215</v>
      </c>
      <c r="Q135" s="151"/>
      <c r="S135" s="98"/>
      <c r="T135" s="98"/>
    </row>
    <row r="136" spans="1:20" ht="15">
      <c r="A136" t="str">
        <f t="shared" si="42"/>
        <v>Apr</v>
      </c>
      <c r="C136" s="98">
        <v>32.48</v>
      </c>
      <c r="D136" s="98">
        <v>60.46</v>
      </c>
      <c r="E136" s="20">
        <f t="shared" si="43"/>
        <v>92.94</v>
      </c>
      <c r="F136" s="108"/>
      <c r="G136" s="126">
        <f t="shared" si="36"/>
        <v>186.79999999999973</v>
      </c>
      <c r="H136" s="134">
        <f t="shared" si="37"/>
        <v>279.7399999999997</v>
      </c>
      <c r="I136" s="134"/>
      <c r="J136" s="43">
        <f t="shared" si="38"/>
        <v>2273.4323837267843</v>
      </c>
      <c r="K136" s="108"/>
      <c r="L136" s="43">
        <f t="shared" si="44"/>
        <v>4231.887990151521</v>
      </c>
      <c r="M136" s="108"/>
      <c r="N136" s="43">
        <f t="shared" si="39"/>
        <v>6505.320373878305</v>
      </c>
      <c r="O136" s="43">
        <f t="shared" si="40"/>
        <v>13076.442976869264</v>
      </c>
      <c r="P136" s="125">
        <f t="shared" si="41"/>
        <v>69.99986898815897</v>
      </c>
      <c r="Q136" s="151"/>
      <c r="S136" s="98"/>
      <c r="T136" s="98"/>
    </row>
    <row r="137" spans="1:20" ht="15">
      <c r="A137" t="str">
        <f t="shared" si="42"/>
        <v>May</v>
      </c>
      <c r="C137" s="98">
        <v>39.81</v>
      </c>
      <c r="D137" s="98">
        <v>67.13</v>
      </c>
      <c r="E137" s="20">
        <f t="shared" si="43"/>
        <v>106.94</v>
      </c>
      <c r="F137" s="108"/>
      <c r="G137" s="126">
        <f t="shared" si="36"/>
        <v>201.84000000000015</v>
      </c>
      <c r="H137" s="134">
        <f t="shared" si="37"/>
        <v>308.78000000000014</v>
      </c>
      <c r="I137" s="134"/>
      <c r="J137" s="43">
        <f t="shared" si="38"/>
        <v>2906.5622022274274</v>
      </c>
      <c r="K137" s="108"/>
      <c r="L137" s="43">
        <f t="shared" si="44"/>
        <v>4901.21880521294</v>
      </c>
      <c r="M137" s="108"/>
      <c r="N137" s="43">
        <f t="shared" si="39"/>
        <v>7807.781007440368</v>
      </c>
      <c r="O137" s="43">
        <f t="shared" si="40"/>
        <v>14736.5113011199</v>
      </c>
      <c r="P137" s="125">
        <f t="shared" si="41"/>
        <v>73.01085662465269</v>
      </c>
      <c r="Q137" s="151"/>
      <c r="S137" s="98"/>
      <c r="T137" s="98"/>
    </row>
    <row r="138" spans="1:20" ht="15">
      <c r="A138" t="str">
        <f t="shared" si="42"/>
        <v>Jun</v>
      </c>
      <c r="C138" s="98">
        <v>33.06</v>
      </c>
      <c r="D138" s="98">
        <v>68.31</v>
      </c>
      <c r="E138" s="20">
        <f t="shared" si="43"/>
        <v>101.37</v>
      </c>
      <c r="F138" s="108"/>
      <c r="G138" s="126">
        <f t="shared" si="36"/>
        <v>199.69999999999982</v>
      </c>
      <c r="H138" s="134">
        <f t="shared" si="37"/>
        <v>301.0699999999998</v>
      </c>
      <c r="I138" s="134"/>
      <c r="J138" s="43">
        <f t="shared" si="38"/>
        <v>3070.3789342281634</v>
      </c>
      <c r="K138" s="108"/>
      <c r="L138" s="43">
        <f t="shared" si="44"/>
        <v>6344.149576440588</v>
      </c>
      <c r="M138" s="108"/>
      <c r="N138" s="43">
        <f t="shared" si="39"/>
        <v>9414.528510668752</v>
      </c>
      <c r="O138" s="43">
        <f t="shared" si="40"/>
        <v>18546.72332623601</v>
      </c>
      <c r="P138" s="125">
        <f t="shared" si="41"/>
        <v>92.87292602021051</v>
      </c>
      <c r="Q138" s="151"/>
      <c r="S138" s="98"/>
      <c r="T138" s="98"/>
    </row>
    <row r="139" spans="1:20" ht="15">
      <c r="A139" t="str">
        <f t="shared" si="42"/>
        <v>Jul</v>
      </c>
      <c r="C139" s="98">
        <v>36.11</v>
      </c>
      <c r="D139" s="98">
        <v>55.27</v>
      </c>
      <c r="E139" s="20">
        <f t="shared" si="43"/>
        <v>91.38</v>
      </c>
      <c r="F139" s="108"/>
      <c r="G139" s="126">
        <f t="shared" si="36"/>
        <v>170.37000000000035</v>
      </c>
      <c r="H139" s="134">
        <f t="shared" si="37"/>
        <v>261.75000000000034</v>
      </c>
      <c r="I139" s="134"/>
      <c r="J139" s="43">
        <f t="shared" si="38"/>
        <v>3640.7742058931467</v>
      </c>
      <c r="K139" s="108"/>
      <c r="L139" s="43">
        <f t="shared" si="44"/>
        <v>5572.572427574472</v>
      </c>
      <c r="M139" s="108"/>
      <c r="N139" s="43">
        <f t="shared" si="39"/>
        <v>9213.34663346762</v>
      </c>
      <c r="O139" s="43">
        <f t="shared" si="40"/>
        <v>17179.357184457476</v>
      </c>
      <c r="P139" s="125">
        <f t="shared" si="41"/>
        <v>100.83172423276051</v>
      </c>
      <c r="Q139" s="151"/>
      <c r="S139" s="98"/>
      <c r="T139" s="98"/>
    </row>
    <row r="140" spans="1:20" ht="15">
      <c r="A140" t="str">
        <f t="shared" si="42"/>
        <v>Aug</v>
      </c>
      <c r="C140" s="98">
        <v>37.23</v>
      </c>
      <c r="D140" s="98">
        <v>47.32</v>
      </c>
      <c r="E140" s="20">
        <f t="shared" si="43"/>
        <v>84.55</v>
      </c>
      <c r="F140" s="108"/>
      <c r="G140" s="126">
        <f t="shared" si="36"/>
        <v>186.26999999999998</v>
      </c>
      <c r="H140" s="134">
        <f t="shared" si="37"/>
        <v>270.82</v>
      </c>
      <c r="I140" s="134"/>
      <c r="J140" s="43">
        <f t="shared" si="38"/>
        <v>3427.4227702286144</v>
      </c>
      <c r="K140" s="108"/>
      <c r="L140" s="43">
        <f t="shared" si="44"/>
        <v>4356.316021681924</v>
      </c>
      <c r="M140" s="108"/>
      <c r="N140" s="43">
        <f t="shared" si="39"/>
        <v>7783.738791910539</v>
      </c>
      <c r="O140" s="43">
        <f t="shared" si="40"/>
        <v>17148.161144520127</v>
      </c>
      <c r="P140" s="125">
        <f t="shared" si="41"/>
        <v>92.06077814205253</v>
      </c>
      <c r="Q140" s="151"/>
      <c r="S140" s="98"/>
      <c r="T140" s="98"/>
    </row>
    <row r="141" spans="1:20" ht="17.25">
      <c r="A141" t="str">
        <f t="shared" si="42"/>
        <v>Sep</v>
      </c>
      <c r="C141" s="147">
        <v>35.64</v>
      </c>
      <c r="D141" s="147">
        <v>60.49</v>
      </c>
      <c r="E141" s="156">
        <f t="shared" si="43"/>
        <v>96.13</v>
      </c>
      <c r="F141" s="108"/>
      <c r="G141" s="22">
        <f t="shared" si="36"/>
        <v>188.8499999999999</v>
      </c>
      <c r="H141" s="137">
        <f>+G141+E141</f>
        <v>284.9799999999999</v>
      </c>
      <c r="I141" s="134"/>
      <c r="J141" s="45">
        <f t="shared" si="38"/>
        <v>2309.6211196119557</v>
      </c>
      <c r="K141" s="111"/>
      <c r="L141" s="45">
        <f>+N141-J141</f>
        <v>3920.0050933032317</v>
      </c>
      <c r="M141" s="111"/>
      <c r="N141" s="45">
        <f t="shared" si="39"/>
        <v>6229.626212915187</v>
      </c>
      <c r="O141" s="45">
        <f t="shared" si="40"/>
        <v>12238.270158213156</v>
      </c>
      <c r="P141" s="128">
        <f t="shared" si="41"/>
        <v>64.80418405196276</v>
      </c>
      <c r="Q141" s="151"/>
      <c r="S141" s="147"/>
      <c r="T141" s="147"/>
    </row>
    <row r="142" spans="3:17" ht="17.25">
      <c r="C142" s="27">
        <f>SUM(C118:C141)</f>
        <v>793.1800000000001</v>
      </c>
      <c r="D142" s="27">
        <f aca="true" t="shared" si="45" ref="D142:O142">SUM(D118:D141)</f>
        <v>1364.2999999999997</v>
      </c>
      <c r="E142" s="27">
        <f t="shared" si="45"/>
        <v>2157.4800000000005</v>
      </c>
      <c r="F142" s="27"/>
      <c r="G142" s="27">
        <f t="shared" si="45"/>
        <v>4785.42</v>
      </c>
      <c r="H142" s="27">
        <f t="shared" si="45"/>
        <v>6942.899999999998</v>
      </c>
      <c r="I142" s="27"/>
      <c r="J142" s="131">
        <f t="shared" si="45"/>
        <v>58868.248285207985</v>
      </c>
      <c r="K142" s="131"/>
      <c r="L142" s="130">
        <f t="shared" si="45"/>
        <v>100543.85278653691</v>
      </c>
      <c r="M142" s="130"/>
      <c r="N142" s="130">
        <f t="shared" si="45"/>
        <v>159412.10107174492</v>
      </c>
      <c r="O142" s="130">
        <f t="shared" si="45"/>
        <v>351595.9422546626</v>
      </c>
      <c r="P142" s="131">
        <f>(O142+N142)/H142</f>
        <v>73.60152721865613</v>
      </c>
      <c r="Q142" s="37"/>
    </row>
    <row r="143" spans="2:18" ht="17.25">
      <c r="B143" s="150" t="s">
        <v>126</v>
      </c>
      <c r="C143" s="152">
        <f>+C142/E142</f>
        <v>0.36764187848786545</v>
      </c>
      <c r="D143" s="153">
        <f>+D142/E142</f>
        <v>0.6323581215121342</v>
      </c>
      <c r="E143" s="118">
        <f>+E142/C60</f>
        <v>0.07481926169089978</v>
      </c>
      <c r="G143" s="118">
        <f>+G142/D60</f>
        <v>0.06905018230678359</v>
      </c>
      <c r="H143" s="118">
        <f>+H142/E60</f>
        <v>0.07074528680631834</v>
      </c>
      <c r="I143" s="118"/>
      <c r="N143" s="118">
        <f>+N142/G60</f>
        <v>0.07511715102444909</v>
      </c>
      <c r="O143" s="118">
        <f>+O142/H60</f>
        <v>0.06885850824995696</v>
      </c>
      <c r="Q143" s="118"/>
      <c r="R143" s="19"/>
    </row>
    <row r="146" spans="1:16" ht="17.25">
      <c r="A146" s="139"/>
      <c r="C146" s="140"/>
      <c r="D146" s="140"/>
      <c r="E146" s="141"/>
      <c r="G146" s="142"/>
      <c r="H146" s="142"/>
      <c r="N146" s="145"/>
      <c r="O146" s="145"/>
      <c r="P146" s="145"/>
    </row>
  </sheetData>
  <sheetProtection/>
  <mergeCells count="2">
    <mergeCell ref="C5:E5"/>
    <mergeCell ref="G5:J5"/>
  </mergeCells>
  <printOptions/>
  <pageMargins left="0.7" right="0.7" top="0.75" bottom="0.75" header="0.3" footer="0.3"/>
  <pageSetup fitToHeight="3" fitToWidth="1" horizontalDpi="600" verticalDpi="600" orientation="landscape" scale="60"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BV18"/>
  <sheetViews>
    <sheetView zoomScalePageLayoutView="0" workbookViewId="0" topLeftCell="A1">
      <pane xSplit="1" topLeftCell="AD1" activePane="topRight" state="frozen"/>
      <selection pane="topLeft" activeCell="A1" sqref="A1"/>
      <selection pane="topRight" activeCell="AW15" sqref="AW15"/>
    </sheetView>
  </sheetViews>
  <sheetFormatPr defaultColWidth="9.140625" defaultRowHeight="12.75"/>
  <cols>
    <col min="1" max="1" width="29.140625" style="0" customWidth="1"/>
    <col min="2" max="2" width="9.28125" style="0" bestFit="1" customWidth="1"/>
    <col min="3" max="3" width="7.00390625" style="0" bestFit="1" customWidth="1"/>
    <col min="4" max="4" width="9.28125" style="0" bestFit="1" customWidth="1"/>
    <col min="5" max="5" width="7.00390625" style="0" bestFit="1" customWidth="1"/>
    <col min="6" max="6" width="10.28125" style="0" bestFit="1" customWidth="1"/>
    <col min="7" max="7" width="6.28125" style="0" bestFit="1" customWidth="1"/>
    <col min="8" max="8" width="10.28125" style="0" bestFit="1" customWidth="1"/>
    <col min="9" max="9" width="6.28125" style="0" bestFit="1" customWidth="1"/>
    <col min="10" max="10" width="9.28125" style="0" bestFit="1" customWidth="1"/>
    <col min="11" max="11" width="6.28125" style="0" bestFit="1" customWidth="1"/>
    <col min="12" max="12" width="10.28125" style="0" bestFit="1" customWidth="1"/>
    <col min="13" max="13" width="7.00390625" style="0" bestFit="1" customWidth="1"/>
    <col min="14" max="14" width="9.28125" style="0" bestFit="1" customWidth="1"/>
    <col min="15" max="15" width="7.00390625" style="0" bestFit="1" customWidth="1"/>
    <col min="16" max="16" width="9.28125" style="0" bestFit="1" customWidth="1"/>
    <col min="17" max="17" width="7.00390625" style="0" bestFit="1" customWidth="1"/>
    <col min="18" max="18" width="10.28125" style="0" bestFit="1" customWidth="1"/>
    <col min="19" max="19" width="7.00390625" style="0" bestFit="1" customWidth="1"/>
    <col min="20" max="20" width="9.28125" style="0" bestFit="1" customWidth="1"/>
    <col min="21" max="21" width="7.00390625" style="0" bestFit="1" customWidth="1"/>
    <col min="22" max="22" width="9.28125" style="0" bestFit="1" customWidth="1"/>
    <col min="23" max="23" width="7.00390625" style="0" bestFit="1" customWidth="1"/>
    <col min="24" max="24" width="9.28125" style="0" bestFit="1" customWidth="1"/>
    <col min="25" max="25" width="7.00390625" style="0" bestFit="1" customWidth="1"/>
    <col min="26" max="26" width="9.28125" style="0" bestFit="1" customWidth="1"/>
    <col min="27" max="27" width="7.00390625" style="0" customWidth="1"/>
    <col min="28" max="28" width="9.28125" style="0" bestFit="1" customWidth="1"/>
    <col min="29" max="29" width="7.00390625" style="0" customWidth="1"/>
    <col min="30" max="30" width="9.28125" style="0" bestFit="1" customWidth="1"/>
    <col min="31" max="31" width="7.00390625" style="0" customWidth="1"/>
    <col min="32" max="32" width="9.28125" style="0" bestFit="1" customWidth="1"/>
    <col min="33" max="33" width="7.00390625" style="0" customWidth="1"/>
    <col min="34" max="34" width="9.28125" style="0" bestFit="1" customWidth="1"/>
    <col min="35" max="35" width="7.00390625" style="0" customWidth="1"/>
    <col min="36" max="36" width="9.28125" style="0" bestFit="1" customWidth="1"/>
    <col min="37" max="37" width="7.00390625" style="0" customWidth="1"/>
    <col min="38" max="38" width="9.28125" style="0" bestFit="1" customWidth="1"/>
    <col min="39" max="39" width="7.00390625" style="0" customWidth="1"/>
    <col min="40" max="40" width="9.28125" style="0" bestFit="1" customWidth="1"/>
    <col min="41" max="41" width="7.00390625" style="0" customWidth="1"/>
    <col min="42" max="42" width="9.28125" style="0" bestFit="1" customWidth="1"/>
    <col min="43" max="43" width="7.00390625" style="0" customWidth="1"/>
    <col min="44" max="44" width="9.28125" style="0" bestFit="1" customWidth="1"/>
    <col min="45" max="45" width="7.00390625" style="0" customWidth="1"/>
    <col min="46" max="46" width="9.28125" style="0" bestFit="1" customWidth="1"/>
    <col min="47" max="47" width="7.00390625" style="0" customWidth="1"/>
    <col min="48" max="48" width="9.28125" style="0" bestFit="1" customWidth="1"/>
    <col min="49" max="49" width="7.00390625" style="0" customWidth="1"/>
    <col min="50" max="50" width="11.28125" style="0" bestFit="1" customWidth="1"/>
    <col min="51" max="51" width="6.28125" style="0" bestFit="1" customWidth="1"/>
    <col min="52" max="52" width="7.00390625" style="0" customWidth="1"/>
    <col min="53" max="53" width="11.57421875" style="0" bestFit="1" customWidth="1"/>
    <col min="54" max="54" width="6.28125" style="0" bestFit="1" customWidth="1"/>
    <col min="55" max="68" width="7.00390625" style="0" customWidth="1"/>
    <col min="69" max="69" width="11.28125" style="0" bestFit="1" customWidth="1"/>
    <col min="70" max="70" width="6.28125" style="0" bestFit="1" customWidth="1"/>
  </cols>
  <sheetData>
    <row r="2" ht="15.75">
      <c r="A2" s="409" t="s">
        <v>289</v>
      </c>
    </row>
    <row r="3" ht="15">
      <c r="BT3" s="13"/>
    </row>
    <row r="4" spans="1:74" ht="15">
      <c r="A4" s="8"/>
      <c r="B4" s="10">
        <v>42282</v>
      </c>
      <c r="C4" s="6"/>
      <c r="D4" s="10">
        <v>42313</v>
      </c>
      <c r="E4" s="6"/>
      <c r="F4" s="10">
        <v>42343</v>
      </c>
      <c r="G4" s="2"/>
      <c r="H4" s="10">
        <v>42380</v>
      </c>
      <c r="I4" s="6"/>
      <c r="J4" s="10">
        <v>42401</v>
      </c>
      <c r="K4" s="6"/>
      <c r="L4" s="10">
        <v>42434</v>
      </c>
      <c r="M4" s="6"/>
      <c r="N4" s="10">
        <v>42465</v>
      </c>
      <c r="O4" s="6"/>
      <c r="P4" s="10">
        <v>42495</v>
      </c>
      <c r="Q4" s="6"/>
      <c r="R4" s="10">
        <v>42526</v>
      </c>
      <c r="S4" s="6"/>
      <c r="T4" s="10">
        <v>42556</v>
      </c>
      <c r="U4" s="6"/>
      <c r="V4" s="10">
        <v>42587</v>
      </c>
      <c r="W4" s="6"/>
      <c r="X4" s="10">
        <v>42618</v>
      </c>
      <c r="Y4" s="6"/>
      <c r="Z4" s="10">
        <v>42648</v>
      </c>
      <c r="AA4" s="6"/>
      <c r="AB4" s="10">
        <v>42679</v>
      </c>
      <c r="AC4" s="6"/>
      <c r="AD4" s="10">
        <v>42709</v>
      </c>
      <c r="AE4" s="6"/>
      <c r="AF4" s="10">
        <v>42740</v>
      </c>
      <c r="AG4" s="6"/>
      <c r="AH4" s="10">
        <v>42771</v>
      </c>
      <c r="AI4" s="6"/>
      <c r="AJ4" s="10">
        <v>42799</v>
      </c>
      <c r="AK4" s="6"/>
      <c r="AL4" s="10">
        <v>42830</v>
      </c>
      <c r="AM4" s="6"/>
      <c r="AN4" s="10">
        <v>42860</v>
      </c>
      <c r="AO4" s="6"/>
      <c r="AP4" s="10">
        <v>42891</v>
      </c>
      <c r="AQ4" s="6"/>
      <c r="AR4" s="10">
        <v>42921</v>
      </c>
      <c r="AS4" s="6"/>
      <c r="AT4" s="10">
        <v>42952</v>
      </c>
      <c r="AU4" s="6"/>
      <c r="AV4" s="10">
        <v>42983</v>
      </c>
      <c r="AW4" s="6"/>
      <c r="AX4" s="10" t="s">
        <v>100</v>
      </c>
      <c r="AY4" s="6"/>
      <c r="BT4" s="13"/>
      <c r="BV4" s="13"/>
    </row>
    <row r="5" spans="1:74" ht="15">
      <c r="A5" s="9"/>
      <c r="B5" s="3" t="s">
        <v>7</v>
      </c>
      <c r="C5" s="7"/>
      <c r="D5" s="3" t="s">
        <v>7</v>
      </c>
      <c r="E5" s="7"/>
      <c r="F5" s="3" t="s">
        <v>7</v>
      </c>
      <c r="G5" s="4"/>
      <c r="H5" s="3" t="s">
        <v>7</v>
      </c>
      <c r="I5" s="7"/>
      <c r="J5" s="3" t="s">
        <v>7</v>
      </c>
      <c r="K5" s="7"/>
      <c r="L5" s="3" t="s">
        <v>7</v>
      </c>
      <c r="M5" s="7"/>
      <c r="N5" s="3" t="s">
        <v>7</v>
      </c>
      <c r="O5" s="7"/>
      <c r="P5" s="3" t="s">
        <v>7</v>
      </c>
      <c r="Q5" s="7"/>
      <c r="R5" s="3" t="s">
        <v>7</v>
      </c>
      <c r="S5" s="7"/>
      <c r="T5" s="3" t="s">
        <v>7</v>
      </c>
      <c r="U5" s="7"/>
      <c r="V5" s="3" t="s">
        <v>7</v>
      </c>
      <c r="W5" s="7"/>
      <c r="X5" s="3" t="s">
        <v>7</v>
      </c>
      <c r="Y5" s="7"/>
      <c r="Z5" s="3" t="s">
        <v>7</v>
      </c>
      <c r="AA5" s="7"/>
      <c r="AB5" s="3" t="s">
        <v>7</v>
      </c>
      <c r="AC5" s="7"/>
      <c r="AD5" s="3" t="s">
        <v>7</v>
      </c>
      <c r="AE5" s="7"/>
      <c r="AF5" s="3" t="s">
        <v>7</v>
      </c>
      <c r="AG5" s="7"/>
      <c r="AH5" s="3" t="s">
        <v>7</v>
      </c>
      <c r="AI5" s="7"/>
      <c r="AJ5" s="3" t="s">
        <v>7</v>
      </c>
      <c r="AK5" s="7"/>
      <c r="AL5" s="3" t="s">
        <v>7</v>
      </c>
      <c r="AM5" s="7"/>
      <c r="AN5" s="3" t="s">
        <v>7</v>
      </c>
      <c r="AO5" s="7"/>
      <c r="AP5" s="3" t="s">
        <v>7</v>
      </c>
      <c r="AQ5" s="7"/>
      <c r="AR5" s="3" t="s">
        <v>7</v>
      </c>
      <c r="AS5" s="7"/>
      <c r="AT5" s="3" t="s">
        <v>7</v>
      </c>
      <c r="AU5" s="7"/>
      <c r="AV5" s="3" t="s">
        <v>7</v>
      </c>
      <c r="AW5" s="7"/>
      <c r="AX5" s="3" t="s">
        <v>7</v>
      </c>
      <c r="AY5" s="7"/>
      <c r="BT5" s="14"/>
      <c r="BV5" s="15"/>
    </row>
    <row r="6" spans="1:74" ht="15">
      <c r="A6" s="9" t="s">
        <v>3</v>
      </c>
      <c r="B6" s="123">
        <v>3347.84</v>
      </c>
      <c r="C6" s="5">
        <f aca="true" t="shared" si="0" ref="C6:C16">B6/$B$17</f>
        <v>0.3581435552474604</v>
      </c>
      <c r="D6" s="123">
        <v>4238.6</v>
      </c>
      <c r="E6" s="5">
        <f aca="true" t="shared" si="1" ref="E6:E16">D6/D$17</f>
        <v>0.43077917511062697</v>
      </c>
      <c r="F6" s="123">
        <v>5672.25</v>
      </c>
      <c r="G6" s="5">
        <f aca="true" t="shared" si="2" ref="G6:G16">F6/F$17</f>
        <v>0.46767519113896816</v>
      </c>
      <c r="H6" s="123">
        <v>4435.64</v>
      </c>
      <c r="I6" s="5">
        <f aca="true" t="shared" si="3" ref="I6:I16">H6/H$17</f>
        <v>0.42238236896132736</v>
      </c>
      <c r="J6" s="123">
        <v>3864.94</v>
      </c>
      <c r="K6" s="5">
        <f aca="true" t="shared" si="4" ref="K6:Q16">J6/J$17</f>
        <v>0.40404321290951184</v>
      </c>
      <c r="L6" s="123">
        <v>4140.28</v>
      </c>
      <c r="M6" s="5">
        <f t="shared" si="4"/>
        <v>0.3935522628675282</v>
      </c>
      <c r="N6" s="123">
        <v>2598.48</v>
      </c>
      <c r="O6" s="5">
        <f t="shared" si="4"/>
        <v>0.32390791645267925</v>
      </c>
      <c r="P6" s="123">
        <v>2683.68</v>
      </c>
      <c r="Q6" s="5">
        <f t="shared" si="4"/>
        <v>0.3351428710582611</v>
      </c>
      <c r="R6" s="123">
        <v>3064.45</v>
      </c>
      <c r="S6" s="5">
        <f aca="true" t="shared" si="5" ref="S6:S16">R6/R$17</f>
        <v>0.3014434502730693</v>
      </c>
      <c r="T6" s="123">
        <v>1956.34</v>
      </c>
      <c r="U6" s="5">
        <f aca="true" t="shared" si="6" ref="U6:U16">T6/T$17</f>
        <v>0.23301107324876041</v>
      </c>
      <c r="V6" s="123">
        <v>2991.89</v>
      </c>
      <c r="W6" s="5">
        <f aca="true" t="shared" si="7" ref="W6:W16">V6/V$17</f>
        <v>0.3146989371157497</v>
      </c>
      <c r="X6" s="16">
        <v>2814.62</v>
      </c>
      <c r="Y6" s="5">
        <f aca="true" t="shared" si="8" ref="Y6:Y16">X6/X$17</f>
        <v>0.31785837300041225</v>
      </c>
      <c r="Z6" s="470">
        <v>2878.5</v>
      </c>
      <c r="AA6" s="471">
        <f aca="true" t="shared" si="9" ref="AA6:AA16">Z6/Z$17</f>
        <v>0.317189733124261</v>
      </c>
      <c r="AB6" s="470">
        <v>3004.58</v>
      </c>
      <c r="AC6" s="471">
        <f aca="true" t="shared" si="10" ref="AC6:AC16">AB6/AB$17</f>
        <v>0.3203214536631026</v>
      </c>
      <c r="AD6" s="470">
        <v>3116.99</v>
      </c>
      <c r="AE6" s="472">
        <f aca="true" t="shared" si="11" ref="AE6:AE16">AD6/AD$17</f>
        <v>0.3473530542538906</v>
      </c>
      <c r="AF6" s="470">
        <v>2559.98</v>
      </c>
      <c r="AG6" s="472">
        <f aca="true" t="shared" si="12" ref="AG6:AG16">AF6/AF$17</f>
        <v>0.2884796552641187</v>
      </c>
      <c r="AH6" s="470">
        <v>2095.77</v>
      </c>
      <c r="AI6" s="472">
        <f aca="true" t="shared" si="13" ref="AI6:AI16">AH6/AH$17</f>
        <v>0.2977495844403085</v>
      </c>
      <c r="AJ6" s="470">
        <v>2480.01</v>
      </c>
      <c r="AK6" s="472">
        <f aca="true" t="shared" si="14" ref="AK6:AK16">AJ6/AJ$17</f>
        <v>0.29939481445443367</v>
      </c>
      <c r="AL6" s="470">
        <v>1895.38</v>
      </c>
      <c r="AM6" s="472">
        <f aca="true" t="shared" si="15" ref="AM6:AM16">AL6/AL$17</f>
        <v>0.2593249326163992</v>
      </c>
      <c r="AN6" s="470">
        <v>2035.16</v>
      </c>
      <c r="AO6" s="472">
        <f aca="true" t="shared" si="16" ref="AO6:AO16">AN6/AN$17</f>
        <v>0.23953288286644772</v>
      </c>
      <c r="AP6" s="470">
        <v>2134.24</v>
      </c>
      <c r="AQ6" s="472">
        <f aca="true" t="shared" si="17" ref="AQ6:AQ16">AP6/AP$17</f>
        <v>0.2544775985930187</v>
      </c>
      <c r="AR6" s="470">
        <v>1912.2</v>
      </c>
      <c r="AS6" s="472">
        <f aca="true" t="shared" si="18" ref="AS6:AS16">AR6/AR$17</f>
        <v>0.23843100874945294</v>
      </c>
      <c r="AT6" s="470">
        <v>1574.83</v>
      </c>
      <c r="AU6" s="472">
        <f aca="true" t="shared" si="19" ref="AU6:AU16">AT6/AT$17</f>
        <v>0.19143634084938838</v>
      </c>
      <c r="AV6" s="86">
        <v>1530.12</v>
      </c>
      <c r="AW6" s="472">
        <f aca="true" t="shared" si="20" ref="AW6:AW16">AV6/AV$17</f>
        <v>0.1964545936597647</v>
      </c>
      <c r="AX6" s="18">
        <f>+X6+V6+T6+R6+P6+N6+L6+J6+H6+F6+D6+B6+Z6+AB6+AD6+AF6+AH6+AJ6+AL6+AN6+AP6+AR6+AT6+AV6</f>
        <v>69026.76999999999</v>
      </c>
      <c r="AY6" s="17">
        <f aca="true" t="shared" si="21" ref="AY6:AY16">AX6/AX$17</f>
        <v>0.3214905358221396</v>
      </c>
      <c r="BT6" s="19"/>
      <c r="BV6" s="20"/>
    </row>
    <row r="7" spans="1:74" ht="15">
      <c r="A7" s="9" t="s">
        <v>6</v>
      </c>
      <c r="B7" s="123">
        <v>1141.82</v>
      </c>
      <c r="C7" s="5">
        <f t="shared" si="0"/>
        <v>0.12214904961188562</v>
      </c>
      <c r="D7" s="123">
        <v>1115.16</v>
      </c>
      <c r="E7" s="5">
        <f t="shared" si="1"/>
        <v>0.11333640940790987</v>
      </c>
      <c r="F7" s="123">
        <v>1334.56</v>
      </c>
      <c r="G7" s="5">
        <f t="shared" si="2"/>
        <v>0.1100340434724177</v>
      </c>
      <c r="H7" s="123">
        <v>1271.58</v>
      </c>
      <c r="I7" s="5">
        <f t="shared" si="3"/>
        <v>0.12108578981248355</v>
      </c>
      <c r="J7" s="123">
        <v>1097.84</v>
      </c>
      <c r="K7" s="5">
        <f t="shared" si="4"/>
        <v>0.11476887114950773</v>
      </c>
      <c r="L7" s="123">
        <v>1300.65</v>
      </c>
      <c r="M7" s="5">
        <f t="shared" si="4"/>
        <v>0.12363264095632436</v>
      </c>
      <c r="N7" s="123">
        <v>1324.28</v>
      </c>
      <c r="O7" s="5">
        <f t="shared" si="4"/>
        <v>0.16507526538590023</v>
      </c>
      <c r="P7" s="123">
        <v>1035.37</v>
      </c>
      <c r="Q7" s="5">
        <f t="shared" si="4"/>
        <v>0.12929890091500917</v>
      </c>
      <c r="R7" s="123">
        <v>2815.79</v>
      </c>
      <c r="S7" s="5">
        <f t="shared" si="5"/>
        <v>0.27698329319923826</v>
      </c>
      <c r="T7" s="123">
        <v>1677.17</v>
      </c>
      <c r="U7" s="5">
        <f t="shared" si="6"/>
        <v>0.1997603595083797</v>
      </c>
      <c r="V7" s="123">
        <v>1669.27</v>
      </c>
      <c r="W7" s="5">
        <f t="shared" si="7"/>
        <v>0.17558048416192024</v>
      </c>
      <c r="X7" s="16">
        <v>1592.51</v>
      </c>
      <c r="Y7" s="5">
        <f t="shared" si="8"/>
        <v>0.17984404203298723</v>
      </c>
      <c r="Z7" s="470">
        <v>1491.23</v>
      </c>
      <c r="AA7" s="471">
        <f t="shared" si="9"/>
        <v>0.16432268394194607</v>
      </c>
      <c r="AB7" s="470">
        <v>2078.93</v>
      </c>
      <c r="AC7" s="471">
        <f t="shared" si="10"/>
        <v>0.22163692751194305</v>
      </c>
      <c r="AD7" s="470">
        <v>1518.81</v>
      </c>
      <c r="AE7" s="472">
        <f t="shared" si="11"/>
        <v>0.1692540856182893</v>
      </c>
      <c r="AF7" s="470">
        <v>1783.47</v>
      </c>
      <c r="AG7" s="472">
        <f t="shared" si="12"/>
        <v>0.2009761055843787</v>
      </c>
      <c r="AH7" s="470">
        <v>1653.34</v>
      </c>
      <c r="AI7" s="472">
        <f t="shared" si="13"/>
        <v>0.2348928069103669</v>
      </c>
      <c r="AJ7" s="470">
        <v>1794.45</v>
      </c>
      <c r="AK7" s="472">
        <f t="shared" si="14"/>
        <v>0.21663179777410513</v>
      </c>
      <c r="AL7" s="470">
        <v>1513.81</v>
      </c>
      <c r="AM7" s="472">
        <f t="shared" si="15"/>
        <v>0.20711871827497982</v>
      </c>
      <c r="AN7" s="470">
        <v>1664.79</v>
      </c>
      <c r="AO7" s="472">
        <f t="shared" si="16"/>
        <v>0.19594132553078553</v>
      </c>
      <c r="AP7" s="470">
        <v>2100.3</v>
      </c>
      <c r="AQ7" s="472">
        <f t="shared" si="17"/>
        <v>0.25043073896324564</v>
      </c>
      <c r="AR7" s="470">
        <v>1850.37</v>
      </c>
      <c r="AS7" s="472">
        <f t="shared" si="18"/>
        <v>0.2307214651499452</v>
      </c>
      <c r="AT7" s="470">
        <v>1776.64</v>
      </c>
      <c r="AU7" s="472">
        <f t="shared" si="19"/>
        <v>0.21596836522460036</v>
      </c>
      <c r="AV7" s="86">
        <v>1407.94</v>
      </c>
      <c r="AW7" s="472">
        <f t="shared" si="20"/>
        <v>0.18076770488414579</v>
      </c>
      <c r="AX7" s="18">
        <f aca="true" t="shared" si="22" ref="AX7:AX16">+X7+V7+T7+R7+P7+N7+L7+J7+H7+F7+D7+B7+Z7+AB7+AD7+AF7+AH7+AJ7+AL7+AN7+AP7+AR7+AT7+AV7</f>
        <v>38010.08000000001</v>
      </c>
      <c r="AY7" s="17">
        <f t="shared" si="21"/>
        <v>0.17703104151972338</v>
      </c>
      <c r="BT7" s="19"/>
      <c r="BV7" s="20"/>
    </row>
    <row r="8" spans="1:74" ht="15">
      <c r="A8" s="9" t="s">
        <v>1</v>
      </c>
      <c r="B8" s="123">
        <v>2255.58</v>
      </c>
      <c r="C8" s="5">
        <f t="shared" si="0"/>
        <v>0.241296310559963</v>
      </c>
      <c r="D8" s="123">
        <v>1773.72</v>
      </c>
      <c r="E8" s="5">
        <f t="shared" si="1"/>
        <v>0.1802674558762849</v>
      </c>
      <c r="F8" s="123">
        <v>2044.86</v>
      </c>
      <c r="G8" s="5">
        <f t="shared" si="2"/>
        <v>0.16859805039489276</v>
      </c>
      <c r="H8" s="123">
        <v>1932.07</v>
      </c>
      <c r="I8" s="5">
        <f t="shared" si="3"/>
        <v>0.18398073414413965</v>
      </c>
      <c r="J8" s="123">
        <v>1837.71</v>
      </c>
      <c r="K8" s="5">
        <f t="shared" si="4"/>
        <v>0.19211533757210694</v>
      </c>
      <c r="L8" s="123">
        <v>2199.3</v>
      </c>
      <c r="M8" s="5">
        <f t="shared" si="4"/>
        <v>0.20905337120304784</v>
      </c>
      <c r="N8" s="123">
        <v>1674.52</v>
      </c>
      <c r="O8" s="5">
        <f t="shared" si="4"/>
        <v>0.2087336767103616</v>
      </c>
      <c r="P8" s="123">
        <v>1323.24</v>
      </c>
      <c r="Q8" s="5">
        <f t="shared" si="4"/>
        <v>0.165248633480569</v>
      </c>
      <c r="R8" s="123">
        <v>1748.63</v>
      </c>
      <c r="S8" s="5">
        <f t="shared" si="5"/>
        <v>0.17200902623668102</v>
      </c>
      <c r="T8" s="123">
        <v>1874.58</v>
      </c>
      <c r="U8" s="5">
        <f t="shared" si="6"/>
        <v>0.22327299840041162</v>
      </c>
      <c r="V8" s="123">
        <v>1740.18</v>
      </c>
      <c r="W8" s="5">
        <f t="shared" si="7"/>
        <v>0.18303908111263628</v>
      </c>
      <c r="X8" s="16">
        <v>1742.25</v>
      </c>
      <c r="Y8" s="5">
        <f t="shared" si="8"/>
        <v>0.19675435773211597</v>
      </c>
      <c r="Z8" s="470">
        <v>1722.7</v>
      </c>
      <c r="AA8" s="471">
        <f t="shared" si="9"/>
        <v>0.18982899192397584</v>
      </c>
      <c r="AB8" s="470">
        <v>1474.03</v>
      </c>
      <c r="AC8" s="471">
        <f t="shared" si="10"/>
        <v>0.1571478983229014</v>
      </c>
      <c r="AD8" s="470">
        <v>1531.21</v>
      </c>
      <c r="AE8" s="472">
        <f t="shared" si="11"/>
        <v>0.17063592446690554</v>
      </c>
      <c r="AF8" s="470">
        <v>1782.07</v>
      </c>
      <c r="AG8" s="472">
        <f t="shared" si="12"/>
        <v>0.20081834204037843</v>
      </c>
      <c r="AH8" s="470">
        <v>930.23</v>
      </c>
      <c r="AI8" s="472">
        <f t="shared" si="13"/>
        <v>0.13215934760680237</v>
      </c>
      <c r="AJ8" s="470">
        <v>1449.81</v>
      </c>
      <c r="AK8" s="472">
        <f t="shared" si="14"/>
        <v>0.17502574422852424</v>
      </c>
      <c r="AL8" s="470">
        <v>1325.94</v>
      </c>
      <c r="AM8" s="472">
        <f t="shared" si="15"/>
        <v>0.18141443992940115</v>
      </c>
      <c r="AN8" s="470">
        <v>1776.48</v>
      </c>
      <c r="AO8" s="472">
        <f t="shared" si="16"/>
        <v>0.20908693948121376</v>
      </c>
      <c r="AP8" s="470">
        <v>1620.89</v>
      </c>
      <c r="AQ8" s="472">
        <f t="shared" si="17"/>
        <v>0.19326795242495604</v>
      </c>
      <c r="AR8" s="470">
        <v>1456</v>
      </c>
      <c r="AS8" s="472">
        <f t="shared" si="18"/>
        <v>0.18154771924443233</v>
      </c>
      <c r="AT8" s="470">
        <v>1846.74</v>
      </c>
      <c r="AU8" s="472">
        <f t="shared" si="19"/>
        <v>0.22448972149387522</v>
      </c>
      <c r="AV8" s="86">
        <v>1621.13</v>
      </c>
      <c r="AW8" s="472">
        <f t="shared" si="20"/>
        <v>0.20813951547568452</v>
      </c>
      <c r="AX8" s="18">
        <f t="shared" si="22"/>
        <v>40683.869999999995</v>
      </c>
      <c r="AY8" s="17">
        <f t="shared" si="21"/>
        <v>0.1894841547071994</v>
      </c>
      <c r="BT8" s="19"/>
      <c r="BV8" s="20"/>
    </row>
    <row r="9" spans="1:74" ht="15">
      <c r="A9" s="9" t="s">
        <v>0</v>
      </c>
      <c r="B9" s="123">
        <v>51.43</v>
      </c>
      <c r="C9" s="5">
        <f t="shared" si="0"/>
        <v>0.005501852850308523</v>
      </c>
      <c r="D9" s="123">
        <v>20.24</v>
      </c>
      <c r="E9" s="5">
        <f t="shared" si="1"/>
        <v>0.0020570401793608946</v>
      </c>
      <c r="F9" s="123">
        <v>29.57</v>
      </c>
      <c r="G9" s="5">
        <f t="shared" si="2"/>
        <v>0.002438037005064884</v>
      </c>
      <c r="H9" s="123">
        <v>45.25</v>
      </c>
      <c r="I9" s="5">
        <f t="shared" si="3"/>
        <v>0.004308916457489801</v>
      </c>
      <c r="J9" s="123">
        <v>45.94</v>
      </c>
      <c r="K9" s="5">
        <f t="shared" si="4"/>
        <v>0.0048025959526054665</v>
      </c>
      <c r="L9" s="123">
        <v>39.3</v>
      </c>
      <c r="M9" s="5">
        <f t="shared" si="4"/>
        <v>0.0037356420171326234</v>
      </c>
      <c r="N9" s="123">
        <v>34.76</v>
      </c>
      <c r="O9" s="5">
        <f t="shared" si="4"/>
        <v>0.004332932782201568</v>
      </c>
      <c r="P9" s="123">
        <v>41.37</v>
      </c>
      <c r="Q9" s="5">
        <f t="shared" si="4"/>
        <v>0.005166361330590928</v>
      </c>
      <c r="R9" s="123">
        <v>30.4</v>
      </c>
      <c r="S9" s="5">
        <f t="shared" si="5"/>
        <v>0.0029903835560382143</v>
      </c>
      <c r="T9" s="123">
        <v>43.12</v>
      </c>
      <c r="U9" s="5">
        <f t="shared" si="6"/>
        <v>0.005135833995362027</v>
      </c>
      <c r="V9" s="123">
        <v>43.01</v>
      </c>
      <c r="W9" s="5">
        <f t="shared" si="7"/>
        <v>0.004523963543227992</v>
      </c>
      <c r="X9" s="16">
        <v>33.34</v>
      </c>
      <c r="Y9" s="5">
        <f t="shared" si="8"/>
        <v>0.0037651257206421274</v>
      </c>
      <c r="Z9" s="470">
        <v>39.54</v>
      </c>
      <c r="AA9" s="471">
        <f t="shared" si="9"/>
        <v>0.004357019992264471</v>
      </c>
      <c r="AB9" s="470">
        <v>37.68</v>
      </c>
      <c r="AC9" s="471">
        <f t="shared" si="10"/>
        <v>0.00401710467819985</v>
      </c>
      <c r="AD9" s="470">
        <v>40.14</v>
      </c>
      <c r="AE9" s="472">
        <f t="shared" si="11"/>
        <v>0.004473146079310864</v>
      </c>
      <c r="AF9" s="470">
        <v>52.92</v>
      </c>
      <c r="AG9" s="472">
        <f t="shared" si="12"/>
        <v>0.005963461963209541</v>
      </c>
      <c r="AH9" s="470">
        <v>21.18</v>
      </c>
      <c r="AI9" s="472">
        <f t="shared" si="13"/>
        <v>0.0030090783809510273</v>
      </c>
      <c r="AJ9" s="470">
        <v>36.33</v>
      </c>
      <c r="AK9" s="472">
        <f t="shared" si="14"/>
        <v>0.004385874899347008</v>
      </c>
      <c r="AL9" s="470">
        <v>35.2</v>
      </c>
      <c r="AM9" s="472">
        <f t="shared" si="15"/>
        <v>0.004816046190261189</v>
      </c>
      <c r="AN9" s="470">
        <v>41.05</v>
      </c>
      <c r="AO9" s="472">
        <f t="shared" si="16"/>
        <v>0.004831475088773206</v>
      </c>
      <c r="AP9" s="470">
        <v>37.91</v>
      </c>
      <c r="AQ9" s="472">
        <f t="shared" si="17"/>
        <v>0.004520225355471428</v>
      </c>
      <c r="AR9" s="470">
        <v>52.66</v>
      </c>
      <c r="AS9" s="472">
        <f t="shared" si="18"/>
        <v>0.006566142098497119</v>
      </c>
      <c r="AT9" s="470">
        <v>50.72</v>
      </c>
      <c r="AU9" s="472">
        <f t="shared" si="19"/>
        <v>0.00616552339483054</v>
      </c>
      <c r="AV9" s="86">
        <v>45.96</v>
      </c>
      <c r="AW9" s="472">
        <f t="shared" si="20"/>
        <v>0.005900879097458229</v>
      </c>
      <c r="AX9" s="18">
        <f t="shared" si="22"/>
        <v>949.02</v>
      </c>
      <c r="AY9" s="17">
        <f t="shared" si="21"/>
        <v>0.0044200380273613695</v>
      </c>
      <c r="BT9" s="19"/>
      <c r="BV9" s="20"/>
    </row>
    <row r="10" spans="1:74" ht="15">
      <c r="A10" s="9" t="s">
        <v>4</v>
      </c>
      <c r="B10" s="123">
        <v>127.18</v>
      </c>
      <c r="C10" s="5">
        <f t="shared" si="0"/>
        <v>0.013605398512584833</v>
      </c>
      <c r="D10" s="123">
        <v>78.51</v>
      </c>
      <c r="E10" s="5">
        <f t="shared" si="1"/>
        <v>0.00797916128861778</v>
      </c>
      <c r="F10" s="123">
        <v>109.32</v>
      </c>
      <c r="G10" s="5">
        <f t="shared" si="2"/>
        <v>0.009013398897317995</v>
      </c>
      <c r="H10" s="123">
        <v>147.82</v>
      </c>
      <c r="I10" s="5">
        <f t="shared" si="3"/>
        <v>0.014076111176710327</v>
      </c>
      <c r="J10" s="123">
        <v>106.24</v>
      </c>
      <c r="K10" s="5">
        <f t="shared" si="4"/>
        <v>0.011106395167714514</v>
      </c>
      <c r="L10" s="123">
        <v>104.34</v>
      </c>
      <c r="M10" s="5">
        <f t="shared" si="4"/>
        <v>0.009917986973730737</v>
      </c>
      <c r="N10" s="123">
        <v>80.69</v>
      </c>
      <c r="O10" s="5">
        <f>N10/N$17</f>
        <v>0.010058237807705537</v>
      </c>
      <c r="P10" s="123">
        <v>73.51</v>
      </c>
      <c r="Q10" s="5">
        <f t="shared" si="4"/>
        <v>0.009180063365040831</v>
      </c>
      <c r="R10" s="123">
        <v>51.03</v>
      </c>
      <c r="S10" s="5">
        <f t="shared" si="5"/>
        <v>0.005019712923178621</v>
      </c>
      <c r="T10" s="123">
        <v>82.09</v>
      </c>
      <c r="U10" s="5">
        <f t="shared" si="6"/>
        <v>0.009777379700354102</v>
      </c>
      <c r="V10" s="123">
        <v>72.87</v>
      </c>
      <c r="W10" s="5">
        <f t="shared" si="7"/>
        <v>0.007664757577191904</v>
      </c>
      <c r="X10" s="16">
        <v>86.17</v>
      </c>
      <c r="Y10" s="5">
        <f t="shared" si="8"/>
        <v>0.009731280244383087</v>
      </c>
      <c r="Z10" s="470">
        <v>112.52</v>
      </c>
      <c r="AA10" s="471">
        <f t="shared" si="9"/>
        <v>0.012398884408942799</v>
      </c>
      <c r="AB10" s="470">
        <v>107.94</v>
      </c>
      <c r="AC10" s="471">
        <f t="shared" si="10"/>
        <v>0.011507597637072502</v>
      </c>
      <c r="AD10" s="470">
        <v>111.79</v>
      </c>
      <c r="AE10" s="472">
        <f t="shared" si="11"/>
        <v>0.012457722974742439</v>
      </c>
      <c r="AF10" s="470">
        <v>99</v>
      </c>
      <c r="AG10" s="472">
        <f t="shared" si="12"/>
        <v>0.011156136325732134</v>
      </c>
      <c r="AH10" s="470">
        <v>76.5</v>
      </c>
      <c r="AI10" s="472">
        <f t="shared" si="13"/>
        <v>0.010868484237146061</v>
      </c>
      <c r="AJ10" s="470">
        <v>88.88</v>
      </c>
      <c r="AK10" s="472">
        <f t="shared" si="14"/>
        <v>0.010729880568509828</v>
      </c>
      <c r="AL10" s="470">
        <v>74.33</v>
      </c>
      <c r="AM10" s="472">
        <f t="shared" si="15"/>
        <v>0.010169792992105516</v>
      </c>
      <c r="AN10" s="470">
        <v>87.32</v>
      </c>
      <c r="AO10" s="472">
        <f t="shared" si="16"/>
        <v>0.010277330201015258</v>
      </c>
      <c r="AP10" s="470">
        <v>63.02</v>
      </c>
      <c r="AQ10" s="472">
        <f t="shared" si="17"/>
        <v>0.00751423376158822</v>
      </c>
      <c r="AR10" s="470">
        <v>81.24</v>
      </c>
      <c r="AS10" s="472">
        <f t="shared" si="18"/>
        <v>0.010129764224874781</v>
      </c>
      <c r="AT10" s="470">
        <v>78.4</v>
      </c>
      <c r="AU10" s="472">
        <f t="shared" si="19"/>
        <v>0.009530304301157618</v>
      </c>
      <c r="AV10" s="479">
        <v>96.38</v>
      </c>
      <c r="AW10" s="472">
        <f t="shared" si="20"/>
        <v>0.012374384843625416</v>
      </c>
      <c r="AX10" s="18">
        <f t="shared" si="22"/>
        <v>2197.09</v>
      </c>
      <c r="AY10" s="17">
        <f t="shared" si="21"/>
        <v>0.010232894301000392</v>
      </c>
      <c r="BT10" s="19"/>
      <c r="BV10" s="20"/>
    </row>
    <row r="11" spans="1:74" ht="15">
      <c r="A11" s="9" t="s">
        <v>2</v>
      </c>
      <c r="B11" s="123">
        <v>1845.05</v>
      </c>
      <c r="C11" s="5">
        <f t="shared" si="0"/>
        <v>0.19737883728294264</v>
      </c>
      <c r="D11" s="123">
        <v>2036.12</v>
      </c>
      <c r="E11" s="5">
        <f t="shared" si="1"/>
        <v>0.2069358028656277</v>
      </c>
      <c r="F11" s="123">
        <v>2253.33</v>
      </c>
      <c r="G11" s="5">
        <f t="shared" si="2"/>
        <v>0.18578633495511854</v>
      </c>
      <c r="H11" s="123">
        <v>2103.23</v>
      </c>
      <c r="I11" s="5">
        <f t="shared" si="3"/>
        <v>0.2002793891908569</v>
      </c>
      <c r="J11" s="123">
        <v>2035.84</v>
      </c>
      <c r="K11" s="5">
        <f t="shared" si="4"/>
        <v>0.21282797005120402</v>
      </c>
      <c r="L11" s="123">
        <v>1932.15</v>
      </c>
      <c r="M11" s="5">
        <f t="shared" si="4"/>
        <v>0.18365956039192874</v>
      </c>
      <c r="N11" s="123">
        <v>1446.56</v>
      </c>
      <c r="O11" s="5">
        <f>N11/N$17</f>
        <v>0.18031781488554371</v>
      </c>
      <c r="P11" s="123">
        <v>1887.23</v>
      </c>
      <c r="Q11" s="5">
        <f t="shared" si="4"/>
        <v>0.23568073710251675</v>
      </c>
      <c r="R11" s="123">
        <v>1535.71</v>
      </c>
      <c r="S11" s="5">
        <f t="shared" si="5"/>
        <v>0.1510645371987976</v>
      </c>
      <c r="T11" s="123">
        <v>2011.18</v>
      </c>
      <c r="U11" s="5">
        <f t="shared" si="6"/>
        <v>0.23954282501837204</v>
      </c>
      <c r="V11" s="123">
        <v>2190.37</v>
      </c>
      <c r="W11" s="5">
        <f t="shared" si="7"/>
        <v>0.2303918629662938</v>
      </c>
      <c r="X11" s="16">
        <v>1812.11</v>
      </c>
      <c r="Y11" s="5">
        <f t="shared" si="8"/>
        <v>0.20464373034291555</v>
      </c>
      <c r="Z11" s="470">
        <v>1946.33</v>
      </c>
      <c r="AA11" s="471">
        <f t="shared" si="9"/>
        <v>0.2144713890122435</v>
      </c>
      <c r="AB11" s="470">
        <v>1824.85</v>
      </c>
      <c r="AC11" s="471">
        <f t="shared" si="10"/>
        <v>0.1945491898092621</v>
      </c>
      <c r="AD11" s="470">
        <v>1676.71</v>
      </c>
      <c r="AE11" s="472">
        <f t="shared" si="11"/>
        <v>0.18685024321478125</v>
      </c>
      <c r="AF11" s="470">
        <v>1590.12</v>
      </c>
      <c r="AG11" s="472">
        <f t="shared" si="12"/>
        <v>0.17918783327548668</v>
      </c>
      <c r="AH11" s="470">
        <v>1392.87</v>
      </c>
      <c r="AI11" s="472">
        <f t="shared" si="13"/>
        <v>0.19788739397900174</v>
      </c>
      <c r="AJ11" s="470">
        <v>1556.96</v>
      </c>
      <c r="AK11" s="472">
        <f t="shared" si="14"/>
        <v>0.18796123818572305</v>
      </c>
      <c r="AL11" s="470">
        <v>1465.34</v>
      </c>
      <c r="AM11" s="472">
        <f t="shared" si="15"/>
        <v>0.20048707739878777</v>
      </c>
      <c r="AN11" s="470">
        <v>1737.87</v>
      </c>
      <c r="AO11" s="472">
        <f t="shared" si="16"/>
        <v>0.20454264585934936</v>
      </c>
      <c r="AP11" s="470">
        <v>1521.13</v>
      </c>
      <c r="AQ11" s="472">
        <f t="shared" si="17"/>
        <v>0.18137299907592336</v>
      </c>
      <c r="AR11" s="470">
        <v>1717.01</v>
      </c>
      <c r="AS11" s="472">
        <f t="shared" si="18"/>
        <v>0.2140928910850843</v>
      </c>
      <c r="AT11" s="470">
        <v>1880.96</v>
      </c>
      <c r="AU11" s="472">
        <f t="shared" si="19"/>
        <v>0.22864950482532437</v>
      </c>
      <c r="AV11" s="479">
        <v>1811.35</v>
      </c>
      <c r="AW11" s="472">
        <f t="shared" si="20"/>
        <v>0.2325621704347468</v>
      </c>
      <c r="AX11" s="18">
        <f t="shared" si="22"/>
        <v>43210.37999999999</v>
      </c>
      <c r="AY11" s="17">
        <f t="shared" si="21"/>
        <v>0.20125131480552058</v>
      </c>
      <c r="BT11" s="19"/>
      <c r="BV11" s="20"/>
    </row>
    <row r="12" spans="1:74" ht="15">
      <c r="A12" s="9" t="s">
        <v>8</v>
      </c>
      <c r="B12" s="123">
        <v>100.06</v>
      </c>
      <c r="C12" s="5">
        <f t="shared" si="0"/>
        <v>0.010704168699239175</v>
      </c>
      <c r="D12" s="123">
        <v>35.04</v>
      </c>
      <c r="E12" s="5">
        <f t="shared" si="1"/>
        <v>0.003561199994308585</v>
      </c>
      <c r="F12" s="123">
        <v>42.64</v>
      </c>
      <c r="G12" s="5">
        <f t="shared" si="2"/>
        <v>0.003515654308284297</v>
      </c>
      <c r="H12" s="123">
        <v>60.08</v>
      </c>
      <c r="I12" s="5">
        <f t="shared" si="3"/>
        <v>0.005721098359469331</v>
      </c>
      <c r="J12" s="123">
        <v>67</v>
      </c>
      <c r="K12" s="5">
        <f t="shared" si="4"/>
        <v>0.007004221350121164</v>
      </c>
      <c r="L12" s="123">
        <v>78.04</v>
      </c>
      <c r="M12" s="5">
        <f t="shared" si="4"/>
        <v>0.007418053511883714</v>
      </c>
      <c r="N12" s="123">
        <v>66.18</v>
      </c>
      <c r="O12" s="5">
        <f t="shared" si="4"/>
        <v>0.008249525072672606</v>
      </c>
      <c r="P12" s="123">
        <v>73.87</v>
      </c>
      <c r="Q12" s="5">
        <f t="shared" si="4"/>
        <v>0.009225020824045247</v>
      </c>
      <c r="R12" s="123">
        <v>74.08</v>
      </c>
      <c r="S12" s="5">
        <f t="shared" si="5"/>
        <v>0.0072870925602404905</v>
      </c>
      <c r="T12" s="123">
        <v>60.45</v>
      </c>
      <c r="U12" s="5">
        <f t="shared" si="6"/>
        <v>0.007199934253702101</v>
      </c>
      <c r="V12" s="123">
        <v>76.97</v>
      </c>
      <c r="W12" s="5">
        <f t="shared" si="7"/>
        <v>0.008096011948901617</v>
      </c>
      <c r="X12" s="16">
        <v>112.39</v>
      </c>
      <c r="Y12" s="5">
        <f t="shared" si="8"/>
        <v>0.01269233592510404</v>
      </c>
      <c r="Z12" s="470">
        <v>83.93</v>
      </c>
      <c r="AA12" s="471">
        <f t="shared" si="9"/>
        <v>0.009248474657328202</v>
      </c>
      <c r="AB12" s="470">
        <v>64.94</v>
      </c>
      <c r="AC12" s="471">
        <f t="shared" si="10"/>
        <v>0.006923322128511101</v>
      </c>
      <c r="AD12" s="470">
        <v>35.14</v>
      </c>
      <c r="AE12" s="472">
        <f t="shared" si="11"/>
        <v>0.003915952995191424</v>
      </c>
      <c r="AF12" s="470">
        <v>54.39</v>
      </c>
      <c r="AG12" s="472">
        <f t="shared" si="12"/>
        <v>0.006129113684409806</v>
      </c>
      <c r="AH12" s="470">
        <v>72.97</v>
      </c>
      <c r="AI12" s="472">
        <f t="shared" si="13"/>
        <v>0.010366971173654224</v>
      </c>
      <c r="AJ12" s="470">
        <v>18.48</v>
      </c>
      <c r="AK12" s="472">
        <f t="shared" si="14"/>
        <v>0.0022309652667198655</v>
      </c>
      <c r="AL12" s="470">
        <v>107.21</v>
      </c>
      <c r="AM12" s="472">
        <f t="shared" si="15"/>
        <v>0.014668417956190397</v>
      </c>
      <c r="AN12" s="470">
        <v>135.1</v>
      </c>
      <c r="AO12" s="472">
        <f t="shared" si="16"/>
        <v>0.01590090827023776</v>
      </c>
      <c r="AP12" s="470">
        <v>128.25</v>
      </c>
      <c r="AQ12" s="472">
        <f t="shared" si="17"/>
        <v>0.01529197841833845</v>
      </c>
      <c r="AR12" s="470">
        <v>151.91</v>
      </c>
      <c r="AS12" s="472">
        <f t="shared" si="18"/>
        <v>0.01894156183408085</v>
      </c>
      <c r="AT12" s="470">
        <v>139.72</v>
      </c>
      <c r="AU12" s="472">
        <f t="shared" si="19"/>
        <v>0.016984363736705897</v>
      </c>
      <c r="AV12" s="480">
        <v>137.72</v>
      </c>
      <c r="AW12" s="472">
        <f t="shared" si="20"/>
        <v>0.017682094632331318</v>
      </c>
      <c r="AX12" s="18">
        <f t="shared" si="22"/>
        <v>1976.5600000000004</v>
      </c>
      <c r="AY12" s="17">
        <f t="shared" si="21"/>
        <v>0.009205781082971265</v>
      </c>
      <c r="BT12" s="19"/>
      <c r="BV12" s="20"/>
    </row>
    <row r="13" spans="1:74" ht="15">
      <c r="A13" s="9" t="s">
        <v>10</v>
      </c>
      <c r="B13" s="123">
        <v>5.61</v>
      </c>
      <c r="C13" s="5">
        <f t="shared" si="0"/>
        <v>0.0006001437777606614</v>
      </c>
      <c r="D13" s="123">
        <v>27.47</v>
      </c>
      <c r="E13" s="5">
        <f t="shared" si="1"/>
        <v>0.002791842575446827</v>
      </c>
      <c r="F13" s="123">
        <v>33.44</v>
      </c>
      <c r="G13" s="5">
        <f t="shared" si="2"/>
        <v>0.002757117262406822</v>
      </c>
      <c r="H13" s="123">
        <v>18.02</v>
      </c>
      <c r="I13" s="5">
        <f t="shared" si="3"/>
        <v>0.0017159486091484245</v>
      </c>
      <c r="J13" s="123">
        <v>15.31</v>
      </c>
      <c r="K13" s="5">
        <f t="shared" si="4"/>
        <v>0.001600516848811269</v>
      </c>
      <c r="L13" s="123">
        <v>21.68</v>
      </c>
      <c r="M13" s="5">
        <f t="shared" si="4"/>
        <v>0.002060781652199371</v>
      </c>
      <c r="N13" s="123">
        <v>19.46</v>
      </c>
      <c r="O13" s="5">
        <f t="shared" si="4"/>
        <v>0.0024257443021185993</v>
      </c>
      <c r="P13" s="123">
        <v>21.33</v>
      </c>
      <c r="Q13" s="5">
        <f t="shared" si="4"/>
        <v>0.002663729446011711</v>
      </c>
      <c r="R13" s="123">
        <v>21.56</v>
      </c>
      <c r="S13" s="5">
        <f t="shared" si="5"/>
        <v>0.002120811495663944</v>
      </c>
      <c r="T13" s="123">
        <v>22.2</v>
      </c>
      <c r="U13" s="5">
        <f t="shared" si="6"/>
        <v>0.00264414458944891</v>
      </c>
      <c r="V13" s="123">
        <v>28.6</v>
      </c>
      <c r="W13" s="5">
        <f t="shared" si="7"/>
        <v>0.0030082622026579996</v>
      </c>
      <c r="X13" s="16">
        <v>17.35</v>
      </c>
      <c r="Y13" s="5">
        <f t="shared" si="8"/>
        <v>0.0019593560663809513</v>
      </c>
      <c r="Z13" s="470">
        <v>35.29</v>
      </c>
      <c r="AA13" s="471">
        <f t="shared" si="9"/>
        <v>0.0038887009490898633</v>
      </c>
      <c r="AB13" s="470">
        <v>29.9</v>
      </c>
      <c r="AC13" s="471">
        <f t="shared" si="10"/>
        <v>0.0031876706443252525</v>
      </c>
      <c r="AD13" s="470">
        <v>24.49</v>
      </c>
      <c r="AE13" s="472">
        <f t="shared" si="11"/>
        <v>0.0027291317260170166</v>
      </c>
      <c r="AF13" s="470">
        <v>14.8</v>
      </c>
      <c r="AG13" s="472">
        <f t="shared" si="12"/>
        <v>0.001667786036574097</v>
      </c>
      <c r="AH13" s="470">
        <v>20.56</v>
      </c>
      <c r="AI13" s="472">
        <f t="shared" si="13"/>
        <v>0.0029209939335388627</v>
      </c>
      <c r="AJ13" s="470">
        <v>24.7</v>
      </c>
      <c r="AK13" s="472">
        <f t="shared" si="14"/>
        <v>0.0029818637493496036</v>
      </c>
      <c r="AL13" s="470">
        <v>15.5</v>
      </c>
      <c r="AM13" s="472">
        <f t="shared" si="15"/>
        <v>0.0021207021576434212</v>
      </c>
      <c r="AN13" s="470">
        <v>21.98</v>
      </c>
      <c r="AO13" s="472">
        <f t="shared" si="16"/>
        <v>0.002586987148629356</v>
      </c>
      <c r="AP13" s="470">
        <v>11.9</v>
      </c>
      <c r="AQ13" s="472">
        <f t="shared" si="17"/>
        <v>0.001418904820103139</v>
      </c>
      <c r="AR13" s="470">
        <v>8.28</v>
      </c>
      <c r="AS13" s="472">
        <f t="shared" si="18"/>
        <v>0.0010324279638350958</v>
      </c>
      <c r="AT13" s="470">
        <v>23.21</v>
      </c>
      <c r="AU13" s="472">
        <f t="shared" si="19"/>
        <v>0.0028214076891564834</v>
      </c>
      <c r="AV13" s="480">
        <v>22.2</v>
      </c>
      <c r="AW13" s="472">
        <f t="shared" si="20"/>
        <v>0.0028502940810176828</v>
      </c>
      <c r="AX13" s="18">
        <f t="shared" si="22"/>
        <v>504.84</v>
      </c>
      <c r="AY13" s="17">
        <f t="shared" si="21"/>
        <v>0.0023512802656773446</v>
      </c>
      <c r="BT13" s="19"/>
      <c r="BV13" s="20"/>
    </row>
    <row r="14" spans="1:74" ht="15">
      <c r="A14" s="9" t="s">
        <v>11</v>
      </c>
      <c r="B14" s="123">
        <v>25.25</v>
      </c>
      <c r="C14" s="5">
        <f t="shared" si="0"/>
        <v>0.0027011818874254365</v>
      </c>
      <c r="D14" s="123">
        <v>20.07</v>
      </c>
      <c r="E14" s="5">
        <f t="shared" si="1"/>
        <v>0.002039762667972982</v>
      </c>
      <c r="F14" s="123">
        <v>14.04</v>
      </c>
      <c r="G14" s="5">
        <f t="shared" si="2"/>
        <v>0.0011575934917521463</v>
      </c>
      <c r="H14" s="123">
        <v>19.79</v>
      </c>
      <c r="I14" s="5">
        <f t="shared" si="3"/>
        <v>0.0018844962805242686</v>
      </c>
      <c r="J14" s="123">
        <v>18.19</v>
      </c>
      <c r="K14" s="5">
        <f t="shared" si="4"/>
        <v>0.0019015938262493131</v>
      </c>
      <c r="L14" s="123">
        <v>26.24</v>
      </c>
      <c r="M14" s="5">
        <f t="shared" si="4"/>
        <v>0.0024942301915918583</v>
      </c>
      <c r="N14" s="123">
        <v>21</v>
      </c>
      <c r="O14" s="5">
        <f t="shared" si="4"/>
        <v>0.002617709678545251</v>
      </c>
      <c r="P14" s="123">
        <v>24.16</v>
      </c>
      <c r="Q14" s="5">
        <f t="shared" si="4"/>
        <v>0.003017145026518657</v>
      </c>
      <c r="R14" s="123">
        <v>19.16</v>
      </c>
      <c r="S14" s="5">
        <f t="shared" si="5"/>
        <v>0.0018847285833451378</v>
      </c>
      <c r="T14" s="123">
        <v>21.16</v>
      </c>
      <c r="U14" s="5">
        <f t="shared" si="6"/>
        <v>0.0025202747528260787</v>
      </c>
      <c r="V14" s="123">
        <v>18.34</v>
      </c>
      <c r="W14" s="5">
        <f t="shared" si="7"/>
        <v>0.0019290744334527173</v>
      </c>
      <c r="X14" s="16">
        <v>18.9</v>
      </c>
      <c r="Y14" s="5">
        <f t="shared" si="8"/>
        <v>0.002134399403723341</v>
      </c>
      <c r="Z14" s="470">
        <v>12.97</v>
      </c>
      <c r="AA14" s="471">
        <f t="shared" si="9"/>
        <v>0.0014291995270528629</v>
      </c>
      <c r="AB14" s="470">
        <v>17.53</v>
      </c>
      <c r="AC14" s="471">
        <f t="shared" si="10"/>
        <v>0.0018688918526763105</v>
      </c>
      <c r="AD14" s="470">
        <v>12.01</v>
      </c>
      <c r="AE14" s="472">
        <f t="shared" si="11"/>
        <v>0.0013383777880548947</v>
      </c>
      <c r="AF14" s="470">
        <v>20.22</v>
      </c>
      <c r="AG14" s="472">
        <f t="shared" si="12"/>
        <v>0.0022785563283465025</v>
      </c>
      <c r="AH14" s="470">
        <v>19.75</v>
      </c>
      <c r="AI14" s="472">
        <f t="shared" si="13"/>
        <v>0.002805915865145552</v>
      </c>
      <c r="AJ14" s="470">
        <v>20.58</v>
      </c>
      <c r="AK14" s="472">
        <f t="shared" si="14"/>
        <v>0.002484484047028941</v>
      </c>
      <c r="AL14" s="470">
        <v>27.27</v>
      </c>
      <c r="AM14" s="472">
        <f t="shared" si="15"/>
        <v>0.0037310676025120062</v>
      </c>
      <c r="AN14" s="470">
        <v>33.25</v>
      </c>
      <c r="AO14" s="472">
        <f t="shared" si="16"/>
        <v>0.003913435973245045</v>
      </c>
      <c r="AP14" s="470">
        <v>29.08</v>
      </c>
      <c r="AQ14" s="472">
        <f t="shared" si="17"/>
        <v>0.0034673741318150654</v>
      </c>
      <c r="AR14" s="470">
        <v>26.43</v>
      </c>
      <c r="AS14" s="472">
        <f t="shared" si="18"/>
        <v>0.0032955399860098533</v>
      </c>
      <c r="AT14" s="470">
        <v>21.73</v>
      </c>
      <c r="AU14" s="472">
        <f t="shared" si="19"/>
        <v>0.002641498883471365</v>
      </c>
      <c r="AV14" s="480">
        <v>25.81</v>
      </c>
      <c r="AW14" s="472">
        <f t="shared" si="20"/>
        <v>0.0033137878482462336</v>
      </c>
      <c r="AX14" s="18">
        <f t="shared" si="22"/>
        <v>512.93</v>
      </c>
      <c r="AY14" s="17">
        <f t="shared" si="21"/>
        <v>0.0023889592478287783</v>
      </c>
      <c r="BT14" s="19"/>
      <c r="BV14" s="20"/>
    </row>
    <row r="15" spans="1:74" ht="15">
      <c r="A15" s="9" t="s">
        <v>9</v>
      </c>
      <c r="B15" s="123">
        <v>15.9</v>
      </c>
      <c r="C15" s="5">
        <f t="shared" si="0"/>
        <v>0.0017009422578243344</v>
      </c>
      <c r="D15" s="123">
        <v>12.57</v>
      </c>
      <c r="E15" s="5">
        <f t="shared" si="1"/>
        <v>0.0012775195185062474</v>
      </c>
      <c r="F15" s="123">
        <v>7.96</v>
      </c>
      <c r="G15" s="5">
        <f t="shared" si="2"/>
        <v>0.0006562994440418152</v>
      </c>
      <c r="H15" s="123">
        <v>19.68</v>
      </c>
      <c r="I15" s="5">
        <f t="shared" si="3"/>
        <v>0.001874021566483962</v>
      </c>
      <c r="J15" s="123">
        <v>22.01</v>
      </c>
      <c r="K15" s="5">
        <f t="shared" si="4"/>
        <v>0.0023009389838233854</v>
      </c>
      <c r="L15" s="123">
        <v>40.22</v>
      </c>
      <c r="M15" s="5">
        <f t="shared" si="4"/>
        <v>0.003823092161045143</v>
      </c>
      <c r="N15" s="123">
        <v>42.64</v>
      </c>
      <c r="O15" s="5">
        <f t="shared" si="4"/>
        <v>0.0053151971758652146</v>
      </c>
      <c r="P15" s="123">
        <v>26.13</v>
      </c>
      <c r="Q15" s="5">
        <f t="shared" si="4"/>
        <v>0.003263162232737272</v>
      </c>
      <c r="R15" s="123">
        <v>29.85</v>
      </c>
      <c r="S15" s="5">
        <f t="shared" si="5"/>
        <v>0.002936281221965155</v>
      </c>
      <c r="T15" s="123">
        <v>51.19</v>
      </c>
      <c r="U15" s="5">
        <f t="shared" si="6"/>
        <v>0.006097016285310348</v>
      </c>
      <c r="V15" s="123">
        <v>39.43</v>
      </c>
      <c r="W15" s="5">
        <f t="shared" si="7"/>
        <v>0.004147404847930242</v>
      </c>
      <c r="X15" s="16">
        <v>40.55</v>
      </c>
      <c r="Y15" s="5">
        <f t="shared" si="8"/>
        <v>0.0045793595672476975</v>
      </c>
      <c r="Z15" s="470">
        <v>38.89</v>
      </c>
      <c r="AA15" s="471">
        <f t="shared" si="9"/>
        <v>0.004285394726837767</v>
      </c>
      <c r="AB15" s="470">
        <v>35.48</v>
      </c>
      <c r="AC15" s="471">
        <f t="shared" si="10"/>
        <v>0.003782560349854848</v>
      </c>
      <c r="AD15" s="470">
        <v>26.46</v>
      </c>
      <c r="AE15" s="472">
        <f t="shared" si="11"/>
        <v>0.0029486658011600763</v>
      </c>
      <c r="AF15" s="470">
        <v>37.27</v>
      </c>
      <c r="AG15" s="472">
        <f t="shared" si="12"/>
        <v>0.004199890917778148</v>
      </c>
      <c r="AH15" s="470">
        <v>24.89</v>
      </c>
      <c r="AI15" s="472">
        <f t="shared" si="13"/>
        <v>0.0035361643485302676</v>
      </c>
      <c r="AJ15" s="470">
        <v>76</v>
      </c>
      <c r="AK15" s="472">
        <f t="shared" si="14"/>
        <v>0.009174965382614165</v>
      </c>
      <c r="AL15" s="470">
        <v>30.9</v>
      </c>
      <c r="AM15" s="472">
        <f t="shared" si="15"/>
        <v>0.004227722365882691</v>
      </c>
      <c r="AN15" s="470">
        <v>41.23</v>
      </c>
      <c r="AO15" s="472">
        <f t="shared" si="16"/>
        <v>0.004852660606823856</v>
      </c>
      <c r="AP15" s="470">
        <v>31.67</v>
      </c>
      <c r="AQ15" s="472">
        <f t="shared" si="17"/>
        <v>0.0037761945926610427</v>
      </c>
      <c r="AR15" s="470">
        <v>45.55</v>
      </c>
      <c r="AS15" s="472">
        <f t="shared" si="18"/>
        <v>0.005679600694769156</v>
      </c>
      <c r="AT15" s="470">
        <v>47.27</v>
      </c>
      <c r="AU15" s="472">
        <f t="shared" si="19"/>
        <v>0.005746141381578068</v>
      </c>
      <c r="AV15" s="480">
        <v>51.72</v>
      </c>
      <c r="AW15" s="472">
        <f t="shared" si="20"/>
        <v>0.006640414859019574</v>
      </c>
      <c r="AX15" s="18">
        <f t="shared" si="22"/>
        <v>835.4599999999998</v>
      </c>
      <c r="AY15" s="17">
        <f t="shared" si="21"/>
        <v>0.003891135034392667</v>
      </c>
      <c r="BT15" s="19"/>
      <c r="BV15" s="20"/>
    </row>
    <row r="16" spans="1:74" ht="17.25">
      <c r="A16" s="9" t="s">
        <v>5</v>
      </c>
      <c r="B16" s="155">
        <v>432.04</v>
      </c>
      <c r="C16" s="154">
        <f t="shared" si="0"/>
        <v>0.04621855931260537</v>
      </c>
      <c r="D16" s="155">
        <v>481.88</v>
      </c>
      <c r="E16" s="154">
        <f t="shared" si="1"/>
        <v>0.048974630515337354</v>
      </c>
      <c r="F16" s="155">
        <v>586.64</v>
      </c>
      <c r="G16" s="154">
        <f t="shared" si="2"/>
        <v>0.048368279629734987</v>
      </c>
      <c r="H16" s="155">
        <v>448.32</v>
      </c>
      <c r="I16" s="154">
        <f t="shared" si="3"/>
        <v>0.04269112544136636</v>
      </c>
      <c r="J16" s="155">
        <v>454.64</v>
      </c>
      <c r="K16" s="154">
        <f t="shared" si="4"/>
        <v>0.04752834618834457</v>
      </c>
      <c r="L16" s="155">
        <v>638.08</v>
      </c>
      <c r="M16" s="157">
        <f t="shared" si="4"/>
        <v>0.06065237807358739</v>
      </c>
      <c r="N16" s="155">
        <v>713.71</v>
      </c>
      <c r="O16" s="154">
        <f t="shared" si="4"/>
        <v>0.08896597974640624</v>
      </c>
      <c r="P16" s="155">
        <v>817.68</v>
      </c>
      <c r="Q16" s="154">
        <f t="shared" si="4"/>
        <v>0.1021133752186993</v>
      </c>
      <c r="R16" s="155">
        <v>775.26</v>
      </c>
      <c r="S16" s="5">
        <f t="shared" si="5"/>
        <v>0.07626068275178244</v>
      </c>
      <c r="T16" s="155">
        <v>596.43</v>
      </c>
      <c r="U16" s="5">
        <f t="shared" si="6"/>
        <v>0.07103816024707267</v>
      </c>
      <c r="V16" s="155">
        <v>636.22</v>
      </c>
      <c r="W16" s="5">
        <f t="shared" si="7"/>
        <v>0.0669201600900375</v>
      </c>
      <c r="X16" s="84">
        <v>584.76</v>
      </c>
      <c r="Y16" s="5">
        <f t="shared" si="8"/>
        <v>0.06603763996408789</v>
      </c>
      <c r="Z16" s="473">
        <v>713.11</v>
      </c>
      <c r="AA16" s="471">
        <f t="shared" si="9"/>
        <v>0.07857952773605759</v>
      </c>
      <c r="AB16" s="473">
        <v>704.03</v>
      </c>
      <c r="AC16" s="471">
        <f t="shared" si="10"/>
        <v>0.07505738340215076</v>
      </c>
      <c r="AD16" s="473">
        <v>879.8</v>
      </c>
      <c r="AE16" s="472">
        <f t="shared" si="11"/>
        <v>0.09804369508165665</v>
      </c>
      <c r="AF16" s="473">
        <v>879.8</v>
      </c>
      <c r="AG16" s="472">
        <f t="shared" si="12"/>
        <v>0.09914311857958719</v>
      </c>
      <c r="AH16" s="473">
        <v>730.64</v>
      </c>
      <c r="AI16" s="472">
        <f t="shared" si="13"/>
        <v>0.10380325912455422</v>
      </c>
      <c r="AJ16" s="473">
        <v>737.21</v>
      </c>
      <c r="AK16" s="472">
        <f t="shared" si="14"/>
        <v>0.08899837144364459</v>
      </c>
      <c r="AL16" s="473">
        <v>818.02</v>
      </c>
      <c r="AM16" s="472">
        <f t="shared" si="15"/>
        <v>0.11192108251583686</v>
      </c>
      <c r="AN16" s="473">
        <v>922.14</v>
      </c>
      <c r="AO16" s="472">
        <f t="shared" si="16"/>
        <v>0.10853340897347927</v>
      </c>
      <c r="AP16" s="473">
        <v>708.36</v>
      </c>
      <c r="AQ16" s="472">
        <f t="shared" si="17"/>
        <v>0.08446179986287895</v>
      </c>
      <c r="AR16" s="473">
        <v>718.28</v>
      </c>
      <c r="AS16" s="474">
        <f t="shared" si="18"/>
        <v>0.08956187896901843</v>
      </c>
      <c r="AT16" s="473">
        <v>786.17</v>
      </c>
      <c r="AU16" s="474">
        <f t="shared" si="19"/>
        <v>0.09556682821991178</v>
      </c>
      <c r="AV16" s="481">
        <v>1038.34</v>
      </c>
      <c r="AW16" s="474">
        <f t="shared" si="20"/>
        <v>0.13331416018395947</v>
      </c>
      <c r="AX16" s="21">
        <f t="shared" si="22"/>
        <v>16801.559999999998</v>
      </c>
      <c r="AY16" s="475">
        <f t="shared" si="21"/>
        <v>0.07825286518618542</v>
      </c>
      <c r="BT16" s="19"/>
      <c r="BV16" s="22"/>
    </row>
    <row r="17" spans="1:74" s="1" customFormat="1" ht="17.25">
      <c r="A17" s="23"/>
      <c r="B17" s="85">
        <f aca="true" t="shared" si="23" ref="B17:AS17">SUM(B6:B16)</f>
        <v>9347.76</v>
      </c>
      <c r="C17" s="83">
        <f t="shared" si="23"/>
        <v>1</v>
      </c>
      <c r="D17" s="85">
        <f t="shared" si="23"/>
        <v>9839.38</v>
      </c>
      <c r="E17" s="83">
        <f t="shared" si="23"/>
        <v>1.0000000000000002</v>
      </c>
      <c r="F17" s="85">
        <f t="shared" si="23"/>
        <v>12128.609999999999</v>
      </c>
      <c r="G17" s="25">
        <f t="shared" si="23"/>
        <v>1</v>
      </c>
      <c r="H17" s="85">
        <f t="shared" si="23"/>
        <v>10501.480000000001</v>
      </c>
      <c r="I17" s="25">
        <f t="shared" si="23"/>
        <v>0.9999999999999999</v>
      </c>
      <c r="J17" s="85">
        <f t="shared" si="23"/>
        <v>9565.659999999998</v>
      </c>
      <c r="K17" s="25">
        <f t="shared" si="23"/>
        <v>1.0000000000000002</v>
      </c>
      <c r="L17" s="85">
        <f t="shared" si="23"/>
        <v>10520.28</v>
      </c>
      <c r="M17" s="83">
        <f t="shared" si="23"/>
        <v>0.9999999999999999</v>
      </c>
      <c r="N17" s="85">
        <f t="shared" si="23"/>
        <v>8022.280000000002</v>
      </c>
      <c r="O17" s="83">
        <f t="shared" si="23"/>
        <v>1</v>
      </c>
      <c r="P17" s="85">
        <f t="shared" si="23"/>
        <v>8007.57</v>
      </c>
      <c r="Q17" s="83">
        <f t="shared" si="23"/>
        <v>0.9999999999999998</v>
      </c>
      <c r="R17" s="85">
        <f t="shared" si="23"/>
        <v>10165.919999999998</v>
      </c>
      <c r="S17" s="83">
        <f t="shared" si="23"/>
        <v>1</v>
      </c>
      <c r="T17" s="85">
        <f t="shared" si="23"/>
        <v>8395.91</v>
      </c>
      <c r="U17" s="83">
        <f t="shared" si="23"/>
        <v>1.0000000000000002</v>
      </c>
      <c r="V17" s="85">
        <f t="shared" si="23"/>
        <v>9507.15</v>
      </c>
      <c r="W17" s="83">
        <f t="shared" si="23"/>
        <v>1</v>
      </c>
      <c r="X17" s="85">
        <f t="shared" si="23"/>
        <v>8854.949999999999</v>
      </c>
      <c r="Y17" s="83">
        <f t="shared" si="23"/>
        <v>1</v>
      </c>
      <c r="Z17" s="24">
        <f t="shared" si="23"/>
        <v>9075.01</v>
      </c>
      <c r="AA17" s="83">
        <f t="shared" si="23"/>
        <v>1</v>
      </c>
      <c r="AB17" s="24">
        <f t="shared" si="23"/>
        <v>9379.890000000001</v>
      </c>
      <c r="AC17" s="83">
        <f t="shared" si="23"/>
        <v>0.9999999999999999</v>
      </c>
      <c r="AD17" s="24">
        <f t="shared" si="23"/>
        <v>8973.55</v>
      </c>
      <c r="AE17" s="83">
        <f t="shared" si="23"/>
        <v>1</v>
      </c>
      <c r="AF17" s="24">
        <f t="shared" si="23"/>
        <v>8874.04</v>
      </c>
      <c r="AG17" s="83">
        <f t="shared" si="23"/>
        <v>1</v>
      </c>
      <c r="AH17" s="24">
        <f t="shared" si="23"/>
        <v>7038.700000000002</v>
      </c>
      <c r="AI17" s="83">
        <f t="shared" si="23"/>
        <v>0.9999999999999997</v>
      </c>
      <c r="AJ17" s="24">
        <f t="shared" si="23"/>
        <v>8283.41</v>
      </c>
      <c r="AK17" s="83">
        <f t="shared" si="23"/>
        <v>1.0000000000000002</v>
      </c>
      <c r="AL17" s="24">
        <f t="shared" si="23"/>
        <v>7308.9</v>
      </c>
      <c r="AM17" s="83">
        <f t="shared" si="23"/>
        <v>1</v>
      </c>
      <c r="AN17" s="24">
        <f t="shared" si="23"/>
        <v>8496.369999999999</v>
      </c>
      <c r="AO17" s="83">
        <f t="shared" si="23"/>
        <v>1</v>
      </c>
      <c r="AP17" s="24">
        <f t="shared" si="23"/>
        <v>8386.75</v>
      </c>
      <c r="AQ17" s="83">
        <f t="shared" si="23"/>
        <v>1.0000000000000002</v>
      </c>
      <c r="AR17" s="24">
        <f t="shared" si="23"/>
        <v>8019.929999999999</v>
      </c>
      <c r="AS17" s="83">
        <f t="shared" si="23"/>
        <v>1</v>
      </c>
      <c r="AT17" s="24">
        <f aca="true" t="shared" si="24" ref="AT17:AY17">SUM(AT6:AT16)</f>
        <v>8226.39</v>
      </c>
      <c r="AU17" s="83">
        <f t="shared" si="24"/>
        <v>1</v>
      </c>
      <c r="AV17" s="24">
        <f t="shared" si="24"/>
        <v>7788.670000000002</v>
      </c>
      <c r="AW17" s="83">
        <f t="shared" si="24"/>
        <v>0.9999999999999996</v>
      </c>
      <c r="AX17" s="24">
        <f t="shared" si="24"/>
        <v>214708.55999999994</v>
      </c>
      <c r="AY17" s="25">
        <f t="shared" si="24"/>
        <v>1</v>
      </c>
      <c r="BA17"/>
      <c r="BB17"/>
      <c r="BC17"/>
      <c r="BD17"/>
      <c r="BE17"/>
      <c r="BF17"/>
      <c r="BG17"/>
      <c r="BH17"/>
      <c r="BI17"/>
      <c r="BJ17"/>
      <c r="BK17"/>
      <c r="BL17"/>
      <c r="BM17"/>
      <c r="BN17"/>
      <c r="BO17"/>
      <c r="BP17"/>
      <c r="BQ17"/>
      <c r="BR17"/>
      <c r="BS17"/>
      <c r="BT17" s="26"/>
      <c r="BU17"/>
      <c r="BV17" s="27"/>
    </row>
    <row r="18" spans="2:24" ht="12.75">
      <c r="B18" s="86"/>
      <c r="D18" s="86"/>
      <c r="F18" s="86"/>
      <c r="H18" s="86"/>
      <c r="J18" s="86"/>
      <c r="L18" s="86"/>
      <c r="N18" s="86"/>
      <c r="P18" s="86"/>
      <c r="R18" s="86"/>
      <c r="T18" s="86"/>
      <c r="X18" s="86"/>
    </row>
  </sheetData>
  <sheetProtection/>
  <printOptions/>
  <pageMargins left="0.5" right="0" top="0.5" bottom="0.75" header="0.5" footer="0.5"/>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B1:R234"/>
  <sheetViews>
    <sheetView zoomScalePageLayoutView="0" workbookViewId="0" topLeftCell="A1">
      <pane xSplit="2" ySplit="3" topLeftCell="C169" activePane="bottomRight" state="frozen"/>
      <selection pane="topLeft" activeCell="A1" sqref="A1"/>
      <selection pane="topRight" activeCell="C1" sqref="C1"/>
      <selection pane="bottomLeft" activeCell="A4" sqref="A4"/>
      <selection pane="bottomRight" activeCell="C29" sqref="C29"/>
    </sheetView>
  </sheetViews>
  <sheetFormatPr defaultColWidth="9.140625" defaultRowHeight="12.75"/>
  <cols>
    <col min="1" max="1" width="3.00390625" style="11" bestFit="1" customWidth="1"/>
    <col min="2" max="2" width="20.421875" style="11" bestFit="1" customWidth="1"/>
    <col min="3" max="3" width="16.00390625" style="11" customWidth="1"/>
    <col min="4" max="5" width="12.7109375" style="11" bestFit="1" customWidth="1"/>
    <col min="6" max="6" width="10.7109375" style="11" bestFit="1" customWidth="1"/>
    <col min="7" max="7" width="10.421875" style="11" bestFit="1" customWidth="1"/>
    <col min="8" max="8" width="10.7109375" style="11" bestFit="1" customWidth="1"/>
    <col min="9" max="9" width="9.8515625" style="11" bestFit="1" customWidth="1"/>
    <col min="10" max="11" width="9.140625" style="11" bestFit="1" customWidth="1"/>
    <col min="12" max="12" width="11.00390625" style="11" bestFit="1" customWidth="1"/>
    <col min="13" max="13" width="13.28125" style="11" bestFit="1" customWidth="1"/>
    <col min="14" max="14" width="9.140625" style="11" customWidth="1"/>
    <col min="15" max="15" width="10.8515625" style="11" bestFit="1" customWidth="1"/>
    <col min="16" max="16" width="10.421875" style="11" bestFit="1" customWidth="1"/>
    <col min="17" max="18" width="10.28125" style="11" bestFit="1" customWidth="1"/>
    <col min="19" max="16384" width="9.140625" style="11" customWidth="1"/>
  </cols>
  <sheetData>
    <row r="1" spans="2:13" ht="12.75">
      <c r="B1" s="173"/>
      <c r="C1" s="616" t="s">
        <v>58</v>
      </c>
      <c r="D1" s="617"/>
      <c r="E1" s="617"/>
      <c r="F1" s="617"/>
      <c r="G1" s="617"/>
      <c r="H1" s="617"/>
      <c r="I1" s="617"/>
      <c r="J1" s="617"/>
      <c r="K1" s="617"/>
      <c r="L1" s="618"/>
      <c r="M1" s="174"/>
    </row>
    <row r="2" spans="2:13" ht="12.75">
      <c r="B2" s="87"/>
      <c r="C2" s="88"/>
      <c r="D2" s="175"/>
      <c r="E2" s="175"/>
      <c r="F2" s="89"/>
      <c r="G2" s="175"/>
      <c r="H2" s="175"/>
      <c r="I2" s="175"/>
      <c r="J2" s="89" t="s">
        <v>59</v>
      </c>
      <c r="K2" s="89" t="s">
        <v>60</v>
      </c>
      <c r="L2" s="89" t="s">
        <v>61</v>
      </c>
      <c r="M2" s="174"/>
    </row>
    <row r="3" spans="2:13" ht="12.75">
      <c r="B3" s="87" t="s">
        <v>62</v>
      </c>
      <c r="C3" s="90" t="s">
        <v>63</v>
      </c>
      <c r="D3" s="90" t="s">
        <v>64</v>
      </c>
      <c r="E3" s="90" t="s">
        <v>1</v>
      </c>
      <c r="F3" s="90" t="s">
        <v>65</v>
      </c>
      <c r="G3" s="90" t="s">
        <v>66</v>
      </c>
      <c r="H3" s="90" t="s">
        <v>2</v>
      </c>
      <c r="I3" s="90" t="s">
        <v>8</v>
      </c>
      <c r="J3" s="90" t="s">
        <v>67</v>
      </c>
      <c r="K3" s="90" t="s">
        <v>67</v>
      </c>
      <c r="L3" s="89" t="s">
        <v>68</v>
      </c>
      <c r="M3" s="174"/>
    </row>
    <row r="4" spans="2:16" ht="12.75">
      <c r="B4" s="176"/>
      <c r="C4" s="91"/>
      <c r="D4" s="176"/>
      <c r="E4" s="176"/>
      <c r="F4" s="176"/>
      <c r="G4" s="176"/>
      <c r="H4" s="176"/>
      <c r="I4" s="176"/>
      <c r="J4" s="176"/>
      <c r="K4" s="176"/>
      <c r="L4" s="176"/>
      <c r="M4" s="174"/>
      <c r="O4" s="177"/>
      <c r="P4" s="181"/>
    </row>
    <row r="5" spans="2:13" ht="12.75">
      <c r="B5" s="92">
        <v>42278</v>
      </c>
      <c r="C5" s="170">
        <v>77.92</v>
      </c>
      <c r="D5" s="170">
        <v>75.29</v>
      </c>
      <c r="E5" s="170">
        <v>117.13</v>
      </c>
      <c r="F5" s="170">
        <v>1097.89</v>
      </c>
      <c r="G5" s="170">
        <v>75.3</v>
      </c>
      <c r="H5" s="170">
        <v>-53.34</v>
      </c>
      <c r="I5" s="170">
        <v>148.95</v>
      </c>
      <c r="J5" s="170">
        <v>555</v>
      </c>
      <c r="K5" s="170">
        <v>420</v>
      </c>
      <c r="L5" s="170">
        <v>10</v>
      </c>
      <c r="M5" s="174"/>
    </row>
    <row r="6" spans="2:13" ht="12.75">
      <c r="B6" s="92">
        <v>42309</v>
      </c>
      <c r="C6" s="170">
        <v>68.95</v>
      </c>
      <c r="D6" s="170">
        <v>68.29</v>
      </c>
      <c r="E6" s="170">
        <v>113.12</v>
      </c>
      <c r="F6" s="170">
        <v>1013.28</v>
      </c>
      <c r="G6" s="170">
        <v>67.59</v>
      </c>
      <c r="H6" s="170">
        <f aca="true" t="shared" si="0" ref="H6:H19">+H5</f>
        <v>-53.34</v>
      </c>
      <c r="I6" s="170">
        <v>149.81</v>
      </c>
      <c r="J6" s="170">
        <v>565</v>
      </c>
      <c r="K6" s="170">
        <v>470</v>
      </c>
      <c r="L6" s="170">
        <v>0</v>
      </c>
      <c r="M6" s="174"/>
    </row>
    <row r="7" spans="2:13" ht="12.75">
      <c r="B7" s="92">
        <v>42339</v>
      </c>
      <c r="C7" s="170">
        <v>65.26</v>
      </c>
      <c r="D7" s="170">
        <v>62.26</v>
      </c>
      <c r="E7" s="170">
        <v>111.06</v>
      </c>
      <c r="F7" s="170">
        <v>1082.99</v>
      </c>
      <c r="G7" s="170">
        <v>69.92</v>
      </c>
      <c r="H7" s="170">
        <f t="shared" si="0"/>
        <v>-53.34</v>
      </c>
      <c r="I7" s="170">
        <v>151</v>
      </c>
      <c r="J7" s="170">
        <v>565</v>
      </c>
      <c r="K7" s="170">
        <v>450</v>
      </c>
      <c r="L7" s="170">
        <v>30</v>
      </c>
      <c r="M7" s="174"/>
    </row>
    <row r="8" spans="2:13" ht="12.75">
      <c r="B8" s="92">
        <v>42370</v>
      </c>
      <c r="C8" s="170">
        <v>54.7</v>
      </c>
      <c r="D8" s="170">
        <v>50.7</v>
      </c>
      <c r="E8" s="170">
        <v>102.5</v>
      </c>
      <c r="F8" s="170">
        <v>1129.8</v>
      </c>
      <c r="G8" s="170">
        <v>72.84</v>
      </c>
      <c r="H8" s="170">
        <f t="shared" si="0"/>
        <v>-53.34</v>
      </c>
      <c r="I8" s="170">
        <v>129</v>
      </c>
      <c r="J8" s="170">
        <v>545</v>
      </c>
      <c r="K8" s="170">
        <v>442</v>
      </c>
      <c r="L8" s="170">
        <v>10</v>
      </c>
      <c r="M8" s="174"/>
    </row>
    <row r="9" spans="2:13" ht="12.75">
      <c r="B9" s="92">
        <v>42401</v>
      </c>
      <c r="C9" s="170">
        <v>66.07</v>
      </c>
      <c r="D9" s="170">
        <v>50.07</v>
      </c>
      <c r="E9" s="170">
        <v>101.87</v>
      </c>
      <c r="F9" s="170">
        <v>1137.39</v>
      </c>
      <c r="G9" s="170">
        <v>71.96</v>
      </c>
      <c r="H9" s="170">
        <f t="shared" si="0"/>
        <v>-53.34</v>
      </c>
      <c r="I9" s="170">
        <v>136</v>
      </c>
      <c r="J9" s="170">
        <v>500</v>
      </c>
      <c r="K9" s="170">
        <v>370</v>
      </c>
      <c r="L9" s="170">
        <v>10</v>
      </c>
      <c r="M9" s="174"/>
    </row>
    <row r="10" spans="2:13" ht="12.75">
      <c r="B10" s="92">
        <v>42430</v>
      </c>
      <c r="C10" s="170">
        <v>74.28</v>
      </c>
      <c r="D10" s="170">
        <v>58.28</v>
      </c>
      <c r="E10" s="170">
        <v>111.08</v>
      </c>
      <c r="F10" s="170">
        <v>1119.13</v>
      </c>
      <c r="G10" s="170">
        <v>73.08</v>
      </c>
      <c r="H10" s="170">
        <f t="shared" si="0"/>
        <v>-53.34</v>
      </c>
      <c r="I10" s="170">
        <v>161</v>
      </c>
      <c r="J10" s="170">
        <v>480</v>
      </c>
      <c r="K10" s="170">
        <v>320</v>
      </c>
      <c r="L10" s="170">
        <v>0</v>
      </c>
      <c r="M10" s="178"/>
    </row>
    <row r="11" spans="2:13" ht="12.75">
      <c r="B11" s="92">
        <v>42461</v>
      </c>
      <c r="C11" s="170">
        <v>77.53</v>
      </c>
      <c r="D11" s="170">
        <v>69.53</v>
      </c>
      <c r="E11" s="170">
        <v>111.33</v>
      </c>
      <c r="F11" s="170">
        <v>1119.56</v>
      </c>
      <c r="G11" s="170">
        <v>89.16</v>
      </c>
      <c r="H11" s="170">
        <f t="shared" si="0"/>
        <v>-53.34</v>
      </c>
      <c r="I11" s="170">
        <v>183</v>
      </c>
      <c r="J11" s="170">
        <v>540</v>
      </c>
      <c r="K11" s="170">
        <v>410</v>
      </c>
      <c r="L11" s="170">
        <v>6.07</v>
      </c>
      <c r="M11" s="178"/>
    </row>
    <row r="12" spans="2:13" ht="12.75">
      <c r="B12" s="92">
        <v>42491</v>
      </c>
      <c r="C12" s="170">
        <v>83.96</v>
      </c>
      <c r="D12" s="170">
        <v>78.96</v>
      </c>
      <c r="E12" s="170">
        <v>107.76</v>
      </c>
      <c r="F12" s="170">
        <v>1140</v>
      </c>
      <c r="G12" s="170">
        <v>123.73</v>
      </c>
      <c r="H12" s="170">
        <f t="shared" si="0"/>
        <v>-53.34</v>
      </c>
      <c r="I12" s="170">
        <v>205</v>
      </c>
      <c r="J12" s="170">
        <v>660</v>
      </c>
      <c r="K12" s="170">
        <v>490</v>
      </c>
      <c r="L12" s="170">
        <v>25</v>
      </c>
      <c r="M12" s="178"/>
    </row>
    <row r="13" spans="2:13" ht="12.75">
      <c r="B13" s="92">
        <v>42522</v>
      </c>
      <c r="C13" s="170">
        <v>84.61</v>
      </c>
      <c r="D13" s="170">
        <v>81.83</v>
      </c>
      <c r="E13" s="170">
        <v>110.05</v>
      </c>
      <c r="F13" s="170">
        <v>1080</v>
      </c>
      <c r="G13" s="170">
        <v>77.17</v>
      </c>
      <c r="H13" s="170">
        <f t="shared" si="0"/>
        <v>-53.34</v>
      </c>
      <c r="I13" s="170">
        <v>201.6</v>
      </c>
      <c r="J13" s="170">
        <v>710</v>
      </c>
      <c r="K13" s="170">
        <v>470</v>
      </c>
      <c r="L13" s="170">
        <v>20</v>
      </c>
      <c r="M13" s="178"/>
    </row>
    <row r="14" spans="2:13" ht="12.75">
      <c r="B14" s="92">
        <v>42552</v>
      </c>
      <c r="C14" s="93">
        <v>97.75</v>
      </c>
      <c r="D14" s="93">
        <v>91.15</v>
      </c>
      <c r="E14" s="93">
        <v>125.17</v>
      </c>
      <c r="F14" s="93">
        <v>1080</v>
      </c>
      <c r="G14" s="93">
        <v>88.81</v>
      </c>
      <c r="H14" s="170">
        <f t="shared" si="0"/>
        <v>-53.34</v>
      </c>
      <c r="I14" s="93">
        <v>209</v>
      </c>
      <c r="J14" s="93">
        <v>700</v>
      </c>
      <c r="K14" s="93">
        <v>465</v>
      </c>
      <c r="L14" s="93">
        <v>0</v>
      </c>
      <c r="M14" s="178"/>
    </row>
    <row r="15" spans="2:13" ht="12.75">
      <c r="B15" s="92">
        <v>42583</v>
      </c>
      <c r="C15" s="93">
        <v>117.25</v>
      </c>
      <c r="D15" s="93">
        <v>110.83</v>
      </c>
      <c r="E15" s="93">
        <v>147.7</v>
      </c>
      <c r="F15" s="93">
        <v>1135.98</v>
      </c>
      <c r="G15" s="93">
        <v>96.52</v>
      </c>
      <c r="H15" s="170">
        <f t="shared" si="0"/>
        <v>-53.34</v>
      </c>
      <c r="I15" s="466">
        <v>213.6</v>
      </c>
      <c r="J15" s="466">
        <v>655</v>
      </c>
      <c r="K15" s="466">
        <v>401.13</v>
      </c>
      <c r="L15" s="466">
        <v>-7.3</v>
      </c>
      <c r="M15" s="178"/>
    </row>
    <row r="16" spans="2:13" ht="12.75">
      <c r="B16" s="92">
        <v>42614</v>
      </c>
      <c r="C16" s="93">
        <v>108.4</v>
      </c>
      <c r="D16" s="93">
        <v>94.55</v>
      </c>
      <c r="E16" s="93">
        <v>123.94</v>
      </c>
      <c r="F16" s="93">
        <v>1115.06</v>
      </c>
      <c r="G16" s="93">
        <v>106.43</v>
      </c>
      <c r="H16" s="170">
        <f t="shared" si="0"/>
        <v>-53.34</v>
      </c>
      <c r="I16" s="93">
        <v>183.63</v>
      </c>
      <c r="J16" s="93">
        <v>560</v>
      </c>
      <c r="K16" s="93">
        <v>390</v>
      </c>
      <c r="L16" s="93">
        <v>-3.54</v>
      </c>
      <c r="M16" s="178"/>
    </row>
    <row r="17" spans="2:13" ht="12.75">
      <c r="B17" s="92">
        <v>42644</v>
      </c>
      <c r="C17" s="467">
        <v>105.76</v>
      </c>
      <c r="D17" s="467">
        <v>90.3</v>
      </c>
      <c r="E17" s="467">
        <v>133.49</v>
      </c>
      <c r="F17" s="467">
        <v>1175.87</v>
      </c>
      <c r="G17" s="467">
        <v>86.67</v>
      </c>
      <c r="H17" s="468">
        <f t="shared" si="0"/>
        <v>-53.34</v>
      </c>
      <c r="I17" s="467">
        <v>191</v>
      </c>
      <c r="J17" s="467">
        <v>540</v>
      </c>
      <c r="K17" s="467">
        <v>500</v>
      </c>
      <c r="L17" s="467">
        <v>41.78</v>
      </c>
      <c r="M17" s="178"/>
    </row>
    <row r="18" spans="2:13" ht="12.75">
      <c r="B18" s="92">
        <v>42675</v>
      </c>
      <c r="C18" s="467">
        <v>112.68</v>
      </c>
      <c r="D18" s="467">
        <v>101.22</v>
      </c>
      <c r="E18" s="467">
        <v>143.71</v>
      </c>
      <c r="F18" s="467">
        <v>1253.05</v>
      </c>
      <c r="G18" s="467">
        <v>94.86</v>
      </c>
      <c r="H18" s="468">
        <f t="shared" si="0"/>
        <v>-53.34</v>
      </c>
      <c r="I18" s="467">
        <v>194.4</v>
      </c>
      <c r="J18" s="467">
        <v>500</v>
      </c>
      <c r="K18" s="467">
        <v>460</v>
      </c>
      <c r="L18" s="467">
        <v>36.35</v>
      </c>
      <c r="M18" s="178"/>
    </row>
    <row r="19" spans="2:13" ht="12.75">
      <c r="B19" s="92">
        <v>42705</v>
      </c>
      <c r="C19" s="467">
        <v>122.32</v>
      </c>
      <c r="D19" s="467">
        <v>100.07</v>
      </c>
      <c r="E19" s="467">
        <v>151.07</v>
      </c>
      <c r="F19" s="467">
        <v>1256.1</v>
      </c>
      <c r="G19" s="467">
        <v>116.15</v>
      </c>
      <c r="H19" s="468">
        <f t="shared" si="0"/>
        <v>-53.34</v>
      </c>
      <c r="I19" s="467">
        <v>179.6</v>
      </c>
      <c r="J19" s="467">
        <v>512</v>
      </c>
      <c r="K19" s="467">
        <v>322</v>
      </c>
      <c r="L19" s="467">
        <v>11.15</v>
      </c>
      <c r="M19" s="178"/>
    </row>
    <row r="20" spans="2:12" ht="12.75">
      <c r="B20" s="92">
        <v>42736</v>
      </c>
      <c r="C20" s="467">
        <v>130.47</v>
      </c>
      <c r="D20" s="467">
        <v>122.92</v>
      </c>
      <c r="E20" s="467">
        <v>161.44</v>
      </c>
      <c r="F20" s="467">
        <v>1325.01</v>
      </c>
      <c r="G20" s="94">
        <v>130.54</v>
      </c>
      <c r="H20" s="469">
        <f>+H19</f>
        <v>-53.34</v>
      </c>
      <c r="I20" s="467">
        <v>191</v>
      </c>
      <c r="J20" s="467">
        <v>522</v>
      </c>
      <c r="K20" s="467">
        <v>300</v>
      </c>
      <c r="L20" s="467">
        <v>4.29</v>
      </c>
    </row>
    <row r="21" spans="2:13" ht="12.75">
      <c r="B21" s="92">
        <v>42767</v>
      </c>
      <c r="C21" s="467">
        <v>139.56</v>
      </c>
      <c r="D21" s="467">
        <v>131.1</v>
      </c>
      <c r="E21" s="467">
        <v>188.41</v>
      </c>
      <c r="F21" s="467">
        <v>1360</v>
      </c>
      <c r="G21" s="467">
        <v>131.43</v>
      </c>
      <c r="H21" s="469">
        <f>+H20</f>
        <v>-53.34</v>
      </c>
      <c r="I21" s="94">
        <v>226</v>
      </c>
      <c r="J21" s="467">
        <v>604</v>
      </c>
      <c r="K21" s="467">
        <v>330</v>
      </c>
      <c r="L21" s="467">
        <v>-5</v>
      </c>
      <c r="M21" s="178"/>
    </row>
    <row r="22" spans="2:13" ht="12.75">
      <c r="B22" s="92">
        <v>42795</v>
      </c>
      <c r="C22" s="467">
        <v>146.45</v>
      </c>
      <c r="D22" s="467">
        <v>140.25</v>
      </c>
      <c r="E22" s="467">
        <v>204.51</v>
      </c>
      <c r="F22" s="467">
        <v>1375.07</v>
      </c>
      <c r="G22" s="467">
        <v>131.34</v>
      </c>
      <c r="H22" s="467">
        <v>-53.34</v>
      </c>
      <c r="I22" s="467">
        <v>244.2</v>
      </c>
      <c r="J22" s="467">
        <v>651</v>
      </c>
      <c r="K22" s="467">
        <v>382</v>
      </c>
      <c r="L22" s="467">
        <v>-40</v>
      </c>
      <c r="M22" s="178"/>
    </row>
    <row r="23" spans="2:13" ht="12.75">
      <c r="B23" s="92">
        <v>42826</v>
      </c>
      <c r="C23" s="94">
        <v>78.46</v>
      </c>
      <c r="D23" s="94">
        <v>72.8</v>
      </c>
      <c r="E23" s="94">
        <v>171.67</v>
      </c>
      <c r="F23" s="94">
        <v>1324.03</v>
      </c>
      <c r="G23" s="94">
        <v>135.51</v>
      </c>
      <c r="H23" s="469">
        <v>-53.34</v>
      </c>
      <c r="I23" s="94">
        <v>239</v>
      </c>
      <c r="J23" s="94">
        <v>640</v>
      </c>
      <c r="K23" s="94">
        <v>460</v>
      </c>
      <c r="L23" s="94">
        <v>-48.71</v>
      </c>
      <c r="M23" s="178"/>
    </row>
    <row r="24" spans="2:13" ht="12.75">
      <c r="B24" s="92">
        <v>42856</v>
      </c>
      <c r="C24" s="94">
        <v>81.1</v>
      </c>
      <c r="D24" s="94">
        <v>72.22</v>
      </c>
      <c r="E24" s="94">
        <v>179.09</v>
      </c>
      <c r="F24" s="94">
        <v>1263.13</v>
      </c>
      <c r="G24" s="94">
        <v>125.72</v>
      </c>
      <c r="H24" s="469">
        <v>-53.34</v>
      </c>
      <c r="I24" s="94">
        <v>187.39</v>
      </c>
      <c r="J24" s="94">
        <v>595.2</v>
      </c>
      <c r="K24" s="94">
        <v>300.1</v>
      </c>
      <c r="L24" s="94">
        <v>-39.14</v>
      </c>
      <c r="M24" s="178"/>
    </row>
    <row r="25" spans="2:13" ht="12.75">
      <c r="B25" s="92">
        <v>42887</v>
      </c>
      <c r="C25" s="94">
        <v>101.56</v>
      </c>
      <c r="D25" s="94">
        <v>99.89</v>
      </c>
      <c r="E25" s="94">
        <v>209.16</v>
      </c>
      <c r="F25" s="94">
        <v>1254.85</v>
      </c>
      <c r="G25" s="94">
        <v>113.45</v>
      </c>
      <c r="H25" s="469">
        <f>+H24</f>
        <v>-53.34</v>
      </c>
      <c r="I25" s="94">
        <v>203</v>
      </c>
      <c r="J25" s="94">
        <v>560</v>
      </c>
      <c r="K25" s="94">
        <v>290</v>
      </c>
      <c r="L25" s="94">
        <v>-43.94</v>
      </c>
      <c r="M25" s="178"/>
    </row>
    <row r="26" spans="2:13" ht="12.75">
      <c r="B26" s="92">
        <v>42917</v>
      </c>
      <c r="C26" s="94">
        <v>122.69</v>
      </c>
      <c r="D26" s="94">
        <v>120.05</v>
      </c>
      <c r="E26" s="94">
        <v>220.91</v>
      </c>
      <c r="F26" s="94">
        <v>1280.17</v>
      </c>
      <c r="G26" s="94">
        <v>115.2</v>
      </c>
      <c r="H26" s="469">
        <v>-53.34</v>
      </c>
      <c r="I26" s="94">
        <v>226</v>
      </c>
      <c r="J26" s="94">
        <v>521.95</v>
      </c>
      <c r="K26" s="94">
        <v>320</v>
      </c>
      <c r="L26" s="94">
        <v>-43.77</v>
      </c>
      <c r="M26" s="178"/>
    </row>
    <row r="27" spans="2:13" ht="12.75">
      <c r="B27" s="92">
        <v>42948</v>
      </c>
      <c r="C27" s="94">
        <v>110</v>
      </c>
      <c r="D27" s="94">
        <v>112.2</v>
      </c>
      <c r="E27" s="94">
        <v>196.06</v>
      </c>
      <c r="F27" s="94">
        <v>1325.58</v>
      </c>
      <c r="G27" s="94">
        <v>145.8</v>
      </c>
      <c r="H27" s="469">
        <f>+H26</f>
        <v>-53.34</v>
      </c>
      <c r="I27" s="94">
        <v>196.46</v>
      </c>
      <c r="J27" s="94">
        <v>500</v>
      </c>
      <c r="K27" s="94">
        <v>330</v>
      </c>
      <c r="L27" s="94">
        <v>-39.63</v>
      </c>
      <c r="M27" s="178"/>
    </row>
    <row r="28" spans="2:13" s="183" customFormat="1" ht="12.75">
      <c r="B28" s="92">
        <v>42979</v>
      </c>
      <c r="C28" s="94">
        <v>79.4</v>
      </c>
      <c r="D28" s="94">
        <v>74.7</v>
      </c>
      <c r="E28" s="94">
        <v>157.94</v>
      </c>
      <c r="F28" s="94">
        <v>1452.16</v>
      </c>
      <c r="G28" s="94">
        <v>125.69</v>
      </c>
      <c r="H28" s="94">
        <f>+H27</f>
        <v>-53.34</v>
      </c>
      <c r="I28" s="94">
        <v>178.86</v>
      </c>
      <c r="J28" s="94">
        <v>460</v>
      </c>
      <c r="K28" s="94">
        <v>302</v>
      </c>
      <c r="L28" s="94">
        <v>-55</v>
      </c>
      <c r="M28" s="182"/>
    </row>
    <row r="29" spans="2:12" s="172" customFormat="1" ht="15">
      <c r="B29" s="172" t="s">
        <v>69</v>
      </c>
      <c r="C29" s="171">
        <f aca="true" t="shared" si="1" ref="C29:L29">AVERAGE(C5:C28)</f>
        <v>96.13041666666668</v>
      </c>
      <c r="D29" s="171">
        <f t="shared" si="1"/>
        <v>88.72749999999998</v>
      </c>
      <c r="E29" s="171">
        <f t="shared" si="1"/>
        <v>145.84041666666667</v>
      </c>
      <c r="F29" s="171">
        <f>AVERAGE(F5:F28)</f>
        <v>1204.0041666666664</v>
      </c>
      <c r="G29" s="171">
        <f t="shared" si="1"/>
        <v>102.70291666666667</v>
      </c>
      <c r="H29" s="171">
        <f t="shared" si="1"/>
        <v>-53.34</v>
      </c>
      <c r="I29" s="171">
        <f t="shared" si="1"/>
        <v>188.68749999999997</v>
      </c>
      <c r="J29" s="171">
        <f t="shared" si="1"/>
        <v>568.38125</v>
      </c>
      <c r="K29" s="171">
        <f t="shared" si="1"/>
        <v>391.42625</v>
      </c>
      <c r="L29" s="171">
        <f t="shared" si="1"/>
        <v>-5.057916666666668</v>
      </c>
    </row>
    <row r="30" spans="9:10" ht="15">
      <c r="I30" s="171">
        <f>AVERAGE(I29:L29)</f>
        <v>285.8592708333333</v>
      </c>
      <c r="J30" s="172" t="s">
        <v>70</v>
      </c>
    </row>
    <row r="31" spans="9:10" ht="15">
      <c r="I31" s="171"/>
      <c r="J31" s="172"/>
    </row>
    <row r="32" ht="12.75">
      <c r="B32" s="184" t="s">
        <v>71</v>
      </c>
    </row>
    <row r="33" spans="2:13" ht="12.75">
      <c r="B33" s="11" t="s">
        <v>128</v>
      </c>
      <c r="C33" s="185">
        <f>+Composition!$C$6</f>
        <v>0.3581435552474604</v>
      </c>
      <c r="D33" s="185">
        <f>+Composition!$C$7</f>
        <v>0.12214904961188562</v>
      </c>
      <c r="E33" s="185">
        <f>+Composition!$C$8</f>
        <v>0.241296310559963</v>
      </c>
      <c r="F33" s="185">
        <f>+Composition!$C$9</f>
        <v>0.005501852850308523</v>
      </c>
      <c r="G33" s="185">
        <f>+Composition!$C$10</f>
        <v>0.013605398512584833</v>
      </c>
      <c r="H33" s="185">
        <f>+Composition!$C$11</f>
        <v>0.19737883728294264</v>
      </c>
      <c r="I33" s="185">
        <f>+Composition!$C$12</f>
        <v>0.010704168699239175</v>
      </c>
      <c r="J33" s="185">
        <f>+Composition!$C$13</f>
        <v>0.0006001437777606614</v>
      </c>
      <c r="K33" s="185">
        <f>+Composition!$C$14</f>
        <v>0.0027011818874254365</v>
      </c>
      <c r="L33" s="185">
        <f>+Composition!$C$15</f>
        <v>0.0017009422578243344</v>
      </c>
      <c r="M33" s="179">
        <f>SUM(C33:L33)</f>
        <v>0.9537814406873947</v>
      </c>
    </row>
    <row r="34" spans="3:16" ht="12.75">
      <c r="C34" s="186">
        <f aca="true" t="shared" si="2" ref="C34:L34">+C33*$M34</f>
        <v>1691.1932636695851</v>
      </c>
      <c r="D34" s="186">
        <f t="shared" si="2"/>
        <v>576.8012486627812</v>
      </c>
      <c r="E34" s="186">
        <f t="shared" si="2"/>
        <v>1139.4277210583068</v>
      </c>
      <c r="F34" s="186">
        <f t="shared" si="2"/>
        <v>25.980354362970377</v>
      </c>
      <c r="G34" s="186">
        <f t="shared" si="2"/>
        <v>64.24618837026196</v>
      </c>
      <c r="H34" s="186">
        <f t="shared" si="2"/>
        <v>932.0445813221562</v>
      </c>
      <c r="I34" s="186">
        <f t="shared" si="2"/>
        <v>50.5462620563643</v>
      </c>
      <c r="J34" s="186">
        <f t="shared" si="2"/>
        <v>2.8339449344013965</v>
      </c>
      <c r="K34" s="186">
        <f t="shared" si="2"/>
        <v>12.755278002430527</v>
      </c>
      <c r="L34" s="186">
        <f t="shared" si="2"/>
        <v>8.032036445094867</v>
      </c>
      <c r="M34" s="180">
        <f>+'2016-2017 Recy. Tons &amp; Revenue'!$C$8</f>
        <v>4722.11</v>
      </c>
      <c r="O34" s="180">
        <f>SUM(C34:L34)</f>
        <v>4503.860878884352</v>
      </c>
      <c r="P34" s="180">
        <f>+M34-O34</f>
        <v>218.24912111564754</v>
      </c>
    </row>
    <row r="35" spans="3:14" ht="12.75">
      <c r="C35" s="100">
        <f aca="true" t="shared" si="3" ref="C35:L35">+C34*C5</f>
        <v>131777.77910513408</v>
      </c>
      <c r="D35" s="100">
        <f t="shared" si="3"/>
        <v>43427.3660118208</v>
      </c>
      <c r="E35" s="100">
        <f t="shared" si="3"/>
        <v>133461.16896755947</v>
      </c>
      <c r="F35" s="100">
        <f t="shared" si="3"/>
        <v>28523.57125156155</v>
      </c>
      <c r="G35" s="100">
        <f t="shared" si="3"/>
        <v>4837.737984280726</v>
      </c>
      <c r="H35" s="100">
        <f t="shared" si="3"/>
        <v>-49715.25796772382</v>
      </c>
      <c r="I35" s="100">
        <f t="shared" si="3"/>
        <v>7528.865733295462</v>
      </c>
      <c r="J35" s="100">
        <f t="shared" si="3"/>
        <v>1572.839438592775</v>
      </c>
      <c r="K35" s="100">
        <f t="shared" si="3"/>
        <v>5357.216761020822</v>
      </c>
      <c r="L35" s="100">
        <f t="shared" si="3"/>
        <v>80.32036445094867</v>
      </c>
      <c r="M35" s="180">
        <f>SUM(C35:L35)</f>
        <v>306851.60764999286</v>
      </c>
      <c r="N35" s="180"/>
    </row>
    <row r="36" spans="3:12" ht="12.75">
      <c r="C36" s="185"/>
      <c r="D36" s="185"/>
      <c r="E36" s="185"/>
      <c r="F36" s="185"/>
      <c r="G36" s="185"/>
      <c r="H36" s="185"/>
      <c r="I36" s="185"/>
      <c r="J36" s="185"/>
      <c r="K36" s="185"/>
      <c r="L36" s="185"/>
    </row>
    <row r="37" spans="2:13" ht="12.75">
      <c r="B37" s="11" t="s">
        <v>73</v>
      </c>
      <c r="C37" s="185">
        <f>+Composition!$E$6</f>
        <v>0.43077917511062697</v>
      </c>
      <c r="D37" s="185">
        <f>+Composition!$E$7</f>
        <v>0.11333640940790987</v>
      </c>
      <c r="E37" s="185">
        <f>+Composition!$E$8</f>
        <v>0.1802674558762849</v>
      </c>
      <c r="F37" s="185">
        <f>+Composition!$E$9</f>
        <v>0.0020570401793608946</v>
      </c>
      <c r="G37" s="185">
        <f>+Composition!$E$10</f>
        <v>0.00797916128861778</v>
      </c>
      <c r="H37" s="185">
        <f>+Composition!$E$11</f>
        <v>0.2069358028656277</v>
      </c>
      <c r="I37" s="185">
        <f>+Composition!$E$12</f>
        <v>0.003561199994308585</v>
      </c>
      <c r="J37" s="185">
        <f>+Composition!$E$13</f>
        <v>0.002791842575446827</v>
      </c>
      <c r="K37" s="185">
        <f>+Composition!$E$14</f>
        <v>0.002039762667972982</v>
      </c>
      <c r="L37" s="185">
        <f>+Composition!$E$15</f>
        <v>0.0012775195185062474</v>
      </c>
      <c r="M37" s="179">
        <f>SUM(C37:L37)</f>
        <v>0.9510253694846629</v>
      </c>
    </row>
    <row r="38" spans="3:16" ht="12.75">
      <c r="C38" s="186">
        <f aca="true" t="shared" si="4" ref="C38:L38">+C37*$M38</f>
        <v>2132.697232345941</v>
      </c>
      <c r="D38" s="186">
        <f t="shared" si="4"/>
        <v>561.1047623325861</v>
      </c>
      <c r="E38" s="186">
        <f t="shared" si="4"/>
        <v>892.4663178777525</v>
      </c>
      <c r="F38" s="186">
        <f t="shared" si="4"/>
        <v>10.183973949578123</v>
      </c>
      <c r="G38" s="186">
        <f t="shared" si="4"/>
        <v>39.503151916076014</v>
      </c>
      <c r="H38" s="186">
        <f t="shared" si="4"/>
        <v>1024.495703469121</v>
      </c>
      <c r="I38" s="186">
        <f t="shared" si="4"/>
        <v>17.630753319822997</v>
      </c>
      <c r="J38" s="186">
        <f t="shared" si="4"/>
        <v>13.821826304096396</v>
      </c>
      <c r="K38" s="186">
        <f t="shared" si="4"/>
        <v>10.09843661897396</v>
      </c>
      <c r="L38" s="186">
        <f t="shared" si="4"/>
        <v>6.3247308570255445</v>
      </c>
      <c r="M38" s="180">
        <f>+'2016-2017 Recy. Tons &amp; Revenue'!$C$9</f>
        <v>4950.79</v>
      </c>
      <c r="O38" s="180">
        <f>SUM(C38:L38)</f>
        <v>4708.326888990974</v>
      </c>
      <c r="P38" s="180">
        <f>+M38-O38</f>
        <v>242.46311100902585</v>
      </c>
    </row>
    <row r="39" spans="3:13" ht="12.75">
      <c r="C39" s="100">
        <f aca="true" t="shared" si="5" ref="C39:L39">+C38*C6</f>
        <v>147049.47417025262</v>
      </c>
      <c r="D39" s="100">
        <f t="shared" si="5"/>
        <v>38317.844219692306</v>
      </c>
      <c r="E39" s="100">
        <f t="shared" si="5"/>
        <v>100955.78987833137</v>
      </c>
      <c r="F39" s="100">
        <f t="shared" si="5"/>
        <v>10319.21712362852</v>
      </c>
      <c r="G39" s="100">
        <f t="shared" si="5"/>
        <v>2670.018038007578</v>
      </c>
      <c r="H39" s="100">
        <f t="shared" si="5"/>
        <v>-54646.60082304292</v>
      </c>
      <c r="I39" s="100">
        <f t="shared" si="5"/>
        <v>2641.263154842683</v>
      </c>
      <c r="J39" s="100">
        <f t="shared" si="5"/>
        <v>7809.331861814464</v>
      </c>
      <c r="K39" s="100">
        <f t="shared" si="5"/>
        <v>4746.265210917761</v>
      </c>
      <c r="L39" s="100">
        <f t="shared" si="5"/>
        <v>0</v>
      </c>
      <c r="M39" s="180">
        <f>SUM(C39:L39)</f>
        <v>259862.60283444446</v>
      </c>
    </row>
    <row r="41" spans="2:13" ht="12.75">
      <c r="B41" s="11" t="s">
        <v>74</v>
      </c>
      <c r="C41" s="185">
        <f>+Composition!$G$6</f>
        <v>0.46767519113896816</v>
      </c>
      <c r="D41" s="185">
        <f>+Composition!$G$7</f>
        <v>0.1100340434724177</v>
      </c>
      <c r="E41" s="185">
        <f>+Composition!$G$8</f>
        <v>0.16859805039489276</v>
      </c>
      <c r="F41" s="185">
        <f>+Composition!$G$9</f>
        <v>0.002438037005064884</v>
      </c>
      <c r="G41" s="185">
        <f>+Composition!$G$10</f>
        <v>0.009013398897317995</v>
      </c>
      <c r="H41" s="185">
        <f>+Composition!$G$11</f>
        <v>0.18578633495511854</v>
      </c>
      <c r="I41" s="185">
        <f>+Composition!$G$12</f>
        <v>0.003515654308284297</v>
      </c>
      <c r="J41" s="185">
        <f>+Composition!$G$13</f>
        <v>0.002757117262406822</v>
      </c>
      <c r="K41" s="185">
        <f>+Composition!$G$14</f>
        <v>0.0011575934917521463</v>
      </c>
      <c r="L41" s="185">
        <f>+Composition!$G$15</f>
        <v>0.0006562994440418152</v>
      </c>
      <c r="M41" s="179">
        <f>SUM(C41:L41)</f>
        <v>0.951631720370265</v>
      </c>
    </row>
    <row r="42" spans="3:16" ht="12.75">
      <c r="C42" s="186">
        <f aca="true" t="shared" si="6" ref="C42:L42">+C41*$M42</f>
        <v>2702.9287671876664</v>
      </c>
      <c r="D42" s="186">
        <f t="shared" si="6"/>
        <v>635.9417542488382</v>
      </c>
      <c r="E42" s="186">
        <f t="shared" si="6"/>
        <v>974.4124322572827</v>
      </c>
      <c r="F42" s="186">
        <f t="shared" si="6"/>
        <v>14.090634870772497</v>
      </c>
      <c r="G42" s="186">
        <f t="shared" si="6"/>
        <v>52.09293892704935</v>
      </c>
      <c r="H42" s="186">
        <f t="shared" si="6"/>
        <v>1073.7521228731075</v>
      </c>
      <c r="I42" s="186">
        <f t="shared" si="6"/>
        <v>20.318724074729094</v>
      </c>
      <c r="J42" s="186">
        <f t="shared" si="6"/>
        <v>15.934759218080227</v>
      </c>
      <c r="K42" s="186">
        <f t="shared" si="6"/>
        <v>6.690311585581529</v>
      </c>
      <c r="L42" s="186">
        <f t="shared" si="6"/>
        <v>3.793082636839671</v>
      </c>
      <c r="M42" s="180">
        <f>+'2016-2017 Recy. Tons &amp; Revenue'!$C$10</f>
        <v>5779.5</v>
      </c>
      <c r="O42" s="180">
        <f>SUM(C42:L42)</f>
        <v>5499.955527879946</v>
      </c>
      <c r="P42" s="180">
        <f>+M42-O42</f>
        <v>279.5444721200538</v>
      </c>
    </row>
    <row r="43" spans="3:13" ht="12.75">
      <c r="C43" s="100">
        <f aca="true" t="shared" si="7" ref="C43:L43">+C42*C7</f>
        <v>176393.13134666713</v>
      </c>
      <c r="D43" s="100">
        <f t="shared" si="7"/>
        <v>39593.733619532664</v>
      </c>
      <c r="E43" s="100">
        <f t="shared" si="7"/>
        <v>108218.24472649382</v>
      </c>
      <c r="F43" s="100">
        <f t="shared" si="7"/>
        <v>15260.016658697907</v>
      </c>
      <c r="G43" s="100">
        <f t="shared" si="7"/>
        <v>3642.338289779291</v>
      </c>
      <c r="H43" s="100">
        <f t="shared" si="7"/>
        <v>-57273.93823405156</v>
      </c>
      <c r="I43" s="100">
        <f t="shared" si="7"/>
        <v>3068.127335284093</v>
      </c>
      <c r="J43" s="100">
        <f t="shared" si="7"/>
        <v>9003.138958215328</v>
      </c>
      <c r="K43" s="100">
        <f t="shared" si="7"/>
        <v>3010.640213511688</v>
      </c>
      <c r="L43" s="100">
        <f t="shared" si="7"/>
        <v>113.79247910519013</v>
      </c>
      <c r="M43" s="180">
        <f>SUM(C43:L43)</f>
        <v>301029.2253932355</v>
      </c>
    </row>
    <row r="45" spans="2:13" ht="12.75">
      <c r="B45" s="11" t="s">
        <v>129</v>
      </c>
      <c r="C45" s="185">
        <f>+Composition!$I$6</f>
        <v>0.42238236896132736</v>
      </c>
      <c r="D45" s="185">
        <f>+Composition!$I$7</f>
        <v>0.12108578981248355</v>
      </c>
      <c r="E45" s="185">
        <f>+Composition!$I$8</f>
        <v>0.18398073414413965</v>
      </c>
      <c r="F45" s="185">
        <f>+Composition!$I$9</f>
        <v>0.004308916457489801</v>
      </c>
      <c r="G45" s="185">
        <f>+Composition!$I$10</f>
        <v>0.014076111176710327</v>
      </c>
      <c r="H45" s="185">
        <f>+Composition!$I$11</f>
        <v>0.2002793891908569</v>
      </c>
      <c r="I45" s="185">
        <f>+Composition!$I$12</f>
        <v>0.005721098359469331</v>
      </c>
      <c r="J45" s="185">
        <f>+Composition!$I$13</f>
        <v>0.0017159486091484245</v>
      </c>
      <c r="K45" s="185">
        <f>+Composition!$I$14</f>
        <v>0.0018844962805242686</v>
      </c>
      <c r="L45" s="185">
        <f>+Composition!$I$15</f>
        <v>0.001874021566483962</v>
      </c>
      <c r="M45" s="179">
        <f>SUM(C45:L45)</f>
        <v>0.9573088745586336</v>
      </c>
    </row>
    <row r="46" spans="3:16" ht="12.75">
      <c r="C46" s="186">
        <f aca="true" t="shared" si="8" ref="C46:L46">+C45*$M46</f>
        <v>2131.1682570075836</v>
      </c>
      <c r="D46" s="186">
        <f t="shared" si="8"/>
        <v>610.9492502199689</v>
      </c>
      <c r="E46" s="186">
        <f t="shared" si="8"/>
        <v>928.2913523903296</v>
      </c>
      <c r="F46" s="186">
        <f t="shared" si="8"/>
        <v>21.741025788745965</v>
      </c>
      <c r="G46" s="186">
        <f t="shared" si="8"/>
        <v>71.02228579209786</v>
      </c>
      <c r="H46" s="186">
        <f t="shared" si="8"/>
        <v>1010.5276833074956</v>
      </c>
      <c r="I46" s="186">
        <f t="shared" si="8"/>
        <v>28.866316671554863</v>
      </c>
      <c r="J46" s="186">
        <f t="shared" si="8"/>
        <v>8.6579731428332</v>
      </c>
      <c r="K46" s="186">
        <f t="shared" si="8"/>
        <v>9.508395588050444</v>
      </c>
      <c r="L46" s="186">
        <f t="shared" si="8"/>
        <v>9.455544475635813</v>
      </c>
      <c r="M46" s="180">
        <f>+'2016-2017 Recy. Tons &amp; Revenue'!C11</f>
        <v>5045.59</v>
      </c>
      <c r="O46" s="180">
        <f>SUM(C46:L46)</f>
        <v>4830.188084384296</v>
      </c>
      <c r="P46" s="180">
        <f>+M46-O46</f>
        <v>215.40191561570373</v>
      </c>
    </row>
    <row r="47" spans="3:13" ht="12.75">
      <c r="C47" s="100">
        <f aca="true" t="shared" si="9" ref="C47:L47">+C46*C8</f>
        <v>116574.90365831483</v>
      </c>
      <c r="D47" s="100">
        <f t="shared" si="9"/>
        <v>30975.126986152427</v>
      </c>
      <c r="E47" s="100">
        <f t="shared" si="9"/>
        <v>95149.8636200088</v>
      </c>
      <c r="F47" s="100">
        <f t="shared" si="9"/>
        <v>24563.01093612519</v>
      </c>
      <c r="G47" s="100">
        <f t="shared" si="9"/>
        <v>5173.263297096409</v>
      </c>
      <c r="H47" s="100">
        <f t="shared" si="9"/>
        <v>-53901.54662762182</v>
      </c>
      <c r="I47" s="100">
        <f t="shared" si="9"/>
        <v>3723.7548506305775</v>
      </c>
      <c r="J47" s="100">
        <f t="shared" si="9"/>
        <v>4718.595362844094</v>
      </c>
      <c r="K47" s="100">
        <f t="shared" si="9"/>
        <v>4202.710849918296</v>
      </c>
      <c r="L47" s="100">
        <f t="shared" si="9"/>
        <v>94.55544475635813</v>
      </c>
      <c r="M47" s="180">
        <f>SUM(C47:L47)</f>
        <v>231274.23837822516</v>
      </c>
    </row>
    <row r="48" spans="3:12" ht="12.75">
      <c r="C48" s="185"/>
      <c r="D48" s="185"/>
      <c r="E48" s="185"/>
      <c r="F48" s="185"/>
      <c r="G48" s="185"/>
      <c r="H48" s="185"/>
      <c r="I48" s="185"/>
      <c r="J48" s="185"/>
      <c r="K48" s="185"/>
      <c r="L48" s="185"/>
    </row>
    <row r="49" spans="2:13" ht="12.75">
      <c r="B49" s="11" t="s">
        <v>76</v>
      </c>
      <c r="C49" s="185">
        <f>+Composition!$K$6</f>
        <v>0.40404321290951184</v>
      </c>
      <c r="D49" s="185">
        <f>+Composition!$K$7</f>
        <v>0.11476887114950773</v>
      </c>
      <c r="E49" s="185">
        <f>+Composition!$K$8</f>
        <v>0.19211533757210694</v>
      </c>
      <c r="F49" s="185">
        <f>+Composition!$K$9</f>
        <v>0.0048025959526054665</v>
      </c>
      <c r="G49" s="185">
        <f>+Composition!$K$10</f>
        <v>0.011106395167714514</v>
      </c>
      <c r="H49" s="185">
        <f>+Composition!$K$11</f>
        <v>0.21282797005120402</v>
      </c>
      <c r="I49" s="185">
        <f>+Composition!$K$12</f>
        <v>0.007004221350121164</v>
      </c>
      <c r="J49" s="185">
        <f>+Composition!$K$13</f>
        <v>0.001600516848811269</v>
      </c>
      <c r="K49" s="185">
        <f>+Composition!$K$14</f>
        <v>0.0019015938262493131</v>
      </c>
      <c r="L49" s="185">
        <f>+Composition!$K$15</f>
        <v>0.0023009389838233854</v>
      </c>
      <c r="M49" s="179">
        <f>SUM(C49:L49)</f>
        <v>0.9524716538116555</v>
      </c>
    </row>
    <row r="50" spans="3:16" ht="12.75">
      <c r="C50" s="186">
        <f aca="true" t="shared" si="10" ref="C50:L50">+C49*$M50</f>
        <v>1860.3927312490725</v>
      </c>
      <c r="D50" s="186">
        <f t="shared" si="10"/>
        <v>528.4463810756394</v>
      </c>
      <c r="E50" s="186">
        <f t="shared" si="10"/>
        <v>884.5835449305121</v>
      </c>
      <c r="F50" s="186">
        <f t="shared" si="10"/>
        <v>22.113264908014713</v>
      </c>
      <c r="G50" s="186">
        <f t="shared" si="10"/>
        <v>51.138730166031415</v>
      </c>
      <c r="H50" s="186">
        <f t="shared" si="10"/>
        <v>979.9536184225658</v>
      </c>
      <c r="I50" s="186">
        <f t="shared" si="10"/>
        <v>32.25051695335189</v>
      </c>
      <c r="J50" s="186">
        <f t="shared" si="10"/>
        <v>7.369483799340559</v>
      </c>
      <c r="K50" s="186">
        <f t="shared" si="10"/>
        <v>8.755774677335387</v>
      </c>
      <c r="L50" s="186">
        <f t="shared" si="10"/>
        <v>10.594535494675748</v>
      </c>
      <c r="M50" s="180">
        <f>+'2016-2017 Recy. Tons &amp; Revenue'!C12</f>
        <v>4604.44</v>
      </c>
      <c r="O50" s="180">
        <f>SUM(C50:L50)</f>
        <v>4385.598581676541</v>
      </c>
      <c r="P50" s="180">
        <f>+M50-O50</f>
        <v>218.84141832345904</v>
      </c>
    </row>
    <row r="51" spans="3:13" ht="12.75">
      <c r="C51" s="100">
        <f aca="true" t="shared" si="11" ref="C51:L51">+C50*C9</f>
        <v>122916.14775362621</v>
      </c>
      <c r="D51" s="100">
        <f t="shared" si="11"/>
        <v>26459.310300457262</v>
      </c>
      <c r="E51" s="100">
        <f t="shared" si="11"/>
        <v>90112.52572207127</v>
      </c>
      <c r="F51" s="100">
        <f t="shared" si="11"/>
        <v>25151.406373726855</v>
      </c>
      <c r="G51" s="100">
        <f t="shared" si="11"/>
        <v>3679.9430227476205</v>
      </c>
      <c r="H51" s="100">
        <f t="shared" si="11"/>
        <v>-52270.726006659665</v>
      </c>
      <c r="I51" s="100">
        <f t="shared" si="11"/>
        <v>4386.070305655857</v>
      </c>
      <c r="J51" s="100">
        <f t="shared" si="11"/>
        <v>3684.7418996702795</v>
      </c>
      <c r="K51" s="100">
        <f t="shared" si="11"/>
        <v>3239.636630614093</v>
      </c>
      <c r="L51" s="100">
        <f t="shared" si="11"/>
        <v>105.94535494675748</v>
      </c>
      <c r="M51" s="180">
        <f>SUM(C51:L51)</f>
        <v>227465.00135685652</v>
      </c>
    </row>
    <row r="53" spans="2:13" ht="12.75">
      <c r="B53" s="11" t="s">
        <v>77</v>
      </c>
      <c r="C53" s="185">
        <f>+Composition!$M$6</f>
        <v>0.3935522628675282</v>
      </c>
      <c r="D53" s="185">
        <f>+Composition!$M$7</f>
        <v>0.12363264095632436</v>
      </c>
      <c r="E53" s="185">
        <f>+Composition!$M$8</f>
        <v>0.20905337120304784</v>
      </c>
      <c r="F53" s="185">
        <f>+Composition!$M$9</f>
        <v>0.0037356420171326234</v>
      </c>
      <c r="G53" s="185">
        <f>+Composition!$M$10</f>
        <v>0.009917986973730737</v>
      </c>
      <c r="H53" s="185">
        <f>+Composition!$M$11</f>
        <v>0.18365956039192874</v>
      </c>
      <c r="I53" s="185">
        <f>+Composition!$M$12</f>
        <v>0.007418053511883714</v>
      </c>
      <c r="J53" s="185">
        <f>+Composition!$M$13</f>
        <v>0.002060781652199371</v>
      </c>
      <c r="K53" s="185">
        <f>+Composition!$M$14</f>
        <v>0.0024942301915918583</v>
      </c>
      <c r="L53" s="185">
        <f>+Composition!$M$15</f>
        <v>0.003823092161045143</v>
      </c>
      <c r="M53" s="179">
        <f>SUM(C53:L53)</f>
        <v>0.9393476219264125</v>
      </c>
    </row>
    <row r="54" spans="3:16" ht="12.75">
      <c r="C54" s="186">
        <f aca="true" t="shared" si="12" ref="C54:L54">+C53*$M54</f>
        <v>1989.5680452231306</v>
      </c>
      <c r="D54" s="186">
        <f t="shared" si="12"/>
        <v>625.0136894170117</v>
      </c>
      <c r="E54" s="186">
        <f t="shared" si="12"/>
        <v>1056.8505033136</v>
      </c>
      <c r="F54" s="186">
        <f t="shared" si="12"/>
        <v>18.885202009832437</v>
      </c>
      <c r="G54" s="186">
        <f t="shared" si="12"/>
        <v>50.1394905268681</v>
      </c>
      <c r="H54" s="186">
        <f t="shared" si="12"/>
        <v>928.4743782009605</v>
      </c>
      <c r="I54" s="186">
        <f t="shared" si="12"/>
        <v>37.50130190451205</v>
      </c>
      <c r="J54" s="186">
        <f t="shared" si="12"/>
        <v>10.418096172345223</v>
      </c>
      <c r="K54" s="186">
        <f t="shared" si="12"/>
        <v>12.609356252875395</v>
      </c>
      <c r="L54" s="186">
        <f t="shared" si="12"/>
        <v>19.327298341869227</v>
      </c>
      <c r="M54" s="180">
        <f>+'2016-2017 Recy. Tons &amp; Revenue'!C13</f>
        <v>5055.41</v>
      </c>
      <c r="O54" s="180">
        <f>SUM(C54:L54)</f>
        <v>4748.787361363005</v>
      </c>
      <c r="P54" s="180">
        <f>+M54-O54</f>
        <v>306.62263863699445</v>
      </c>
    </row>
    <row r="55" spans="3:13" ht="12.75">
      <c r="C55" s="100">
        <f aca="true" t="shared" si="13" ref="C55:L55">+C54*C10</f>
        <v>147785.11439917414</v>
      </c>
      <c r="D55" s="100">
        <f t="shared" si="13"/>
        <v>36425.797819223444</v>
      </c>
      <c r="E55" s="100">
        <f t="shared" si="13"/>
        <v>117394.95390807469</v>
      </c>
      <c r="F55" s="100">
        <f t="shared" si="13"/>
        <v>21134.996125263777</v>
      </c>
      <c r="G55" s="100">
        <f t="shared" si="13"/>
        <v>3664.1939677035207</v>
      </c>
      <c r="H55" s="100">
        <f t="shared" si="13"/>
        <v>-49524.823333239234</v>
      </c>
      <c r="I55" s="100">
        <f t="shared" si="13"/>
        <v>6037.709606626439</v>
      </c>
      <c r="J55" s="100">
        <f t="shared" si="13"/>
        <v>5000.686162725707</v>
      </c>
      <c r="K55" s="100">
        <f t="shared" si="13"/>
        <v>4034.9940009201264</v>
      </c>
      <c r="L55" s="100">
        <f t="shared" si="13"/>
        <v>0</v>
      </c>
      <c r="M55" s="180">
        <f>SUM(C55:L55)</f>
        <v>291953.62265647267</v>
      </c>
    </row>
    <row r="57" spans="2:13" ht="12.75">
      <c r="B57" s="11" t="s">
        <v>78</v>
      </c>
      <c r="C57" s="185">
        <f>+Composition!$O$6</f>
        <v>0.32390791645267925</v>
      </c>
      <c r="D57" s="185">
        <f>+Composition!$O$7</f>
        <v>0.16507526538590023</v>
      </c>
      <c r="E57" s="185">
        <f>+Composition!$O$8</f>
        <v>0.2087336767103616</v>
      </c>
      <c r="F57" s="185">
        <f>+Composition!$O$9</f>
        <v>0.004332932782201568</v>
      </c>
      <c r="G57" s="185">
        <f>+Composition!$O$10</f>
        <v>0.010058237807705537</v>
      </c>
      <c r="H57" s="185">
        <f>+Composition!$O$11</f>
        <v>0.18031781488554371</v>
      </c>
      <c r="I57" s="185">
        <f>+Composition!$O$12</f>
        <v>0.008249525072672606</v>
      </c>
      <c r="J57" s="185">
        <f>+Composition!$O$13</f>
        <v>0.0024257443021185993</v>
      </c>
      <c r="K57" s="185">
        <f>+Composition!$O$14</f>
        <v>0.002617709678545251</v>
      </c>
      <c r="L57" s="185">
        <f>+Composition!$O$15</f>
        <v>0.0053151971758652146</v>
      </c>
      <c r="M57" s="179">
        <f>SUM(C57:L57)</f>
        <v>0.9110340202535937</v>
      </c>
    </row>
    <row r="58" spans="3:16" ht="12.75">
      <c r="C58" s="186">
        <f>+C57*$M58</f>
        <v>1475.092846921324</v>
      </c>
      <c r="D58" s="186">
        <f>+D57*$M58</f>
        <v>751.761012330659</v>
      </c>
      <c r="E58" s="186">
        <f>+E57*$M58</f>
        <v>950.5836004228223</v>
      </c>
      <c r="F58" s="186">
        <f>+F57*$M58</f>
        <v>19.73239253678505</v>
      </c>
      <c r="G58" s="186">
        <f aca="true" t="shared" si="14" ref="G58:L58">+G57*$M58</f>
        <v>45.805717888181405</v>
      </c>
      <c r="H58" s="186">
        <f t="shared" si="14"/>
        <v>821.1763448795103</v>
      </c>
      <c r="I58" s="186">
        <f t="shared" si="14"/>
        <v>37.568749657204684</v>
      </c>
      <c r="J58" s="186">
        <f t="shared" si="14"/>
        <v>11.046960839063207</v>
      </c>
      <c r="K58" s="186">
        <f t="shared" si="14"/>
        <v>11.921180761579</v>
      </c>
      <c r="L58" s="186">
        <f t="shared" si="14"/>
        <v>24.20567369874898</v>
      </c>
      <c r="M58" s="180">
        <f>+'2016-2017 Recy. Tons &amp; Revenue'!C14</f>
        <v>4554.05</v>
      </c>
      <c r="O58" s="180">
        <f>SUM(C58:L58)</f>
        <v>4148.894479935878</v>
      </c>
      <c r="P58" s="180">
        <f>+M58-O58</f>
        <v>405.15552006412236</v>
      </c>
    </row>
    <row r="59" spans="3:13" ht="12.75">
      <c r="C59" s="100">
        <f aca="true" t="shared" si="15" ref="C59:L59">+C58*C11</f>
        <v>114363.94842181026</v>
      </c>
      <c r="D59" s="100">
        <f t="shared" si="15"/>
        <v>52269.94318735072</v>
      </c>
      <c r="E59" s="100">
        <f t="shared" si="15"/>
        <v>105828.47223507281</v>
      </c>
      <c r="F59" s="100">
        <f t="shared" si="15"/>
        <v>22091.597388483067</v>
      </c>
      <c r="G59" s="100">
        <f t="shared" si="15"/>
        <v>4084.037806910254</v>
      </c>
      <c r="H59" s="100">
        <f t="shared" si="15"/>
        <v>-43801.54623587309</v>
      </c>
      <c r="I59" s="100">
        <f t="shared" si="15"/>
        <v>6875.081187268457</v>
      </c>
      <c r="J59" s="100">
        <f t="shared" si="15"/>
        <v>5965.3588530941315</v>
      </c>
      <c r="K59" s="100">
        <f t="shared" si="15"/>
        <v>4887.68411224739</v>
      </c>
      <c r="L59" s="100">
        <f t="shared" si="15"/>
        <v>146.92843935140633</v>
      </c>
      <c r="M59" s="180">
        <f>SUM(C59:L59)</f>
        <v>272711.50539571536</v>
      </c>
    </row>
    <row r="61" spans="2:13" ht="12.75">
      <c r="B61" s="11" t="s">
        <v>79</v>
      </c>
      <c r="C61" s="185">
        <f>+Composition!$Q$6</f>
        <v>0.3351428710582611</v>
      </c>
      <c r="D61" s="185">
        <f>+Composition!$Q$7</f>
        <v>0.12929890091500917</v>
      </c>
      <c r="E61" s="185">
        <f>+Composition!$Q$8</f>
        <v>0.165248633480569</v>
      </c>
      <c r="F61" s="185">
        <f>+Composition!$Q$9</f>
        <v>0.005166361330590928</v>
      </c>
      <c r="G61" s="185">
        <f>+Composition!$Q$10</f>
        <v>0.009180063365040831</v>
      </c>
      <c r="H61" s="185">
        <f>+Composition!$Q$11</f>
        <v>0.23568073710251675</v>
      </c>
      <c r="I61" s="185">
        <f>+Composition!$Q$12</f>
        <v>0.009225020824045247</v>
      </c>
      <c r="J61" s="185">
        <f>+Composition!$Q$13</f>
        <v>0.002663729446011711</v>
      </c>
      <c r="K61" s="185">
        <f>+Composition!$Q$14</f>
        <v>0.003017145026518657</v>
      </c>
      <c r="L61" s="185">
        <f>+Composition!$Q$15</f>
        <v>0.003263162232737272</v>
      </c>
      <c r="M61" s="179">
        <f>SUM(C61:L61)</f>
        <v>0.8978866247813004</v>
      </c>
    </row>
    <row r="62" spans="3:16" ht="12.75">
      <c r="C62" s="186">
        <f>+C61*$M62</f>
        <v>1631.686636320382</v>
      </c>
      <c r="D62" s="186">
        <f>+D61*$M62</f>
        <v>629.5085079618411</v>
      </c>
      <c r="E62" s="186">
        <f>+E61*$M62</f>
        <v>804.5344544225027</v>
      </c>
      <c r="F62" s="186">
        <f>+F61*$M62</f>
        <v>25.15310176495491</v>
      </c>
      <c r="G62" s="186">
        <f aca="true" t="shared" si="16" ref="G62:L62">+G61*$M62</f>
        <v>44.69433190093874</v>
      </c>
      <c r="H62" s="186">
        <f t="shared" si="16"/>
        <v>1147.4423070794262</v>
      </c>
      <c r="I62" s="186">
        <f t="shared" si="16"/>
        <v>44.913213134571414</v>
      </c>
      <c r="J62" s="186">
        <f t="shared" si="16"/>
        <v>12.968713092735998</v>
      </c>
      <c r="K62" s="186">
        <f t="shared" si="16"/>
        <v>14.689362790459528</v>
      </c>
      <c r="L62" s="186">
        <f t="shared" si="16"/>
        <v>15.887129541171666</v>
      </c>
      <c r="M62" s="180">
        <f>+'2016-2017 Recy. Tons &amp; Revenue'!C15</f>
        <v>4868.63</v>
      </c>
      <c r="O62" s="180">
        <f>SUM(C62:L62)</f>
        <v>4371.477758008984</v>
      </c>
      <c r="P62" s="180">
        <f>+M62-O62</f>
        <v>497.1522419910161</v>
      </c>
    </row>
    <row r="63" spans="3:13" ht="12.75">
      <c r="C63" s="100">
        <f aca="true" t="shared" si="17" ref="C63:L63">+C62*C12</f>
        <v>136996.40998545926</v>
      </c>
      <c r="D63" s="100">
        <f t="shared" si="17"/>
        <v>49705.99178866697</v>
      </c>
      <c r="E63" s="100">
        <f t="shared" si="17"/>
        <v>86696.63280856889</v>
      </c>
      <c r="F63" s="100">
        <f t="shared" si="17"/>
        <v>28674.5360120486</v>
      </c>
      <c r="G63" s="100">
        <f t="shared" si="17"/>
        <v>5530.029686103151</v>
      </c>
      <c r="H63" s="100">
        <f t="shared" si="17"/>
        <v>-61204.5726596166</v>
      </c>
      <c r="I63" s="100">
        <f t="shared" si="17"/>
        <v>9207.20869258714</v>
      </c>
      <c r="J63" s="100">
        <f t="shared" si="17"/>
        <v>8559.350641205758</v>
      </c>
      <c r="K63" s="100">
        <f t="shared" si="17"/>
        <v>7197.787767325169</v>
      </c>
      <c r="L63" s="100">
        <f t="shared" si="17"/>
        <v>397.17823852929166</v>
      </c>
      <c r="M63" s="180">
        <f>SUM(C63:L63)</f>
        <v>271760.55296087766</v>
      </c>
    </row>
    <row r="65" spans="2:13" ht="12.75">
      <c r="B65" s="11" t="s">
        <v>80</v>
      </c>
      <c r="C65" s="185">
        <f>+Composition!$S$6</f>
        <v>0.3014434502730693</v>
      </c>
      <c r="D65" s="185">
        <f>+Composition!$S$7</f>
        <v>0.27698329319923826</v>
      </c>
      <c r="E65" s="185">
        <f>+Composition!$S$8</f>
        <v>0.17200902623668102</v>
      </c>
      <c r="F65" s="185">
        <f>+Composition!$S$9</f>
        <v>0.0029903835560382143</v>
      </c>
      <c r="G65" s="185">
        <f>+Composition!$S$10</f>
        <v>0.005019712923178621</v>
      </c>
      <c r="H65" s="185">
        <f>+Composition!$S$11</f>
        <v>0.1510645371987976</v>
      </c>
      <c r="I65" s="185">
        <f>+Composition!$S$12</f>
        <v>0.0072870925602404905</v>
      </c>
      <c r="J65" s="185">
        <f>+Composition!$S$13</f>
        <v>0.002120811495663944</v>
      </c>
      <c r="K65" s="185">
        <f>+Composition!$S$14</f>
        <v>0.0018847285833451378</v>
      </c>
      <c r="L65" s="185">
        <f>+Composition!$S$15</f>
        <v>0.002936281221965155</v>
      </c>
      <c r="M65" s="179">
        <f>SUM(C65:L65)</f>
        <v>0.9237393172482177</v>
      </c>
    </row>
    <row r="66" spans="3:16" ht="12.75">
      <c r="C66" s="186">
        <f>+C65*$M66</f>
        <v>1501.122064800825</v>
      </c>
      <c r="D66" s="186">
        <f>+D65*$M66</f>
        <v>1379.3158638077027</v>
      </c>
      <c r="E66" s="186">
        <f>+E65*$M66</f>
        <v>856.5671086728994</v>
      </c>
      <c r="F66" s="186">
        <f>+F65*$M66</f>
        <v>14.891452224687978</v>
      </c>
      <c r="G66" s="186">
        <f aca="true" t="shared" si="18" ref="G66:L66">+G65*$M66</f>
        <v>24.997066020586434</v>
      </c>
      <c r="H66" s="186">
        <f t="shared" si="18"/>
        <v>752.2681610518282</v>
      </c>
      <c r="I66" s="186">
        <f t="shared" si="18"/>
        <v>36.28811778963439</v>
      </c>
      <c r="J66" s="186">
        <f t="shared" si="18"/>
        <v>10.561174669877396</v>
      </c>
      <c r="K66" s="186">
        <f t="shared" si="18"/>
        <v>9.38553370477045</v>
      </c>
      <c r="L66" s="186">
        <f t="shared" si="18"/>
        <v>14.622034503517638</v>
      </c>
      <c r="M66" s="180">
        <f>+'2016-2017 Recy. Tons &amp; Revenue'!C16</f>
        <v>4979.78</v>
      </c>
      <c r="O66" s="180">
        <f>SUM(C66:L66)</f>
        <v>4600.01857724633</v>
      </c>
      <c r="P66" s="180">
        <f>+M66-O66</f>
        <v>379.76142275366965</v>
      </c>
    </row>
    <row r="67" spans="3:13" ht="12.75">
      <c r="C67" s="100">
        <f aca="true" t="shared" si="19" ref="C67:L67">+C66*C13</f>
        <v>127009.9379027978</v>
      </c>
      <c r="D67" s="100">
        <f t="shared" si="19"/>
        <v>112869.41713538431</v>
      </c>
      <c r="E67" s="100">
        <f t="shared" si="19"/>
        <v>94265.21030945258</v>
      </c>
      <c r="F67" s="100">
        <f t="shared" si="19"/>
        <v>16082.768402663016</v>
      </c>
      <c r="G67" s="100">
        <f t="shared" si="19"/>
        <v>1929.0235848086552</v>
      </c>
      <c r="H67" s="100">
        <f t="shared" si="19"/>
        <v>-40125.983710504515</v>
      </c>
      <c r="I67" s="100">
        <f t="shared" si="19"/>
        <v>7315.684546390293</v>
      </c>
      <c r="J67" s="100">
        <f t="shared" si="19"/>
        <v>7498.434015612951</v>
      </c>
      <c r="K67" s="100">
        <f t="shared" si="19"/>
        <v>4411.200841242112</v>
      </c>
      <c r="L67" s="100">
        <f t="shared" si="19"/>
        <v>292.44069007035273</v>
      </c>
      <c r="M67" s="180">
        <f>SUM(C67:L67)</f>
        <v>331548.13371791755</v>
      </c>
    </row>
    <row r="69" spans="2:13" ht="12.75">
      <c r="B69" s="11" t="s">
        <v>81</v>
      </c>
      <c r="C69" s="185">
        <f>+Composition!$U$6</f>
        <v>0.23301107324876041</v>
      </c>
      <c r="D69" s="185">
        <f>+Composition!$U$7</f>
        <v>0.1997603595083797</v>
      </c>
      <c r="E69" s="185">
        <f>+Composition!$U$8</f>
        <v>0.22327299840041162</v>
      </c>
      <c r="F69" s="185">
        <f>+Composition!$U$9</f>
        <v>0.005135833995362027</v>
      </c>
      <c r="G69" s="185">
        <f>+Composition!$U$10</f>
        <v>0.009777379700354102</v>
      </c>
      <c r="H69" s="185">
        <f>+Composition!$U$11</f>
        <v>0.23954282501837204</v>
      </c>
      <c r="I69" s="185">
        <f>+Composition!$U$12</f>
        <v>0.007199934253702101</v>
      </c>
      <c r="J69" s="185">
        <f>+Composition!$U$13</f>
        <v>0.00264414458944891</v>
      </c>
      <c r="K69" s="185">
        <f>+Composition!$U$14</f>
        <v>0.0025202747528260787</v>
      </c>
      <c r="L69" s="185">
        <f>+Composition!$U$15</f>
        <v>0.006097016285310348</v>
      </c>
      <c r="M69" s="179">
        <f>SUM(C69:L69)</f>
        <v>0.9289618397529275</v>
      </c>
    </row>
    <row r="70" spans="3:16" ht="12.75">
      <c r="C70" s="186">
        <f>+C69*$M70</f>
        <v>1111.0247585788795</v>
      </c>
      <c r="D70" s="186">
        <f>+D69*$M70</f>
        <v>952.4813653790953</v>
      </c>
      <c r="E70" s="186">
        <f>+E69*$M70</f>
        <v>1064.5924491329706</v>
      </c>
      <c r="F70" s="186">
        <f>+F69*$M70</f>
        <v>24.48827278996559</v>
      </c>
      <c r="G70" s="186">
        <f aca="true" t="shared" si="20" ref="G70:L70">+G69*$M70</f>
        <v>46.6197196968524</v>
      </c>
      <c r="H70" s="186">
        <f t="shared" si="20"/>
        <v>1142.1689348266</v>
      </c>
      <c r="I70" s="186">
        <f t="shared" si="20"/>
        <v>34.330150513762064</v>
      </c>
      <c r="J70" s="186">
        <f t="shared" si="20"/>
        <v>12.607598699843136</v>
      </c>
      <c r="K70" s="186">
        <f t="shared" si="20"/>
        <v>12.016972454445082</v>
      </c>
      <c r="L70" s="186">
        <f t="shared" si="20"/>
        <v>29.071305290313973</v>
      </c>
      <c r="M70" s="180">
        <f>+'2016-2017 Recy. Tons &amp; Revenue'!C17</f>
        <v>4768.12</v>
      </c>
      <c r="O70" s="180">
        <f>SUM(C70:L70)</f>
        <v>4429.401527362727</v>
      </c>
      <c r="P70" s="180">
        <f>+M70-O70</f>
        <v>338.7184726372725</v>
      </c>
    </row>
    <row r="71" spans="3:13" ht="12.75">
      <c r="C71" s="100">
        <f aca="true" t="shared" si="21" ref="C71:L71">+C70*C14</f>
        <v>108602.67015108548</v>
      </c>
      <c r="D71" s="100">
        <f t="shared" si="21"/>
        <v>86818.67645430454</v>
      </c>
      <c r="E71" s="100">
        <f t="shared" si="21"/>
        <v>133255.03685797393</v>
      </c>
      <c r="F71" s="100">
        <f t="shared" si="21"/>
        <v>26447.334613162835</v>
      </c>
      <c r="G71" s="100">
        <f t="shared" si="21"/>
        <v>4140.297306277462</v>
      </c>
      <c r="H71" s="100">
        <f t="shared" si="21"/>
        <v>-60923.29098365085</v>
      </c>
      <c r="I71" s="100">
        <f t="shared" si="21"/>
        <v>7175.001457376271</v>
      </c>
      <c r="J71" s="100">
        <f t="shared" si="21"/>
        <v>8825.319089890196</v>
      </c>
      <c r="K71" s="100">
        <f t="shared" si="21"/>
        <v>5587.892191316963</v>
      </c>
      <c r="L71" s="100">
        <f t="shared" si="21"/>
        <v>0</v>
      </c>
      <c r="M71" s="180">
        <f>SUM(C71:L71)</f>
        <v>319928.9371377369</v>
      </c>
    </row>
    <row r="72" spans="3:13" ht="12.75">
      <c r="C72" s="100"/>
      <c r="D72" s="100"/>
      <c r="E72" s="100"/>
      <c r="F72" s="100"/>
      <c r="G72" s="100"/>
      <c r="H72" s="100"/>
      <c r="I72" s="100"/>
      <c r="J72" s="100"/>
      <c r="K72" s="100"/>
      <c r="L72" s="100"/>
      <c r="M72" s="180"/>
    </row>
    <row r="73" spans="2:13" ht="12.75">
      <c r="B73" s="11" t="s">
        <v>82</v>
      </c>
      <c r="C73" s="185">
        <f>+Composition!$W$6</f>
        <v>0.3146989371157497</v>
      </c>
      <c r="D73" s="185">
        <f>+Composition!$W$7</f>
        <v>0.17558048416192024</v>
      </c>
      <c r="E73" s="185">
        <f>+Composition!$W$8</f>
        <v>0.18303908111263628</v>
      </c>
      <c r="F73" s="185">
        <f>+Composition!$W$9</f>
        <v>0.004523963543227992</v>
      </c>
      <c r="G73" s="185">
        <f>+Composition!$W$10</f>
        <v>0.007664757577191904</v>
      </c>
      <c r="H73" s="185">
        <f>+Composition!$W$11</f>
        <v>0.2303918629662938</v>
      </c>
      <c r="I73" s="185">
        <f>+Composition!$W$12</f>
        <v>0.008096011948901617</v>
      </c>
      <c r="J73" s="185">
        <f>+Composition!$W$13</f>
        <v>0.0030082622026579996</v>
      </c>
      <c r="K73" s="185">
        <f>+Composition!$W$14</f>
        <v>0.0019290744334527173</v>
      </c>
      <c r="L73" s="185">
        <f>+Composition!$W$15</f>
        <v>0.004147404847930242</v>
      </c>
      <c r="M73" s="179">
        <f>SUM(C73:L73)</f>
        <v>0.9330798399099625</v>
      </c>
    </row>
    <row r="74" spans="3:16" ht="12.75">
      <c r="C74" s="186">
        <f>+C73*$M74</f>
        <v>1608.3790627580295</v>
      </c>
      <c r="D74" s="186">
        <f>+D73*$M74</f>
        <v>897.3655174789501</v>
      </c>
      <c r="E74" s="186">
        <f>+E73*$M74</f>
        <v>935.4852877045172</v>
      </c>
      <c r="F74" s="186">
        <f>+F73*$M74</f>
        <v>23.121299074906783</v>
      </c>
      <c r="G74" s="186">
        <f aca="true" t="shared" si="22" ref="G74:L74">+G73*$M74</f>
        <v>39.17342626339124</v>
      </c>
      <c r="H74" s="186">
        <f t="shared" si="22"/>
        <v>1177.4982528412827</v>
      </c>
      <c r="I74" s="186">
        <f t="shared" si="22"/>
        <v>41.377502669043835</v>
      </c>
      <c r="J74" s="186">
        <f t="shared" si="22"/>
        <v>15.374776878454638</v>
      </c>
      <c r="K74" s="186">
        <f t="shared" si="22"/>
        <v>9.859210068211821</v>
      </c>
      <c r="L74" s="186">
        <f t="shared" si="22"/>
        <v>21.196764067044278</v>
      </c>
      <c r="M74" s="180">
        <f>+'2016-2017 Recy. Tons &amp; Revenue'!C18</f>
        <v>5110.85</v>
      </c>
      <c r="O74" s="180">
        <f>SUM(C74:L74)</f>
        <v>4768.831099803831</v>
      </c>
      <c r="P74" s="180">
        <f>+M74-O74</f>
        <v>342.01890019616894</v>
      </c>
    </row>
    <row r="75" spans="3:13" ht="12.75">
      <c r="C75" s="100">
        <f aca="true" t="shared" si="23" ref="C75:L75">+C74*C15</f>
        <v>188582.44510837895</v>
      </c>
      <c r="D75" s="100">
        <f t="shared" si="23"/>
        <v>99455.02030219203</v>
      </c>
      <c r="E75" s="100">
        <f t="shared" si="23"/>
        <v>138171.17699395717</v>
      </c>
      <c r="F75" s="100">
        <f t="shared" si="23"/>
        <v>26265.33332311261</v>
      </c>
      <c r="G75" s="100">
        <f t="shared" si="23"/>
        <v>3781.0191029425227</v>
      </c>
      <c r="H75" s="100">
        <f t="shared" si="23"/>
        <v>-62807.756806554025</v>
      </c>
      <c r="I75" s="100">
        <f t="shared" si="23"/>
        <v>8838.234570107763</v>
      </c>
      <c r="J75" s="100">
        <f t="shared" si="23"/>
        <v>10070.478855387788</v>
      </c>
      <c r="K75" s="100">
        <f t="shared" si="23"/>
        <v>3954.8249346618077</v>
      </c>
      <c r="L75" s="100">
        <f t="shared" si="23"/>
        <v>-154.73637768942322</v>
      </c>
      <c r="M75" s="180">
        <f>SUM(C75:L75)</f>
        <v>416156.0400064972</v>
      </c>
    </row>
    <row r="76" spans="3:13" ht="12.75">
      <c r="C76" s="100"/>
      <c r="D76" s="100"/>
      <c r="E76" s="100"/>
      <c r="F76" s="100"/>
      <c r="G76" s="100"/>
      <c r="H76" s="100"/>
      <c r="I76" s="100"/>
      <c r="J76" s="100"/>
      <c r="K76" s="100"/>
      <c r="L76" s="100"/>
      <c r="M76" s="180"/>
    </row>
    <row r="77" spans="2:13" ht="12.75">
      <c r="B77" s="11" t="s">
        <v>83</v>
      </c>
      <c r="C77" s="185">
        <f>+Composition!$Y$6</f>
        <v>0.31785837300041225</v>
      </c>
      <c r="D77" s="185">
        <f>+Composition!$Y$7</f>
        <v>0.17984404203298723</v>
      </c>
      <c r="E77" s="185">
        <f>+Composition!$Y$8</f>
        <v>0.19675435773211597</v>
      </c>
      <c r="F77" s="185">
        <f>+Composition!$Y$9</f>
        <v>0.0037651257206421274</v>
      </c>
      <c r="G77" s="185">
        <f>+Composition!$Y$10</f>
        <v>0.009731280244383087</v>
      </c>
      <c r="H77" s="185">
        <f>+Composition!$Y$11</f>
        <v>0.20464373034291555</v>
      </c>
      <c r="I77" s="185">
        <f>+Composition!$Y$12</f>
        <v>0.01269233592510404</v>
      </c>
      <c r="J77" s="185">
        <f>+Composition!$Y$13</f>
        <v>0.0019593560663809513</v>
      </c>
      <c r="K77" s="185">
        <f>+Composition!$Y$14</f>
        <v>0.002134399403723341</v>
      </c>
      <c r="L77" s="185">
        <f>+Composition!$Y$15</f>
        <v>0.0045793595672476975</v>
      </c>
      <c r="M77" s="179">
        <f>SUM(C77:L77)</f>
        <v>0.9339623600359122</v>
      </c>
    </row>
    <row r="78" spans="3:16" ht="12.75">
      <c r="C78" s="186">
        <f>+C77*$M78</f>
        <v>1586.125995606977</v>
      </c>
      <c r="D78" s="186">
        <f>+D77*$M78</f>
        <v>897.4289635062876</v>
      </c>
      <c r="E78" s="186">
        <f>+E77*$M78</f>
        <v>981.8121152575679</v>
      </c>
      <c r="F78" s="186">
        <f>+F77*$M78</f>
        <v>18.78812795103304</v>
      </c>
      <c r="G78" s="186">
        <f aca="true" t="shared" si="24" ref="G78:L78">+G77*$M78</f>
        <v>48.559477670681375</v>
      </c>
      <c r="H78" s="186">
        <f t="shared" si="24"/>
        <v>1021.1804001603623</v>
      </c>
      <c r="I78" s="186">
        <f t="shared" si="24"/>
        <v>63.33526395970616</v>
      </c>
      <c r="J78" s="186">
        <f t="shared" si="24"/>
        <v>9.777265145483602</v>
      </c>
      <c r="K78" s="186">
        <f t="shared" si="24"/>
        <v>10.650738400555621</v>
      </c>
      <c r="L78" s="186">
        <f t="shared" si="24"/>
        <v>22.8511874149487</v>
      </c>
      <c r="M78" s="180">
        <f>+'2016-2017 Recy. Tons &amp; Revenue'!C19</f>
        <v>4990.04</v>
      </c>
      <c r="O78" s="180">
        <f>SUM(C78:L78)</f>
        <v>4660.509535073603</v>
      </c>
      <c r="P78" s="180">
        <f>+M78-O78</f>
        <v>329.53046492639714</v>
      </c>
    </row>
    <row r="79" spans="3:13" ht="12.75">
      <c r="C79" s="100">
        <f aca="true" t="shared" si="25" ref="C79:L79">+C78*C16</f>
        <v>171936.05792379632</v>
      </c>
      <c r="D79" s="100">
        <f t="shared" si="25"/>
        <v>84851.90849951949</v>
      </c>
      <c r="E79" s="100">
        <f t="shared" si="25"/>
        <v>121685.79356502296</v>
      </c>
      <c r="F79" s="100">
        <f t="shared" si="25"/>
        <v>20949.889953078902</v>
      </c>
      <c r="G79" s="100">
        <f t="shared" si="25"/>
        <v>5168.185208490619</v>
      </c>
      <c r="H79" s="100">
        <f t="shared" si="25"/>
        <v>-54469.76254455373</v>
      </c>
      <c r="I79" s="100">
        <f t="shared" si="25"/>
        <v>11630.254520920842</v>
      </c>
      <c r="J79" s="100">
        <f t="shared" si="25"/>
        <v>5475.268481470817</v>
      </c>
      <c r="K79" s="100">
        <f t="shared" si="25"/>
        <v>4153.787976216692</v>
      </c>
      <c r="L79" s="100">
        <f t="shared" si="25"/>
        <v>-80.8932034489184</v>
      </c>
      <c r="M79" s="180">
        <f>SUM(C79:L79)</f>
        <v>371300.49038051406</v>
      </c>
    </row>
    <row r="80" spans="3:13" ht="12.75">
      <c r="C80" s="100"/>
      <c r="D80" s="100"/>
      <c r="E80" s="100"/>
      <c r="F80" s="100"/>
      <c r="G80" s="100"/>
      <c r="H80" s="100"/>
      <c r="I80" s="100"/>
      <c r="J80" s="100"/>
      <c r="K80" s="100"/>
      <c r="L80" s="100"/>
      <c r="M80" s="180"/>
    </row>
    <row r="81" spans="2:13" ht="12.75">
      <c r="B81" s="11" t="s">
        <v>84</v>
      </c>
      <c r="C81" s="185">
        <f>+Composition!AA$6</f>
        <v>0.317189733124261</v>
      </c>
      <c r="D81" s="185">
        <f>+Composition!AA$7</f>
        <v>0.16432268394194607</v>
      </c>
      <c r="E81" s="185">
        <f>+Composition!AA$8</f>
        <v>0.18982899192397584</v>
      </c>
      <c r="F81" s="185">
        <f>+Composition!AA$9</f>
        <v>0.004357019992264471</v>
      </c>
      <c r="G81" s="185">
        <f>+Composition!AA$10</f>
        <v>0.012398884408942799</v>
      </c>
      <c r="H81" s="185">
        <f>+Composition!AA$11</f>
        <v>0.2144713890122435</v>
      </c>
      <c r="I81" s="185">
        <f>+Composition!AA$12</f>
        <v>0.009248474657328202</v>
      </c>
      <c r="J81" s="185">
        <f>+Composition!AA$13</f>
        <v>0.0038887009490898633</v>
      </c>
      <c r="K81" s="185">
        <f>+Composition!AA$14</f>
        <v>0.0014291995270528629</v>
      </c>
      <c r="L81" s="185">
        <f>+Composition!AA$15</f>
        <v>0.004285394726837767</v>
      </c>
      <c r="M81" s="179">
        <f>SUM(C81:L81)</f>
        <v>0.9214204722639424</v>
      </c>
    </row>
    <row r="82" spans="3:16" ht="12.75">
      <c r="C82" s="186">
        <f>+C81*$M82</f>
        <v>1541.589681443877</v>
      </c>
      <c r="D82" s="186">
        <f>+D81*$M82</f>
        <v>798.6328923604492</v>
      </c>
      <c r="E82" s="186">
        <f>+E81*$M82</f>
        <v>922.5973750993111</v>
      </c>
      <c r="F82" s="186">
        <f>+F81*$M82</f>
        <v>21.17577071540417</v>
      </c>
      <c r="G82" s="186">
        <f aca="true" t="shared" si="26" ref="G82:L82">+G81*$M82</f>
        <v>60.26043806012334</v>
      </c>
      <c r="H82" s="186">
        <f t="shared" si="26"/>
        <v>1042.3631213078552</v>
      </c>
      <c r="I82" s="186">
        <f t="shared" si="26"/>
        <v>44.948974105813654</v>
      </c>
      <c r="J82" s="186">
        <f t="shared" si="26"/>
        <v>18.8996699177191</v>
      </c>
      <c r="K82" s="186">
        <f t="shared" si="26"/>
        <v>6.946124081405971</v>
      </c>
      <c r="L82" s="186">
        <f t="shared" si="26"/>
        <v>20.827661181640572</v>
      </c>
      <c r="M82" s="180">
        <f>+'2016-2017 Recy. Tons &amp; Revenue'!C20</f>
        <v>4860.15</v>
      </c>
      <c r="O82" s="180">
        <f>SUM(C82:L82)</f>
        <v>4478.241708273599</v>
      </c>
      <c r="P82" s="180">
        <f>+M82-O82</f>
        <v>381.9082917264004</v>
      </c>
    </row>
    <row r="83" spans="3:13" ht="12.75">
      <c r="C83" s="100">
        <f aca="true" t="shared" si="27" ref="C83:L83">+C82*C17</f>
        <v>163038.52470950445</v>
      </c>
      <c r="D83" s="100">
        <f t="shared" si="27"/>
        <v>72116.55018014857</v>
      </c>
      <c r="E83" s="100">
        <f t="shared" si="27"/>
        <v>123157.52360200704</v>
      </c>
      <c r="F83" s="100">
        <f t="shared" si="27"/>
        <v>24899.953511122298</v>
      </c>
      <c r="G83" s="100">
        <f t="shared" si="27"/>
        <v>5222.77216667089</v>
      </c>
      <c r="H83" s="100">
        <f t="shared" si="27"/>
        <v>-55599.648890561</v>
      </c>
      <c r="I83" s="100">
        <f t="shared" si="27"/>
        <v>8585.254054210409</v>
      </c>
      <c r="J83" s="100">
        <f t="shared" si="27"/>
        <v>10205.821755568313</v>
      </c>
      <c r="K83" s="100">
        <f t="shared" si="27"/>
        <v>3473.0620407029855</v>
      </c>
      <c r="L83" s="100">
        <f t="shared" si="27"/>
        <v>870.1796841689431</v>
      </c>
      <c r="M83" s="180">
        <f>SUM(C83:L83)</f>
        <v>355969.9928135429</v>
      </c>
    </row>
    <row r="84" spans="3:13" ht="12.75">
      <c r="C84" s="100"/>
      <c r="D84" s="100"/>
      <c r="E84" s="100"/>
      <c r="F84" s="100"/>
      <c r="G84" s="100"/>
      <c r="H84" s="100"/>
      <c r="I84" s="100"/>
      <c r="J84" s="100"/>
      <c r="K84" s="100"/>
      <c r="L84" s="100"/>
      <c r="M84" s="180"/>
    </row>
    <row r="85" spans="2:13" ht="12.75">
      <c r="B85" s="11" t="s">
        <v>85</v>
      </c>
      <c r="C85" s="185">
        <f>+Composition!AC$6</f>
        <v>0.3203214536631026</v>
      </c>
      <c r="D85" s="185">
        <f>+Composition!AC$7</f>
        <v>0.22163692751194305</v>
      </c>
      <c r="E85" s="185">
        <f>+Composition!AC$8</f>
        <v>0.1571478983229014</v>
      </c>
      <c r="F85" s="185">
        <f>+Composition!AC$9</f>
        <v>0.00401710467819985</v>
      </c>
      <c r="G85" s="185">
        <f>+Composition!AC$10</f>
        <v>0.011507597637072502</v>
      </c>
      <c r="H85" s="185">
        <f>+Composition!AC$11</f>
        <v>0.1945491898092621</v>
      </c>
      <c r="I85" s="185">
        <f>+Composition!AC$12</f>
        <v>0.006923322128511101</v>
      </c>
      <c r="J85" s="185">
        <f>+Composition!AC$13</f>
        <v>0.0031876706443252525</v>
      </c>
      <c r="K85" s="185">
        <f>+Composition!AC$14</f>
        <v>0.0018688918526763105</v>
      </c>
      <c r="L85" s="185">
        <f>+Composition!AC$15</f>
        <v>0.003782560349854848</v>
      </c>
      <c r="M85" s="179">
        <f>SUM(C85:L85)</f>
        <v>0.9249426165978492</v>
      </c>
    </row>
    <row r="86" spans="3:16" ht="12.75">
      <c r="C86" s="186">
        <f>+C85*$M86</f>
        <v>1728.573082903957</v>
      </c>
      <c r="D86" s="186">
        <f>+D85*$M86</f>
        <v>1196.034866517624</v>
      </c>
      <c r="E86" s="186">
        <f>+E85*$M86</f>
        <v>848.0282040727554</v>
      </c>
      <c r="F86" s="186">
        <f>+F85*$M86</f>
        <v>21.677783172297325</v>
      </c>
      <c r="G86" s="186">
        <f aca="true" t="shared" si="28" ref="G86:L86">+G85*$M86</f>
        <v>62.099254660768935</v>
      </c>
      <c r="H86" s="186">
        <f t="shared" si="28"/>
        <v>1049.8594114110078</v>
      </c>
      <c r="I86" s="186">
        <f t="shared" si="28"/>
        <v>37.36080783463345</v>
      </c>
      <c r="J86" s="186">
        <f t="shared" si="28"/>
        <v>17.201850234917462</v>
      </c>
      <c r="K86" s="186">
        <f t="shared" si="28"/>
        <v>10.08523192702686</v>
      </c>
      <c r="L86" s="186">
        <f t="shared" si="28"/>
        <v>20.412095195146208</v>
      </c>
      <c r="M86" s="180">
        <f>+'2016-2017 Recy. Tons &amp; Revenue'!C21</f>
        <v>5396.37</v>
      </c>
      <c r="O86" s="180">
        <f>SUM(C86:L86)</f>
        <v>4991.332587930135</v>
      </c>
      <c r="P86" s="180">
        <f>+M86-O86</f>
        <v>405.03741206986524</v>
      </c>
    </row>
    <row r="87" spans="3:13" ht="12.75">
      <c r="C87" s="100">
        <f aca="true" t="shared" si="29" ref="C87:L87">+C86*C18</f>
        <v>194775.61498161787</v>
      </c>
      <c r="D87" s="100">
        <f t="shared" si="29"/>
        <v>121062.64918891391</v>
      </c>
      <c r="E87" s="100">
        <f t="shared" si="29"/>
        <v>121870.13320729569</v>
      </c>
      <c r="F87" s="100">
        <f t="shared" si="29"/>
        <v>27163.34620404716</v>
      </c>
      <c r="G87" s="100">
        <f t="shared" si="29"/>
        <v>5890.735297120541</v>
      </c>
      <c r="H87" s="100">
        <f t="shared" si="29"/>
        <v>-55999.501004663165</v>
      </c>
      <c r="I87" s="100">
        <f t="shared" si="29"/>
        <v>7262.941043052742</v>
      </c>
      <c r="J87" s="100">
        <f t="shared" si="29"/>
        <v>8600.925117458732</v>
      </c>
      <c r="K87" s="100">
        <f t="shared" si="29"/>
        <v>4639.206686432356</v>
      </c>
      <c r="L87" s="100">
        <f t="shared" si="29"/>
        <v>741.9796603435647</v>
      </c>
      <c r="M87" s="180">
        <f>SUM(C87:L87)</f>
        <v>436008.03038161935</v>
      </c>
    </row>
    <row r="88" spans="3:13" ht="12.75">
      <c r="C88" s="100"/>
      <c r="D88" s="100"/>
      <c r="E88" s="100"/>
      <c r="F88" s="100"/>
      <c r="G88" s="100"/>
      <c r="H88" s="100"/>
      <c r="I88" s="100"/>
      <c r="J88" s="100"/>
      <c r="K88" s="100"/>
      <c r="L88" s="100"/>
      <c r="M88" s="180"/>
    </row>
    <row r="89" spans="2:13" ht="12.75">
      <c r="B89" s="11" t="s">
        <v>74</v>
      </c>
      <c r="C89" s="185">
        <f>+Composition!AE$6</f>
        <v>0.3473530542538906</v>
      </c>
      <c r="D89" s="185">
        <f>+Composition!AE$7</f>
        <v>0.1692540856182893</v>
      </c>
      <c r="E89" s="185">
        <f>+Composition!AE$8</f>
        <v>0.17063592446690554</v>
      </c>
      <c r="F89" s="185">
        <f>+Composition!AE$9</f>
        <v>0.004473146079310864</v>
      </c>
      <c r="G89" s="185">
        <f>+Composition!AE$10</f>
        <v>0.012457722974742439</v>
      </c>
      <c r="H89" s="185">
        <f>+Composition!AE$11</f>
        <v>0.18685024321478125</v>
      </c>
      <c r="I89" s="185">
        <f>+Composition!AE$12</f>
        <v>0.003915952995191424</v>
      </c>
      <c r="J89" s="185">
        <f>+Composition!AE$13</f>
        <v>0.0027291317260170166</v>
      </c>
      <c r="K89" s="185">
        <f>+Composition!AE$14</f>
        <v>0.0013383777880548947</v>
      </c>
      <c r="L89" s="185">
        <f>+Composition!AE$15</f>
        <v>0.0029486658011600763</v>
      </c>
      <c r="M89" s="179">
        <f>SUM(C89:L89)</f>
        <v>0.9019563049183433</v>
      </c>
    </row>
    <row r="90" spans="3:16" ht="12.75">
      <c r="C90" s="186">
        <f>+C89*$M90</f>
        <v>1768.8572199519701</v>
      </c>
      <c r="D90" s="186">
        <f>+D89*$M90</f>
        <v>861.9078130617204</v>
      </c>
      <c r="E90" s="186">
        <f>+E89*$M90</f>
        <v>868.9446753960251</v>
      </c>
      <c r="F90" s="186">
        <f>+F89*$M90</f>
        <v>22.779004362821855</v>
      </c>
      <c r="G90" s="186">
        <f aca="true" t="shared" si="30" ref="G90:L90">+G89*$M90</f>
        <v>63.439583899348655</v>
      </c>
      <c r="H90" s="186">
        <f t="shared" si="30"/>
        <v>951.5143100445199</v>
      </c>
      <c r="I90" s="186">
        <f t="shared" si="30"/>
        <v>19.941559873182857</v>
      </c>
      <c r="J90" s="186">
        <f t="shared" si="30"/>
        <v>13.897803110251797</v>
      </c>
      <c r="K90" s="186">
        <f t="shared" si="30"/>
        <v>6.815541664112866</v>
      </c>
      <c r="L90" s="186">
        <f t="shared" si="30"/>
        <v>15.015756239169562</v>
      </c>
      <c r="M90" s="180">
        <f>+'2016-2017 Recy. Tons &amp; Revenue'!C22</f>
        <v>5092.39</v>
      </c>
      <c r="O90" s="180">
        <f>SUM(C90:L90)</f>
        <v>4593.113267603123</v>
      </c>
      <c r="P90" s="180">
        <f>+M90-O90</f>
        <v>499.2767323968774</v>
      </c>
    </row>
    <row r="91" spans="3:13" ht="12.75">
      <c r="C91" s="100">
        <f aca="true" t="shared" si="31" ref="C91:L91">+C90*C19</f>
        <v>216366.61514452499</v>
      </c>
      <c r="D91" s="100">
        <f t="shared" si="31"/>
        <v>86251.11485308636</v>
      </c>
      <c r="E91" s="100">
        <f t="shared" si="31"/>
        <v>131271.4721120775</v>
      </c>
      <c r="F91" s="100">
        <f t="shared" si="31"/>
        <v>28612.70738014053</v>
      </c>
      <c r="G91" s="100">
        <f t="shared" si="31"/>
        <v>7368.507669909347</v>
      </c>
      <c r="H91" s="100">
        <f t="shared" si="31"/>
        <v>-50753.77329777469</v>
      </c>
      <c r="I91" s="100">
        <f t="shared" si="31"/>
        <v>3581.504153223641</v>
      </c>
      <c r="J91" s="100">
        <f t="shared" si="31"/>
        <v>7115.67519244892</v>
      </c>
      <c r="K91" s="100">
        <f t="shared" si="31"/>
        <v>2194.604415844343</v>
      </c>
      <c r="L91" s="100">
        <f t="shared" si="31"/>
        <v>167.42568206674062</v>
      </c>
      <c r="M91" s="180">
        <f>SUM(C91:L91)</f>
        <v>432175.8533055478</v>
      </c>
    </row>
    <row r="92" spans="3:13" ht="12.75">
      <c r="C92" s="100"/>
      <c r="D92" s="100"/>
      <c r="E92" s="100"/>
      <c r="F92" s="100"/>
      <c r="G92" s="100"/>
      <c r="H92" s="100"/>
      <c r="I92" s="100"/>
      <c r="J92" s="100"/>
      <c r="K92" s="100"/>
      <c r="L92" s="100"/>
      <c r="M92" s="180"/>
    </row>
    <row r="93" spans="2:13" ht="12.75">
      <c r="B93" s="11" t="s">
        <v>130</v>
      </c>
      <c r="C93" s="185">
        <f>+Composition!AG$6</f>
        <v>0.2884796552641187</v>
      </c>
      <c r="D93" s="185">
        <f>+Composition!AG$7</f>
        <v>0.2009761055843787</v>
      </c>
      <c r="E93" s="185">
        <f>+Composition!AG$8</f>
        <v>0.20081834204037843</v>
      </c>
      <c r="F93" s="185">
        <f>+Composition!AG$9</f>
        <v>0.005963461963209541</v>
      </c>
      <c r="G93" s="185">
        <f>+Composition!AG$10</f>
        <v>0.011156136325732134</v>
      </c>
      <c r="H93" s="185">
        <f>+Composition!AG$11</f>
        <v>0.17918783327548668</v>
      </c>
      <c r="I93" s="185">
        <f>+Composition!AG$12</f>
        <v>0.006129113684409806</v>
      </c>
      <c r="J93" s="185">
        <f>+Composition!AG$13</f>
        <v>0.001667786036574097</v>
      </c>
      <c r="K93" s="185">
        <f>+Composition!AG$14</f>
        <v>0.0022785563283465025</v>
      </c>
      <c r="L93" s="185">
        <f>+Composition!AG$15</f>
        <v>0.004199890917778148</v>
      </c>
      <c r="M93" s="179">
        <f>SUM(C93:L93)</f>
        <v>0.9008568814204128</v>
      </c>
    </row>
    <row r="94" spans="3:16" ht="12.75">
      <c r="C94" s="186">
        <f aca="true" t="shared" si="32" ref="C94:L94">+C93*$M94</f>
        <v>1341.7852269541265</v>
      </c>
      <c r="D94" s="186">
        <f t="shared" si="32"/>
        <v>934.7860915772296</v>
      </c>
      <c r="E94" s="186">
        <f t="shared" si="32"/>
        <v>934.0522970484693</v>
      </c>
      <c r="F94" s="186">
        <f t="shared" si="32"/>
        <v>27.737433187139114</v>
      </c>
      <c r="G94" s="186">
        <f t="shared" si="32"/>
        <v>51.88975596233507</v>
      </c>
      <c r="H94" s="186">
        <f t="shared" si="32"/>
        <v>833.4438257659418</v>
      </c>
      <c r="I94" s="186">
        <f t="shared" si="32"/>
        <v>28.50791744233742</v>
      </c>
      <c r="J94" s="186">
        <f t="shared" si="32"/>
        <v>7.757256446894536</v>
      </c>
      <c r="K94" s="186">
        <f t="shared" si="32"/>
        <v>10.598089551095102</v>
      </c>
      <c r="L94" s="186">
        <f t="shared" si="32"/>
        <v>19.534658633497255</v>
      </c>
      <c r="M94" s="180">
        <f>+'2016-2017 Recy. Tons &amp; Revenue'!C23</f>
        <v>4651.23</v>
      </c>
      <c r="O94" s="180">
        <f>SUM(C94:L94)</f>
        <v>4190.092552569065</v>
      </c>
      <c r="P94" s="180">
        <f>+M94-O94</f>
        <v>461.1374474309341</v>
      </c>
    </row>
    <row r="95" spans="3:13" ht="12.75">
      <c r="C95" s="100">
        <f aca="true" t="shared" si="33" ref="C95:L95">+C94*C20</f>
        <v>175062.71856070487</v>
      </c>
      <c r="D95" s="100">
        <f t="shared" si="33"/>
        <v>114903.90637667307</v>
      </c>
      <c r="E95" s="100">
        <f t="shared" si="33"/>
        <v>150793.40283550488</v>
      </c>
      <c r="F95" s="100">
        <f t="shared" si="33"/>
        <v>36752.376347291196</v>
      </c>
      <c r="G95" s="100">
        <f t="shared" si="33"/>
        <v>6773.68874332322</v>
      </c>
      <c r="H95" s="100">
        <f t="shared" si="33"/>
        <v>-44455.89366635534</v>
      </c>
      <c r="I95" s="100">
        <f t="shared" si="33"/>
        <v>5445.0122314864475</v>
      </c>
      <c r="J95" s="100">
        <f t="shared" si="33"/>
        <v>4049.287865278948</v>
      </c>
      <c r="K95" s="100">
        <f t="shared" si="33"/>
        <v>3179.4268653285308</v>
      </c>
      <c r="L95" s="100">
        <f t="shared" si="33"/>
        <v>83.80368553770323</v>
      </c>
      <c r="M95" s="180">
        <f>SUM(C95:L95)</f>
        <v>452587.7298447735</v>
      </c>
    </row>
    <row r="96" spans="3:12" ht="12.75">
      <c r="C96" s="185"/>
      <c r="D96" s="185"/>
      <c r="E96" s="185"/>
      <c r="F96" s="185"/>
      <c r="G96" s="185"/>
      <c r="H96" s="185"/>
      <c r="I96" s="185"/>
      <c r="J96" s="185"/>
      <c r="K96" s="185"/>
      <c r="L96" s="185"/>
    </row>
    <row r="97" spans="2:13" ht="12.75">
      <c r="B97" s="11" t="s">
        <v>76</v>
      </c>
      <c r="C97" s="185">
        <f>+Composition!AI$6</f>
        <v>0.2977495844403085</v>
      </c>
      <c r="D97" s="185">
        <f>+Composition!AI$7</f>
        <v>0.2348928069103669</v>
      </c>
      <c r="E97" s="185">
        <f>+Composition!AI$8</f>
        <v>0.13215934760680237</v>
      </c>
      <c r="F97" s="185">
        <f>+Composition!AI$9</f>
        <v>0.0030090783809510273</v>
      </c>
      <c r="G97" s="185">
        <f>+Composition!AI$10</f>
        <v>0.010868484237146061</v>
      </c>
      <c r="H97" s="185">
        <f>+Composition!AI$11</f>
        <v>0.19788739397900174</v>
      </c>
      <c r="I97" s="185">
        <f>+Composition!AI$12</f>
        <v>0.010366971173654224</v>
      </c>
      <c r="J97" s="185">
        <f>+Composition!AI$13</f>
        <v>0.0029209939335388627</v>
      </c>
      <c r="K97" s="185">
        <f>+Composition!AI$14</f>
        <v>0.002805915865145552</v>
      </c>
      <c r="L97" s="185">
        <f>+Composition!AI$15</f>
        <v>0.0035361643485302676</v>
      </c>
      <c r="M97" s="179">
        <f>SUM(C97:L97)</f>
        <v>0.8961967408754454</v>
      </c>
    </row>
    <row r="98" spans="3:16" ht="12.75">
      <c r="C98" s="186">
        <f aca="true" t="shared" si="34" ref="C98:L98">+C97*$M98</f>
        <v>1093.839670862517</v>
      </c>
      <c r="D98" s="186">
        <f t="shared" si="34"/>
        <v>862.9233558185458</v>
      </c>
      <c r="E98" s="186">
        <f t="shared" si="34"/>
        <v>485.5124737096338</v>
      </c>
      <c r="F98" s="186">
        <f t="shared" si="34"/>
        <v>11.05442115731598</v>
      </c>
      <c r="G98" s="186">
        <f t="shared" si="34"/>
        <v>39.927441857161114</v>
      </c>
      <c r="H98" s="186">
        <f t="shared" si="34"/>
        <v>726.9769403867189</v>
      </c>
      <c r="I98" s="186">
        <f t="shared" si="34"/>
        <v>38.085038330941785</v>
      </c>
      <c r="J98" s="186">
        <f t="shared" si="34"/>
        <v>10.730826203702385</v>
      </c>
      <c r="K98" s="186">
        <f t="shared" si="34"/>
        <v>10.308065054626564</v>
      </c>
      <c r="L98" s="186">
        <f t="shared" si="34"/>
        <v>12.990771605552158</v>
      </c>
      <c r="M98" s="180">
        <f>+'2016-2017 Recy. Tons &amp; Revenue'!C24</f>
        <v>3673.69</v>
      </c>
      <c r="O98" s="180">
        <f>SUM(C98:L98)</f>
        <v>3292.349004986716</v>
      </c>
      <c r="P98" s="180">
        <f>+M98-O98</f>
        <v>381.3409950132841</v>
      </c>
    </row>
    <row r="99" spans="3:13" ht="12.75">
      <c r="C99" s="100">
        <f aca="true" t="shared" si="35" ref="C99:L99">+C98*C21</f>
        <v>152656.2644655729</v>
      </c>
      <c r="D99" s="100">
        <f t="shared" si="35"/>
        <v>113129.25194781135</v>
      </c>
      <c r="E99" s="100">
        <f t="shared" si="35"/>
        <v>91475.4051716321</v>
      </c>
      <c r="F99" s="100">
        <f t="shared" si="35"/>
        <v>15034.012773949733</v>
      </c>
      <c r="G99" s="100">
        <f t="shared" si="35"/>
        <v>5247.663683286685</v>
      </c>
      <c r="H99" s="100">
        <f t="shared" si="35"/>
        <v>-38776.95000022759</v>
      </c>
      <c r="I99" s="100">
        <f t="shared" si="35"/>
        <v>8607.218662792844</v>
      </c>
      <c r="J99" s="100">
        <f t="shared" si="35"/>
        <v>6481.419027036241</v>
      </c>
      <c r="K99" s="100">
        <f t="shared" si="35"/>
        <v>3401.661468026766</v>
      </c>
      <c r="L99" s="100">
        <f t="shared" si="35"/>
        <v>-64.95385802776079</v>
      </c>
      <c r="M99" s="180">
        <f>SUM(C99:L99)</f>
        <v>357190.99334185314</v>
      </c>
    </row>
    <row r="101" spans="2:13" ht="12.75">
      <c r="B101" s="11" t="s">
        <v>77</v>
      </c>
      <c r="C101" s="185">
        <f>+Composition!AK$6</f>
        <v>0.29939481445443367</v>
      </c>
      <c r="D101" s="185">
        <f>+Composition!AK$7</f>
        <v>0.21663179777410513</v>
      </c>
      <c r="E101" s="185">
        <f>+Composition!AK$8</f>
        <v>0.17502574422852424</v>
      </c>
      <c r="F101" s="185">
        <f>+Composition!AK$9</f>
        <v>0.004385874899347008</v>
      </c>
      <c r="G101" s="185">
        <f>+Composition!AK$10</f>
        <v>0.010729880568509828</v>
      </c>
      <c r="H101" s="185">
        <f>+Composition!AK$11</f>
        <v>0.18796123818572305</v>
      </c>
      <c r="I101" s="185">
        <f>+Composition!AK$12</f>
        <v>0.0022309652667198655</v>
      </c>
      <c r="J101" s="185">
        <f>+Composition!AK$13</f>
        <v>0.0029818637493496036</v>
      </c>
      <c r="K101" s="185">
        <f>+Composition!AK$14</f>
        <v>0.002484484047028941</v>
      </c>
      <c r="L101" s="185">
        <f>+Composition!AK$15</f>
        <v>0.009174965382614165</v>
      </c>
      <c r="M101" s="179">
        <f>SUM(C101:L101)</f>
        <v>0.9110016285563557</v>
      </c>
    </row>
    <row r="102" spans="3:16" ht="12.75">
      <c r="C102" s="186">
        <f aca="true" t="shared" si="36" ref="C102:L102">+C101*$M102</f>
        <v>1328.5046101786586</v>
      </c>
      <c r="D102" s="186">
        <f t="shared" si="36"/>
        <v>961.2602762630368</v>
      </c>
      <c r="E102" s="186">
        <f t="shared" si="36"/>
        <v>776.6417348652307</v>
      </c>
      <c r="F102" s="186">
        <f t="shared" si="36"/>
        <v>19.46144269087248</v>
      </c>
      <c r="G102" s="186">
        <f t="shared" si="36"/>
        <v>47.61169904664867</v>
      </c>
      <c r="H102" s="186">
        <f t="shared" si="36"/>
        <v>834.040402201509</v>
      </c>
      <c r="I102" s="186">
        <f t="shared" si="36"/>
        <v>9.89946217801606</v>
      </c>
      <c r="J102" s="186">
        <f t="shared" si="36"/>
        <v>13.231424014988997</v>
      </c>
      <c r="K102" s="186">
        <f t="shared" si="36"/>
        <v>11.02440106188152</v>
      </c>
      <c r="L102" s="186">
        <f t="shared" si="36"/>
        <v>40.712073892273835</v>
      </c>
      <c r="M102" s="180">
        <f>+'2016-2017 Recy. Tons &amp; Revenue'!C25</f>
        <v>4437.3</v>
      </c>
      <c r="O102" s="180">
        <f>SUM(C102:L102)</f>
        <v>4042.387526393117</v>
      </c>
      <c r="P102" s="180">
        <f>+M102-O102</f>
        <v>394.9124736068834</v>
      </c>
    </row>
    <row r="103" spans="3:13" ht="12.75">
      <c r="C103" s="100">
        <f aca="true" t="shared" si="37" ref="C103:L103">+C102*C22</f>
        <v>194559.50016066452</v>
      </c>
      <c r="D103" s="100">
        <f t="shared" si="37"/>
        <v>134816.7537458909</v>
      </c>
      <c r="E103" s="100">
        <f t="shared" si="37"/>
        <v>158831.0011972883</v>
      </c>
      <c r="F103" s="100">
        <f t="shared" si="37"/>
        <v>26760.84600093802</v>
      </c>
      <c r="G103" s="100">
        <f t="shared" si="37"/>
        <v>6253.320552786836</v>
      </c>
      <c r="H103" s="100">
        <f t="shared" si="37"/>
        <v>-44487.71505342849</v>
      </c>
      <c r="I103" s="100">
        <f t="shared" si="37"/>
        <v>2417.4486638715216</v>
      </c>
      <c r="J103" s="100">
        <f t="shared" si="37"/>
        <v>8613.657033757838</v>
      </c>
      <c r="K103" s="100">
        <f t="shared" si="37"/>
        <v>4211.32120563874</v>
      </c>
      <c r="L103" s="100">
        <f t="shared" si="37"/>
        <v>-1628.4829556909535</v>
      </c>
      <c r="M103" s="180">
        <f>SUM(C103:L103)</f>
        <v>490347.65055171726</v>
      </c>
    </row>
    <row r="104" spans="3:13" ht="12.75">
      <c r="C104" s="100"/>
      <c r="D104" s="100"/>
      <c r="E104" s="100"/>
      <c r="F104" s="100"/>
      <c r="G104" s="100"/>
      <c r="H104" s="100"/>
      <c r="I104" s="100"/>
      <c r="J104" s="100"/>
      <c r="K104" s="100"/>
      <c r="L104" s="100"/>
      <c r="M104" s="180"/>
    </row>
    <row r="105" spans="2:13" ht="12.75">
      <c r="B105" s="11" t="s">
        <v>78</v>
      </c>
      <c r="C105" s="185">
        <f>+Composition!AM$6</f>
        <v>0.2593249326163992</v>
      </c>
      <c r="D105" s="185">
        <f>+Composition!AM$7</f>
        <v>0.20711871827497982</v>
      </c>
      <c r="E105" s="185">
        <f>+Composition!AM$8</f>
        <v>0.18141443992940115</v>
      </c>
      <c r="F105" s="185">
        <f>+Composition!AM$9</f>
        <v>0.004816046190261189</v>
      </c>
      <c r="G105" s="185">
        <f>+Composition!AM$10</f>
        <v>0.010169792992105516</v>
      </c>
      <c r="H105" s="185">
        <f>+Composition!AM$11</f>
        <v>0.20048707739878777</v>
      </c>
      <c r="I105" s="185">
        <f>+Composition!AM$12</f>
        <v>0.014668417956190397</v>
      </c>
      <c r="J105" s="185">
        <f>+Composition!AM$13</f>
        <v>0.0021207021576434212</v>
      </c>
      <c r="K105" s="185">
        <f>+Composition!AM$14</f>
        <v>0.0037310676025120062</v>
      </c>
      <c r="L105" s="185">
        <f>+Composition!AM$15</f>
        <v>0.004227722365882691</v>
      </c>
      <c r="M105" s="179">
        <f>SUM(C105:L105)</f>
        <v>0.8880789174841632</v>
      </c>
    </row>
    <row r="106" spans="3:16" ht="12.75">
      <c r="C106" s="186">
        <f aca="true" t="shared" si="38" ref="C106:L106">+C105*$M106</f>
        <v>985.8807828264172</v>
      </c>
      <c r="D106" s="186">
        <f t="shared" si="38"/>
        <v>787.4073736403562</v>
      </c>
      <c r="E106" s="186">
        <f t="shared" si="38"/>
        <v>689.686904568403</v>
      </c>
      <c r="F106" s="186">
        <f t="shared" si="38"/>
        <v>18.309259122439766</v>
      </c>
      <c r="G106" s="186">
        <f t="shared" si="38"/>
        <v>38.66270541394738</v>
      </c>
      <c r="H106" s="186">
        <f t="shared" si="38"/>
        <v>762.1957318885194</v>
      </c>
      <c r="I106" s="186">
        <f t="shared" si="38"/>
        <v>55.765217912408154</v>
      </c>
      <c r="J106" s="186">
        <f t="shared" si="38"/>
        <v>8.062315806756146</v>
      </c>
      <c r="K106" s="186">
        <f t="shared" si="38"/>
        <v>14.184474325821943</v>
      </c>
      <c r="L106" s="186">
        <f t="shared" si="38"/>
        <v>16.072616672823543</v>
      </c>
      <c r="M106" s="180">
        <f>+'2016-2017 Recy. Tons &amp; Revenue'!C26</f>
        <v>3801.72</v>
      </c>
      <c r="O106" s="180">
        <f>SUM(C106:L106)</f>
        <v>3376.227382177893</v>
      </c>
      <c r="P106" s="180">
        <f>+M106-O106</f>
        <v>425.4926178221067</v>
      </c>
    </row>
    <row r="107" spans="3:13" ht="12.75">
      <c r="C107" s="100">
        <f aca="true" t="shared" si="39" ref="C107:L107">+C106*C23</f>
        <v>77352.20622056069</v>
      </c>
      <c r="D107" s="100">
        <f t="shared" si="39"/>
        <v>57323.25680101793</v>
      </c>
      <c r="E107" s="100">
        <f t="shared" si="39"/>
        <v>118398.55090725773</v>
      </c>
      <c r="F107" s="100">
        <f t="shared" si="39"/>
        <v>24242.00835588392</v>
      </c>
      <c r="G107" s="100">
        <f t="shared" si="39"/>
        <v>5239.183210644009</v>
      </c>
      <c r="H107" s="100">
        <f t="shared" si="39"/>
        <v>-40655.520338933624</v>
      </c>
      <c r="I107" s="100">
        <f t="shared" si="39"/>
        <v>13327.887081065548</v>
      </c>
      <c r="J107" s="100">
        <f t="shared" si="39"/>
        <v>5159.882116323934</v>
      </c>
      <c r="K107" s="100">
        <f t="shared" si="39"/>
        <v>6524.858189878094</v>
      </c>
      <c r="L107" s="100">
        <f t="shared" si="39"/>
        <v>-782.8971581332348</v>
      </c>
      <c r="M107" s="180">
        <f>SUM(C107:L107)</f>
        <v>266129.415385565</v>
      </c>
    </row>
    <row r="108" spans="3:13" ht="12.75">
      <c r="C108" s="100"/>
      <c r="D108" s="100"/>
      <c r="E108" s="100"/>
      <c r="F108" s="100"/>
      <c r="G108" s="100"/>
      <c r="H108" s="100"/>
      <c r="I108" s="100"/>
      <c r="J108" s="100"/>
      <c r="K108" s="100"/>
      <c r="L108" s="100"/>
      <c r="M108" s="180"/>
    </row>
    <row r="109" spans="2:13" ht="12.75">
      <c r="B109" s="11" t="s">
        <v>79</v>
      </c>
      <c r="C109" s="185">
        <f>+Composition!AO$6</f>
        <v>0.23953288286644772</v>
      </c>
      <c r="D109" s="185">
        <f>+Composition!AO$7</f>
        <v>0.19594132553078553</v>
      </c>
      <c r="E109" s="185">
        <f>+Composition!AO$8</f>
        <v>0.20908693948121376</v>
      </c>
      <c r="F109" s="185">
        <f>+Composition!AO$9</f>
        <v>0.004831475088773206</v>
      </c>
      <c r="G109" s="185">
        <f>+Composition!AO$10</f>
        <v>0.010277330201015258</v>
      </c>
      <c r="H109" s="185">
        <f>+Composition!AO$11</f>
        <v>0.20454264585934936</v>
      </c>
      <c r="I109" s="185">
        <f>+Composition!AO$12</f>
        <v>0.01590090827023776</v>
      </c>
      <c r="J109" s="185">
        <f>+Composition!AO$13</f>
        <v>0.002586987148629356</v>
      </c>
      <c r="K109" s="185">
        <f>+Composition!AO$14</f>
        <v>0.003913435973245045</v>
      </c>
      <c r="L109" s="185">
        <f>+Composition!AO$15</f>
        <v>0.004852660606823856</v>
      </c>
      <c r="M109" s="179">
        <f>SUM(C109:L109)</f>
        <v>0.8914665910265208</v>
      </c>
    </row>
    <row r="110" spans="3:16" ht="12.75">
      <c r="C110" s="186">
        <f aca="true" t="shared" si="40" ref="C110:L110">+C109*$M110</f>
        <v>1077.5889754801171</v>
      </c>
      <c r="D110" s="186">
        <f t="shared" si="40"/>
        <v>881.4832005786002</v>
      </c>
      <c r="E110" s="186">
        <f t="shared" si="40"/>
        <v>940.6215055135311</v>
      </c>
      <c r="F110" s="186">
        <f t="shared" si="40"/>
        <v>21.73540529661491</v>
      </c>
      <c r="G110" s="186">
        <f t="shared" si="40"/>
        <v>46.23472814860935</v>
      </c>
      <c r="H110" s="186">
        <f t="shared" si="40"/>
        <v>920.1780463539136</v>
      </c>
      <c r="I110" s="186">
        <f t="shared" si="40"/>
        <v>71.53357504440132</v>
      </c>
      <c r="J110" s="186">
        <f t="shared" si="40"/>
        <v>11.63810495541037</v>
      </c>
      <c r="K110" s="186">
        <f t="shared" si="40"/>
        <v>17.605413547197216</v>
      </c>
      <c r="L110" s="186">
        <f t="shared" si="40"/>
        <v>21.830712798524548</v>
      </c>
      <c r="M110" s="180">
        <f>+'2016-2017 Recy. Tons &amp; Revenue'!C27</f>
        <v>4498.71</v>
      </c>
      <c r="O110" s="180">
        <f>SUM(C110:L110)</f>
        <v>4010.4496677169195</v>
      </c>
      <c r="P110" s="180">
        <f>+M110-O110</f>
        <v>488.2603322830805</v>
      </c>
    </row>
    <row r="111" spans="3:13" ht="12.75">
      <c r="C111" s="100">
        <f aca="true" t="shared" si="41" ref="C111:L111">+C110*C24</f>
        <v>87392.4659114375</v>
      </c>
      <c r="D111" s="100">
        <f t="shared" si="41"/>
        <v>63660.71674578651</v>
      </c>
      <c r="E111" s="100">
        <f t="shared" si="41"/>
        <v>168455.9054224183</v>
      </c>
      <c r="F111" s="100">
        <f t="shared" si="41"/>
        <v>27454.642492313193</v>
      </c>
      <c r="G111" s="100">
        <f t="shared" si="41"/>
        <v>5812.630022843167</v>
      </c>
      <c r="H111" s="100">
        <f t="shared" si="41"/>
        <v>-49082.29699251775</v>
      </c>
      <c r="I111" s="100">
        <f t="shared" si="41"/>
        <v>13404.676627570361</v>
      </c>
      <c r="J111" s="100">
        <f t="shared" si="41"/>
        <v>6927.000069460252</v>
      </c>
      <c r="K111" s="100">
        <f t="shared" si="41"/>
        <v>5283.384605513885</v>
      </c>
      <c r="L111" s="100">
        <f t="shared" si="41"/>
        <v>-854.4540989342509</v>
      </c>
      <c r="M111" s="180">
        <f>SUM(C111:L111)</f>
        <v>328454.6708058911</v>
      </c>
    </row>
    <row r="112" spans="3:13" ht="12.75">
      <c r="C112" s="100"/>
      <c r="D112" s="100"/>
      <c r="E112" s="100"/>
      <c r="F112" s="100"/>
      <c r="G112" s="100"/>
      <c r="H112" s="100"/>
      <c r="I112" s="100"/>
      <c r="J112" s="100"/>
      <c r="K112" s="100"/>
      <c r="L112" s="100"/>
      <c r="M112" s="180"/>
    </row>
    <row r="113" spans="2:13" ht="12.75">
      <c r="B113" s="11" t="s">
        <v>87</v>
      </c>
      <c r="C113" s="185">
        <f>+Composition!AQ$6</f>
        <v>0.2544775985930187</v>
      </c>
      <c r="D113" s="185">
        <f>+Composition!AQ$7</f>
        <v>0.25043073896324564</v>
      </c>
      <c r="E113" s="185">
        <f>+Composition!AQ$8</f>
        <v>0.19326795242495604</v>
      </c>
      <c r="F113" s="185">
        <f>+Composition!AQ$9</f>
        <v>0.004520225355471428</v>
      </c>
      <c r="G113" s="185">
        <f>+Composition!AQ$10</f>
        <v>0.00751423376158822</v>
      </c>
      <c r="H113" s="185">
        <f>+Composition!AQ$11</f>
        <v>0.18137299907592336</v>
      </c>
      <c r="I113" s="185">
        <f>+Composition!AQ$12</f>
        <v>0.01529197841833845</v>
      </c>
      <c r="J113" s="185">
        <f>+Composition!AQ$13</f>
        <v>0.001418904820103139</v>
      </c>
      <c r="K113" s="185">
        <f>+Composition!AQ$14</f>
        <v>0.0034673741318150654</v>
      </c>
      <c r="L113" s="185">
        <f>+Composition!AQ$15</f>
        <v>0.0037761945926610427</v>
      </c>
      <c r="M113" s="179">
        <f>SUM(C113:L113)</f>
        <v>0.9155382001371212</v>
      </c>
    </row>
    <row r="114" spans="3:16" ht="12.75">
      <c r="C114" s="186">
        <f aca="true" t="shared" si="42" ref="C114:L114">+C113*$M114</f>
        <v>1089.4440473365726</v>
      </c>
      <c r="D114" s="186">
        <f t="shared" si="42"/>
        <v>1072.119036575551</v>
      </c>
      <c r="E114" s="186">
        <f t="shared" si="42"/>
        <v>827.3994311264794</v>
      </c>
      <c r="F114" s="186">
        <f t="shared" si="42"/>
        <v>19.35153676930873</v>
      </c>
      <c r="G114" s="186">
        <f t="shared" si="42"/>
        <v>32.16918615673533</v>
      </c>
      <c r="H114" s="186">
        <f t="shared" si="42"/>
        <v>776.4759463439356</v>
      </c>
      <c r="I114" s="186">
        <f t="shared" si="42"/>
        <v>65.46648880674874</v>
      </c>
      <c r="J114" s="186">
        <f t="shared" si="42"/>
        <v>6.074473425343549</v>
      </c>
      <c r="K114" s="186">
        <f t="shared" si="42"/>
        <v>14.844175395713478</v>
      </c>
      <c r="L114" s="186">
        <f t="shared" si="42"/>
        <v>16.166266670641193</v>
      </c>
      <c r="M114" s="180">
        <f>+'2016-2017 Recy. Tons &amp; Revenue'!C28</f>
        <v>4281.1</v>
      </c>
      <c r="O114" s="180">
        <f>SUM(C114:L114)</f>
        <v>3919.510588607029</v>
      </c>
      <c r="P114" s="180">
        <f>+M114-O114</f>
        <v>361.5894113929712</v>
      </c>
    </row>
    <row r="115" spans="3:13" ht="12.75">
      <c r="C115" s="100">
        <f aca="true" t="shared" si="43" ref="C115:L115">+C114*C25</f>
        <v>110643.9374475023</v>
      </c>
      <c r="D115" s="100">
        <f t="shared" si="43"/>
        <v>107093.9705635318</v>
      </c>
      <c r="E115" s="100">
        <f t="shared" si="43"/>
        <v>173058.86501441442</v>
      </c>
      <c r="F115" s="100">
        <f t="shared" si="43"/>
        <v>24283.275914967056</v>
      </c>
      <c r="G115" s="100">
        <f t="shared" si="43"/>
        <v>3649.5941694816233</v>
      </c>
      <c r="H115" s="100">
        <f t="shared" si="43"/>
        <v>-41417.22697798553</v>
      </c>
      <c r="I115" s="100">
        <f t="shared" si="43"/>
        <v>13289.697227769995</v>
      </c>
      <c r="J115" s="100">
        <f t="shared" si="43"/>
        <v>3401.7051181923875</v>
      </c>
      <c r="K115" s="100">
        <f t="shared" si="43"/>
        <v>4304.810864756909</v>
      </c>
      <c r="L115" s="100">
        <f t="shared" si="43"/>
        <v>-710.345757507974</v>
      </c>
      <c r="M115" s="180">
        <f>SUM(C115:L115)</f>
        <v>397598.283585123</v>
      </c>
    </row>
    <row r="116" spans="3:13" ht="12.75">
      <c r="C116" s="186"/>
      <c r="D116" s="186"/>
      <c r="E116" s="186"/>
      <c r="F116" s="186"/>
      <c r="G116" s="186"/>
      <c r="H116" s="186"/>
      <c r="I116" s="186"/>
      <c r="J116" s="186"/>
      <c r="K116" s="186"/>
      <c r="L116" s="186"/>
      <c r="M116" s="180"/>
    </row>
    <row r="117" spans="2:13" ht="12.75">
      <c r="B117" s="11" t="s">
        <v>88</v>
      </c>
      <c r="C117" s="185">
        <f>+Composition!AS$6</f>
        <v>0.23843100874945294</v>
      </c>
      <c r="D117" s="185">
        <f>+Composition!AS$7</f>
        <v>0.2307214651499452</v>
      </c>
      <c r="E117" s="185">
        <f>+Composition!AS$8</f>
        <v>0.18154771924443233</v>
      </c>
      <c r="F117" s="185">
        <f>+Composition!AS$9</f>
        <v>0.006566142098497119</v>
      </c>
      <c r="G117" s="185">
        <f>+Composition!AS$10</f>
        <v>0.010129764224874781</v>
      </c>
      <c r="H117" s="185">
        <f>+Composition!AS$11</f>
        <v>0.2140928910850843</v>
      </c>
      <c r="I117" s="185">
        <f>+Composition!AS$12</f>
        <v>0.01894156183408085</v>
      </c>
      <c r="J117" s="185">
        <f>+Composition!AS$13</f>
        <v>0.0010324279638350958</v>
      </c>
      <c r="K117" s="185">
        <f>+Composition!AS$14</f>
        <v>0.0032955399860098533</v>
      </c>
      <c r="L117" s="185">
        <f>+Composition!AS$15</f>
        <v>0.005679600694769156</v>
      </c>
      <c r="M117" s="179">
        <f>SUM(C117:L117)</f>
        <v>0.9104381210309817</v>
      </c>
    </row>
    <row r="118" spans="3:16" ht="12.75">
      <c r="C118" s="186">
        <f aca="true" t="shared" si="44" ref="C118:L118">+C117*$M118</f>
        <v>964.6036419270494</v>
      </c>
      <c r="D118" s="186">
        <f t="shared" si="44"/>
        <v>933.4136810545729</v>
      </c>
      <c r="E118" s="186">
        <f t="shared" si="44"/>
        <v>734.4748994068528</v>
      </c>
      <c r="F118" s="186">
        <f t="shared" si="44"/>
        <v>26.5641814579429</v>
      </c>
      <c r="G118" s="186">
        <f t="shared" si="44"/>
        <v>40.98127804108017</v>
      </c>
      <c r="H118" s="186">
        <f t="shared" si="44"/>
        <v>866.1406229605496</v>
      </c>
      <c r="I118" s="186">
        <f t="shared" si="44"/>
        <v>76.63055080281251</v>
      </c>
      <c r="J118" s="186">
        <f t="shared" si="44"/>
        <v>4.1768215433301785</v>
      </c>
      <c r="K118" s="186">
        <f t="shared" si="44"/>
        <v>13.332535433601043</v>
      </c>
      <c r="L118" s="186">
        <f t="shared" si="44"/>
        <v>22.977562958778943</v>
      </c>
      <c r="M118" s="180">
        <f>+'2016-2017 Recy. Tons &amp; Revenue'!C29</f>
        <v>4045.63</v>
      </c>
      <c r="O118" s="180">
        <f>SUM(C118:L118)</f>
        <v>3683.295775586571</v>
      </c>
      <c r="P118" s="180">
        <f>+M118-O118</f>
        <v>362.3342244134292</v>
      </c>
    </row>
    <row r="119" spans="3:13" ht="12.75">
      <c r="C119" s="100">
        <f aca="true" t="shared" si="45" ref="C119:L119">+C118*C26</f>
        <v>118347.22082802968</v>
      </c>
      <c r="D119" s="100">
        <f t="shared" si="45"/>
        <v>112056.31241060147</v>
      </c>
      <c r="E119" s="100">
        <f t="shared" si="45"/>
        <v>162252.85002796786</v>
      </c>
      <c r="F119" s="100">
        <f t="shared" si="45"/>
        <v>34006.66817701476</v>
      </c>
      <c r="G119" s="100">
        <f t="shared" si="45"/>
        <v>4721.043230332435</v>
      </c>
      <c r="H119" s="100">
        <f t="shared" si="45"/>
        <v>-46199.94082871572</v>
      </c>
      <c r="I119" s="100">
        <f t="shared" si="45"/>
        <v>17318.504481435626</v>
      </c>
      <c r="J119" s="100">
        <f t="shared" si="45"/>
        <v>2180.0920045411867</v>
      </c>
      <c r="K119" s="100">
        <f t="shared" si="45"/>
        <v>4266.411338752334</v>
      </c>
      <c r="L119" s="100">
        <f t="shared" si="45"/>
        <v>-1005.7279307057544</v>
      </c>
      <c r="M119" s="180">
        <f>SUM(C119:L119)</f>
        <v>407943.43373925384</v>
      </c>
    </row>
    <row r="120" spans="3:13" ht="12.75">
      <c r="C120" s="186"/>
      <c r="D120" s="186"/>
      <c r="E120" s="186"/>
      <c r="F120" s="186"/>
      <c r="G120" s="186"/>
      <c r="H120" s="186"/>
      <c r="I120" s="186"/>
      <c r="J120" s="186"/>
      <c r="K120" s="186"/>
      <c r="L120" s="186"/>
      <c r="M120" s="180"/>
    </row>
    <row r="121" spans="2:13" ht="12.75">
      <c r="B121" s="11" t="s">
        <v>89</v>
      </c>
      <c r="C121" s="185">
        <f>+Composition!AU$6</f>
        <v>0.19143634084938838</v>
      </c>
      <c r="D121" s="185">
        <f>+Composition!AU$7</f>
        <v>0.21596836522460036</v>
      </c>
      <c r="E121" s="185">
        <f>+Composition!AU$8</f>
        <v>0.22448972149387522</v>
      </c>
      <c r="F121" s="185">
        <f>+Composition!AU$9</f>
        <v>0.00616552339483054</v>
      </c>
      <c r="G121" s="185">
        <f>+Composition!AU$10</f>
        <v>0.009530304301157618</v>
      </c>
      <c r="H121" s="185">
        <f>+Composition!AU$11</f>
        <v>0.22864950482532437</v>
      </c>
      <c r="I121" s="185">
        <f>+Composition!AU$12</f>
        <v>0.016984363736705897</v>
      </c>
      <c r="J121" s="185">
        <f>+Composition!AU$13</f>
        <v>0.0028214076891564834</v>
      </c>
      <c r="K121" s="185">
        <f>+Composition!AU$14</f>
        <v>0.002641498883471365</v>
      </c>
      <c r="L121" s="185">
        <f>+Composition!AU$15</f>
        <v>0.005746141381578068</v>
      </c>
      <c r="M121" s="179">
        <f>SUM(C121:L121)</f>
        <v>0.9044331717800882</v>
      </c>
    </row>
    <row r="122" spans="3:16" ht="12.75">
      <c r="C122" s="186">
        <f aca="true" t="shared" si="46" ref="C122:L122">+C121*$M122</f>
        <v>789.9276019736482</v>
      </c>
      <c r="D122" s="186">
        <f t="shared" si="46"/>
        <v>891.1545847935729</v>
      </c>
      <c r="E122" s="186">
        <f t="shared" si="46"/>
        <v>926.3164275946071</v>
      </c>
      <c r="F122" s="186">
        <f t="shared" si="46"/>
        <v>25.44092249455715</v>
      </c>
      <c r="G122" s="186">
        <f t="shared" si="46"/>
        <v>39.3250852439527</v>
      </c>
      <c r="H122" s="186">
        <f t="shared" si="46"/>
        <v>943.4810247508324</v>
      </c>
      <c r="I122" s="186">
        <f t="shared" si="46"/>
        <v>70.08291977404427</v>
      </c>
      <c r="J122" s="186">
        <f t="shared" si="46"/>
        <v>11.64203097592018</v>
      </c>
      <c r="K122" s="186">
        <f t="shared" si="46"/>
        <v>10.899669672845562</v>
      </c>
      <c r="L122" s="186">
        <f t="shared" si="46"/>
        <v>23.710418105633213</v>
      </c>
      <c r="M122" s="180">
        <f>+'2016-2017 Recy. Tons &amp; Revenue'!C30</f>
        <v>4126.32</v>
      </c>
      <c r="O122" s="180">
        <f>SUM(C122:L122)</f>
        <v>3731.9806853796135</v>
      </c>
      <c r="P122" s="180">
        <f>+M122-O122</f>
        <v>394.3393146203862</v>
      </c>
    </row>
    <row r="123" spans="3:13" ht="12.75">
      <c r="C123" s="100">
        <f aca="true" t="shared" si="47" ref="C123:L123">+C122*C27</f>
        <v>86892.0362171013</v>
      </c>
      <c r="D123" s="100">
        <f t="shared" si="47"/>
        <v>99987.54441383888</v>
      </c>
      <c r="E123" s="100">
        <f t="shared" si="47"/>
        <v>181613.59879419868</v>
      </c>
      <c r="F123" s="100">
        <f t="shared" si="47"/>
        <v>33723.97804033507</v>
      </c>
      <c r="G123" s="100">
        <f t="shared" si="47"/>
        <v>5733.597428568304</v>
      </c>
      <c r="H123" s="100">
        <f t="shared" si="47"/>
        <v>-50325.277860209404</v>
      </c>
      <c r="I123" s="100">
        <f t="shared" si="47"/>
        <v>13768.490418808738</v>
      </c>
      <c r="J123" s="100">
        <f t="shared" si="47"/>
        <v>5821.0154879600905</v>
      </c>
      <c r="K123" s="100">
        <f t="shared" si="47"/>
        <v>3596.890992039035</v>
      </c>
      <c r="L123" s="100">
        <f t="shared" si="47"/>
        <v>-939.6438695262443</v>
      </c>
      <c r="M123" s="180">
        <f>SUM(C123:L123)</f>
        <v>379872.2300631145</v>
      </c>
    </row>
    <row r="124" spans="3:13" ht="12.75">
      <c r="C124" s="100"/>
      <c r="D124" s="100"/>
      <c r="E124" s="100"/>
      <c r="F124" s="100"/>
      <c r="G124" s="100"/>
      <c r="H124" s="100"/>
      <c r="I124" s="100"/>
      <c r="J124" s="100"/>
      <c r="K124" s="100"/>
      <c r="L124" s="100"/>
      <c r="M124" s="180"/>
    </row>
    <row r="125" spans="2:13" ht="12.75">
      <c r="B125" s="11" t="s">
        <v>90</v>
      </c>
      <c r="C125" s="185">
        <f>+Composition!AW$6</f>
        <v>0.1964545936597647</v>
      </c>
      <c r="D125" s="185">
        <f>+Composition!AW$7</f>
        <v>0.18076770488414579</v>
      </c>
      <c r="E125" s="185">
        <f>+Composition!AW$8</f>
        <v>0.20813951547568452</v>
      </c>
      <c r="F125" s="185">
        <f>+Composition!AW$9</f>
        <v>0.005900879097458229</v>
      </c>
      <c r="G125" s="185">
        <f>+Composition!AW$10</f>
        <v>0.012374384843625416</v>
      </c>
      <c r="H125" s="185">
        <f>+Composition!AW$11</f>
        <v>0.2325621704347468</v>
      </c>
      <c r="I125" s="185">
        <f>+Composition!AW$12</f>
        <v>0.017682094632331318</v>
      </c>
      <c r="J125" s="185">
        <f>+Composition!AW$13</f>
        <v>0.0028502940810176828</v>
      </c>
      <c r="K125" s="185">
        <f>+Composition!AW$14</f>
        <v>0.0033137878482462336</v>
      </c>
      <c r="L125" s="185">
        <f>+Composition!AW$15</f>
        <v>0.006640414859019574</v>
      </c>
      <c r="M125" s="179">
        <f>SUM(C125:L125)</f>
        <v>0.8666858398160401</v>
      </c>
    </row>
    <row r="126" spans="3:16" ht="12.75">
      <c r="C126" s="186">
        <f aca="true" t="shared" si="48" ref="C126:L126">+C125*$M126</f>
        <v>791.0322795547889</v>
      </c>
      <c r="D126" s="186">
        <f t="shared" si="48"/>
        <v>727.8683944242084</v>
      </c>
      <c r="E126" s="186">
        <f t="shared" si="48"/>
        <v>838.0820846434627</v>
      </c>
      <c r="F126" s="186">
        <f t="shared" si="48"/>
        <v>23.760125721079458</v>
      </c>
      <c r="G126" s="186">
        <f t="shared" si="48"/>
        <v>49.825955548251486</v>
      </c>
      <c r="H126" s="186">
        <f t="shared" si="48"/>
        <v>936.4208817423254</v>
      </c>
      <c r="I126" s="186">
        <f t="shared" si="48"/>
        <v>71.19766132086734</v>
      </c>
      <c r="J126" s="186">
        <f t="shared" si="48"/>
        <v>11.476823128980941</v>
      </c>
      <c r="K126" s="186">
        <f t="shared" si="48"/>
        <v>13.34309932247739</v>
      </c>
      <c r="L126" s="186">
        <f t="shared" si="48"/>
        <v>26.737896046436674</v>
      </c>
      <c r="M126" s="180">
        <f>+'2016-2017 Recy. Tons &amp; Revenue'!C31</f>
        <v>4026.54</v>
      </c>
      <c r="O126" s="180">
        <f>SUM(C126:L126)</f>
        <v>3489.7452014528785</v>
      </c>
      <c r="P126" s="180">
        <f>+M126-O126</f>
        <v>536.7947985471214</v>
      </c>
    </row>
    <row r="127" spans="3:13" ht="12.75">
      <c r="C127" s="100">
        <f aca="true" t="shared" si="49" ref="C127:L127">+C126*C28</f>
        <v>62807.96299665025</v>
      </c>
      <c r="D127" s="100">
        <f t="shared" si="49"/>
        <v>54371.76906348837</v>
      </c>
      <c r="E127" s="100">
        <f t="shared" si="49"/>
        <v>132366.6844485885</v>
      </c>
      <c r="F127" s="100">
        <f t="shared" si="49"/>
        <v>34503.504167122745</v>
      </c>
      <c r="G127" s="100">
        <f t="shared" si="49"/>
        <v>6262.624352859729</v>
      </c>
      <c r="H127" s="100">
        <f t="shared" si="49"/>
        <v>-49948.68983213564</v>
      </c>
      <c r="I127" s="100">
        <f t="shared" si="49"/>
        <v>12734.413703850334</v>
      </c>
      <c r="J127" s="100">
        <f t="shared" si="49"/>
        <v>5279.338639331233</v>
      </c>
      <c r="K127" s="100">
        <f t="shared" si="49"/>
        <v>4029.6159953881715</v>
      </c>
      <c r="L127" s="100">
        <f t="shared" si="49"/>
        <v>-1470.5842825540171</v>
      </c>
      <c r="M127" s="180">
        <f>SUM(C127:L127)</f>
        <v>260936.6392525897</v>
      </c>
    </row>
    <row r="128" spans="3:13" ht="12.75">
      <c r="C128" s="100"/>
      <c r="D128" s="100"/>
      <c r="E128" s="100"/>
      <c r="F128" s="100"/>
      <c r="G128" s="100"/>
      <c r="H128" s="100"/>
      <c r="I128" s="100"/>
      <c r="J128" s="100"/>
      <c r="K128" s="100"/>
      <c r="L128" s="100"/>
      <c r="M128" s="180"/>
    </row>
    <row r="129" spans="2:17" ht="15">
      <c r="B129" s="1" t="s">
        <v>294</v>
      </c>
      <c r="C129" s="397">
        <f>+C82+C86+C90+C94+C98+C102+C106+C110+C114+C118+C122+C126</f>
        <v>14501.6268213937</v>
      </c>
      <c r="D129" s="397">
        <f aca="true" t="shared" si="50" ref="D129:P129">+D82+D86+D90+D94+D98+D102+D106+D110+D114+D118+D122+D126</f>
        <v>10908.991566665467</v>
      </c>
      <c r="E129" s="397">
        <f t="shared" si="50"/>
        <v>9792.358013044763</v>
      </c>
      <c r="F129" s="397">
        <f t="shared" si="50"/>
        <v>259.04728614779384</v>
      </c>
      <c r="G129" s="397">
        <f t="shared" si="50"/>
        <v>572.4271120389622</v>
      </c>
      <c r="H129" s="397">
        <f t="shared" si="50"/>
        <v>10643.090265157629</v>
      </c>
      <c r="I129" s="397">
        <f t="shared" si="50"/>
        <v>589.4201734262076</v>
      </c>
      <c r="J129" s="397">
        <f t="shared" si="50"/>
        <v>134.78939976421566</v>
      </c>
      <c r="K129" s="397">
        <f t="shared" si="50"/>
        <v>139.9868210378055</v>
      </c>
      <c r="L129" s="397">
        <f t="shared" si="50"/>
        <v>256.9884900001177</v>
      </c>
      <c r="M129" s="397">
        <f>SUM(C129:L129)</f>
        <v>47798.72594867667</v>
      </c>
      <c r="O129" s="397">
        <f t="shared" si="50"/>
        <v>47798.72594867666</v>
      </c>
      <c r="P129" s="397">
        <f t="shared" si="50"/>
        <v>5092.42405132334</v>
      </c>
      <c r="Q129" s="482">
        <f>+P129+M129</f>
        <v>52891.15000000001</v>
      </c>
    </row>
    <row r="130" spans="3:13" ht="15">
      <c r="C130" s="398"/>
      <c r="D130" s="398"/>
      <c r="E130" s="398"/>
      <c r="F130" s="398"/>
      <c r="G130" s="398"/>
      <c r="H130" s="398"/>
      <c r="I130" s="398"/>
      <c r="J130" s="398"/>
      <c r="K130" s="398"/>
      <c r="L130" s="398"/>
      <c r="M130" s="398"/>
    </row>
    <row r="131" spans="3:13" ht="15">
      <c r="C131" s="399">
        <f>+C129/$M$129</f>
        <v>0.3033894007334977</v>
      </c>
      <c r="D131" s="399">
        <f aca="true" t="shared" si="51" ref="D131:L131">+D129/$M$129</f>
        <v>0.22822766402558242</v>
      </c>
      <c r="E131" s="399">
        <f t="shared" si="51"/>
        <v>0.20486650676754845</v>
      </c>
      <c r="F131" s="399">
        <f t="shared" si="51"/>
        <v>0.005419543743193969</v>
      </c>
      <c r="G131" s="399">
        <f t="shared" si="51"/>
        <v>0.011975781794970835</v>
      </c>
      <c r="H131" s="399">
        <f t="shared" si="51"/>
        <v>0.22266472701773524</v>
      </c>
      <c r="I131" s="399">
        <f t="shared" si="51"/>
        <v>0.012331294647039142</v>
      </c>
      <c r="J131" s="399">
        <f t="shared" si="51"/>
        <v>0.002819937081773774</v>
      </c>
      <c r="K131" s="399">
        <f t="shared" si="51"/>
        <v>0.002928672642616348</v>
      </c>
      <c r="L131" s="399">
        <f t="shared" si="51"/>
        <v>0.0053764715460419615</v>
      </c>
      <c r="M131" s="399">
        <f>+M129/$M$129</f>
        <v>1</v>
      </c>
    </row>
    <row r="132" spans="3:13" ht="12.75">
      <c r="C132" s="100"/>
      <c r="D132" s="100"/>
      <c r="E132" s="100"/>
      <c r="F132" s="100"/>
      <c r="G132" s="100"/>
      <c r="H132" s="100"/>
      <c r="I132" s="100"/>
      <c r="J132" s="100"/>
      <c r="K132" s="100"/>
      <c r="L132" s="100"/>
      <c r="M132" s="180"/>
    </row>
    <row r="133" spans="3:13" ht="12.75">
      <c r="C133" s="100"/>
      <c r="D133" s="100"/>
      <c r="E133" s="100"/>
      <c r="F133" s="100"/>
      <c r="G133" s="100"/>
      <c r="H133" s="100"/>
      <c r="I133" s="100"/>
      <c r="J133" s="100"/>
      <c r="K133" s="100"/>
      <c r="L133" s="100"/>
      <c r="M133" s="180"/>
    </row>
    <row r="135" ht="12.75">
      <c r="B135" s="184" t="s">
        <v>91</v>
      </c>
    </row>
    <row r="136" spans="2:13" ht="12.75">
      <c r="B136" s="11" t="s">
        <v>72</v>
      </c>
      <c r="C136" s="185">
        <f aca="true" t="shared" si="52" ref="C136:M136">+C33</f>
        <v>0.3581435552474604</v>
      </c>
      <c r="D136" s="185">
        <f t="shared" si="52"/>
        <v>0.12214904961188562</v>
      </c>
      <c r="E136" s="185">
        <f t="shared" si="52"/>
        <v>0.241296310559963</v>
      </c>
      <c r="F136" s="185">
        <f t="shared" si="52"/>
        <v>0.005501852850308523</v>
      </c>
      <c r="G136" s="185">
        <f t="shared" si="52"/>
        <v>0.013605398512584833</v>
      </c>
      <c r="H136" s="185">
        <f t="shared" si="52"/>
        <v>0.19737883728294264</v>
      </c>
      <c r="I136" s="185">
        <f t="shared" si="52"/>
        <v>0.010704168699239175</v>
      </c>
      <c r="J136" s="185">
        <f t="shared" si="52"/>
        <v>0.0006001437777606614</v>
      </c>
      <c r="K136" s="185">
        <f t="shared" si="52"/>
        <v>0.0027011818874254365</v>
      </c>
      <c r="L136" s="185">
        <f t="shared" si="52"/>
        <v>0.0017009422578243344</v>
      </c>
      <c r="M136" s="185">
        <f t="shared" si="52"/>
        <v>0.9537814406873947</v>
      </c>
    </row>
    <row r="137" spans="3:16" ht="12.75">
      <c r="C137" s="186">
        <f aca="true" t="shared" si="53" ref="C137:L137">+C136*$M137</f>
        <v>1356.504529855281</v>
      </c>
      <c r="D137" s="186">
        <f t="shared" si="53"/>
        <v>462.651740309978</v>
      </c>
      <c r="E137" s="186">
        <f t="shared" si="53"/>
        <v>913.9339058769159</v>
      </c>
      <c r="F137" s="186">
        <f t="shared" si="53"/>
        <v>20.838817855828562</v>
      </c>
      <c r="G137" s="186">
        <f t="shared" si="53"/>
        <v>51.53180740626632</v>
      </c>
      <c r="H137" s="186">
        <f t="shared" si="53"/>
        <v>747.5920840928735</v>
      </c>
      <c r="I137" s="186">
        <f t="shared" si="53"/>
        <v>40.5431093652383</v>
      </c>
      <c r="J137" s="186">
        <f t="shared" si="53"/>
        <v>2.273104572646281</v>
      </c>
      <c r="K137" s="186">
        <f t="shared" si="53"/>
        <v>10.230996516812583</v>
      </c>
      <c r="L137" s="186">
        <f t="shared" si="53"/>
        <v>6.4424888957354485</v>
      </c>
      <c r="M137" s="180">
        <f>+'2016-2017 Recy. Tons &amp; Revenue'!$D$8</f>
        <v>3787.6</v>
      </c>
      <c r="O137" s="180">
        <f>SUM(C137:L137)</f>
        <v>3612.5425847475753</v>
      </c>
      <c r="P137" s="180">
        <f>+M137-O137</f>
        <v>175.05741525242456</v>
      </c>
    </row>
    <row r="138" spans="3:13" ht="12.75">
      <c r="C138" s="100">
        <f aca="true" t="shared" si="54" ref="C138:L138">+C137*C5</f>
        <v>105698.83296632349</v>
      </c>
      <c r="D138" s="100">
        <f t="shared" si="54"/>
        <v>34833.049527938245</v>
      </c>
      <c r="E138" s="100">
        <f t="shared" si="54"/>
        <v>107049.07839536316</v>
      </c>
      <c r="F138" s="100">
        <f t="shared" si="54"/>
        <v>22878.729735735622</v>
      </c>
      <c r="G138" s="100">
        <f t="shared" si="54"/>
        <v>3880.3450976918534</v>
      </c>
      <c r="H138" s="100">
        <f t="shared" si="54"/>
        <v>-39876.56176551388</v>
      </c>
      <c r="I138" s="100">
        <f t="shared" si="54"/>
        <v>6038.896139952244</v>
      </c>
      <c r="J138" s="100">
        <f t="shared" si="54"/>
        <v>1261.573037818686</v>
      </c>
      <c r="K138" s="100">
        <f t="shared" si="54"/>
        <v>4297.018537061285</v>
      </c>
      <c r="L138" s="100">
        <f t="shared" si="54"/>
        <v>64.42488895735448</v>
      </c>
      <c r="M138" s="180">
        <f>SUM(C138:L138)</f>
        <v>246125.38656132808</v>
      </c>
    </row>
    <row r="139" spans="3:12" ht="12.75">
      <c r="C139" s="185"/>
      <c r="D139" s="185"/>
      <c r="E139" s="185"/>
      <c r="F139" s="185"/>
      <c r="G139" s="185"/>
      <c r="H139" s="185"/>
      <c r="I139" s="185"/>
      <c r="J139" s="185"/>
      <c r="K139" s="185"/>
      <c r="L139" s="185"/>
    </row>
    <row r="140" spans="2:13" ht="12.75">
      <c r="B140" s="11" t="s">
        <v>73</v>
      </c>
      <c r="C140" s="185">
        <f aca="true" t="shared" si="55" ref="C140:M140">+C37</f>
        <v>0.43077917511062697</v>
      </c>
      <c r="D140" s="185">
        <f t="shared" si="55"/>
        <v>0.11333640940790987</v>
      </c>
      <c r="E140" s="185">
        <f t="shared" si="55"/>
        <v>0.1802674558762849</v>
      </c>
      <c r="F140" s="185">
        <f t="shared" si="55"/>
        <v>0.0020570401793608946</v>
      </c>
      <c r="G140" s="185">
        <f t="shared" si="55"/>
        <v>0.00797916128861778</v>
      </c>
      <c r="H140" s="185">
        <f t="shared" si="55"/>
        <v>0.2069358028656277</v>
      </c>
      <c r="I140" s="185">
        <f t="shared" si="55"/>
        <v>0.003561199994308585</v>
      </c>
      <c r="J140" s="185">
        <f t="shared" si="55"/>
        <v>0.002791842575446827</v>
      </c>
      <c r="K140" s="185">
        <f t="shared" si="55"/>
        <v>0.002039762667972982</v>
      </c>
      <c r="L140" s="185">
        <f t="shared" si="55"/>
        <v>0.0012775195185062474</v>
      </c>
      <c r="M140" s="185">
        <f t="shared" si="55"/>
        <v>0.9510253694846629</v>
      </c>
    </row>
    <row r="141" spans="3:16" ht="12.75">
      <c r="C141" s="186">
        <f aca="true" t="shared" si="56" ref="C141:L141">+C140*$M141</f>
        <v>1674.356805611736</v>
      </c>
      <c r="D141" s="186">
        <f t="shared" si="56"/>
        <v>440.51708945075814</v>
      </c>
      <c r="E141" s="186">
        <f t="shared" si="56"/>
        <v>700.6653501745029</v>
      </c>
      <c r="F141" s="186">
        <f t="shared" si="56"/>
        <v>7.995324339541718</v>
      </c>
      <c r="G141" s="186">
        <f t="shared" si="56"/>
        <v>31.01348388821247</v>
      </c>
      <c r="H141" s="186">
        <f t="shared" si="56"/>
        <v>804.3201479361504</v>
      </c>
      <c r="I141" s="186">
        <f t="shared" si="56"/>
        <v>13.84170774987855</v>
      </c>
      <c r="J141" s="186">
        <f t="shared" si="56"/>
        <v>10.851361640672481</v>
      </c>
      <c r="K141" s="186">
        <f t="shared" si="56"/>
        <v>7.928169935504067</v>
      </c>
      <c r="L141" s="186">
        <f t="shared" si="56"/>
        <v>4.965475639725268</v>
      </c>
      <c r="M141" s="180">
        <f>+'2016-2017 Recy. Tons &amp; Revenue'!$D$9</f>
        <v>3886.81</v>
      </c>
      <c r="O141" s="180">
        <f>SUM(C141:L141)</f>
        <v>3696.454916366682</v>
      </c>
      <c r="P141" s="180">
        <f>+M141-O141</f>
        <v>190.35508363331792</v>
      </c>
    </row>
    <row r="142" spans="3:13" ht="12.75">
      <c r="C142" s="100">
        <f aca="true" t="shared" si="57" ref="C142:L142">+C141*C6</f>
        <v>115446.9017469292</v>
      </c>
      <c r="D142" s="100">
        <f t="shared" si="57"/>
        <v>30082.912038592276</v>
      </c>
      <c r="E142" s="100">
        <f t="shared" si="57"/>
        <v>79259.26441173977</v>
      </c>
      <c r="F142" s="100">
        <f t="shared" si="57"/>
        <v>8101.502246770832</v>
      </c>
      <c r="G142" s="100">
        <f t="shared" si="57"/>
        <v>2096.201376004281</v>
      </c>
      <c r="H142" s="100">
        <f t="shared" si="57"/>
        <v>-42902.43669091426</v>
      </c>
      <c r="I142" s="100">
        <f t="shared" si="57"/>
        <v>2073.626238009306</v>
      </c>
      <c r="J142" s="100">
        <f t="shared" si="57"/>
        <v>6131.019326979952</v>
      </c>
      <c r="K142" s="100">
        <f t="shared" si="57"/>
        <v>3726.2398696869113</v>
      </c>
      <c r="L142" s="100">
        <f t="shared" si="57"/>
        <v>0</v>
      </c>
      <c r="M142" s="180">
        <f>SUM(C142:L142)</f>
        <v>204015.2305637983</v>
      </c>
    </row>
    <row r="144" spans="2:13" ht="12.75">
      <c r="B144" s="11" t="s">
        <v>92</v>
      </c>
      <c r="C144" s="185">
        <f aca="true" t="shared" si="58" ref="C144:M144">+C41</f>
        <v>0.46767519113896816</v>
      </c>
      <c r="D144" s="185">
        <f t="shared" si="58"/>
        <v>0.1100340434724177</v>
      </c>
      <c r="E144" s="185">
        <f t="shared" si="58"/>
        <v>0.16859805039489276</v>
      </c>
      <c r="F144" s="185">
        <f t="shared" si="58"/>
        <v>0.002438037005064884</v>
      </c>
      <c r="G144" s="185">
        <f t="shared" si="58"/>
        <v>0.009013398897317995</v>
      </c>
      <c r="H144" s="185">
        <f t="shared" si="58"/>
        <v>0.18578633495511854</v>
      </c>
      <c r="I144" s="185">
        <f t="shared" si="58"/>
        <v>0.003515654308284297</v>
      </c>
      <c r="J144" s="185">
        <f t="shared" si="58"/>
        <v>0.002757117262406822</v>
      </c>
      <c r="K144" s="185">
        <f t="shared" si="58"/>
        <v>0.0011575934917521463</v>
      </c>
      <c r="L144" s="185">
        <f t="shared" si="58"/>
        <v>0.0006562994440418152</v>
      </c>
      <c r="M144" s="185">
        <f t="shared" si="58"/>
        <v>0.951631720370265</v>
      </c>
    </row>
    <row r="145" spans="3:16" ht="12.75">
      <c r="C145" s="186">
        <f aca="true" t="shared" si="59" ref="C145:L145">+C144*$M145</f>
        <v>2186.7229214642075</v>
      </c>
      <c r="D145" s="186">
        <f t="shared" si="59"/>
        <v>514.4894780852876</v>
      </c>
      <c r="E145" s="186">
        <f t="shared" si="59"/>
        <v>788.3189621729118</v>
      </c>
      <c r="F145" s="186">
        <f t="shared" si="59"/>
        <v>11.399602765692029</v>
      </c>
      <c r="G145" s="186">
        <f t="shared" si="59"/>
        <v>42.14421962615666</v>
      </c>
      <c r="H145" s="186">
        <f t="shared" si="59"/>
        <v>868.6867399396963</v>
      </c>
      <c r="I145" s="186">
        <f t="shared" si="59"/>
        <v>16.438250318874136</v>
      </c>
      <c r="J145" s="186">
        <f t="shared" si="59"/>
        <v>12.891535897353448</v>
      </c>
      <c r="K145" s="186">
        <f t="shared" si="59"/>
        <v>5.412594617190263</v>
      </c>
      <c r="L145" s="186">
        <f t="shared" si="59"/>
        <v>3.068678999489636</v>
      </c>
      <c r="M145" s="180">
        <f>+'2016-2017 Recy. Tons &amp; Revenue'!$D$10</f>
        <v>4675.73</v>
      </c>
      <c r="O145" s="180">
        <f>SUM(C145:L145)</f>
        <v>4449.572983886859</v>
      </c>
      <c r="P145" s="180">
        <f>+M145-O145</f>
        <v>226.15701611314034</v>
      </c>
    </row>
    <row r="146" spans="3:13" ht="12.75">
      <c r="C146" s="100">
        <f aca="true" t="shared" si="60" ref="C146:L146">+C145*C7</f>
        <v>142705.5378547542</v>
      </c>
      <c r="D146" s="100">
        <f t="shared" si="60"/>
        <v>32032.114905590006</v>
      </c>
      <c r="E146" s="100">
        <f t="shared" si="60"/>
        <v>87550.70393892359</v>
      </c>
      <c r="F146" s="100">
        <f t="shared" si="60"/>
        <v>12345.655799216811</v>
      </c>
      <c r="G146" s="100">
        <f t="shared" si="60"/>
        <v>2946.7238362608737</v>
      </c>
      <c r="H146" s="100">
        <f t="shared" si="60"/>
        <v>-46335.750708383406</v>
      </c>
      <c r="I146" s="100">
        <f t="shared" si="60"/>
        <v>2482.1757981499945</v>
      </c>
      <c r="J146" s="100">
        <f t="shared" si="60"/>
        <v>7283.717782004698</v>
      </c>
      <c r="K146" s="100">
        <f t="shared" si="60"/>
        <v>2435.667577735618</v>
      </c>
      <c r="L146" s="100">
        <f t="shared" si="60"/>
        <v>92.06036998468909</v>
      </c>
      <c r="M146" s="180">
        <f>SUM(C146:L146)</f>
        <v>243538.60715423708</v>
      </c>
    </row>
    <row r="148" spans="2:13" ht="12.75">
      <c r="B148" s="11" t="s">
        <v>75</v>
      </c>
      <c r="C148" s="185">
        <f aca="true" t="shared" si="61" ref="C148:L148">+C45</f>
        <v>0.42238236896132736</v>
      </c>
      <c r="D148" s="185">
        <f t="shared" si="61"/>
        <v>0.12108578981248355</v>
      </c>
      <c r="E148" s="185">
        <f t="shared" si="61"/>
        <v>0.18398073414413965</v>
      </c>
      <c r="F148" s="185">
        <f t="shared" si="61"/>
        <v>0.004308916457489801</v>
      </c>
      <c r="G148" s="185">
        <f t="shared" si="61"/>
        <v>0.014076111176710327</v>
      </c>
      <c r="H148" s="185">
        <f t="shared" si="61"/>
        <v>0.2002793891908569</v>
      </c>
      <c r="I148" s="185">
        <f t="shared" si="61"/>
        <v>0.005721098359469331</v>
      </c>
      <c r="J148" s="185">
        <f t="shared" si="61"/>
        <v>0.0017159486091484245</v>
      </c>
      <c r="K148" s="185">
        <f t="shared" si="61"/>
        <v>0.0018844962805242686</v>
      </c>
      <c r="L148" s="185">
        <f t="shared" si="61"/>
        <v>0.001874021566483962</v>
      </c>
      <c r="M148" s="179">
        <f>SUM(C148:L148)</f>
        <v>0.9573088745586336</v>
      </c>
    </row>
    <row r="149" spans="3:16" ht="12.75">
      <c r="C149" s="186">
        <f aca="true" t="shared" si="62" ref="C149:L149">+C148*$M149</f>
        <v>1779.8010357397245</v>
      </c>
      <c r="D149" s="186">
        <f t="shared" si="62"/>
        <v>510.2216142486582</v>
      </c>
      <c r="E149" s="186">
        <f t="shared" si="62"/>
        <v>775.2432990778442</v>
      </c>
      <c r="F149" s="186">
        <f t="shared" si="62"/>
        <v>18.156567455253924</v>
      </c>
      <c r="G149" s="186">
        <f t="shared" si="62"/>
        <v>59.31279118752784</v>
      </c>
      <c r="H149" s="186">
        <f t="shared" si="62"/>
        <v>843.9212678212975</v>
      </c>
      <c r="I149" s="186">
        <f t="shared" si="62"/>
        <v>24.10710657926311</v>
      </c>
      <c r="J149" s="186">
        <f t="shared" si="62"/>
        <v>7.2305269733409</v>
      </c>
      <c r="K149" s="186">
        <f t="shared" si="62"/>
        <v>7.940739667170721</v>
      </c>
      <c r="L149" s="186">
        <f t="shared" si="62"/>
        <v>7.896602155124801</v>
      </c>
      <c r="M149" s="180">
        <f>+'2016-2017 Recy. Tons &amp; Revenue'!D11</f>
        <v>4213.72</v>
      </c>
      <c r="O149" s="180">
        <f>SUM(C149:L149)</f>
        <v>4033.831550905206</v>
      </c>
      <c r="P149" s="180">
        <f>+M149-O149</f>
        <v>179.8884490947944</v>
      </c>
    </row>
    <row r="150" spans="3:13" ht="12.75">
      <c r="C150" s="100">
        <f aca="true" t="shared" si="63" ref="C150:L150">+C149*C8</f>
        <v>97355.11665496294</v>
      </c>
      <c r="D150" s="100">
        <f t="shared" si="63"/>
        <v>25868.235842406975</v>
      </c>
      <c r="E150" s="100">
        <f t="shared" si="63"/>
        <v>79462.43815547903</v>
      </c>
      <c r="F150" s="100">
        <f t="shared" si="63"/>
        <v>20513.28991094588</v>
      </c>
      <c r="G150" s="100">
        <f t="shared" si="63"/>
        <v>4320.343710099528</v>
      </c>
      <c r="H150" s="100">
        <f t="shared" si="63"/>
        <v>-45014.760425588014</v>
      </c>
      <c r="I150" s="100">
        <f t="shared" si="63"/>
        <v>3109.816748724941</v>
      </c>
      <c r="J150" s="100">
        <f t="shared" si="63"/>
        <v>3940.6372004707905</v>
      </c>
      <c r="K150" s="100">
        <f t="shared" si="63"/>
        <v>3509.806932889459</v>
      </c>
      <c r="L150" s="100">
        <f t="shared" si="63"/>
        <v>78.966021551248</v>
      </c>
      <c r="M150" s="180">
        <f>SUM(C150:L150)</f>
        <v>193143.89075194276</v>
      </c>
    </row>
    <row r="151" spans="3:12" ht="12.75">
      <c r="C151" s="185"/>
      <c r="D151" s="185"/>
      <c r="E151" s="185"/>
      <c r="F151" s="185"/>
      <c r="G151" s="185"/>
      <c r="H151" s="185"/>
      <c r="I151" s="185"/>
      <c r="J151" s="185"/>
      <c r="K151" s="185"/>
      <c r="L151" s="185"/>
    </row>
    <row r="152" spans="2:13" ht="12.75">
      <c r="B152" s="11" t="s">
        <v>76</v>
      </c>
      <c r="C152" s="185">
        <f aca="true" t="shared" si="64" ref="C152:L152">+C49</f>
        <v>0.40404321290951184</v>
      </c>
      <c r="D152" s="185">
        <f t="shared" si="64"/>
        <v>0.11476887114950773</v>
      </c>
      <c r="E152" s="185">
        <f t="shared" si="64"/>
        <v>0.19211533757210694</v>
      </c>
      <c r="F152" s="185">
        <f t="shared" si="64"/>
        <v>0.0048025959526054665</v>
      </c>
      <c r="G152" s="185">
        <f t="shared" si="64"/>
        <v>0.011106395167714514</v>
      </c>
      <c r="H152" s="185">
        <f t="shared" si="64"/>
        <v>0.21282797005120402</v>
      </c>
      <c r="I152" s="185">
        <f t="shared" si="64"/>
        <v>0.007004221350121164</v>
      </c>
      <c r="J152" s="185">
        <f t="shared" si="64"/>
        <v>0.001600516848811269</v>
      </c>
      <c r="K152" s="185">
        <f t="shared" si="64"/>
        <v>0.0019015938262493131</v>
      </c>
      <c r="L152" s="185">
        <f t="shared" si="64"/>
        <v>0.0023009389838233854</v>
      </c>
      <c r="M152" s="179">
        <f>SUM(C152:L152)</f>
        <v>0.9524716538116555</v>
      </c>
    </row>
    <row r="153" spans="3:16" ht="12.75">
      <c r="C153" s="186">
        <f aca="true" t="shared" si="65" ref="C153:L153">+C152*$M153</f>
        <v>1493.1134102821973</v>
      </c>
      <c r="D153" s="186">
        <f t="shared" si="65"/>
        <v>424.12032951202536</v>
      </c>
      <c r="E153" s="186">
        <f t="shared" si="65"/>
        <v>709.9487819240911</v>
      </c>
      <c r="F153" s="186">
        <f t="shared" si="65"/>
        <v>17.747657161136818</v>
      </c>
      <c r="G153" s="186">
        <f t="shared" si="65"/>
        <v>41.042905894627246</v>
      </c>
      <c r="H153" s="186">
        <f t="shared" si="65"/>
        <v>786.4908653663208</v>
      </c>
      <c r="I153" s="186">
        <f t="shared" si="65"/>
        <v>25.883609703878253</v>
      </c>
      <c r="J153" s="186">
        <f t="shared" si="65"/>
        <v>5.914597978602628</v>
      </c>
      <c r="K153" s="186">
        <f t="shared" si="65"/>
        <v>7.027206873336499</v>
      </c>
      <c r="L153" s="186">
        <f t="shared" si="65"/>
        <v>8.502958948990452</v>
      </c>
      <c r="M153" s="180">
        <f>+'2016-2017 Recy. Tons &amp; Revenue'!D12</f>
        <v>3695.43</v>
      </c>
      <c r="O153" s="180">
        <f>SUM(C153:L153)</f>
        <v>3519.792323645207</v>
      </c>
      <c r="P153" s="180">
        <f>+M153-O153</f>
        <v>175.6376763547928</v>
      </c>
    </row>
    <row r="154" spans="3:13" ht="12.75">
      <c r="C154" s="100">
        <f aca="true" t="shared" si="66" ref="C154:L154">+C153*C9</f>
        <v>98650.00301734476</v>
      </c>
      <c r="D154" s="100">
        <f t="shared" si="66"/>
        <v>21235.70489866711</v>
      </c>
      <c r="E154" s="100">
        <f t="shared" si="66"/>
        <v>72322.48241460716</v>
      </c>
      <c r="F154" s="100">
        <f t="shared" si="66"/>
        <v>20186.007778505405</v>
      </c>
      <c r="G154" s="100">
        <f t="shared" si="66"/>
        <v>2953.447508177376</v>
      </c>
      <c r="H154" s="100">
        <f t="shared" si="66"/>
        <v>-41951.42275863956</v>
      </c>
      <c r="I154" s="100">
        <f t="shared" si="66"/>
        <v>3520.1709197274427</v>
      </c>
      <c r="J154" s="100">
        <f t="shared" si="66"/>
        <v>2957.298989301314</v>
      </c>
      <c r="K154" s="100">
        <f t="shared" si="66"/>
        <v>2600.0665431345046</v>
      </c>
      <c r="L154" s="100">
        <f t="shared" si="66"/>
        <v>85.02958948990452</v>
      </c>
      <c r="M154" s="180">
        <f>SUM(C154:L154)</f>
        <v>182558.78890031547</v>
      </c>
    </row>
    <row r="156" spans="2:13" ht="12.75">
      <c r="B156" s="11" t="s">
        <v>77</v>
      </c>
      <c r="C156" s="185">
        <f aca="true" t="shared" si="67" ref="C156:L156">+C53</f>
        <v>0.3935522628675282</v>
      </c>
      <c r="D156" s="185">
        <f t="shared" si="67"/>
        <v>0.12363264095632436</v>
      </c>
      <c r="E156" s="185">
        <f t="shared" si="67"/>
        <v>0.20905337120304784</v>
      </c>
      <c r="F156" s="185">
        <f t="shared" si="67"/>
        <v>0.0037356420171326234</v>
      </c>
      <c r="G156" s="185">
        <f t="shared" si="67"/>
        <v>0.009917986973730737</v>
      </c>
      <c r="H156" s="185">
        <f t="shared" si="67"/>
        <v>0.18365956039192874</v>
      </c>
      <c r="I156" s="185">
        <f t="shared" si="67"/>
        <v>0.007418053511883714</v>
      </c>
      <c r="J156" s="185">
        <f t="shared" si="67"/>
        <v>0.002060781652199371</v>
      </c>
      <c r="K156" s="185">
        <f t="shared" si="67"/>
        <v>0.0024942301915918583</v>
      </c>
      <c r="L156" s="185">
        <f t="shared" si="67"/>
        <v>0.003823092161045143</v>
      </c>
      <c r="M156" s="179">
        <f>SUM(C156:L156)</f>
        <v>0.9393476219264125</v>
      </c>
    </row>
    <row r="157" spans="3:16" ht="12.75">
      <c r="C157" s="186">
        <f aca="true" t="shared" si="68" ref="C157:L157">+C156*$M157</f>
        <v>1601.962357047531</v>
      </c>
      <c r="D157" s="186">
        <f t="shared" si="68"/>
        <v>503.24913766553743</v>
      </c>
      <c r="E157" s="186">
        <f t="shared" si="68"/>
        <v>850.9559285494303</v>
      </c>
      <c r="F157" s="186">
        <f t="shared" si="68"/>
        <v>15.206005543578685</v>
      </c>
      <c r="G157" s="186">
        <f t="shared" si="68"/>
        <v>40.371364336310435</v>
      </c>
      <c r="H157" s="186">
        <f t="shared" si="68"/>
        <v>747.5899137665538</v>
      </c>
      <c r="I157" s="186">
        <f t="shared" si="68"/>
        <v>30.195335181192895</v>
      </c>
      <c r="J157" s="186">
        <f t="shared" si="68"/>
        <v>8.388452930910583</v>
      </c>
      <c r="K157" s="186">
        <f t="shared" si="68"/>
        <v>10.152813879478492</v>
      </c>
      <c r="L157" s="186">
        <f t="shared" si="68"/>
        <v>15.561973103377476</v>
      </c>
      <c r="M157" s="180">
        <f>+'2016-2017 Recy. Tons &amp; Revenue'!D13</f>
        <v>4070.52</v>
      </c>
      <c r="O157" s="180">
        <f>SUM(C157:L157)</f>
        <v>3823.633282003901</v>
      </c>
      <c r="P157" s="180">
        <f>+M157-O157</f>
        <v>246.88671799609892</v>
      </c>
    </row>
    <row r="158" spans="3:13" ht="12.75">
      <c r="C158" s="100">
        <f aca="true" t="shared" si="69" ref="C158:L158">+C157*C10</f>
        <v>118993.76388149061</v>
      </c>
      <c r="D158" s="100">
        <f t="shared" si="69"/>
        <v>29329.35974314752</v>
      </c>
      <c r="E158" s="100">
        <f t="shared" si="69"/>
        <v>94524.18454327072</v>
      </c>
      <c r="F158" s="100">
        <f t="shared" si="69"/>
        <v>17017.496983985217</v>
      </c>
      <c r="G158" s="100">
        <f t="shared" si="69"/>
        <v>2950.3393056975665</v>
      </c>
      <c r="H158" s="100">
        <f t="shared" si="69"/>
        <v>-39876.44600030798</v>
      </c>
      <c r="I158" s="100">
        <f t="shared" si="69"/>
        <v>4861.448964172057</v>
      </c>
      <c r="J158" s="100">
        <f t="shared" si="69"/>
        <v>4026.45740683708</v>
      </c>
      <c r="K158" s="100">
        <f t="shared" si="69"/>
        <v>3248.9004414331175</v>
      </c>
      <c r="L158" s="100">
        <f t="shared" si="69"/>
        <v>0</v>
      </c>
      <c r="M158" s="180">
        <f>SUM(C158:L158)</f>
        <v>235075.50526972592</v>
      </c>
    </row>
    <row r="160" spans="2:13" ht="12.75">
      <c r="B160" s="11" t="s">
        <v>78</v>
      </c>
      <c r="C160" s="185">
        <f aca="true" t="shared" si="70" ref="C160:M160">+C57</f>
        <v>0.32390791645267925</v>
      </c>
      <c r="D160" s="185">
        <f t="shared" si="70"/>
        <v>0.16507526538590023</v>
      </c>
      <c r="E160" s="185">
        <f t="shared" si="70"/>
        <v>0.2087336767103616</v>
      </c>
      <c r="F160" s="185">
        <f t="shared" si="70"/>
        <v>0.004332932782201568</v>
      </c>
      <c r="G160" s="185">
        <f t="shared" si="70"/>
        <v>0.010058237807705537</v>
      </c>
      <c r="H160" s="185">
        <f t="shared" si="70"/>
        <v>0.18031781488554371</v>
      </c>
      <c r="I160" s="185">
        <f t="shared" si="70"/>
        <v>0.008249525072672606</v>
      </c>
      <c r="J160" s="185">
        <f t="shared" si="70"/>
        <v>0.0024257443021185993</v>
      </c>
      <c r="K160" s="185">
        <f t="shared" si="70"/>
        <v>0.002617709678545251</v>
      </c>
      <c r="L160" s="185">
        <f t="shared" si="70"/>
        <v>0.0053151971758652146</v>
      </c>
      <c r="M160" s="185">
        <f t="shared" si="70"/>
        <v>0.9110340202535937</v>
      </c>
    </row>
    <row r="161" spans="3:16" ht="12.75">
      <c r="C161" s="186">
        <f>+C160*$M161</f>
        <v>1214.444146551853</v>
      </c>
      <c r="D161" s="186">
        <f>+D160*$M161</f>
        <v>618.924946274625</v>
      </c>
      <c r="E161" s="186">
        <f>+E160*$M161</f>
        <v>782.6156107739943</v>
      </c>
      <c r="F161" s="186">
        <f>+F160*$M161</f>
        <v>16.245681526947447</v>
      </c>
      <c r="G161" s="186">
        <f aca="true" t="shared" si="71" ref="G161:L161">+G160*$M161</f>
        <v>37.71185392432076</v>
      </c>
      <c r="H161" s="186">
        <f t="shared" si="71"/>
        <v>676.0745992411133</v>
      </c>
      <c r="I161" s="186">
        <f t="shared" si="71"/>
        <v>30.930356831225037</v>
      </c>
      <c r="J161" s="186">
        <f t="shared" si="71"/>
        <v>9.09496439914837</v>
      </c>
      <c r="K161" s="186">
        <f t="shared" si="71"/>
        <v>9.814709783253637</v>
      </c>
      <c r="L161" s="186">
        <f t="shared" si="71"/>
        <v>19.928534531330243</v>
      </c>
      <c r="M161" s="180">
        <f>+'2016-2017 Recy. Tons &amp; Revenue'!D14</f>
        <v>3749.35</v>
      </c>
      <c r="O161" s="180">
        <f>SUM(C161:L161)</f>
        <v>3415.785403837811</v>
      </c>
      <c r="P161" s="180">
        <f>+M161-O161</f>
        <v>333.564596162189</v>
      </c>
    </row>
    <row r="162" spans="3:13" ht="12.75">
      <c r="C162" s="100">
        <f aca="true" t="shared" si="72" ref="C162:L162">+C161*C11</f>
        <v>94155.85468216517</v>
      </c>
      <c r="D162" s="100">
        <f t="shared" si="72"/>
        <v>43033.85151447468</v>
      </c>
      <c r="E162" s="100">
        <f t="shared" si="72"/>
        <v>87128.59594746878</v>
      </c>
      <c r="F162" s="100">
        <f t="shared" si="72"/>
        <v>18188.015210309284</v>
      </c>
      <c r="G162" s="100">
        <f t="shared" si="72"/>
        <v>3362.3888958924385</v>
      </c>
      <c r="H162" s="100">
        <f t="shared" si="72"/>
        <v>-36061.81912352099</v>
      </c>
      <c r="I162" s="100">
        <f t="shared" si="72"/>
        <v>5660.255300114181</v>
      </c>
      <c r="J162" s="100">
        <f t="shared" si="72"/>
        <v>4911.28077554012</v>
      </c>
      <c r="K162" s="100">
        <f t="shared" si="72"/>
        <v>4024.031011133991</v>
      </c>
      <c r="L162" s="100">
        <f t="shared" si="72"/>
        <v>120.96620460517458</v>
      </c>
      <c r="M162" s="180">
        <f>SUM(C162:L162)</f>
        <v>224523.42041818288</v>
      </c>
    </row>
    <row r="164" spans="2:13" ht="12.75">
      <c r="B164" s="11" t="s">
        <v>79</v>
      </c>
      <c r="C164" s="185">
        <f aca="true" t="shared" si="73" ref="C164:M164">+C61</f>
        <v>0.3351428710582611</v>
      </c>
      <c r="D164" s="185">
        <f t="shared" si="73"/>
        <v>0.12929890091500917</v>
      </c>
      <c r="E164" s="185">
        <f t="shared" si="73"/>
        <v>0.165248633480569</v>
      </c>
      <c r="F164" s="185">
        <f t="shared" si="73"/>
        <v>0.005166361330590928</v>
      </c>
      <c r="G164" s="185">
        <f t="shared" si="73"/>
        <v>0.009180063365040831</v>
      </c>
      <c r="H164" s="185">
        <f t="shared" si="73"/>
        <v>0.23568073710251675</v>
      </c>
      <c r="I164" s="185">
        <f t="shared" si="73"/>
        <v>0.009225020824045247</v>
      </c>
      <c r="J164" s="185">
        <f t="shared" si="73"/>
        <v>0.002663729446011711</v>
      </c>
      <c r="K164" s="185">
        <f t="shared" si="73"/>
        <v>0.003017145026518657</v>
      </c>
      <c r="L164" s="185">
        <f t="shared" si="73"/>
        <v>0.003263162232737272</v>
      </c>
      <c r="M164" s="185">
        <f t="shared" si="73"/>
        <v>0.8978866247813004</v>
      </c>
    </row>
    <row r="165" spans="3:16" ht="12.75">
      <c r="C165" s="186">
        <f>+C164*$M165</f>
        <v>1317.8387432891627</v>
      </c>
      <c r="D165" s="186">
        <f>+D164*$M165</f>
        <v>508.42525921097166</v>
      </c>
      <c r="E165" s="186">
        <f>+E164*$M165</f>
        <v>649.785719113289</v>
      </c>
      <c r="F165" s="186">
        <f>+F164*$M165</f>
        <v>20.31501103330973</v>
      </c>
      <c r="G165" s="186">
        <f aca="true" t="shared" si="74" ref="G165:L165">+G164*$M165</f>
        <v>36.097569762112606</v>
      </c>
      <c r="H165" s="186">
        <f t="shared" si="74"/>
        <v>926.7367240124033</v>
      </c>
      <c r="I165" s="186">
        <f t="shared" si="74"/>
        <v>36.274350133686</v>
      </c>
      <c r="J165" s="186">
        <f t="shared" si="74"/>
        <v>10.47423701572387</v>
      </c>
      <c r="K165" s="186">
        <f t="shared" si="74"/>
        <v>11.863927158925867</v>
      </c>
      <c r="L165" s="186">
        <f t="shared" si="74"/>
        <v>12.83130863670252</v>
      </c>
      <c r="M165" s="180">
        <f>+'2016-2017 Recy. Tons &amp; Revenue'!D15</f>
        <v>3932.17</v>
      </c>
      <c r="O165" s="180">
        <f>SUM(C165:L165)</f>
        <v>3530.642849366287</v>
      </c>
      <c r="P165" s="180">
        <f>+M165-O165</f>
        <v>401.52715063371306</v>
      </c>
    </row>
    <row r="166" spans="3:13" ht="12.75">
      <c r="C166" s="100">
        <f aca="true" t="shared" si="75" ref="C166:L166">+C165*C12</f>
        <v>110645.7408865581</v>
      </c>
      <c r="D166" s="100">
        <f t="shared" si="75"/>
        <v>40145.25846729832</v>
      </c>
      <c r="E166" s="100">
        <f t="shared" si="75"/>
        <v>70020.90909164803</v>
      </c>
      <c r="F166" s="100">
        <f t="shared" si="75"/>
        <v>23159.112577973094</v>
      </c>
      <c r="G166" s="100">
        <f t="shared" si="75"/>
        <v>4466.352306666193</v>
      </c>
      <c r="H166" s="100">
        <f t="shared" si="75"/>
        <v>-49432.1368588216</v>
      </c>
      <c r="I166" s="100">
        <f t="shared" si="75"/>
        <v>7436.24177740563</v>
      </c>
      <c r="J166" s="100">
        <f t="shared" si="75"/>
        <v>6912.996430377754</v>
      </c>
      <c r="K166" s="100">
        <f t="shared" si="75"/>
        <v>5813.324307873675</v>
      </c>
      <c r="L166" s="100">
        <f t="shared" si="75"/>
        <v>320.782715917563</v>
      </c>
      <c r="M166" s="180">
        <f>SUM(C166:L166)</f>
        <v>219488.58170289677</v>
      </c>
    </row>
    <row r="168" spans="2:13" ht="12.75">
      <c r="B168" s="11" t="s">
        <v>80</v>
      </c>
      <c r="C168" s="185">
        <f aca="true" t="shared" si="76" ref="C168:M168">+C65</f>
        <v>0.3014434502730693</v>
      </c>
      <c r="D168" s="185">
        <f t="shared" si="76"/>
        <v>0.27698329319923826</v>
      </c>
      <c r="E168" s="185">
        <f t="shared" si="76"/>
        <v>0.17200902623668102</v>
      </c>
      <c r="F168" s="185">
        <f t="shared" si="76"/>
        <v>0.0029903835560382143</v>
      </c>
      <c r="G168" s="185">
        <f t="shared" si="76"/>
        <v>0.005019712923178621</v>
      </c>
      <c r="H168" s="185">
        <f t="shared" si="76"/>
        <v>0.1510645371987976</v>
      </c>
      <c r="I168" s="185">
        <f t="shared" si="76"/>
        <v>0.0072870925602404905</v>
      </c>
      <c r="J168" s="185">
        <f t="shared" si="76"/>
        <v>0.002120811495663944</v>
      </c>
      <c r="K168" s="185">
        <f t="shared" si="76"/>
        <v>0.0018847285833451378</v>
      </c>
      <c r="L168" s="185">
        <f t="shared" si="76"/>
        <v>0.002936281221965155</v>
      </c>
      <c r="M168" s="185">
        <f t="shared" si="76"/>
        <v>0.9237393172482177</v>
      </c>
    </row>
    <row r="169" spans="3:16" ht="12.75">
      <c r="C169" s="186">
        <f>+C168*$M169</f>
        <v>1216.2489609892664</v>
      </c>
      <c r="D169" s="186">
        <f>+D168*$M169</f>
        <v>1117.5583422356265</v>
      </c>
      <c r="E169" s="186">
        <f>+E168*$M169</f>
        <v>694.0134186084488</v>
      </c>
      <c r="F169" s="186">
        <f>+F168*$M169</f>
        <v>12.065450052725184</v>
      </c>
      <c r="G169" s="186">
        <f aca="true" t="shared" si="77" ref="G169:L169">+G168*$M169</f>
        <v>20.253286716794943</v>
      </c>
      <c r="H169" s="186">
        <f t="shared" si="77"/>
        <v>609.5076414628486</v>
      </c>
      <c r="I169" s="186">
        <f t="shared" si="77"/>
        <v>29.40159670743032</v>
      </c>
      <c r="J169" s="186">
        <f t="shared" si="77"/>
        <v>8.556944182130099</v>
      </c>
      <c r="K169" s="186">
        <f t="shared" si="77"/>
        <v>7.604408651651795</v>
      </c>
      <c r="L169" s="186">
        <f t="shared" si="77"/>
        <v>11.847160660323908</v>
      </c>
      <c r="M169" s="180">
        <f>+'2016-2017 Recy. Tons &amp; Revenue'!D16</f>
        <v>4034.75</v>
      </c>
      <c r="O169" s="180">
        <f>SUM(C169:L169)</f>
        <v>3727.057210267246</v>
      </c>
      <c r="P169" s="180">
        <f>+M169-O169</f>
        <v>307.69278973275414</v>
      </c>
    </row>
    <row r="170" spans="3:13" ht="12.75">
      <c r="C170" s="100">
        <f aca="true" t="shared" si="78" ref="C170:L170">+C169*C13</f>
        <v>102906.82458930183</v>
      </c>
      <c r="D170" s="100">
        <f t="shared" si="78"/>
        <v>91449.79914514131</v>
      </c>
      <c r="E170" s="100">
        <f t="shared" si="78"/>
        <v>76376.17671785978</v>
      </c>
      <c r="F170" s="100">
        <f t="shared" si="78"/>
        <v>13030.6860569432</v>
      </c>
      <c r="G170" s="100">
        <f t="shared" si="78"/>
        <v>1562.9461359350657</v>
      </c>
      <c r="H170" s="100">
        <f t="shared" si="78"/>
        <v>-32511.137595628345</v>
      </c>
      <c r="I170" s="100">
        <f t="shared" si="78"/>
        <v>5927.361896217952</v>
      </c>
      <c r="J170" s="100">
        <f t="shared" si="78"/>
        <v>6075.43036931237</v>
      </c>
      <c r="K170" s="100">
        <f t="shared" si="78"/>
        <v>3574.072066276344</v>
      </c>
      <c r="L170" s="100">
        <f t="shared" si="78"/>
        <v>236.94321320647816</v>
      </c>
      <c r="M170" s="180">
        <f>SUM(C170:L170)</f>
        <v>268629.102594566</v>
      </c>
    </row>
    <row r="172" spans="2:13" ht="12.75">
      <c r="B172" s="11" t="s">
        <v>81</v>
      </c>
      <c r="C172" s="185">
        <f aca="true" t="shared" si="79" ref="C172:M172">+C69</f>
        <v>0.23301107324876041</v>
      </c>
      <c r="D172" s="185">
        <f t="shared" si="79"/>
        <v>0.1997603595083797</v>
      </c>
      <c r="E172" s="185">
        <f t="shared" si="79"/>
        <v>0.22327299840041162</v>
      </c>
      <c r="F172" s="185">
        <f t="shared" si="79"/>
        <v>0.005135833995362027</v>
      </c>
      <c r="G172" s="185">
        <f t="shared" si="79"/>
        <v>0.009777379700354102</v>
      </c>
      <c r="H172" s="185">
        <f t="shared" si="79"/>
        <v>0.23954282501837204</v>
      </c>
      <c r="I172" s="185">
        <f t="shared" si="79"/>
        <v>0.007199934253702101</v>
      </c>
      <c r="J172" s="185">
        <f t="shared" si="79"/>
        <v>0.00264414458944891</v>
      </c>
      <c r="K172" s="185">
        <f t="shared" si="79"/>
        <v>0.0025202747528260787</v>
      </c>
      <c r="L172" s="185">
        <f t="shared" si="79"/>
        <v>0.006097016285310348</v>
      </c>
      <c r="M172" s="185">
        <f t="shared" si="79"/>
        <v>0.9289618397529275</v>
      </c>
    </row>
    <row r="173" spans="3:16" ht="12.75">
      <c r="C173" s="186">
        <f>+C172*$M173</f>
        <v>901.6876103721931</v>
      </c>
      <c r="D173" s="186">
        <f>+D172*$M173</f>
        <v>773.0166583967671</v>
      </c>
      <c r="E173" s="186">
        <f>+E172*$M173</f>
        <v>864.0039873700408</v>
      </c>
      <c r="F173" s="186">
        <f>+F172*$M173</f>
        <v>19.874239528532343</v>
      </c>
      <c r="G173" s="186">
        <f aca="true" t="shared" si="80" ref="G173:L173">+G172*$M173</f>
        <v>37.83572177405427</v>
      </c>
      <c r="H173" s="186">
        <f t="shared" si="80"/>
        <v>926.9636608300946</v>
      </c>
      <c r="I173" s="186">
        <f t="shared" si="80"/>
        <v>27.86172958023609</v>
      </c>
      <c r="J173" s="186">
        <f t="shared" si="80"/>
        <v>10.232099200682235</v>
      </c>
      <c r="K173" s="186">
        <f t="shared" si="80"/>
        <v>9.752757616506132</v>
      </c>
      <c r="L173" s="186">
        <f t="shared" si="80"/>
        <v>23.593745859591156</v>
      </c>
      <c r="M173" s="180">
        <f>+'2016-2017 Recy. Tons &amp; Revenue'!D17</f>
        <v>3869.72</v>
      </c>
      <c r="O173" s="180">
        <f>SUM(C173:L173)</f>
        <v>3594.822210528698</v>
      </c>
      <c r="P173" s="180">
        <f>+M173-O173</f>
        <v>274.8977894713016</v>
      </c>
    </row>
    <row r="174" spans="3:13" ht="12.75">
      <c r="C174" s="100">
        <f aca="true" t="shared" si="81" ref="C174:L174">+C173*C14</f>
        <v>88139.96391388187</v>
      </c>
      <c r="D174" s="100">
        <f t="shared" si="81"/>
        <v>70460.46841286532</v>
      </c>
      <c r="E174" s="100">
        <f t="shared" si="81"/>
        <v>108147.37909910802</v>
      </c>
      <c r="F174" s="100">
        <f t="shared" si="81"/>
        <v>21464.17869081493</v>
      </c>
      <c r="G174" s="100">
        <f t="shared" si="81"/>
        <v>3360.1904507537597</v>
      </c>
      <c r="H174" s="100">
        <f t="shared" si="81"/>
        <v>-49444.24166867725</v>
      </c>
      <c r="I174" s="100">
        <f t="shared" si="81"/>
        <v>5823.101482269343</v>
      </c>
      <c r="J174" s="100">
        <f t="shared" si="81"/>
        <v>7162.469440477565</v>
      </c>
      <c r="K174" s="100">
        <f t="shared" si="81"/>
        <v>4535.032291675351</v>
      </c>
      <c r="L174" s="100">
        <f t="shared" si="81"/>
        <v>0</v>
      </c>
      <c r="M174" s="180">
        <f>SUM(C174:L174)</f>
        <v>259648.54211316895</v>
      </c>
    </row>
    <row r="175" spans="3:13" ht="12.75">
      <c r="C175" s="100"/>
      <c r="D175" s="100"/>
      <c r="E175" s="100"/>
      <c r="F175" s="100"/>
      <c r="G175" s="100"/>
      <c r="H175" s="100"/>
      <c r="I175" s="100"/>
      <c r="J175" s="100"/>
      <c r="K175" s="100"/>
      <c r="L175" s="100"/>
      <c r="M175" s="180"/>
    </row>
    <row r="176" spans="2:13" ht="12.75">
      <c r="B176" s="11" t="s">
        <v>82</v>
      </c>
      <c r="C176" s="185">
        <f aca="true" t="shared" si="82" ref="C176:M176">+C73</f>
        <v>0.3146989371157497</v>
      </c>
      <c r="D176" s="185">
        <f t="shared" si="82"/>
        <v>0.17558048416192024</v>
      </c>
      <c r="E176" s="185">
        <f t="shared" si="82"/>
        <v>0.18303908111263628</v>
      </c>
      <c r="F176" s="185">
        <f t="shared" si="82"/>
        <v>0.004523963543227992</v>
      </c>
      <c r="G176" s="185">
        <f t="shared" si="82"/>
        <v>0.007664757577191904</v>
      </c>
      <c r="H176" s="185">
        <f t="shared" si="82"/>
        <v>0.2303918629662938</v>
      </c>
      <c r="I176" s="185">
        <f t="shared" si="82"/>
        <v>0.008096011948901617</v>
      </c>
      <c r="J176" s="185">
        <f t="shared" si="82"/>
        <v>0.0030082622026579996</v>
      </c>
      <c r="K176" s="185">
        <f t="shared" si="82"/>
        <v>0.0019290744334527173</v>
      </c>
      <c r="L176" s="185">
        <f t="shared" si="82"/>
        <v>0.004147404847930242</v>
      </c>
      <c r="M176" s="185">
        <f t="shared" si="82"/>
        <v>0.9330798399099625</v>
      </c>
    </row>
    <row r="177" spans="3:16" ht="12.75">
      <c r="C177" s="186">
        <f>+C176*$M177</f>
        <v>1313.8775034263683</v>
      </c>
      <c r="D177" s="186">
        <f>+D176*$M177</f>
        <v>733.0537887905418</v>
      </c>
      <c r="E177" s="186">
        <f>+E176*$M177</f>
        <v>764.1936548176898</v>
      </c>
      <c r="F177" s="186">
        <f>+F176*$M177</f>
        <v>18.88768351188316</v>
      </c>
      <c r="G177" s="186">
        <f aca="true" t="shared" si="83" ref="G177:L177">+G176*$M177</f>
        <v>32.00059282750351</v>
      </c>
      <c r="H177" s="186">
        <f t="shared" si="83"/>
        <v>961.8929396401655</v>
      </c>
      <c r="I177" s="186">
        <f t="shared" si="83"/>
        <v>33.801092767022716</v>
      </c>
      <c r="J177" s="186">
        <f t="shared" si="83"/>
        <v>12.559584943963227</v>
      </c>
      <c r="K177" s="186">
        <f t="shared" si="83"/>
        <v>8.053943631898099</v>
      </c>
      <c r="L177" s="186">
        <f t="shared" si="83"/>
        <v>17.315539662254196</v>
      </c>
      <c r="M177" s="180">
        <f>+'2016-2017 Recy. Tons &amp; Revenue'!D18</f>
        <v>4175.03</v>
      </c>
      <c r="O177" s="180">
        <f>SUM(C177:L177)</f>
        <v>3895.6363240192904</v>
      </c>
      <c r="P177" s="180">
        <f>+M177-O177</f>
        <v>279.3936759807093</v>
      </c>
    </row>
    <row r="178" spans="3:13" ht="12.75">
      <c r="C178" s="100">
        <f aca="true" t="shared" si="84" ref="C178:L178">+C177*C15</f>
        <v>154052.13727674168</v>
      </c>
      <c r="D178" s="100">
        <f t="shared" si="84"/>
        <v>81244.35141165575</v>
      </c>
      <c r="E178" s="100">
        <f t="shared" si="84"/>
        <v>112871.40281657277</v>
      </c>
      <c r="F178" s="100">
        <f t="shared" si="84"/>
        <v>21456.030715829034</v>
      </c>
      <c r="G178" s="100">
        <f t="shared" si="84"/>
        <v>3088.697219710639</v>
      </c>
      <c r="H178" s="100">
        <f t="shared" si="84"/>
        <v>-51307.36940040643</v>
      </c>
      <c r="I178" s="100">
        <f t="shared" si="84"/>
        <v>7219.913415036052</v>
      </c>
      <c r="J178" s="100">
        <f t="shared" si="84"/>
        <v>8226.528138295913</v>
      </c>
      <c r="K178" s="100">
        <f t="shared" si="84"/>
        <v>3230.678409063284</v>
      </c>
      <c r="L178" s="100">
        <f t="shared" si="84"/>
        <v>-126.40343953445563</v>
      </c>
      <c r="M178" s="180">
        <f>SUM(C178:L178)</f>
        <v>339955.9665629642</v>
      </c>
    </row>
    <row r="180" spans="2:13" ht="12.75">
      <c r="B180" s="11" t="s">
        <v>83</v>
      </c>
      <c r="C180" s="185">
        <f aca="true" t="shared" si="85" ref="C180:M180">+C77</f>
        <v>0.31785837300041225</v>
      </c>
      <c r="D180" s="185">
        <f t="shared" si="85"/>
        <v>0.17984404203298723</v>
      </c>
      <c r="E180" s="185">
        <f t="shared" si="85"/>
        <v>0.19675435773211597</v>
      </c>
      <c r="F180" s="185">
        <f t="shared" si="85"/>
        <v>0.0037651257206421274</v>
      </c>
      <c r="G180" s="185">
        <f t="shared" si="85"/>
        <v>0.009731280244383087</v>
      </c>
      <c r="H180" s="185">
        <f t="shared" si="85"/>
        <v>0.20464373034291555</v>
      </c>
      <c r="I180" s="185">
        <f t="shared" si="85"/>
        <v>0.01269233592510404</v>
      </c>
      <c r="J180" s="185">
        <f t="shared" si="85"/>
        <v>0.0019593560663809513</v>
      </c>
      <c r="K180" s="185">
        <f t="shared" si="85"/>
        <v>0.002134399403723341</v>
      </c>
      <c r="L180" s="185">
        <f t="shared" si="85"/>
        <v>0.0045793595672476975</v>
      </c>
      <c r="M180" s="185">
        <f t="shared" si="85"/>
        <v>0.9339623600359122</v>
      </c>
    </row>
    <row r="181" spans="3:16" ht="12.75">
      <c r="C181" s="186">
        <f>+C180*$M181</f>
        <v>1266.5670803110127</v>
      </c>
      <c r="D181" s="186">
        <f>+D180*$M181</f>
        <v>716.6227558484239</v>
      </c>
      <c r="E181" s="186">
        <f>+E180*$M181</f>
        <v>784.0051217115852</v>
      </c>
      <c r="F181" s="186">
        <f>+F180*$M181</f>
        <v>15.00285880778548</v>
      </c>
      <c r="G181" s="186">
        <f aca="true" t="shared" si="86" ref="G181:L181">+G180*$M181</f>
        <v>38.77613507699084</v>
      </c>
      <c r="H181" s="186">
        <f t="shared" si="86"/>
        <v>815.4418258601122</v>
      </c>
      <c r="I181" s="186">
        <f t="shared" si="86"/>
        <v>50.57502403740281</v>
      </c>
      <c r="J181" s="186">
        <f t="shared" si="86"/>
        <v>7.8074265241475125</v>
      </c>
      <c r="K181" s="186">
        <f t="shared" si="86"/>
        <v>8.50491996002236</v>
      </c>
      <c r="L181" s="186">
        <f t="shared" si="86"/>
        <v>18.247328274016226</v>
      </c>
      <c r="M181" s="180">
        <f>+'2016-2017 Recy. Tons &amp; Revenue'!D19</f>
        <v>3984.69</v>
      </c>
      <c r="O181" s="180">
        <f>SUM(C181:L181)</f>
        <v>3721.5504764114994</v>
      </c>
      <c r="P181" s="180">
        <f>+M181-O181</f>
        <v>263.13952358850065</v>
      </c>
    </row>
    <row r="182" spans="3:13" ht="12.75">
      <c r="C182" s="100">
        <f aca="true" t="shared" si="87" ref="C182:L182">+C181*C16</f>
        <v>137295.8715057138</v>
      </c>
      <c r="D182" s="100">
        <f t="shared" si="87"/>
        <v>67756.68156546848</v>
      </c>
      <c r="E182" s="100">
        <f t="shared" si="87"/>
        <v>97169.59478493387</v>
      </c>
      <c r="F182" s="100">
        <f t="shared" si="87"/>
        <v>16729.087742209274</v>
      </c>
      <c r="G182" s="100">
        <f t="shared" si="87"/>
        <v>4126.944056244135</v>
      </c>
      <c r="H182" s="100">
        <f t="shared" si="87"/>
        <v>-43495.666991378384</v>
      </c>
      <c r="I182" s="100">
        <f t="shared" si="87"/>
        <v>9287.091663988278</v>
      </c>
      <c r="J182" s="100">
        <f t="shared" si="87"/>
        <v>4372.158853522607</v>
      </c>
      <c r="K182" s="100">
        <f t="shared" si="87"/>
        <v>3316.91878440872</v>
      </c>
      <c r="L182" s="100">
        <f t="shared" si="87"/>
        <v>-64.59554209001745</v>
      </c>
      <c r="M182" s="180">
        <f>SUM(C182:L182)</f>
        <v>296494.0864230208</v>
      </c>
    </row>
    <row r="184" spans="2:13" ht="12.75">
      <c r="B184" s="11" t="s">
        <v>84</v>
      </c>
      <c r="C184" s="185">
        <f aca="true" t="shared" si="88" ref="C184:M184">+C81</f>
        <v>0.317189733124261</v>
      </c>
      <c r="D184" s="185">
        <f t="shared" si="88"/>
        <v>0.16432268394194607</v>
      </c>
      <c r="E184" s="185">
        <f t="shared" si="88"/>
        <v>0.18982899192397584</v>
      </c>
      <c r="F184" s="185">
        <f t="shared" si="88"/>
        <v>0.004357019992264471</v>
      </c>
      <c r="G184" s="185">
        <f t="shared" si="88"/>
        <v>0.012398884408942799</v>
      </c>
      <c r="H184" s="185">
        <f t="shared" si="88"/>
        <v>0.2144713890122435</v>
      </c>
      <c r="I184" s="185">
        <f t="shared" si="88"/>
        <v>0.009248474657328202</v>
      </c>
      <c r="J184" s="185">
        <f t="shared" si="88"/>
        <v>0.0038887009490898633</v>
      </c>
      <c r="K184" s="185">
        <f t="shared" si="88"/>
        <v>0.0014291995270528629</v>
      </c>
      <c r="L184" s="185">
        <f t="shared" si="88"/>
        <v>0.004285394726837767</v>
      </c>
      <c r="M184" s="185">
        <f t="shared" si="88"/>
        <v>0.9214204722639424</v>
      </c>
    </row>
    <row r="185" spans="3:16" ht="12.75">
      <c r="C185" s="186">
        <f>+C184*$M185</f>
        <v>1200.994517912377</v>
      </c>
      <c r="D185" s="186">
        <f>+D184*$M185</f>
        <v>622.1848375704269</v>
      </c>
      <c r="E185" s="186">
        <f>+E184*$M185</f>
        <v>718.7609018612652</v>
      </c>
      <c r="F185" s="186">
        <f>+F184*$M185</f>
        <v>16.497246217910504</v>
      </c>
      <c r="G185" s="186">
        <f aca="true" t="shared" si="89" ref="G185:L185">+G184*$M185</f>
        <v>46.946639970644654</v>
      </c>
      <c r="H185" s="186">
        <f t="shared" si="89"/>
        <v>812.0658885003983</v>
      </c>
      <c r="I185" s="186">
        <f t="shared" si="89"/>
        <v>35.01805450352121</v>
      </c>
      <c r="J185" s="186">
        <f t="shared" si="89"/>
        <v>14.724021725595895</v>
      </c>
      <c r="K185" s="186">
        <f t="shared" si="89"/>
        <v>5.411463921251878</v>
      </c>
      <c r="L185" s="186">
        <f t="shared" si="89"/>
        <v>16.226047177909447</v>
      </c>
      <c r="M185" s="180">
        <f>+'2016-2017 Recy. Tons &amp; Revenue'!D20</f>
        <v>3786.36</v>
      </c>
      <c r="O185" s="180">
        <f>SUM(C185:L185)</f>
        <v>3488.829619361301</v>
      </c>
      <c r="P185" s="180">
        <f>+M185-O185</f>
        <v>297.53038063869917</v>
      </c>
    </row>
    <row r="186" spans="3:13" ht="12.75">
      <c r="C186" s="100">
        <f aca="true" t="shared" si="90" ref="C186:L186">+C185*C17</f>
        <v>127017.18021441299</v>
      </c>
      <c r="D186" s="100">
        <f t="shared" si="90"/>
        <v>56183.29083260955</v>
      </c>
      <c r="E186" s="100">
        <f t="shared" si="90"/>
        <v>95947.3927894603</v>
      </c>
      <c r="F186" s="100">
        <f t="shared" si="90"/>
        <v>19398.616910254423</v>
      </c>
      <c r="G186" s="100">
        <f t="shared" si="90"/>
        <v>4068.8652862557724</v>
      </c>
      <c r="H186" s="100">
        <f t="shared" si="90"/>
        <v>-43315.59449261125</v>
      </c>
      <c r="I186" s="100">
        <f t="shared" si="90"/>
        <v>6688.448410172552</v>
      </c>
      <c r="J186" s="100">
        <f t="shared" si="90"/>
        <v>7950.971731821784</v>
      </c>
      <c r="K186" s="100">
        <f t="shared" si="90"/>
        <v>2705.731960625939</v>
      </c>
      <c r="L186" s="100">
        <f t="shared" si="90"/>
        <v>677.9242510930567</v>
      </c>
      <c r="M186" s="180">
        <f>SUM(C186:L186)</f>
        <v>277322.8278940951</v>
      </c>
    </row>
    <row r="187" spans="3:13" ht="12.75">
      <c r="C187" s="100"/>
      <c r="D187" s="100"/>
      <c r="E187" s="100"/>
      <c r="F187" s="100"/>
      <c r="G187" s="100"/>
      <c r="H187" s="100"/>
      <c r="I187" s="100"/>
      <c r="J187" s="100"/>
      <c r="K187" s="100"/>
      <c r="L187" s="100"/>
      <c r="M187" s="180"/>
    </row>
    <row r="188" spans="2:13" ht="12.75">
      <c r="B188" s="11" t="s">
        <v>85</v>
      </c>
      <c r="C188" s="185">
        <f aca="true" t="shared" si="91" ref="C188:M188">+C85</f>
        <v>0.3203214536631026</v>
      </c>
      <c r="D188" s="185">
        <f t="shared" si="91"/>
        <v>0.22163692751194305</v>
      </c>
      <c r="E188" s="185">
        <f t="shared" si="91"/>
        <v>0.1571478983229014</v>
      </c>
      <c r="F188" s="185">
        <f t="shared" si="91"/>
        <v>0.00401710467819985</v>
      </c>
      <c r="G188" s="185">
        <f t="shared" si="91"/>
        <v>0.011507597637072502</v>
      </c>
      <c r="H188" s="185">
        <f t="shared" si="91"/>
        <v>0.1945491898092621</v>
      </c>
      <c r="I188" s="185">
        <f t="shared" si="91"/>
        <v>0.006923322128511101</v>
      </c>
      <c r="J188" s="185">
        <f t="shared" si="91"/>
        <v>0.0031876706443252525</v>
      </c>
      <c r="K188" s="185">
        <f t="shared" si="91"/>
        <v>0.0018688918526763105</v>
      </c>
      <c r="L188" s="185">
        <f t="shared" si="91"/>
        <v>0.003782560349854848</v>
      </c>
      <c r="M188" s="185">
        <f t="shared" si="91"/>
        <v>0.9249426165978492</v>
      </c>
    </row>
    <row r="189" spans="3:16" ht="12.75">
      <c r="C189" s="186">
        <f>+C188*$M189</f>
        <v>1344.7446978376076</v>
      </c>
      <c r="D189" s="186">
        <f>+D188*$M189</f>
        <v>930.4562017571632</v>
      </c>
      <c r="E189" s="186">
        <f>+E188*$M189</f>
        <v>659.7241634283556</v>
      </c>
      <c r="F189" s="186">
        <f>+F188*$M189</f>
        <v>16.86424732059757</v>
      </c>
      <c r="G189" s="186">
        <f aca="true" t="shared" si="92" ref="G189:L189">+G188*$M189</f>
        <v>48.31016071617044</v>
      </c>
      <c r="H189" s="186">
        <f t="shared" si="92"/>
        <v>816.7388992301613</v>
      </c>
      <c r="I189" s="186">
        <f t="shared" si="92"/>
        <v>29.064867860923737</v>
      </c>
      <c r="J189" s="186">
        <f t="shared" si="92"/>
        <v>13.382192008648286</v>
      </c>
      <c r="K189" s="186">
        <f t="shared" si="92"/>
        <v>7.845813575638945</v>
      </c>
      <c r="L189" s="186">
        <f t="shared" si="92"/>
        <v>15.879604430329135</v>
      </c>
      <c r="M189" s="180">
        <f>+'2016-2017 Recy. Tons &amp; Revenue'!D21</f>
        <v>4198.11</v>
      </c>
      <c r="O189" s="180">
        <f>SUM(C189:L189)</f>
        <v>3883.0108481655957</v>
      </c>
      <c r="P189" s="180">
        <f>+M189-O189</f>
        <v>315.099151834404</v>
      </c>
    </row>
    <row r="190" spans="3:13" ht="12.75">
      <c r="C190" s="100">
        <f aca="true" t="shared" si="93" ref="C190:L190">+C189*C18</f>
        <v>151525.83255234163</v>
      </c>
      <c r="D190" s="100">
        <f t="shared" si="93"/>
        <v>94180.77674186006</v>
      </c>
      <c r="E190" s="100">
        <f t="shared" si="93"/>
        <v>94808.95952628899</v>
      </c>
      <c r="F190" s="100">
        <f t="shared" si="93"/>
        <v>21131.745105074784</v>
      </c>
      <c r="G190" s="100">
        <f t="shared" si="93"/>
        <v>4582.7018455359275</v>
      </c>
      <c r="H190" s="100">
        <f t="shared" si="93"/>
        <v>-43564.85288493681</v>
      </c>
      <c r="I190" s="100">
        <f t="shared" si="93"/>
        <v>5650.210312163575</v>
      </c>
      <c r="J190" s="100">
        <f t="shared" si="93"/>
        <v>6691.096004324143</v>
      </c>
      <c r="K190" s="100">
        <f t="shared" si="93"/>
        <v>3609.0742447939147</v>
      </c>
      <c r="L190" s="100">
        <f t="shared" si="93"/>
        <v>577.2236210424641</v>
      </c>
      <c r="M190" s="180">
        <f>SUM(C190:L190)</f>
        <v>339192.7670684887</v>
      </c>
    </row>
    <row r="192" spans="2:13" ht="12.75">
      <c r="B192" s="11" t="s">
        <v>74</v>
      </c>
      <c r="C192" s="185">
        <f aca="true" t="shared" si="94" ref="C192:M192">+C89</f>
        <v>0.3473530542538906</v>
      </c>
      <c r="D192" s="185">
        <f t="shared" si="94"/>
        <v>0.1692540856182893</v>
      </c>
      <c r="E192" s="185">
        <f t="shared" si="94"/>
        <v>0.17063592446690554</v>
      </c>
      <c r="F192" s="185">
        <f t="shared" si="94"/>
        <v>0.004473146079310864</v>
      </c>
      <c r="G192" s="185">
        <f t="shared" si="94"/>
        <v>0.012457722974742439</v>
      </c>
      <c r="H192" s="185">
        <f t="shared" si="94"/>
        <v>0.18685024321478125</v>
      </c>
      <c r="I192" s="185">
        <f t="shared" si="94"/>
        <v>0.003915952995191424</v>
      </c>
      <c r="J192" s="185">
        <f t="shared" si="94"/>
        <v>0.0027291317260170166</v>
      </c>
      <c r="K192" s="185">
        <f t="shared" si="94"/>
        <v>0.0013383777880548947</v>
      </c>
      <c r="L192" s="185">
        <f t="shared" si="94"/>
        <v>0.0029486658011600763</v>
      </c>
      <c r="M192" s="185">
        <f t="shared" si="94"/>
        <v>0.9019563049183433</v>
      </c>
    </row>
    <row r="193" spans="3:16" ht="12.75">
      <c r="C193" s="186">
        <f>+C192*$M193</f>
        <v>1504.816795760875</v>
      </c>
      <c r="D193" s="186">
        <f>+D192*$M193</f>
        <v>733.2493198789776</v>
      </c>
      <c r="E193" s="186">
        <f>+E192*$M193</f>
        <v>739.2357774125068</v>
      </c>
      <c r="F193" s="186">
        <f>+F192*$M193</f>
        <v>19.3787423706337</v>
      </c>
      <c r="G193" s="186">
        <f aca="true" t="shared" si="95" ref="G193:L193">+G192*$M193</f>
        <v>53.96984578009818</v>
      </c>
      <c r="H193" s="186">
        <f t="shared" si="95"/>
        <v>809.4800976648039</v>
      </c>
      <c r="I193" s="186">
        <f t="shared" si="95"/>
        <v>16.964848203888096</v>
      </c>
      <c r="J193" s="186">
        <f t="shared" si="95"/>
        <v>11.823253628719959</v>
      </c>
      <c r="K193" s="186">
        <f t="shared" si="95"/>
        <v>5.798173788522937</v>
      </c>
      <c r="L193" s="186">
        <f t="shared" si="95"/>
        <v>12.774327930417728</v>
      </c>
      <c r="M193" s="180">
        <f>+'2016-2017 Recy. Tons &amp; Revenue'!D22</f>
        <v>4332.24</v>
      </c>
      <c r="O193" s="180">
        <f>SUM(C193:L193)</f>
        <v>3907.4911824194437</v>
      </c>
      <c r="P193" s="180">
        <f>+M193-O193</f>
        <v>424.7488175805561</v>
      </c>
    </row>
    <row r="194" spans="3:13" ht="12.75">
      <c r="C194" s="100">
        <f aca="true" t="shared" si="96" ref="C194:L194">+C193*C19</f>
        <v>184069.19045747022</v>
      </c>
      <c r="D194" s="100">
        <f t="shared" si="96"/>
        <v>73376.25944028929</v>
      </c>
      <c r="E194" s="100">
        <f t="shared" si="96"/>
        <v>111676.34889370739</v>
      </c>
      <c r="F194" s="100">
        <f t="shared" si="96"/>
        <v>24341.638291752988</v>
      </c>
      <c r="G194" s="100">
        <f t="shared" si="96"/>
        <v>6268.597587358404</v>
      </c>
      <c r="H194" s="100">
        <f t="shared" si="96"/>
        <v>-43177.668409440645</v>
      </c>
      <c r="I194" s="100">
        <f t="shared" si="96"/>
        <v>3046.886737418302</v>
      </c>
      <c r="J194" s="100">
        <f t="shared" si="96"/>
        <v>6053.505857904619</v>
      </c>
      <c r="K194" s="100">
        <f t="shared" si="96"/>
        <v>1867.0119599043858</v>
      </c>
      <c r="L194" s="100">
        <f t="shared" si="96"/>
        <v>142.43375642415768</v>
      </c>
      <c r="M194" s="180">
        <f>SUM(C194:L194)</f>
        <v>367664.2045727891</v>
      </c>
    </row>
    <row r="196" spans="2:13" ht="12.75">
      <c r="B196" s="11" t="s">
        <v>86</v>
      </c>
      <c r="C196" s="185">
        <f aca="true" t="shared" si="97" ref="C196:L196">+C93</f>
        <v>0.2884796552641187</v>
      </c>
      <c r="D196" s="185">
        <f t="shared" si="97"/>
        <v>0.2009761055843787</v>
      </c>
      <c r="E196" s="185">
        <f t="shared" si="97"/>
        <v>0.20081834204037843</v>
      </c>
      <c r="F196" s="185">
        <f t="shared" si="97"/>
        <v>0.005963461963209541</v>
      </c>
      <c r="G196" s="185">
        <f t="shared" si="97"/>
        <v>0.011156136325732134</v>
      </c>
      <c r="H196" s="185">
        <f t="shared" si="97"/>
        <v>0.17918783327548668</v>
      </c>
      <c r="I196" s="185">
        <f t="shared" si="97"/>
        <v>0.006129113684409806</v>
      </c>
      <c r="J196" s="185">
        <f t="shared" si="97"/>
        <v>0.001667786036574097</v>
      </c>
      <c r="K196" s="185">
        <f t="shared" si="97"/>
        <v>0.0022785563283465025</v>
      </c>
      <c r="L196" s="185">
        <f t="shared" si="97"/>
        <v>0.004199890917778148</v>
      </c>
      <c r="M196" s="179">
        <f>SUM(C196:L196)</f>
        <v>0.9008568814204128</v>
      </c>
    </row>
    <row r="197" spans="3:16" ht="12.75">
      <c r="C197" s="186">
        <f aca="true" t="shared" si="98" ref="C197:L197">+C196*$M197</f>
        <v>1241.1029424703968</v>
      </c>
      <c r="D197" s="186">
        <f t="shared" si="98"/>
        <v>864.6434209672258</v>
      </c>
      <c r="E197" s="186">
        <f t="shared" si="98"/>
        <v>863.964687492957</v>
      </c>
      <c r="F197" s="186">
        <f t="shared" si="98"/>
        <v>25.656125327359355</v>
      </c>
      <c r="G197" s="186">
        <f t="shared" si="98"/>
        <v>47.996152823291304</v>
      </c>
      <c r="H197" s="186">
        <f t="shared" si="98"/>
        <v>770.9054800744643</v>
      </c>
      <c r="I197" s="186">
        <f t="shared" si="98"/>
        <v>26.368795475341557</v>
      </c>
      <c r="J197" s="186">
        <f t="shared" si="98"/>
        <v>7.175182442269811</v>
      </c>
      <c r="K197" s="186">
        <f t="shared" si="98"/>
        <v>9.80285060693889</v>
      </c>
      <c r="L197" s="186">
        <f t="shared" si="98"/>
        <v>18.068854704283506</v>
      </c>
      <c r="M197" s="180">
        <f>+'2016-2017 Recy. Tons &amp; Revenue'!D23</f>
        <v>4302.22</v>
      </c>
      <c r="O197" s="180">
        <f>SUM(C197:L197)</f>
        <v>3875.6844923845283</v>
      </c>
      <c r="P197" s="180">
        <f>+M197-O197</f>
        <v>426.53550761547194</v>
      </c>
    </row>
    <row r="198" spans="3:13" ht="12.75">
      <c r="C198" s="100">
        <f aca="true" t="shared" si="99" ref="C198:L198">+C197*C20</f>
        <v>161926.70090411266</v>
      </c>
      <c r="D198" s="100">
        <f t="shared" si="99"/>
        <v>106281.9693052914</v>
      </c>
      <c r="E198" s="100">
        <f t="shared" si="99"/>
        <v>139478.45914886298</v>
      </c>
      <c r="F198" s="100">
        <f t="shared" si="99"/>
        <v>33994.62262000442</v>
      </c>
      <c r="G198" s="100">
        <f t="shared" si="99"/>
        <v>6265.417789552446</v>
      </c>
      <c r="H198" s="100">
        <f t="shared" si="99"/>
        <v>-41120.09830717193</v>
      </c>
      <c r="I198" s="100">
        <f t="shared" si="99"/>
        <v>5036.4399357902375</v>
      </c>
      <c r="J198" s="100">
        <f t="shared" si="99"/>
        <v>3745.4452348648415</v>
      </c>
      <c r="K198" s="100">
        <f t="shared" si="99"/>
        <v>2940.855182081667</v>
      </c>
      <c r="L198" s="100">
        <f t="shared" si="99"/>
        <v>77.51538668137624</v>
      </c>
      <c r="M198" s="180">
        <f>SUM(C198:L198)</f>
        <v>418627.3272000701</v>
      </c>
    </row>
    <row r="199" spans="3:12" ht="12.75">
      <c r="C199" s="185"/>
      <c r="D199" s="185"/>
      <c r="E199" s="185"/>
      <c r="F199" s="185"/>
      <c r="G199" s="185"/>
      <c r="H199" s="185"/>
      <c r="I199" s="185"/>
      <c r="J199" s="185"/>
      <c r="K199" s="185"/>
      <c r="L199" s="185"/>
    </row>
    <row r="200" spans="2:13" ht="12.75">
      <c r="B200" s="11" t="s">
        <v>76</v>
      </c>
      <c r="C200" s="185">
        <f aca="true" t="shared" si="100" ref="C200:L200">+C97</f>
        <v>0.2977495844403085</v>
      </c>
      <c r="D200" s="185">
        <f t="shared" si="100"/>
        <v>0.2348928069103669</v>
      </c>
      <c r="E200" s="185">
        <f t="shared" si="100"/>
        <v>0.13215934760680237</v>
      </c>
      <c r="F200" s="185">
        <f t="shared" si="100"/>
        <v>0.0030090783809510273</v>
      </c>
      <c r="G200" s="185">
        <f t="shared" si="100"/>
        <v>0.010868484237146061</v>
      </c>
      <c r="H200" s="185">
        <f t="shared" si="100"/>
        <v>0.19788739397900174</v>
      </c>
      <c r="I200" s="185">
        <f t="shared" si="100"/>
        <v>0.010366971173654224</v>
      </c>
      <c r="J200" s="185">
        <f t="shared" si="100"/>
        <v>0.0029209939335388627</v>
      </c>
      <c r="K200" s="185">
        <f t="shared" si="100"/>
        <v>0.002805915865145552</v>
      </c>
      <c r="L200" s="185">
        <f t="shared" si="100"/>
        <v>0.0035361643485302676</v>
      </c>
      <c r="M200" s="179">
        <f>SUM(C200:L200)</f>
        <v>0.8961967408754454</v>
      </c>
    </row>
    <row r="201" spans="3:16" ht="12.75">
      <c r="C201" s="186">
        <f aca="true" t="shared" si="101" ref="C201:L201">+C200*$M201</f>
        <v>1062.977926435279</v>
      </c>
      <c r="D201" s="186">
        <f t="shared" si="101"/>
        <v>838.5767163822862</v>
      </c>
      <c r="E201" s="186">
        <f t="shared" si="101"/>
        <v>471.8141573301887</v>
      </c>
      <c r="F201" s="186">
        <f t="shared" si="101"/>
        <v>10.742530183130405</v>
      </c>
      <c r="G201" s="186">
        <f t="shared" si="101"/>
        <v>38.80092346598092</v>
      </c>
      <c r="H201" s="186">
        <f t="shared" si="101"/>
        <v>706.4659120007954</v>
      </c>
      <c r="I201" s="186">
        <f t="shared" si="101"/>
        <v>37.01050176879252</v>
      </c>
      <c r="J201" s="186">
        <f t="shared" si="101"/>
        <v>10.428065182491082</v>
      </c>
      <c r="K201" s="186">
        <f t="shared" si="101"/>
        <v>10.017231875204226</v>
      </c>
      <c r="L201" s="186">
        <f t="shared" si="101"/>
        <v>12.624248170826997</v>
      </c>
      <c r="M201" s="180">
        <f>+'2016-2017 Recy. Tons &amp; Revenue'!D24</f>
        <v>3570.04</v>
      </c>
      <c r="O201" s="180">
        <f>SUM(C201:L201)</f>
        <v>3199.458212794975</v>
      </c>
      <c r="P201" s="180">
        <f>+M201-O201</f>
        <v>370.58178720502474</v>
      </c>
    </row>
    <row r="202" spans="3:13" ht="12.75">
      <c r="C202" s="100">
        <f aca="true" t="shared" si="102" ref="C202:L202">+C201*C21</f>
        <v>148349.19941330753</v>
      </c>
      <c r="D202" s="100">
        <f t="shared" si="102"/>
        <v>109937.40751771771</v>
      </c>
      <c r="E202" s="100">
        <f t="shared" si="102"/>
        <v>88894.50538258086</v>
      </c>
      <c r="F202" s="100">
        <f t="shared" si="102"/>
        <v>14609.841049057351</v>
      </c>
      <c r="G202" s="100">
        <f t="shared" si="102"/>
        <v>5099.605371133873</v>
      </c>
      <c r="H202" s="100">
        <f t="shared" si="102"/>
        <v>-37682.89174612243</v>
      </c>
      <c r="I202" s="100">
        <f t="shared" si="102"/>
        <v>8364.37339974711</v>
      </c>
      <c r="J202" s="100">
        <f t="shared" si="102"/>
        <v>6298.5513702246135</v>
      </c>
      <c r="K202" s="100">
        <f t="shared" si="102"/>
        <v>3305.6865188173947</v>
      </c>
      <c r="L202" s="100">
        <f t="shared" si="102"/>
        <v>-63.12124085413498</v>
      </c>
      <c r="M202" s="180">
        <f>SUM(C202:L202)</f>
        <v>347113.1570356099</v>
      </c>
    </row>
    <row r="204" spans="2:13" ht="12.75">
      <c r="B204" s="11" t="s">
        <v>77</v>
      </c>
      <c r="C204" s="185">
        <f aca="true" t="shared" si="103" ref="C204:L204">+C101</f>
        <v>0.29939481445443367</v>
      </c>
      <c r="D204" s="185">
        <f t="shared" si="103"/>
        <v>0.21663179777410513</v>
      </c>
      <c r="E204" s="185">
        <f t="shared" si="103"/>
        <v>0.17502574422852424</v>
      </c>
      <c r="F204" s="185">
        <f t="shared" si="103"/>
        <v>0.004385874899347008</v>
      </c>
      <c r="G204" s="185">
        <f t="shared" si="103"/>
        <v>0.010729880568509828</v>
      </c>
      <c r="H204" s="185">
        <f t="shared" si="103"/>
        <v>0.18796123818572305</v>
      </c>
      <c r="I204" s="185">
        <f t="shared" si="103"/>
        <v>0.0022309652667198655</v>
      </c>
      <c r="J204" s="185">
        <f t="shared" si="103"/>
        <v>0.0029818637493496036</v>
      </c>
      <c r="K204" s="185">
        <f t="shared" si="103"/>
        <v>0.002484484047028941</v>
      </c>
      <c r="L204" s="185">
        <f t="shared" si="103"/>
        <v>0.009174965382614165</v>
      </c>
      <c r="M204" s="179">
        <f>SUM(C204:L204)</f>
        <v>0.9110016285563557</v>
      </c>
    </row>
    <row r="205" spans="3:16" ht="12.75">
      <c r="C205" s="186">
        <f aca="true" t="shared" si="104" ref="C205:L205">+C204*$M205</f>
        <v>1232.6503663829271</v>
      </c>
      <c r="D205" s="186">
        <f t="shared" si="104"/>
        <v>891.9034398876793</v>
      </c>
      <c r="E205" s="186">
        <f t="shared" si="104"/>
        <v>720.6054925930264</v>
      </c>
      <c r="F205" s="186">
        <f t="shared" si="104"/>
        <v>18.057260983097542</v>
      </c>
      <c r="G205" s="186">
        <f t="shared" si="104"/>
        <v>44.17642048383456</v>
      </c>
      <c r="H205" s="186">
        <f t="shared" si="104"/>
        <v>773.8627321839679</v>
      </c>
      <c r="I205" s="186">
        <f t="shared" si="104"/>
        <v>9.185196338223028</v>
      </c>
      <c r="J205" s="186">
        <f t="shared" si="104"/>
        <v>12.276750516997227</v>
      </c>
      <c r="K205" s="186">
        <f t="shared" si="104"/>
        <v>10.228968649384734</v>
      </c>
      <c r="L205" s="186">
        <f t="shared" si="104"/>
        <v>37.774616975376084</v>
      </c>
      <c r="M205" s="180">
        <f>+'2016-2017 Recy. Tons &amp; Revenue'!D25</f>
        <v>4117.14</v>
      </c>
      <c r="O205" s="180">
        <f>SUM(C205:L205)</f>
        <v>3750.721244994514</v>
      </c>
      <c r="P205" s="180">
        <f>+M205-O205</f>
        <v>366.4187550054862</v>
      </c>
    </row>
    <row r="206" spans="3:13" ht="12.75">
      <c r="C206" s="100">
        <f aca="true" t="shared" si="105" ref="C206:L206">+C205*C22</f>
        <v>180521.64615677967</v>
      </c>
      <c r="D206" s="100">
        <f t="shared" si="105"/>
        <v>125089.45744424702</v>
      </c>
      <c r="E206" s="100">
        <f t="shared" si="105"/>
        <v>147371.02929019983</v>
      </c>
      <c r="F206" s="100">
        <f t="shared" si="105"/>
        <v>24829.997860027936</v>
      </c>
      <c r="G206" s="100">
        <f t="shared" si="105"/>
        <v>5802.131066346831</v>
      </c>
      <c r="H206" s="100">
        <f t="shared" si="105"/>
        <v>-41277.83813469285</v>
      </c>
      <c r="I206" s="100">
        <f t="shared" si="105"/>
        <v>2243.024945794063</v>
      </c>
      <c r="J206" s="100">
        <f t="shared" si="105"/>
        <v>7992.164586565194</v>
      </c>
      <c r="K206" s="100">
        <f t="shared" si="105"/>
        <v>3907.4660240649687</v>
      </c>
      <c r="L206" s="100">
        <f t="shared" si="105"/>
        <v>-1510.9846790150434</v>
      </c>
      <c r="M206" s="180">
        <f>SUM(C206:L206)</f>
        <v>454968.09456031764</v>
      </c>
    </row>
    <row r="208" spans="2:13" ht="12.75">
      <c r="B208" s="11" t="s">
        <v>78</v>
      </c>
      <c r="C208" s="185">
        <f aca="true" t="shared" si="106" ref="C208:L208">+C105</f>
        <v>0.2593249326163992</v>
      </c>
      <c r="D208" s="185">
        <f t="shared" si="106"/>
        <v>0.20711871827497982</v>
      </c>
      <c r="E208" s="185">
        <f t="shared" si="106"/>
        <v>0.18141443992940115</v>
      </c>
      <c r="F208" s="185">
        <f t="shared" si="106"/>
        <v>0.004816046190261189</v>
      </c>
      <c r="G208" s="185">
        <f t="shared" si="106"/>
        <v>0.010169792992105516</v>
      </c>
      <c r="H208" s="185">
        <f t="shared" si="106"/>
        <v>0.20048707739878777</v>
      </c>
      <c r="I208" s="185">
        <f t="shared" si="106"/>
        <v>0.014668417956190397</v>
      </c>
      <c r="J208" s="185">
        <f t="shared" si="106"/>
        <v>0.0021207021576434212</v>
      </c>
      <c r="K208" s="185">
        <f t="shared" si="106"/>
        <v>0.0037310676025120062</v>
      </c>
      <c r="L208" s="185">
        <f t="shared" si="106"/>
        <v>0.004227722365882691</v>
      </c>
      <c r="M208" s="179">
        <f>SUM(C208:L208)</f>
        <v>0.8880789174841632</v>
      </c>
    </row>
    <row r="209" spans="3:16" ht="12.75">
      <c r="C209" s="186">
        <f aca="true" t="shared" si="107" ref="C209:L209">+C208*$M209</f>
        <v>938.1883344689353</v>
      </c>
      <c r="D209" s="186">
        <f t="shared" si="107"/>
        <v>749.3161701624048</v>
      </c>
      <c r="E209" s="186">
        <f t="shared" si="107"/>
        <v>656.3229749209868</v>
      </c>
      <c r="F209" s="186">
        <f t="shared" si="107"/>
        <v>17.42354006758883</v>
      </c>
      <c r="G209" s="186">
        <f t="shared" si="107"/>
        <v>36.792378784769255</v>
      </c>
      <c r="H209" s="186">
        <f t="shared" si="107"/>
        <v>725.3241534841084</v>
      </c>
      <c r="I209" s="186">
        <f t="shared" si="107"/>
        <v>53.06754916608518</v>
      </c>
      <c r="J209" s="186">
        <f t="shared" si="107"/>
        <v>7.672297472943946</v>
      </c>
      <c r="K209" s="186">
        <f t="shared" si="107"/>
        <v>13.498293683043961</v>
      </c>
      <c r="L209" s="186">
        <f t="shared" si="107"/>
        <v>15.295096252514059</v>
      </c>
      <c r="M209" s="180">
        <f>+'2016-2017 Recy. Tons &amp; Revenue'!D26</f>
        <v>3617.81</v>
      </c>
      <c r="O209" s="180">
        <f>SUM(C209:L209)</f>
        <v>3212.90078846338</v>
      </c>
      <c r="P209" s="180">
        <f>+M209-O209</f>
        <v>404.90921153661975</v>
      </c>
    </row>
    <row r="210" spans="3:13" ht="12.75">
      <c r="C210" s="100">
        <f aca="true" t="shared" si="108" ref="C210:L210">+C209*C23</f>
        <v>73610.25672243266</v>
      </c>
      <c r="D210" s="100">
        <f t="shared" si="108"/>
        <v>54550.217187823066</v>
      </c>
      <c r="E210" s="100">
        <f t="shared" si="108"/>
        <v>112670.96510468579</v>
      </c>
      <c r="F210" s="100">
        <f t="shared" si="108"/>
        <v>23069.28975568964</v>
      </c>
      <c r="G210" s="100">
        <f t="shared" si="108"/>
        <v>4985.735249124082</v>
      </c>
      <c r="H210" s="100">
        <f t="shared" si="108"/>
        <v>-38688.79034684234</v>
      </c>
      <c r="I210" s="100">
        <f t="shared" si="108"/>
        <v>12683.144250694359</v>
      </c>
      <c r="J210" s="100">
        <f t="shared" si="108"/>
        <v>4910.270382684125</v>
      </c>
      <c r="K210" s="100">
        <f t="shared" si="108"/>
        <v>6209.215094200222</v>
      </c>
      <c r="L210" s="100">
        <f t="shared" si="108"/>
        <v>-745.0241384599598</v>
      </c>
      <c r="M210" s="180">
        <f>SUM(C210:L210)</f>
        <v>253255.2792620316</v>
      </c>
    </row>
    <row r="212" spans="2:13" ht="12.75">
      <c r="B212" s="11" t="s">
        <v>79</v>
      </c>
      <c r="C212" s="185">
        <f aca="true" t="shared" si="109" ref="C212:L212">+C109</f>
        <v>0.23953288286644772</v>
      </c>
      <c r="D212" s="185">
        <f t="shared" si="109"/>
        <v>0.19594132553078553</v>
      </c>
      <c r="E212" s="185">
        <f t="shared" si="109"/>
        <v>0.20908693948121376</v>
      </c>
      <c r="F212" s="185">
        <f t="shared" si="109"/>
        <v>0.004831475088773206</v>
      </c>
      <c r="G212" s="185">
        <f t="shared" si="109"/>
        <v>0.010277330201015258</v>
      </c>
      <c r="H212" s="185">
        <f t="shared" si="109"/>
        <v>0.20454264585934936</v>
      </c>
      <c r="I212" s="185">
        <f t="shared" si="109"/>
        <v>0.01590090827023776</v>
      </c>
      <c r="J212" s="185">
        <f t="shared" si="109"/>
        <v>0.002586987148629356</v>
      </c>
      <c r="K212" s="185">
        <f t="shared" si="109"/>
        <v>0.003913435973245045</v>
      </c>
      <c r="L212" s="185">
        <f t="shared" si="109"/>
        <v>0.004852660606823856</v>
      </c>
      <c r="M212" s="179">
        <f>SUM(C212:L212)</f>
        <v>0.8914665910265208</v>
      </c>
    </row>
    <row r="213" spans="3:16" ht="12.75">
      <c r="C213" s="186">
        <f aca="true" t="shared" si="110" ref="C213:L213">+C212*$M213</f>
        <v>1007.6860942732017</v>
      </c>
      <c r="D213" s="186">
        <f t="shared" si="110"/>
        <v>824.301643548951</v>
      </c>
      <c r="E213" s="186">
        <f t="shared" si="110"/>
        <v>879.6036639647285</v>
      </c>
      <c r="F213" s="186">
        <f t="shared" si="110"/>
        <v>20.325435921458226</v>
      </c>
      <c r="G213" s="186">
        <f t="shared" si="110"/>
        <v>43.23549487604707</v>
      </c>
      <c r="H213" s="186">
        <f t="shared" si="110"/>
        <v>860.4863660127796</v>
      </c>
      <c r="I213" s="186">
        <f t="shared" si="110"/>
        <v>66.89321298389784</v>
      </c>
      <c r="J213" s="186">
        <f t="shared" si="110"/>
        <v>10.883144495825865</v>
      </c>
      <c r="K213" s="186">
        <f t="shared" si="110"/>
        <v>16.463355527125117</v>
      </c>
      <c r="L213" s="186">
        <f t="shared" si="110"/>
        <v>20.414560853635145</v>
      </c>
      <c r="M213" s="180">
        <f>+'2016-2017 Recy. Tons &amp; Revenue'!D27</f>
        <v>4206.88</v>
      </c>
      <c r="O213" s="180">
        <f>SUM(C213:L213)</f>
        <v>3750.2929724576506</v>
      </c>
      <c r="P213" s="180">
        <f>+M213-O213</f>
        <v>456.58702754234946</v>
      </c>
    </row>
    <row r="214" spans="3:13" ht="12.75">
      <c r="C214" s="100">
        <f aca="true" t="shared" si="111" ref="C214:L214">+C213*C24</f>
        <v>81723.34224555665</v>
      </c>
      <c r="D214" s="100">
        <f t="shared" si="111"/>
        <v>59531.06469710524</v>
      </c>
      <c r="E214" s="100">
        <f t="shared" si="111"/>
        <v>157528.22017944325</v>
      </c>
      <c r="F214" s="100">
        <f t="shared" si="111"/>
        <v>25673.667875471532</v>
      </c>
      <c r="G214" s="100">
        <f t="shared" si="111"/>
        <v>5435.566415816637</v>
      </c>
      <c r="H214" s="100">
        <f t="shared" si="111"/>
        <v>-45898.34276312167</v>
      </c>
      <c r="I214" s="100">
        <f t="shared" si="111"/>
        <v>12535.119181052616</v>
      </c>
      <c r="J214" s="100">
        <f t="shared" si="111"/>
        <v>6477.647603915556</v>
      </c>
      <c r="K214" s="100">
        <f t="shared" si="111"/>
        <v>4940.652993690248</v>
      </c>
      <c r="L214" s="100">
        <f t="shared" si="111"/>
        <v>-799.0259118112796</v>
      </c>
      <c r="M214" s="180">
        <f>SUM(C214:L214)</f>
        <v>307147.91251711873</v>
      </c>
    </row>
    <row r="216" spans="2:13" ht="12.75">
      <c r="B216" s="11" t="s">
        <v>87</v>
      </c>
      <c r="C216" s="185">
        <f aca="true" t="shared" si="112" ref="C216:L216">+C113</f>
        <v>0.2544775985930187</v>
      </c>
      <c r="D216" s="185">
        <f t="shared" si="112"/>
        <v>0.25043073896324564</v>
      </c>
      <c r="E216" s="185">
        <f t="shared" si="112"/>
        <v>0.19326795242495604</v>
      </c>
      <c r="F216" s="185">
        <f t="shared" si="112"/>
        <v>0.004520225355471428</v>
      </c>
      <c r="G216" s="185">
        <f t="shared" si="112"/>
        <v>0.00751423376158822</v>
      </c>
      <c r="H216" s="185">
        <f t="shared" si="112"/>
        <v>0.18137299907592336</v>
      </c>
      <c r="I216" s="185">
        <f t="shared" si="112"/>
        <v>0.01529197841833845</v>
      </c>
      <c r="J216" s="185">
        <f t="shared" si="112"/>
        <v>0.001418904820103139</v>
      </c>
      <c r="K216" s="185">
        <f t="shared" si="112"/>
        <v>0.0034673741318150654</v>
      </c>
      <c r="L216" s="185">
        <f t="shared" si="112"/>
        <v>0.0037761945926610427</v>
      </c>
      <c r="M216" s="179">
        <f>SUM(C216:L216)</f>
        <v>0.9155382001371212</v>
      </c>
    </row>
    <row r="217" spans="3:16" ht="12.75">
      <c r="C217" s="186">
        <f aca="true" t="shared" si="113" ref="C217:L217">+C216*$M217</f>
        <v>1083.4002043699884</v>
      </c>
      <c r="D217" s="186">
        <f t="shared" si="113"/>
        <v>1066.1713065251738</v>
      </c>
      <c r="E217" s="186">
        <f t="shared" si="113"/>
        <v>822.8093172563866</v>
      </c>
      <c r="F217" s="186">
        <f t="shared" si="113"/>
        <v>19.244181417116284</v>
      </c>
      <c r="G217" s="186">
        <f t="shared" si="113"/>
        <v>31.99072310489761</v>
      </c>
      <c r="H217" s="186">
        <f t="shared" si="113"/>
        <v>772.1683376158824</v>
      </c>
      <c r="I217" s="186">
        <f t="shared" si="113"/>
        <v>65.10330431931321</v>
      </c>
      <c r="J217" s="186">
        <f t="shared" si="113"/>
        <v>6.0407744358660995</v>
      </c>
      <c r="K217" s="186">
        <f t="shared" si="113"/>
        <v>14.76182526008287</v>
      </c>
      <c r="L217" s="186">
        <f t="shared" si="113"/>
        <v>16.076582049065493</v>
      </c>
      <c r="M217" s="180">
        <f>+'2016-2017 Recy. Tons &amp; Revenue'!D28</f>
        <v>4257.35</v>
      </c>
      <c r="O217" s="180">
        <f>SUM(C217:L217)</f>
        <v>3897.7665563537735</v>
      </c>
      <c r="P217" s="180">
        <f>+M217-O217</f>
        <v>359.5834436462269</v>
      </c>
    </row>
    <row r="218" spans="3:13" ht="12.75">
      <c r="C218" s="100">
        <f aca="true" t="shared" si="114" ref="C218:L218">+C217*C25</f>
        <v>110030.12475581602</v>
      </c>
      <c r="D218" s="100">
        <f t="shared" si="114"/>
        <v>106499.8518087996</v>
      </c>
      <c r="E218" s="100">
        <f t="shared" si="114"/>
        <v>172098.79679734583</v>
      </c>
      <c r="F218" s="100">
        <f t="shared" si="114"/>
        <v>24148.561051268367</v>
      </c>
      <c r="G218" s="100">
        <f t="shared" si="114"/>
        <v>3629.347536250634</v>
      </c>
      <c r="H218" s="100">
        <f t="shared" si="114"/>
        <v>-41187.45912843117</v>
      </c>
      <c r="I218" s="100">
        <f t="shared" si="114"/>
        <v>13215.97077682058</v>
      </c>
      <c r="J218" s="100">
        <f t="shared" si="114"/>
        <v>3382.8336840850156</v>
      </c>
      <c r="K218" s="100">
        <f t="shared" si="114"/>
        <v>4280.929325424033</v>
      </c>
      <c r="L218" s="100">
        <f t="shared" si="114"/>
        <v>-706.4050152359378</v>
      </c>
      <c r="M218" s="180">
        <f>SUM(C218:L218)</f>
        <v>395392.55159214296</v>
      </c>
    </row>
    <row r="220" spans="2:13" ht="12.75">
      <c r="B220" s="11" t="s">
        <v>88</v>
      </c>
      <c r="C220" s="185">
        <f aca="true" t="shared" si="115" ref="C220:L220">+C117</f>
        <v>0.23843100874945294</v>
      </c>
      <c r="D220" s="185">
        <f t="shared" si="115"/>
        <v>0.2307214651499452</v>
      </c>
      <c r="E220" s="185">
        <f t="shared" si="115"/>
        <v>0.18154771924443233</v>
      </c>
      <c r="F220" s="185">
        <f t="shared" si="115"/>
        <v>0.006566142098497119</v>
      </c>
      <c r="G220" s="185">
        <f t="shared" si="115"/>
        <v>0.010129764224874781</v>
      </c>
      <c r="H220" s="185">
        <f t="shared" si="115"/>
        <v>0.2140928910850843</v>
      </c>
      <c r="I220" s="185">
        <f t="shared" si="115"/>
        <v>0.01894156183408085</v>
      </c>
      <c r="J220" s="185">
        <f t="shared" si="115"/>
        <v>0.0010324279638350958</v>
      </c>
      <c r="K220" s="185">
        <f t="shared" si="115"/>
        <v>0.0032955399860098533</v>
      </c>
      <c r="L220" s="185">
        <f t="shared" si="115"/>
        <v>0.005679600694769156</v>
      </c>
      <c r="M220" s="179">
        <f>SUM(C220:L220)</f>
        <v>0.9104381210309817</v>
      </c>
    </row>
    <row r="221" spans="3:16" ht="12.75">
      <c r="C221" s="186">
        <f aca="true" t="shared" si="116" ref="C221:L221">+C220*$M221</f>
        <v>945.5840003591055</v>
      </c>
      <c r="D221" s="186">
        <f t="shared" si="116"/>
        <v>915.0090297795617</v>
      </c>
      <c r="E221" s="186">
        <f t="shared" si="116"/>
        <v>719.9928378427244</v>
      </c>
      <c r="F221" s="186">
        <f t="shared" si="116"/>
        <v>26.040400302745784</v>
      </c>
      <c r="G221" s="186">
        <f t="shared" si="116"/>
        <v>40.1732267488619</v>
      </c>
      <c r="H221" s="186">
        <f t="shared" si="116"/>
        <v>849.0624330386925</v>
      </c>
      <c r="I221" s="186">
        <f t="shared" si="116"/>
        <v>75.11958241530787</v>
      </c>
      <c r="J221" s="186">
        <f t="shared" si="116"/>
        <v>4.094464764655053</v>
      </c>
      <c r="K221" s="186">
        <f t="shared" si="116"/>
        <v>13.069650208917038</v>
      </c>
      <c r="L221" s="186">
        <f t="shared" si="116"/>
        <v>22.524501211357208</v>
      </c>
      <c r="M221" s="180">
        <f>+'2016-2017 Recy. Tons &amp; Revenue'!D29</f>
        <v>3965.86</v>
      </c>
      <c r="O221" s="180">
        <f>SUM(C221:L221)</f>
        <v>3610.6701266719297</v>
      </c>
      <c r="P221" s="180">
        <f>+M221-O221</f>
        <v>355.18987332807046</v>
      </c>
    </row>
    <row r="222" spans="3:13" ht="12.75">
      <c r="C222" s="100">
        <f aca="true" t="shared" si="117" ref="C222:L222">+C221*C26</f>
        <v>116013.70100405865</v>
      </c>
      <c r="D222" s="100">
        <f t="shared" si="117"/>
        <v>109846.83402503638</v>
      </c>
      <c r="E222" s="100">
        <f t="shared" si="117"/>
        <v>159053.61780783624</v>
      </c>
      <c r="F222" s="100">
        <f t="shared" si="117"/>
        <v>33336.13925556607</v>
      </c>
      <c r="G222" s="100">
        <f t="shared" si="117"/>
        <v>4627.955721468891</v>
      </c>
      <c r="H222" s="100">
        <f t="shared" si="117"/>
        <v>-45288.99017828386</v>
      </c>
      <c r="I222" s="100">
        <f t="shared" si="117"/>
        <v>16977.02562585958</v>
      </c>
      <c r="J222" s="100">
        <f t="shared" si="117"/>
        <v>2137.1058839117054</v>
      </c>
      <c r="K222" s="100">
        <f t="shared" si="117"/>
        <v>4182.288066853452</v>
      </c>
      <c r="L222" s="100">
        <f t="shared" si="117"/>
        <v>-985.8974180211051</v>
      </c>
      <c r="M222" s="180">
        <f>SUM(C222:L222)</f>
        <v>399899.779794286</v>
      </c>
    </row>
    <row r="224" spans="2:13" ht="12.75">
      <c r="B224" s="11" t="s">
        <v>89</v>
      </c>
      <c r="C224" s="185">
        <f aca="true" t="shared" si="118" ref="C224:L224">+C121</f>
        <v>0.19143634084938838</v>
      </c>
      <c r="D224" s="185">
        <f t="shared" si="118"/>
        <v>0.21596836522460036</v>
      </c>
      <c r="E224" s="185">
        <f t="shared" si="118"/>
        <v>0.22448972149387522</v>
      </c>
      <c r="F224" s="185">
        <f t="shared" si="118"/>
        <v>0.00616552339483054</v>
      </c>
      <c r="G224" s="185">
        <f t="shared" si="118"/>
        <v>0.009530304301157618</v>
      </c>
      <c r="H224" s="185">
        <f t="shared" si="118"/>
        <v>0.22864950482532437</v>
      </c>
      <c r="I224" s="185">
        <f t="shared" si="118"/>
        <v>0.016984363736705897</v>
      </c>
      <c r="J224" s="185">
        <f t="shared" si="118"/>
        <v>0.0028214076891564834</v>
      </c>
      <c r="K224" s="185">
        <f t="shared" si="118"/>
        <v>0.002641498883471365</v>
      </c>
      <c r="L224" s="185">
        <f t="shared" si="118"/>
        <v>0.005746141381578068</v>
      </c>
      <c r="M224" s="179">
        <f>SUM(C224:L224)</f>
        <v>0.9044331717800882</v>
      </c>
    </row>
    <row r="225" spans="3:16" ht="12.75">
      <c r="C225" s="186">
        <f aca="true" t="shared" si="119" ref="C225:L225">+C224*$M225</f>
        <v>767.8301051494033</v>
      </c>
      <c r="D225" s="186">
        <f t="shared" si="119"/>
        <v>866.2253563956973</v>
      </c>
      <c r="E225" s="186">
        <f t="shared" si="119"/>
        <v>900.4035790425692</v>
      </c>
      <c r="F225" s="186">
        <f t="shared" si="119"/>
        <v>24.729236129091863</v>
      </c>
      <c r="G225" s="186">
        <f t="shared" si="119"/>
        <v>38.225002218470074</v>
      </c>
      <c r="H225" s="186">
        <f t="shared" si="119"/>
        <v>917.0880124088452</v>
      </c>
      <c r="I225" s="186">
        <f t="shared" si="119"/>
        <v>68.12241466791632</v>
      </c>
      <c r="J225" s="186">
        <f t="shared" si="119"/>
        <v>11.316355886360848</v>
      </c>
      <c r="K225" s="186">
        <f t="shared" si="119"/>
        <v>10.594761456726463</v>
      </c>
      <c r="L225" s="186">
        <f t="shared" si="119"/>
        <v>23.04714100595766</v>
      </c>
      <c r="M225" s="180">
        <f>+'2016-2017 Recy. Tons &amp; Revenue'!D30</f>
        <v>4010.89</v>
      </c>
      <c r="O225" s="180">
        <f>SUM(C225:L225)</f>
        <v>3627.581964361038</v>
      </c>
      <c r="P225" s="180">
        <f>+M225-O225</f>
        <v>383.3080356389619</v>
      </c>
    </row>
    <row r="226" spans="3:13" ht="12.75">
      <c r="C226" s="100">
        <f aca="true" t="shared" si="120" ref="C226:L226">+C225*C27</f>
        <v>84461.31156643436</v>
      </c>
      <c r="D226" s="100">
        <f t="shared" si="120"/>
        <v>97190.48498759724</v>
      </c>
      <c r="E226" s="100">
        <f t="shared" si="120"/>
        <v>176533.12570708612</v>
      </c>
      <c r="F226" s="100">
        <f t="shared" si="120"/>
        <v>32780.58082800159</v>
      </c>
      <c r="G226" s="100">
        <f t="shared" si="120"/>
        <v>5573.205323452938</v>
      </c>
      <c r="H226" s="100">
        <f t="shared" si="120"/>
        <v>-48917.47458188781</v>
      </c>
      <c r="I226" s="100">
        <f t="shared" si="120"/>
        <v>13383.32958565884</v>
      </c>
      <c r="J226" s="100">
        <f t="shared" si="120"/>
        <v>5658.177943180423</v>
      </c>
      <c r="K226" s="100">
        <f t="shared" si="120"/>
        <v>3496.2712807197327</v>
      </c>
      <c r="L226" s="100">
        <f t="shared" si="120"/>
        <v>-913.3581980661021</v>
      </c>
      <c r="M226" s="180">
        <f>SUM(C226:L226)</f>
        <v>369245.6544421773</v>
      </c>
    </row>
    <row r="228" spans="2:13" ht="12.75">
      <c r="B228" s="11" t="s">
        <v>90</v>
      </c>
      <c r="C228" s="185">
        <f aca="true" t="shared" si="121" ref="C228:L228">+C125</f>
        <v>0.1964545936597647</v>
      </c>
      <c r="D228" s="185">
        <f t="shared" si="121"/>
        <v>0.18076770488414579</v>
      </c>
      <c r="E228" s="185">
        <f t="shared" si="121"/>
        <v>0.20813951547568452</v>
      </c>
      <c r="F228" s="185">
        <f t="shared" si="121"/>
        <v>0.005900879097458229</v>
      </c>
      <c r="G228" s="185">
        <f t="shared" si="121"/>
        <v>0.012374384843625416</v>
      </c>
      <c r="H228" s="185">
        <f t="shared" si="121"/>
        <v>0.2325621704347468</v>
      </c>
      <c r="I228" s="185">
        <f t="shared" si="121"/>
        <v>0.017682094632331318</v>
      </c>
      <c r="J228" s="185">
        <f t="shared" si="121"/>
        <v>0.0028502940810176828</v>
      </c>
      <c r="K228" s="185">
        <f t="shared" si="121"/>
        <v>0.0033137878482462336</v>
      </c>
      <c r="L228" s="185">
        <f t="shared" si="121"/>
        <v>0.006640414859019574</v>
      </c>
      <c r="M228" s="179">
        <f>SUM(C228:L228)</f>
        <v>0.8666858398160401</v>
      </c>
    </row>
    <row r="229" spans="3:16" ht="12.75">
      <c r="C229" s="186">
        <f aca="true" t="shared" si="122" ref="C229:L229">+C228*$M229</f>
        <v>764.2673057145827</v>
      </c>
      <c r="D229" s="186">
        <f t="shared" si="122"/>
        <v>703.2406023107924</v>
      </c>
      <c r="E229" s="186">
        <f t="shared" si="122"/>
        <v>809.7251570550555</v>
      </c>
      <c r="F229" s="186">
        <f t="shared" si="122"/>
        <v>22.95618995284175</v>
      </c>
      <c r="G229" s="186">
        <f t="shared" si="122"/>
        <v>48.14006935715596</v>
      </c>
      <c r="H229" s="186">
        <f t="shared" si="122"/>
        <v>904.7366116422955</v>
      </c>
      <c r="I229" s="186">
        <f t="shared" si="122"/>
        <v>68.78865274815853</v>
      </c>
      <c r="J229" s="186">
        <f t="shared" si="122"/>
        <v>11.088499063383091</v>
      </c>
      <c r="K229" s="186">
        <f t="shared" si="122"/>
        <v>12.891628866032322</v>
      </c>
      <c r="L229" s="186">
        <f t="shared" si="122"/>
        <v>25.83320592604385</v>
      </c>
      <c r="M229" s="180">
        <f>+'2016-2017 Recy. Tons &amp; Revenue'!D31</f>
        <v>3890.3</v>
      </c>
      <c r="O229" s="180">
        <f>SUM(C229:L229)</f>
        <v>3371.6679226363417</v>
      </c>
      <c r="P229" s="180">
        <f>+M229-O229</f>
        <v>518.6320773636585</v>
      </c>
    </row>
    <row r="230" spans="3:13" ht="12.75">
      <c r="C230" s="100">
        <f aca="true" t="shared" si="123" ref="C230:L230">+C229*C28</f>
        <v>60682.824073737866</v>
      </c>
      <c r="D230" s="100">
        <f t="shared" si="123"/>
        <v>52532.072992616195</v>
      </c>
      <c r="E230" s="100">
        <f t="shared" si="123"/>
        <v>127887.99130527547</v>
      </c>
      <c r="F230" s="100">
        <f t="shared" si="123"/>
        <v>33336.06080191868</v>
      </c>
      <c r="G230" s="100">
        <f t="shared" si="123"/>
        <v>6050.725317500933</v>
      </c>
      <c r="H230" s="100">
        <f t="shared" si="123"/>
        <v>-48258.65086500005</v>
      </c>
      <c r="I230" s="100">
        <f t="shared" si="123"/>
        <v>12303.538430535635</v>
      </c>
      <c r="J230" s="100">
        <f t="shared" si="123"/>
        <v>5100.709569156222</v>
      </c>
      <c r="K230" s="100">
        <f t="shared" si="123"/>
        <v>3893.2719175417615</v>
      </c>
      <c r="L230" s="100">
        <f t="shared" si="123"/>
        <v>-1420.8263259324117</v>
      </c>
      <c r="M230" s="180">
        <f>SUM(C230:L230)</f>
        <v>252107.71721735035</v>
      </c>
    </row>
    <row r="232" spans="2:18" ht="15">
      <c r="B232" s="1" t="s">
        <v>294</v>
      </c>
      <c r="C232" s="397">
        <f>+C185+C189+C193+C197+C201+C205+C209+C213+C217+C221+C225+C229</f>
        <v>13094.243291134679</v>
      </c>
      <c r="D232" s="397">
        <f aca="true" t="shared" si="124" ref="D232:P232">+D185+D189+D193+D197+D201+D205+D209+D213+D217+D221+D225+D229</f>
        <v>10005.278045166338</v>
      </c>
      <c r="E232" s="397">
        <f t="shared" si="124"/>
        <v>8962.96271020075</v>
      </c>
      <c r="F232" s="397">
        <f t="shared" si="124"/>
        <v>237.91513619357184</v>
      </c>
      <c r="G232" s="397">
        <f t="shared" si="124"/>
        <v>518.757038330222</v>
      </c>
      <c r="H232" s="397">
        <f t="shared" si="124"/>
        <v>9718.384923857195</v>
      </c>
      <c r="I232" s="397">
        <f t="shared" si="124"/>
        <v>550.7069804513691</v>
      </c>
      <c r="J232" s="397">
        <f t="shared" si="124"/>
        <v>120.90500162375716</v>
      </c>
      <c r="K232" s="397">
        <f t="shared" si="124"/>
        <v>130.38401741886938</v>
      </c>
      <c r="L232" s="397">
        <f t="shared" si="124"/>
        <v>236.5387866877163</v>
      </c>
      <c r="M232" s="397">
        <f>SUM(C232:L232)</f>
        <v>43576.075931064464</v>
      </c>
      <c r="O232" s="397">
        <f t="shared" si="124"/>
        <v>43576.07593106447</v>
      </c>
      <c r="P232" s="397">
        <f t="shared" si="124"/>
        <v>4679.124068935529</v>
      </c>
      <c r="Q232" s="482">
        <f>+P232+M232</f>
        <v>48255.2</v>
      </c>
      <c r="R232" s="180"/>
    </row>
    <row r="233" spans="3:13" ht="15">
      <c r="C233" s="398"/>
      <c r="D233" s="398"/>
      <c r="E233" s="398"/>
      <c r="F233" s="398"/>
      <c r="G233" s="398"/>
      <c r="H233" s="398"/>
      <c r="I233" s="398"/>
      <c r="J233" s="398"/>
      <c r="K233" s="398"/>
      <c r="L233" s="398"/>
      <c r="M233" s="398"/>
    </row>
    <row r="234" spans="3:13" ht="15">
      <c r="C234" s="399">
        <f>+C232/$M$232</f>
        <v>0.3004915658731921</v>
      </c>
      <c r="D234" s="399">
        <f aca="true" t="shared" si="125" ref="D234:M234">+D232/$M$232</f>
        <v>0.2296048423679606</v>
      </c>
      <c r="E234" s="399">
        <f t="shared" si="125"/>
        <v>0.2056854023381955</v>
      </c>
      <c r="F234" s="399">
        <f t="shared" si="125"/>
        <v>0.005459765045616858</v>
      </c>
      <c r="G234" s="399">
        <f t="shared" si="125"/>
        <v>0.011904629484097514</v>
      </c>
      <c r="H234" s="399">
        <f t="shared" si="125"/>
        <v>0.22302111230096244</v>
      </c>
      <c r="I234" s="399">
        <f t="shared" si="125"/>
        <v>0.012637828640710204</v>
      </c>
      <c r="J234" s="399">
        <f t="shared" si="125"/>
        <v>0.0027745729517963903</v>
      </c>
      <c r="K234" s="399">
        <f t="shared" si="125"/>
        <v>0.0029921009322898063</v>
      </c>
      <c r="L234" s="399">
        <f t="shared" si="125"/>
        <v>0.005428180065178673</v>
      </c>
      <c r="M234" s="399">
        <f t="shared" si="125"/>
        <v>1</v>
      </c>
    </row>
  </sheetData>
  <sheetProtection/>
  <mergeCells count="1">
    <mergeCell ref="C1:L1"/>
  </mergeCells>
  <printOptions/>
  <pageMargins left="0.7" right="0.7" top="0.75" bottom="0.75" header="0.3" footer="0.3"/>
  <pageSetup fitToHeight="4" fitToWidth="1" horizontalDpi="600" verticalDpi="600" orientation="landscape" scale="91" r:id="rId1"/>
</worksheet>
</file>

<file path=xl/worksheets/sheet9.xml><?xml version="1.0" encoding="utf-8"?>
<worksheet xmlns="http://schemas.openxmlformats.org/spreadsheetml/2006/main" xmlns:r="http://schemas.openxmlformats.org/officeDocument/2006/relationships">
  <dimension ref="A1:P62"/>
  <sheetViews>
    <sheetView zoomScalePageLayoutView="0" workbookViewId="0" topLeftCell="A52">
      <selection activeCell="H56" sqref="H56"/>
    </sheetView>
  </sheetViews>
  <sheetFormatPr defaultColWidth="9.140625" defaultRowHeight="12.75"/>
  <cols>
    <col min="1" max="1" width="86.00390625" style="0" bestFit="1" customWidth="1"/>
    <col min="2" max="2" width="7.00390625" style="0" bestFit="1" customWidth="1"/>
    <col min="3" max="5" width="12.7109375" style="0" bestFit="1" customWidth="1"/>
    <col min="6" max="6" width="2.8515625" style="29" customWidth="1"/>
    <col min="7" max="9" width="12.7109375" style="0" bestFit="1" customWidth="1"/>
    <col min="10" max="10" width="3.00390625" style="0" customWidth="1"/>
    <col min="11" max="11" width="12.28125" style="0" bestFit="1" customWidth="1"/>
    <col min="13" max="13" width="14.28125" style="0" bestFit="1" customWidth="1"/>
    <col min="14" max="14" width="11.57421875" style="0" bestFit="1" customWidth="1"/>
    <col min="15" max="15" width="12.28125" style="0" bestFit="1" customWidth="1"/>
    <col min="16" max="16" width="11.57421875" style="0" bestFit="1" customWidth="1"/>
  </cols>
  <sheetData>
    <row r="1" spans="1:5" ht="23.25">
      <c r="A1" s="28" t="s">
        <v>296</v>
      </c>
      <c r="B1" s="12"/>
      <c r="C1" s="12"/>
      <c r="D1" s="12"/>
      <c r="E1" s="12"/>
    </row>
    <row r="2" spans="1:5" ht="18.75">
      <c r="A2" s="556" t="s">
        <v>310</v>
      </c>
      <c r="B2" s="31"/>
      <c r="C2" s="32"/>
      <c r="D2" s="487"/>
      <c r="E2" s="488"/>
    </row>
    <row r="3" spans="1:5" ht="15.75">
      <c r="A3" s="555" t="s">
        <v>297</v>
      </c>
      <c r="B3" s="31"/>
      <c r="C3" s="32"/>
      <c r="D3" s="487"/>
      <c r="E3" s="488"/>
    </row>
    <row r="4" spans="1:11" ht="15.75">
      <c r="A4" s="33"/>
      <c r="B4" s="31"/>
      <c r="C4" s="619" t="s">
        <v>298</v>
      </c>
      <c r="D4" s="619"/>
      <c r="E4" s="619"/>
      <c r="G4" s="620" t="s">
        <v>299</v>
      </c>
      <c r="H4" s="620"/>
      <c r="I4" s="620"/>
      <c r="J4" s="620"/>
      <c r="K4" s="620"/>
    </row>
    <row r="5" spans="1:15" ht="15">
      <c r="A5" s="34"/>
      <c r="B5" s="31"/>
      <c r="E5" s="489"/>
      <c r="I5" s="13" t="s">
        <v>300</v>
      </c>
      <c r="K5" s="13" t="s">
        <v>301</v>
      </c>
      <c r="N5" s="621"/>
      <c r="O5" s="621"/>
    </row>
    <row r="6" spans="1:15" ht="15">
      <c r="A6" s="34"/>
      <c r="B6" s="31"/>
      <c r="C6" s="490" t="s">
        <v>14</v>
      </c>
      <c r="D6" s="490" t="s">
        <v>54</v>
      </c>
      <c r="E6" s="491"/>
      <c r="G6" s="490" t="s">
        <v>14</v>
      </c>
      <c r="H6" s="490" t="s">
        <v>54</v>
      </c>
      <c r="I6" s="13" t="s">
        <v>302</v>
      </c>
      <c r="K6" s="13" t="s">
        <v>303</v>
      </c>
      <c r="M6" s="490"/>
      <c r="N6" s="490"/>
      <c r="O6" s="490"/>
    </row>
    <row r="7" spans="1:15" ht="17.25">
      <c r="A7" s="12"/>
      <c r="B7" s="31"/>
      <c r="C7" s="492" t="s">
        <v>16</v>
      </c>
      <c r="D7" s="492" t="s">
        <v>16</v>
      </c>
      <c r="E7" s="493" t="s">
        <v>100</v>
      </c>
      <c r="G7" s="492" t="s">
        <v>16</v>
      </c>
      <c r="H7" s="492" t="s">
        <v>16</v>
      </c>
      <c r="I7" s="494" t="s">
        <v>311</v>
      </c>
      <c r="K7" s="14" t="s">
        <v>290</v>
      </c>
      <c r="M7" s="492"/>
      <c r="N7" s="492"/>
      <c r="O7" s="492"/>
    </row>
    <row r="8" spans="1:5" ht="15">
      <c r="A8" s="35" t="s">
        <v>19</v>
      </c>
      <c r="B8" s="31"/>
      <c r="C8" s="493"/>
      <c r="D8" s="493"/>
      <c r="E8" s="493"/>
    </row>
    <row r="9" spans="1:11" ht="17.25">
      <c r="A9" s="12" t="s">
        <v>312</v>
      </c>
      <c r="B9" s="31"/>
      <c r="C9" s="495">
        <f>+'KC 2016-2017 Budget'!D8</f>
        <v>37164</v>
      </c>
      <c r="D9" s="495">
        <f>+'SC 2016-2017 Budget'!D7</f>
        <v>91210</v>
      </c>
      <c r="E9" s="495">
        <f>+D9+C9</f>
        <v>128374</v>
      </c>
      <c r="G9" s="496">
        <f>+'2016-2017 Recy. Tons &amp; Revenue'!N60/24</f>
        <v>37531.916666666664</v>
      </c>
      <c r="H9" s="496">
        <f>+'2016-2017 Recy. Tons &amp; Revenue'!O60/24</f>
        <v>93928.79166666667</v>
      </c>
      <c r="I9" s="496">
        <f>+H9+G9</f>
        <v>131460.70833333334</v>
      </c>
      <c r="K9" s="496">
        <f>+I9-E9</f>
        <v>3086.708333333343</v>
      </c>
    </row>
    <row r="10" spans="1:8" ht="15">
      <c r="A10" s="12"/>
      <c r="B10" s="31"/>
      <c r="C10" s="497">
        <f>+C9/(E9)</f>
        <v>0.289497873401156</v>
      </c>
      <c r="D10" s="498">
        <f>1-C10</f>
        <v>0.710502126598844</v>
      </c>
      <c r="E10" s="499">
        <f>+D10+C10</f>
        <v>1</v>
      </c>
      <c r="G10" s="106"/>
      <c r="H10" s="106"/>
    </row>
    <row r="11" spans="1:5" ht="15">
      <c r="A11" s="12"/>
      <c r="B11" s="31"/>
      <c r="C11" s="497"/>
      <c r="D11" s="498"/>
      <c r="E11" s="499"/>
    </row>
    <row r="12" spans="1:5" ht="15">
      <c r="A12" s="35" t="s">
        <v>21</v>
      </c>
      <c r="B12" s="31"/>
      <c r="C12" s="497"/>
      <c r="D12" s="498"/>
      <c r="E12" s="499"/>
    </row>
    <row r="13" spans="1:11" ht="17.25">
      <c r="A13" s="36" t="s">
        <v>22</v>
      </c>
      <c r="B13" s="31"/>
      <c r="C13" s="500">
        <f>+'KC 2016-2017 Budget'!D12</f>
        <v>28764</v>
      </c>
      <c r="D13" s="500">
        <f>+'SC 2016-2017 Budget'!D11</f>
        <v>66420</v>
      </c>
      <c r="E13" s="501">
        <f>+D13+C13</f>
        <v>95184</v>
      </c>
      <c r="G13" s="37">
        <f>+'2016-2017 Recy. Tons &amp; Revenue'!C60</f>
        <v>28835.890000000003</v>
      </c>
      <c r="H13" s="37">
        <f>+'2016-2017 Recy. Tons &amp; Revenue'!D60</f>
        <v>69303.51000000001</v>
      </c>
      <c r="I13" s="37">
        <f>+H13+G13</f>
        <v>98139.40000000001</v>
      </c>
      <c r="K13" s="496">
        <f>+I13-E13</f>
        <v>2955.4000000000087</v>
      </c>
    </row>
    <row r="14" spans="1:8" ht="15">
      <c r="A14" s="38"/>
      <c r="B14" s="31"/>
      <c r="C14" s="497">
        <f>+C13/E13</f>
        <v>0.30219364599092285</v>
      </c>
      <c r="D14" s="498">
        <f>1-C14</f>
        <v>0.6978063540090771</v>
      </c>
      <c r="E14" s="499">
        <f>+D14+C14</f>
        <v>1</v>
      </c>
      <c r="G14" s="106"/>
      <c r="H14" s="106"/>
    </row>
    <row r="15" spans="1:5" ht="15">
      <c r="A15" s="38"/>
      <c r="B15" s="31"/>
      <c r="C15" s="497"/>
      <c r="D15" s="498"/>
      <c r="E15" s="499"/>
    </row>
    <row r="16" spans="1:5" ht="21">
      <c r="A16" s="39" t="s">
        <v>23</v>
      </c>
      <c r="B16" s="31"/>
      <c r="C16" s="493"/>
      <c r="D16" s="493"/>
      <c r="E16" s="493"/>
    </row>
    <row r="17" spans="1:16" ht="18" customHeight="1">
      <c r="A17" s="40" t="s">
        <v>332</v>
      </c>
      <c r="B17" s="41"/>
      <c r="C17" s="502">
        <f>+'KC 2016-2017 Budget'!D16</f>
        <v>2332800</v>
      </c>
      <c r="D17" s="502">
        <f>+'SC 2016-2017 Budget'!D15</f>
        <v>5403200</v>
      </c>
      <c r="E17" s="503">
        <f>+D17+C17</f>
        <v>7736000</v>
      </c>
      <c r="G17" s="130">
        <f>+'2016-2017 Recy. Tons &amp; Revenue'!G60</f>
        <v>2122179.807110357</v>
      </c>
      <c r="H17" s="130">
        <f>+'2016-2017 Recy. Tons &amp; Revenue'!H60</f>
        <v>5106063.886518807</v>
      </c>
      <c r="I17" s="130">
        <f>+H17+G17</f>
        <v>7228243.693629164</v>
      </c>
      <c r="K17" s="504">
        <f>+I17-E17</f>
        <v>-507756.30637083575</v>
      </c>
      <c r="M17" s="43"/>
      <c r="N17" s="43"/>
      <c r="O17" s="43"/>
      <c r="P17" s="42"/>
    </row>
    <row r="18" spans="1:11" ht="17.25">
      <c r="A18" s="40"/>
      <c r="B18" s="41"/>
      <c r="C18" s="505"/>
      <c r="D18" s="506"/>
      <c r="E18" s="507"/>
      <c r="I18" s="508"/>
      <c r="K18" s="504"/>
    </row>
    <row r="19" spans="1:16" ht="17.25">
      <c r="A19" s="40" t="s">
        <v>333</v>
      </c>
      <c r="B19" s="509"/>
      <c r="C19" s="510">
        <f>+'KC 2016-2017 Budget'!D22</f>
        <v>1328500</v>
      </c>
      <c r="D19" s="510">
        <f>+'SC 2016-2017 Budget'!D21</f>
        <v>2305100</v>
      </c>
      <c r="E19" s="503">
        <f>+D19+C19</f>
        <v>3633600</v>
      </c>
      <c r="G19" s="130">
        <f>+'2016-2017 Recy. Tons &amp; Revenue'!G77</f>
        <v>1008035.4083774197</v>
      </c>
      <c r="H19" s="130">
        <f>+'2016-2017 Recy. Tons &amp; Revenue'!H77</f>
        <v>2297728.7489334634</v>
      </c>
      <c r="I19" s="130">
        <f>+H19+G19</f>
        <v>3305764.157310883</v>
      </c>
      <c r="J19" s="130"/>
      <c r="K19" s="504">
        <f>+I19-E19</f>
        <v>-327835.84268911695</v>
      </c>
      <c r="M19" s="43"/>
      <c r="N19" s="43"/>
      <c r="O19" s="42"/>
      <c r="P19" s="42"/>
    </row>
    <row r="20" spans="1:14" ht="17.25">
      <c r="A20" s="12"/>
      <c r="B20" s="31"/>
      <c r="C20" s="511"/>
      <c r="D20" s="511"/>
      <c r="E20" s="511"/>
      <c r="G20" s="566"/>
      <c r="H20" s="566"/>
      <c r="K20" s="504"/>
      <c r="M20" s="19"/>
      <c r="N20" s="19"/>
    </row>
    <row r="21" spans="1:16" ht="18.75">
      <c r="A21" s="46" t="s">
        <v>304</v>
      </c>
      <c r="B21" s="31"/>
      <c r="C21" s="493"/>
      <c r="D21" s="493"/>
      <c r="E21" s="493"/>
      <c r="K21" s="42"/>
      <c r="O21" s="42"/>
      <c r="P21" s="42"/>
    </row>
    <row r="22" spans="1:14" ht="15">
      <c r="A22" s="512" t="s">
        <v>305</v>
      </c>
      <c r="B22" s="31"/>
      <c r="C22" s="493"/>
      <c r="D22" s="513"/>
      <c r="E22" s="493"/>
      <c r="K22" s="42"/>
      <c r="M22" s="42"/>
      <c r="N22" s="42"/>
    </row>
    <row r="23" spans="1:11" ht="17.25">
      <c r="A23" s="47" t="s">
        <v>28</v>
      </c>
      <c r="B23" s="31"/>
      <c r="C23" s="514">
        <f>+'KC 2016-2017 Budget'!D25</f>
        <v>342600</v>
      </c>
      <c r="D23" s="514">
        <f>+'SC 2016-2017 Budget'!D24</f>
        <v>330000</v>
      </c>
      <c r="E23" s="514">
        <f>+D23+C23</f>
        <v>672600</v>
      </c>
      <c r="G23" s="515">
        <v>300600</v>
      </c>
      <c r="H23" s="515">
        <v>301119</v>
      </c>
      <c r="I23" s="169">
        <f>+H23++G23</f>
        <v>601719</v>
      </c>
      <c r="J23" s="111"/>
      <c r="K23" s="516">
        <f>+I23-E23</f>
        <v>-70881</v>
      </c>
    </row>
    <row r="24" spans="1:11" ht="15">
      <c r="A24" s="47"/>
      <c r="B24" s="48"/>
      <c r="C24" s="490"/>
      <c r="D24" s="490"/>
      <c r="E24" s="491"/>
      <c r="I24" s="166"/>
      <c r="K24" s="42"/>
    </row>
    <row r="25" spans="1:11" ht="15">
      <c r="A25" s="49" t="s">
        <v>29</v>
      </c>
      <c r="B25" s="50"/>
      <c r="C25" s="517"/>
      <c r="D25" s="517"/>
      <c r="E25" s="517"/>
      <c r="I25" s="166"/>
      <c r="K25" s="42"/>
    </row>
    <row r="26" spans="1:11" ht="15">
      <c r="A26" s="51" t="s">
        <v>135</v>
      </c>
      <c r="B26" s="52"/>
      <c r="C26" s="518">
        <f>+'KC 2016-2017 Budget'!D28</f>
        <v>0</v>
      </c>
      <c r="D26" s="518">
        <f>+'SC 2016-2017 Budget'!D27</f>
        <v>0</v>
      </c>
      <c r="E26" s="518">
        <f>+D26+C26</f>
        <v>0</v>
      </c>
      <c r="G26" s="519">
        <v>0</v>
      </c>
      <c r="H26" s="519">
        <v>0</v>
      </c>
      <c r="I26" s="166">
        <f>+H26+G26</f>
        <v>0</v>
      </c>
      <c r="K26" s="520">
        <f>+I26-E26</f>
        <v>0</v>
      </c>
    </row>
    <row r="27" spans="1:11" ht="15">
      <c r="A27" s="51" t="s">
        <v>136</v>
      </c>
      <c r="B27" s="53"/>
      <c r="C27" s="521">
        <f>+'KC 2016-2017 Budget'!D29</f>
        <v>0</v>
      </c>
      <c r="D27" s="521">
        <f>+'SC 2016-2017 Budget'!D28</f>
        <v>0</v>
      </c>
      <c r="E27" s="521">
        <f>+D27+C27</f>
        <v>0</v>
      </c>
      <c r="G27" s="519"/>
      <c r="H27" s="519"/>
      <c r="I27" s="166">
        <f aca="true" t="shared" si="0" ref="I27:I36">+H27+G27</f>
        <v>0</v>
      </c>
      <c r="K27" s="520">
        <f aca="true" t="shared" si="1" ref="K27:K36">+I27-E27</f>
        <v>0</v>
      </c>
    </row>
    <row r="28" spans="1:11" ht="15">
      <c r="A28" s="54" t="str">
        <f>+'KC 2016-2017 Budget'!A30</f>
        <v>Task 1 - Single Family Residential Audience Outreach &amp; Education</v>
      </c>
      <c r="B28" s="53"/>
      <c r="C28" s="521">
        <f>+'KC 2016-2017 Budget'!D30</f>
        <v>680400</v>
      </c>
      <c r="D28" s="521"/>
      <c r="E28" s="521">
        <f aca="true" t="shared" si="2" ref="E28:E36">+D28+C28</f>
        <v>680400</v>
      </c>
      <c r="G28" s="519">
        <v>395583</v>
      </c>
      <c r="H28" s="519"/>
      <c r="I28" s="166">
        <f t="shared" si="0"/>
        <v>395583</v>
      </c>
      <c r="K28" s="520">
        <f t="shared" si="1"/>
        <v>-284817</v>
      </c>
    </row>
    <row r="29" spans="1:11" ht="15">
      <c r="A29" s="54" t="str">
        <f>+'KC 2016-2017 Budget'!A31</f>
        <v>Task 2 - Multifamily Residential Audience Outreach &amp; Education</v>
      </c>
      <c r="B29" s="52"/>
      <c r="C29" s="521">
        <f>+'KC 2016-2017 Budget'!D31</f>
        <v>242500</v>
      </c>
      <c r="D29" s="521"/>
      <c r="E29" s="521">
        <f t="shared" si="2"/>
        <v>242500</v>
      </c>
      <c r="G29" s="519">
        <v>240016</v>
      </c>
      <c r="H29" s="519"/>
      <c r="I29" s="166">
        <f t="shared" si="0"/>
        <v>240016</v>
      </c>
      <c r="K29" s="520">
        <f t="shared" si="1"/>
        <v>-2484</v>
      </c>
    </row>
    <row r="30" spans="1:11" ht="15">
      <c r="A30" s="54" t="str">
        <f>+'SC 2016-2017 Budget'!A29</f>
        <v>Task 3 - Strategic Communications</v>
      </c>
      <c r="B30" s="41"/>
      <c r="C30" s="521"/>
      <c r="D30" s="521">
        <f>+'SC 2016-2017 Budget'!D29</f>
        <v>192500</v>
      </c>
      <c r="E30" s="521">
        <f t="shared" si="2"/>
        <v>192500</v>
      </c>
      <c r="G30" s="519"/>
      <c r="H30" s="519">
        <v>193365</v>
      </c>
      <c r="I30" s="166">
        <f t="shared" si="0"/>
        <v>193365</v>
      </c>
      <c r="K30" s="520">
        <f t="shared" si="1"/>
        <v>865</v>
      </c>
    </row>
    <row r="31" spans="1:11" ht="15">
      <c r="A31" s="54" t="str">
        <f>+'SC 2016-2017 Budget'!A30</f>
        <v>Task 4 - Latino Behavior Study and Pilot</v>
      </c>
      <c r="B31" s="55"/>
      <c r="C31" s="521"/>
      <c r="D31" s="521">
        <f>+'SC 2016-2017 Budget'!D30</f>
        <v>472500</v>
      </c>
      <c r="E31" s="521">
        <f t="shared" si="2"/>
        <v>472500</v>
      </c>
      <c r="G31" s="519"/>
      <c r="H31" s="519">
        <v>410202</v>
      </c>
      <c r="I31" s="166">
        <f t="shared" si="0"/>
        <v>410202</v>
      </c>
      <c r="K31" s="520">
        <f t="shared" si="1"/>
        <v>-62298</v>
      </c>
    </row>
    <row r="32" spans="1:11" ht="15">
      <c r="A32" s="54" t="str">
        <f>+'SC 2016-2017 Budget'!A31</f>
        <v>Task 5 - Multifamily Recycling</v>
      </c>
      <c r="B32" s="56"/>
      <c r="C32" s="521"/>
      <c r="D32" s="521">
        <f>+'SC 2016-2017 Budget'!D31</f>
        <v>376250</v>
      </c>
      <c r="E32" s="521">
        <f t="shared" si="2"/>
        <v>376250</v>
      </c>
      <c r="G32" s="519"/>
      <c r="H32" s="519">
        <v>203670</v>
      </c>
      <c r="I32" s="166">
        <f t="shared" si="0"/>
        <v>203670</v>
      </c>
      <c r="K32" s="520">
        <f t="shared" si="1"/>
        <v>-172580</v>
      </c>
    </row>
    <row r="33" spans="1:11" ht="15">
      <c r="A33" s="54" t="str">
        <f>+'SC 2016-2017 Budget'!A32</f>
        <v>Task 6 - Organics</v>
      </c>
      <c r="B33" s="56"/>
      <c r="C33" s="521"/>
      <c r="D33" s="521">
        <f>+'SC 2016-2017 Budget'!D32</f>
        <v>34000</v>
      </c>
      <c r="E33" s="521">
        <f t="shared" si="2"/>
        <v>34000</v>
      </c>
      <c r="G33" s="519"/>
      <c r="H33" s="519">
        <v>12684</v>
      </c>
      <c r="I33" s="166">
        <f t="shared" si="0"/>
        <v>12684</v>
      </c>
      <c r="K33" s="520">
        <f t="shared" si="1"/>
        <v>-21316</v>
      </c>
    </row>
    <row r="34" spans="1:11" ht="15">
      <c r="A34" s="54" t="str">
        <f>+'SC 2016-2017 Budget'!A33</f>
        <v>Task 7 - Promotion of Recycling at Events</v>
      </c>
      <c r="B34" s="56"/>
      <c r="C34" s="521"/>
      <c r="D34" s="521">
        <f>+'SC 2016-2017 Budget'!D33</f>
        <v>164500</v>
      </c>
      <c r="E34" s="521">
        <f t="shared" si="2"/>
        <v>164500</v>
      </c>
      <c r="G34" s="519"/>
      <c r="H34" s="519">
        <v>170461</v>
      </c>
      <c r="I34" s="166">
        <f t="shared" si="0"/>
        <v>170461</v>
      </c>
      <c r="K34" s="520">
        <f t="shared" si="1"/>
        <v>5961</v>
      </c>
    </row>
    <row r="35" spans="1:11" ht="15">
      <c r="A35" s="54" t="str">
        <f>+'SC 2016-2017 Budget'!A34</f>
        <v>Task 8 - Increase Recycling and Decrease Contamination</v>
      </c>
      <c r="B35" s="56"/>
      <c r="C35" s="521"/>
      <c r="D35" s="521">
        <f>+'SC 2016-2017 Budget'!D34</f>
        <v>185000</v>
      </c>
      <c r="E35" s="521">
        <f t="shared" si="2"/>
        <v>185000</v>
      </c>
      <c r="G35" s="519"/>
      <c r="H35" s="519">
        <v>184700</v>
      </c>
      <c r="I35" s="166">
        <f t="shared" si="0"/>
        <v>184700</v>
      </c>
      <c r="K35" s="520">
        <f t="shared" si="1"/>
        <v>-300</v>
      </c>
    </row>
    <row r="36" spans="1:11" ht="17.25">
      <c r="A36" s="54" t="str">
        <f>+'SC 2016-2017 Budget'!A35</f>
        <v>Task 9 - Schools Outreach </v>
      </c>
      <c r="B36" s="56"/>
      <c r="C36" s="554"/>
      <c r="D36" s="522">
        <f>+'SC 2016-2017 Budget'!D35</f>
        <v>440350</v>
      </c>
      <c r="E36" s="522">
        <f t="shared" si="2"/>
        <v>440350</v>
      </c>
      <c r="G36" s="515"/>
      <c r="H36" s="515">
        <v>473362</v>
      </c>
      <c r="I36" s="169">
        <f t="shared" si="0"/>
        <v>473362</v>
      </c>
      <c r="J36" s="111"/>
      <c r="K36" s="516">
        <f t="shared" si="1"/>
        <v>33012</v>
      </c>
    </row>
    <row r="37" spans="1:13" ht="17.25">
      <c r="A37" s="47" t="s">
        <v>36</v>
      </c>
      <c r="B37" s="41"/>
      <c r="C37" s="517">
        <f>SUM(C26:C36)</f>
        <v>922900</v>
      </c>
      <c r="D37" s="517">
        <f>SUM(D26:D36)</f>
        <v>1865100</v>
      </c>
      <c r="E37" s="517">
        <f>SUM(E26:E36)</f>
        <v>2788000</v>
      </c>
      <c r="G37" s="516">
        <f>SUM(G26:G36)</f>
        <v>635599</v>
      </c>
      <c r="H37" s="516">
        <f>SUM(H26:H36)</f>
        <v>1648444</v>
      </c>
      <c r="I37" s="516">
        <f>SUM(I26:I36)</f>
        <v>2284043</v>
      </c>
      <c r="K37" s="516">
        <f>SUM(K26:K36)</f>
        <v>-503957</v>
      </c>
      <c r="M37" s="520"/>
    </row>
    <row r="38" spans="1:5" ht="15">
      <c r="A38" s="47"/>
      <c r="B38" s="57"/>
      <c r="C38" s="523"/>
      <c r="D38" s="524"/>
      <c r="E38" s="525"/>
    </row>
    <row r="39" spans="1:13" ht="17.25">
      <c r="A39" s="47" t="s">
        <v>37</v>
      </c>
      <c r="B39" s="57"/>
      <c r="C39" s="526">
        <f>+C37+C23</f>
        <v>1265500</v>
      </c>
      <c r="D39" s="526">
        <f>+D37+D23</f>
        <v>2195100</v>
      </c>
      <c r="E39" s="526">
        <f>+E37+E23</f>
        <v>3460600</v>
      </c>
      <c r="G39" s="526">
        <f>+G37+G23</f>
        <v>936199</v>
      </c>
      <c r="H39" s="526">
        <f>+H37+H23</f>
        <v>1949563</v>
      </c>
      <c r="I39" s="526">
        <f>+I37+I23</f>
        <v>2885762</v>
      </c>
      <c r="K39" s="526">
        <f>+K37+K23</f>
        <v>-574838</v>
      </c>
      <c r="M39" s="42"/>
    </row>
    <row r="40" spans="1:5" ht="17.25">
      <c r="A40" s="47"/>
      <c r="B40" s="57"/>
      <c r="C40" s="526"/>
      <c r="D40" s="526"/>
      <c r="E40" s="526"/>
    </row>
    <row r="41" spans="1:11" ht="17.25">
      <c r="A41" s="47" t="s">
        <v>38</v>
      </c>
      <c r="B41" s="57"/>
      <c r="C41" s="527">
        <f>+'KC 2016-2017 Budget'!D36</f>
        <v>63000</v>
      </c>
      <c r="D41" s="527">
        <f>+'SC 2016-2017 Budget'!D40</f>
        <v>110000</v>
      </c>
      <c r="E41" s="527">
        <f>+D41+C41</f>
        <v>173000</v>
      </c>
      <c r="F41" s="527"/>
      <c r="G41" s="527">
        <f>ROUND(+G39*0.05,-3)</f>
        <v>47000</v>
      </c>
      <c r="H41" s="527">
        <f>ROUND(+H39*0.05,-3)</f>
        <v>97000</v>
      </c>
      <c r="I41" s="527">
        <f>ROUND(+I39*0.05,-3)</f>
        <v>144000</v>
      </c>
      <c r="K41" s="527">
        <f>ROUND(+K39*0.05,-3)</f>
        <v>-29000</v>
      </c>
    </row>
    <row r="42" spans="1:5" ht="15">
      <c r="A42" s="47"/>
      <c r="B42" s="57"/>
      <c r="C42" s="528"/>
      <c r="D42" s="528"/>
      <c r="E42" s="528"/>
    </row>
    <row r="43" spans="1:11" ht="15">
      <c r="A43" s="47" t="s">
        <v>39</v>
      </c>
      <c r="B43" s="57"/>
      <c r="C43" s="528">
        <f>+C41+C39</f>
        <v>1328500</v>
      </c>
      <c r="D43" s="528">
        <f>+D41+D39</f>
        <v>2305100</v>
      </c>
      <c r="E43" s="528">
        <f>+E41+E39</f>
        <v>3633600</v>
      </c>
      <c r="G43" s="528">
        <f>+G41+G39</f>
        <v>983199</v>
      </c>
      <c r="H43" s="528">
        <f>+H41+H39</f>
        <v>2046563</v>
      </c>
      <c r="I43" s="528">
        <f>+I41+I39</f>
        <v>3029762</v>
      </c>
      <c r="K43" s="528">
        <f>+K41+K39</f>
        <v>-603838</v>
      </c>
    </row>
    <row r="44" spans="1:5" ht="15">
      <c r="A44" s="34"/>
      <c r="B44" s="58"/>
      <c r="C44" s="529"/>
      <c r="D44" s="530"/>
      <c r="E44" s="531"/>
    </row>
    <row r="45" spans="1:11" ht="17.25">
      <c r="A45" s="47" t="s">
        <v>306</v>
      </c>
      <c r="B45" s="58"/>
      <c r="C45" s="526">
        <f>+C19-C43</f>
        <v>0</v>
      </c>
      <c r="D45" s="526">
        <f>+D19-D43</f>
        <v>0</v>
      </c>
      <c r="E45" s="526">
        <f>+E19-E43</f>
        <v>0</v>
      </c>
      <c r="F45" s="526"/>
      <c r="G45" s="526">
        <f>+G43-G19</f>
        <v>-24836.40837741969</v>
      </c>
      <c r="H45" s="526">
        <f>+H43-H19</f>
        <v>-251165.74893346336</v>
      </c>
      <c r="I45" s="526">
        <f>+I43-I19</f>
        <v>-276002.15731088305</v>
      </c>
      <c r="J45" s="526"/>
      <c r="K45" s="526">
        <f>+K19-K43</f>
        <v>276002.15731088305</v>
      </c>
    </row>
    <row r="46" spans="1:9" ht="15">
      <c r="A46" s="532" t="s">
        <v>307</v>
      </c>
      <c r="B46" s="59"/>
      <c r="C46" s="533">
        <f>+C43/E43</f>
        <v>0.36561536767943636</v>
      </c>
      <c r="D46" s="533">
        <f>+D43/E43</f>
        <v>0.6343846323205636</v>
      </c>
      <c r="E46" s="533">
        <f>+D46+C46</f>
        <v>1</v>
      </c>
      <c r="F46" s="534"/>
      <c r="G46" s="533">
        <f>+G43/I43</f>
        <v>0.3245136086596901</v>
      </c>
      <c r="H46" s="533">
        <f>+H43/I43</f>
        <v>0.6754863913403099</v>
      </c>
      <c r="I46" s="533">
        <f>+H46+G46</f>
        <v>1</v>
      </c>
    </row>
    <row r="47" spans="1:5" ht="15">
      <c r="A47" s="34"/>
      <c r="B47" s="59"/>
      <c r="C47" s="535"/>
      <c r="D47" s="535"/>
      <c r="E47" s="535"/>
    </row>
    <row r="48" spans="1:11" ht="17.25">
      <c r="A48" s="47" t="s">
        <v>40</v>
      </c>
      <c r="B48" s="59"/>
      <c r="C48" s="536">
        <f>+C13*2000/C9/24</f>
        <v>64.49790119470455</v>
      </c>
      <c r="D48" s="536">
        <f>+D13*2000/D9/24</f>
        <v>60.68413551145708</v>
      </c>
      <c r="E48" s="536">
        <f>+E13*2000/E9/24</f>
        <v>61.78821256640753</v>
      </c>
      <c r="G48" s="536">
        <f>+G13*2000/G9/24</f>
        <v>64.02526294287308</v>
      </c>
      <c r="H48" s="536">
        <f>+H13*2000/H9/24</f>
        <v>61.48585963391596</v>
      </c>
      <c r="I48" s="536">
        <f>+I13*2000/I9/24</f>
        <v>62.21085704632278</v>
      </c>
      <c r="K48" s="27">
        <f>+I48-E48</f>
        <v>0.4226444799152489</v>
      </c>
    </row>
    <row r="49" spans="1:11" ht="17.25">
      <c r="A49" s="34"/>
      <c r="B49" s="59"/>
      <c r="C49" s="535"/>
      <c r="D49" s="535"/>
      <c r="E49" s="535"/>
      <c r="K49" s="27"/>
    </row>
    <row r="50" spans="1:11" ht="17.25">
      <c r="A50" s="47" t="s">
        <v>41</v>
      </c>
      <c r="B50" s="59"/>
      <c r="C50" s="537">
        <f>+C17/C13</f>
        <v>81.10137672090113</v>
      </c>
      <c r="D50" s="537">
        <f>+D17/D13</f>
        <v>81.34899126769045</v>
      </c>
      <c r="E50" s="537">
        <f>+E17/E13</f>
        <v>81.2741637249958</v>
      </c>
      <c r="G50" s="537">
        <f>+G17/G13</f>
        <v>73.59508609272531</v>
      </c>
      <c r="H50" s="537">
        <f>+H17/H13</f>
        <v>73.6768438787416</v>
      </c>
      <c r="I50" s="537">
        <f>+I17/I13</f>
        <v>73.65282132995681</v>
      </c>
      <c r="K50" s="131">
        <f>+I50-E50</f>
        <v>-7.621342395038994</v>
      </c>
    </row>
    <row r="51" spans="1:11" ht="18" thickBot="1">
      <c r="A51" s="47"/>
      <c r="B51" s="59"/>
      <c r="C51" s="537"/>
      <c r="D51" s="537"/>
      <c r="E51" s="537"/>
      <c r="G51" s="538"/>
      <c r="H51" s="538"/>
      <c r="I51" s="538"/>
      <c r="K51" s="131"/>
    </row>
    <row r="52" spans="1:11" ht="15.75" thickBot="1">
      <c r="A52" s="34"/>
      <c r="B52" s="59"/>
      <c r="C52" s="60"/>
      <c r="D52" s="539" t="s">
        <v>308</v>
      </c>
      <c r="E52" s="60"/>
      <c r="K52" s="19"/>
    </row>
    <row r="53" spans="1:11" ht="15">
      <c r="A53" s="540" t="s">
        <v>42</v>
      </c>
      <c r="B53" s="63"/>
      <c r="C53" s="541" t="s">
        <v>43</v>
      </c>
      <c r="D53" s="542" t="s">
        <v>308</v>
      </c>
      <c r="E53" s="543" t="s">
        <v>309</v>
      </c>
      <c r="K53" s="19"/>
    </row>
    <row r="54" spans="1:11" ht="15">
      <c r="A54" s="69" t="str">
        <f>+'KC 2016-2017 Budget'!A46</f>
        <v>Monthly Reporting (CC Team )</v>
      </c>
      <c r="B54" s="544"/>
      <c r="C54" s="70">
        <f>+'KC 2016-2017 Budget'!B46+'SC 2016-2017 Budget'!B50</f>
        <v>1400</v>
      </c>
      <c r="D54" s="545">
        <f aca="true" t="shared" si="3" ref="D54:D59">+E54/C54</f>
        <v>75</v>
      </c>
      <c r="E54" s="546">
        <f>+'KC 2016-2017 Budget'!D46+'SC 2016-2017 Budget'!D50</f>
        <v>105000</v>
      </c>
      <c r="K54" s="19"/>
    </row>
    <row r="55" spans="1:11" ht="15">
      <c r="A55" s="69" t="str">
        <f>+'KC 2016-2017 Budget'!A47</f>
        <v>Executive Management/Oversight (Mindy &amp; Mary)</v>
      </c>
      <c r="B55" s="544"/>
      <c r="C55" s="70">
        <f>+'KC 2016-2017 Budget'!B47+'SC 2016-2017 Budget'!B51</f>
        <v>1000</v>
      </c>
      <c r="D55" s="545">
        <f t="shared" si="3"/>
        <v>135</v>
      </c>
      <c r="E55" s="546">
        <f>+'KC 2016-2017 Budget'!D47+'SC 2016-2017 Budget'!D51</f>
        <v>135000</v>
      </c>
      <c r="K55" s="19"/>
    </row>
    <row r="56" spans="1:11" ht="15">
      <c r="A56" s="69" t="str">
        <f>+'KC 2016-2017 Budget'!A48</f>
        <v>RSA Compliance Clerk (New Hire - budget, tracking docs for Gerty, P2P, invoices, ect)</v>
      </c>
      <c r="B56" s="544"/>
      <c r="C56" s="70">
        <f>+'KC 2016-2017 Budget'!B48+'SC 2016-2017 Budget'!B52</f>
        <v>2000</v>
      </c>
      <c r="D56" s="545">
        <f t="shared" si="3"/>
        <v>35</v>
      </c>
      <c r="E56" s="546">
        <f>+'KC 2016-2017 Budget'!D48+'SC 2016-2017 Budget'!D52</f>
        <v>70000</v>
      </c>
      <c r="K56" s="19"/>
    </row>
    <row r="57" spans="1:11" ht="15">
      <c r="A57" s="69" t="str">
        <f>+'KC 2016-2017 Budget'!A49</f>
        <v>Other Managerial (Robin, Michelle, Accounting)</v>
      </c>
      <c r="B57" s="544"/>
      <c r="C57" s="70">
        <f>+'KC 2016-2017 Budget'!B49+'SC 2016-2017 Budget'!B53</f>
        <v>1720</v>
      </c>
      <c r="D57" s="545">
        <f t="shared" si="3"/>
        <v>105</v>
      </c>
      <c r="E57" s="546">
        <f>+'KC 2016-2017 Budget'!D49+'SC 2016-2017 Budget'!D53</f>
        <v>180600</v>
      </c>
      <c r="K57" s="19"/>
    </row>
    <row r="58" spans="1:11" ht="15">
      <c r="A58" s="69" t="str">
        <f>+'KC 2016-2017 Budget'!A50</f>
        <v>Public Education Team &amp; Website Updates</v>
      </c>
      <c r="B58" s="544"/>
      <c r="C58" s="70">
        <f>+'KC 2016-2017 Budget'!B50+'SC 2016-2017 Budget'!B54</f>
        <v>1900</v>
      </c>
      <c r="D58" s="545">
        <f t="shared" si="3"/>
        <v>75.05263157894737</v>
      </c>
      <c r="E58" s="546">
        <f>+'KC 2016-2017 Budget'!D50+'SC 2016-2017 Budget'!D54</f>
        <v>142600</v>
      </c>
      <c r="K58" s="19"/>
    </row>
    <row r="59" spans="1:11" ht="17.25">
      <c r="A59" s="69" t="str">
        <f>+'KC 2016-2017 Budget'!A51</f>
        <v>Intern recruitment</v>
      </c>
      <c r="B59" s="544"/>
      <c r="C59" s="73">
        <f>+'KC 2016-2017 Budget'!B51+'SC 2016-2017 Budget'!B55</f>
        <v>376</v>
      </c>
      <c r="D59" s="545">
        <f t="shared" si="3"/>
        <v>104.7872340425532</v>
      </c>
      <c r="E59" s="547">
        <f>+'KC 2016-2017 Budget'!D51+'SC 2016-2017 Budget'!D55</f>
        <v>39400</v>
      </c>
      <c r="K59" s="19"/>
    </row>
    <row r="60" spans="1:11" ht="18" thickBot="1">
      <c r="A60" s="548" t="s">
        <v>52</v>
      </c>
      <c r="B60" s="80"/>
      <c r="C60" s="549">
        <f>SUM(C54:C59)</f>
        <v>8396</v>
      </c>
      <c r="D60" s="550"/>
      <c r="E60" s="551">
        <f>SUM(E54:E59)</f>
        <v>672600</v>
      </c>
      <c r="K60" s="19"/>
    </row>
    <row r="61" spans="1:5" ht="15">
      <c r="A61" s="51"/>
      <c r="B61" s="52"/>
      <c r="C61" s="52"/>
      <c r="D61" s="552"/>
      <c r="E61" s="553"/>
    </row>
    <row r="62" spans="1:5" ht="15">
      <c r="A62" s="51"/>
      <c r="B62" s="52"/>
      <c r="C62" s="52"/>
      <c r="D62" s="552"/>
      <c r="E62" s="553"/>
    </row>
  </sheetData>
  <sheetProtection/>
  <mergeCells count="3">
    <mergeCell ref="C4:E4"/>
    <mergeCell ref="G4:K4"/>
    <mergeCell ref="N5:O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 Lewis</dc:creator>
  <cp:keywords/>
  <dc:description/>
  <cp:lastModifiedBy>Weinstein, Mike</cp:lastModifiedBy>
  <cp:lastPrinted>2017-11-13T17:16:47Z</cp:lastPrinted>
  <dcterms:created xsi:type="dcterms:W3CDTF">2003-10-21T02:01:02Z</dcterms:created>
  <dcterms:modified xsi:type="dcterms:W3CDTF">2017-11-13T18:52:27Z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umentSetType">
    <vt:lpwstr>Workpapers</vt:lpwstr>
  </property>
  <property fmtid="{D5CDD505-2E9C-101B-9397-08002B2CF9AE}" pid="4" name="IsDocumentOrder">
    <vt:lpwstr>0</vt:lpwstr>
  </property>
  <property fmtid="{D5CDD505-2E9C-101B-9397-08002B2CF9AE}" pid="5" name="IsHighlyConfidential">
    <vt:lpwstr>0</vt:lpwstr>
  </property>
  <property fmtid="{D5CDD505-2E9C-101B-9397-08002B2CF9AE}" pid="6" name="CaseCompanyNames">
    <vt:lpwstr>Waste Management of Washington, Inc.</vt:lpwstr>
  </property>
  <property fmtid="{D5CDD505-2E9C-101B-9397-08002B2CF9AE}" pid="7" name="IsConfidential">
    <vt:lpwstr>0</vt:lpwstr>
  </property>
  <property fmtid="{D5CDD505-2E9C-101B-9397-08002B2CF9AE}" pid="8" name="IsEFSEC">
    <vt:lpwstr>0</vt:lpwstr>
  </property>
  <property fmtid="{D5CDD505-2E9C-101B-9397-08002B2CF9AE}" pid="9" name="DocketNumber">
    <vt:lpwstr>171132</vt:lpwstr>
  </property>
  <property fmtid="{D5CDD505-2E9C-101B-9397-08002B2CF9AE}" pid="10" name="Date1">
    <vt:lpwstr>2017-11-17T00:00:00Z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2017-11-17T00:00:00Z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Process">
    <vt:lpwstr/>
  </property>
  <property fmtid="{D5CDD505-2E9C-101B-9397-08002B2CF9AE}" pid="18" name="_docset_NoMedatataSyncRequired">
    <vt:lpwstr>False</vt:lpwstr>
  </property>
  <property fmtid="{D5CDD505-2E9C-101B-9397-08002B2CF9AE}" pid="19" name="DocumentGroup">
    <vt:lpwstr/>
  </property>
  <property fmtid="{D5CDD505-2E9C-101B-9397-08002B2CF9AE}" pid="20" name="Visibility">
    <vt:lpwstr/>
  </property>
</Properties>
</file>