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eptember 2017\Sept 21 Thursday\Avista PGA Report\"/>
    </mc:Choice>
  </mc:AlternateContent>
  <bookViews>
    <workbookView xWindow="0" yWindow="0" windowWidth="28800" windowHeight="9735"/>
  </bookViews>
  <sheets>
    <sheet name="Aug" sheetId="2" r:id="rId1"/>
    <sheet name="WA - Def-Amtz (current)" sheetId="1" r:id="rId2"/>
  </sheets>
  <externalReferences>
    <externalReference r:id="rId3"/>
  </externalReferences>
  <definedNames>
    <definedName name="_xlnm.Print_Area" localSheetId="0">Aug!$A$1:$M$68</definedName>
    <definedName name="_xlnm.Print_Area" localSheetId="1">'WA - Def-Amtz (current)'!$A$1:$W$84</definedName>
    <definedName name="_xlnm.Print_Titles" localSheetId="0">Aug!$1:$2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85" i="2" l="1"/>
  <c r="I61" i="2"/>
  <c r="H61" i="2"/>
  <c r="I62" i="2" s="1"/>
  <c r="C54" i="2"/>
  <c r="C53" i="2"/>
  <c r="G44" i="2"/>
  <c r="I44" i="2" s="1"/>
  <c r="C44" i="2"/>
  <c r="G43" i="2"/>
  <c r="I43" i="2" s="1"/>
  <c r="C43" i="2"/>
  <c r="C56" i="2" s="1"/>
  <c r="M42" i="2"/>
  <c r="G42" i="2"/>
  <c r="I42" i="2" s="1"/>
  <c r="M41" i="2"/>
  <c r="G41" i="2"/>
  <c r="I41" i="2" s="1"/>
  <c r="K40" i="2"/>
  <c r="M40" i="2" s="1"/>
  <c r="G40" i="2"/>
  <c r="I40" i="2" s="1"/>
  <c r="K39" i="2"/>
  <c r="M39" i="2" s="1"/>
  <c r="G39" i="2"/>
  <c r="I39" i="2" s="1"/>
  <c r="K38" i="2"/>
  <c r="M38" i="2" s="1"/>
  <c r="G38" i="2"/>
  <c r="I38" i="2" s="1"/>
  <c r="K37" i="2"/>
  <c r="M37" i="2" s="1"/>
  <c r="G37" i="2"/>
  <c r="I37" i="2" s="1"/>
  <c r="K36" i="2"/>
  <c r="K43" i="2" s="1"/>
  <c r="K47" i="2" s="1"/>
  <c r="C33" i="2"/>
  <c r="C52" i="2" s="1"/>
  <c r="G32" i="2"/>
  <c r="G34" i="2" s="1"/>
  <c r="I31" i="2"/>
  <c r="I30" i="2"/>
  <c r="I29" i="2"/>
  <c r="K28" i="2"/>
  <c r="K30" i="2" s="1"/>
  <c r="I28" i="2"/>
  <c r="M27" i="2"/>
  <c r="I27" i="2"/>
  <c r="C27" i="2"/>
  <c r="M26" i="2"/>
  <c r="I26" i="2"/>
  <c r="M25" i="2"/>
  <c r="I25" i="2"/>
  <c r="M24" i="2"/>
  <c r="I24" i="2"/>
  <c r="M23" i="2"/>
  <c r="M28" i="2" s="1"/>
  <c r="I23" i="2"/>
  <c r="I32" i="2" s="1"/>
  <c r="C22" i="2"/>
  <c r="C21" i="2"/>
  <c r="C19" i="2"/>
  <c r="C18" i="2"/>
  <c r="C20" i="2" s="1"/>
  <c r="C15" i="2"/>
  <c r="C17" i="2" s="1"/>
  <c r="C12" i="2"/>
  <c r="C14" i="2" s="1"/>
  <c r="L11" i="2"/>
  <c r="H11" i="2"/>
  <c r="C11" i="2"/>
  <c r="H10" i="2"/>
  <c r="K10" i="2" s="1"/>
  <c r="C6" i="2"/>
  <c r="C5" i="2"/>
  <c r="C4" i="2"/>
  <c r="C7" i="2" s="1"/>
  <c r="C1" i="2"/>
  <c r="F1" i="2" s="1"/>
  <c r="E81" i="1"/>
  <c r="D79" i="1"/>
  <c r="D82" i="1" s="1"/>
  <c r="E78" i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D78" i="1"/>
  <c r="R75" i="1"/>
  <c r="E67" i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D67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E54" i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D54" i="1"/>
  <c r="W46" i="1"/>
  <c r="V46" i="1"/>
  <c r="U46" i="1"/>
  <c r="T46" i="1"/>
  <c r="S46" i="1"/>
  <c r="R46" i="1"/>
  <c r="U45" i="1"/>
  <c r="T45" i="1"/>
  <c r="S45" i="1"/>
  <c r="P45" i="1"/>
  <c r="D45" i="1"/>
  <c r="D44" i="1"/>
  <c r="E42" i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D42" i="1"/>
  <c r="R40" i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D31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E18" i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D18" i="1"/>
  <c r="W10" i="1"/>
  <c r="U10" i="1"/>
  <c r="T10" i="1"/>
  <c r="S10" i="1"/>
  <c r="R10" i="1"/>
  <c r="P7" i="1"/>
  <c r="O7" i="1"/>
  <c r="N7" i="1"/>
  <c r="M7" i="1"/>
  <c r="L7" i="1"/>
  <c r="K7" i="1"/>
  <c r="J7" i="1"/>
  <c r="I7" i="1"/>
  <c r="H7" i="1"/>
  <c r="G7" i="1"/>
  <c r="F7" i="1"/>
  <c r="E7" i="1"/>
  <c r="D7" i="1"/>
  <c r="P6" i="1"/>
  <c r="O6" i="1"/>
  <c r="N6" i="1"/>
  <c r="M6" i="1"/>
  <c r="L6" i="1"/>
  <c r="K6" i="1"/>
  <c r="J6" i="1"/>
  <c r="I6" i="1"/>
  <c r="H6" i="1"/>
  <c r="G6" i="1"/>
  <c r="F6" i="1"/>
  <c r="E6" i="1"/>
  <c r="D6" i="1"/>
  <c r="D5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D3" i="1"/>
  <c r="N83" i="1"/>
  <c r="M50" i="1"/>
  <c r="M83" i="1"/>
  <c r="P50" i="1"/>
  <c r="O83" i="1"/>
  <c r="N50" i="1"/>
  <c r="O50" i="1"/>
  <c r="P83" i="1"/>
  <c r="O14" i="1"/>
  <c r="N14" i="1"/>
  <c r="P14" i="1"/>
  <c r="M14" i="1"/>
  <c r="C30" i="2" l="1"/>
  <c r="C32" i="2" s="1"/>
  <c r="C34" i="2" s="1"/>
  <c r="H7" i="2" s="1"/>
  <c r="I45" i="2"/>
  <c r="C59" i="2"/>
  <c r="H9" i="2"/>
  <c r="I53" i="2"/>
  <c r="I33" i="2"/>
  <c r="K53" i="2"/>
  <c r="M29" i="2"/>
  <c r="M36" i="2"/>
  <c r="M43" i="2" s="1"/>
  <c r="G45" i="2"/>
  <c r="F28" i="1"/>
  <c r="D46" i="1"/>
  <c r="D49" i="1" s="1"/>
  <c r="O28" i="1"/>
  <c r="E45" i="1"/>
  <c r="E64" i="1"/>
  <c r="I64" i="1"/>
  <c r="M64" i="1"/>
  <c r="I45" i="1"/>
  <c r="F45" i="1"/>
  <c r="N45" i="1"/>
  <c r="M45" i="1"/>
  <c r="D28" i="1"/>
  <c r="P28" i="1"/>
  <c r="J45" i="1"/>
  <c r="N28" i="1"/>
  <c r="G28" i="1"/>
  <c r="D64" i="1"/>
  <c r="L80" i="1"/>
  <c r="P64" i="1"/>
  <c r="F80" i="1"/>
  <c r="J80" i="1"/>
  <c r="N80" i="1"/>
  <c r="O10" i="1"/>
  <c r="D8" i="1"/>
  <c r="O9" i="1"/>
  <c r="G45" i="1"/>
  <c r="K45" i="1"/>
  <c r="K28" i="1"/>
  <c r="H80" i="1"/>
  <c r="H64" i="1"/>
  <c r="L64" i="1"/>
  <c r="E79" i="1"/>
  <c r="H28" i="1"/>
  <c r="H45" i="1"/>
  <c r="L28" i="1"/>
  <c r="L45" i="1"/>
  <c r="J28" i="1"/>
  <c r="E28" i="1"/>
  <c r="I28" i="1"/>
  <c r="M28" i="1"/>
  <c r="W41" i="1"/>
  <c r="G80" i="1"/>
  <c r="K80" i="1"/>
  <c r="O64" i="1"/>
  <c r="F64" i="1"/>
  <c r="J64" i="1"/>
  <c r="N64" i="1"/>
  <c r="G64" i="1"/>
  <c r="K64" i="1"/>
  <c r="E80" i="1"/>
  <c r="I80" i="1"/>
  <c r="M80" i="1"/>
  <c r="K5" i="2" l="1"/>
  <c r="L5" i="2" s="1"/>
  <c r="G47" i="2"/>
  <c r="I46" i="2"/>
  <c r="H53" i="2"/>
  <c r="J53" i="2"/>
  <c r="M44" i="2"/>
  <c r="I7" i="2"/>
  <c r="I14" i="2" s="1"/>
  <c r="I52" i="2" s="1"/>
  <c r="I55" i="2" s="1"/>
  <c r="J7" i="2"/>
  <c r="L9" i="2"/>
  <c r="L12" i="2" s="1"/>
  <c r="H12" i="2"/>
  <c r="C61" i="2"/>
  <c r="C63" i="2" s="1"/>
  <c r="W44" i="1"/>
  <c r="E82" i="1"/>
  <c r="V44" i="1"/>
  <c r="D13" i="1"/>
  <c r="E44" i="1"/>
  <c r="H14" i="2" l="1"/>
  <c r="H15" i="2" s="1"/>
  <c r="L14" i="2"/>
  <c r="J52" i="2"/>
  <c r="J55" i="2" s="1"/>
  <c r="J15" i="2"/>
  <c r="J14" i="2"/>
  <c r="K52" i="2" s="1"/>
  <c r="K55" i="2" s="1"/>
  <c r="J61" i="2"/>
  <c r="L53" i="2"/>
  <c r="K9" i="2"/>
  <c r="K12" i="2" s="1"/>
  <c r="E5" i="1"/>
  <c r="E46" i="1"/>
  <c r="E49" i="1" s="1"/>
  <c r="F79" i="1"/>
  <c r="F82" i="1" s="1"/>
  <c r="H52" i="2" l="1"/>
  <c r="K14" i="2"/>
  <c r="L15" i="2" s="1"/>
  <c r="K56" i="2"/>
  <c r="F44" i="1"/>
  <c r="G79" i="1"/>
  <c r="G82" i="1" s="1"/>
  <c r="E8" i="1"/>
  <c r="E13" i="1" s="1"/>
  <c r="L52" i="2" l="1"/>
  <c r="L54" i="2" s="1"/>
  <c r="H55" i="2"/>
  <c r="F46" i="1"/>
  <c r="F49" i="1" s="1"/>
  <c r="F5" i="1"/>
  <c r="H79" i="1"/>
  <c r="H82" i="1" s="1"/>
  <c r="I56" i="2" l="1"/>
  <c r="G59" i="2" s="1"/>
  <c r="L55" i="2"/>
  <c r="L56" i="2" s="1"/>
  <c r="I79" i="1"/>
  <c r="I82" i="1" s="1"/>
  <c r="F8" i="1"/>
  <c r="F13" i="1" s="1"/>
  <c r="G44" i="1"/>
  <c r="G5" i="1" l="1"/>
  <c r="G46" i="1"/>
  <c r="G49" i="1" s="1"/>
  <c r="V77" i="1"/>
  <c r="J79" i="1"/>
  <c r="J82" i="1" s="1"/>
  <c r="W76" i="1" l="1"/>
  <c r="H44" i="1"/>
  <c r="K79" i="1"/>
  <c r="K82" i="1" s="1"/>
  <c r="V76" i="1"/>
  <c r="W77" i="1"/>
  <c r="G8" i="1"/>
  <c r="G13" i="1" s="1"/>
  <c r="W80" i="1" l="1"/>
  <c r="V8" i="1"/>
  <c r="W8" i="1"/>
  <c r="L79" i="1"/>
  <c r="L82" i="1" s="1"/>
  <c r="H46" i="1"/>
  <c r="H49" i="1" s="1"/>
  <c r="H5" i="1"/>
  <c r="I44" i="1" l="1"/>
  <c r="M79" i="1"/>
  <c r="M82" i="1" s="1"/>
  <c r="H8" i="1"/>
  <c r="H13" i="1" s="1"/>
  <c r="I5" i="1" l="1"/>
  <c r="M84" i="1"/>
  <c r="N79" i="1"/>
  <c r="N82" i="1" s="1"/>
  <c r="I46" i="1"/>
  <c r="I49" i="1" s="1"/>
  <c r="J44" i="1" l="1"/>
  <c r="O79" i="1"/>
  <c r="O82" i="1" s="1"/>
  <c r="N84" i="1"/>
  <c r="I8" i="1"/>
  <c r="I13" i="1" s="1"/>
  <c r="J5" i="1" l="1"/>
  <c r="P79" i="1"/>
  <c r="P82" i="1" s="1"/>
  <c r="P84" i="1" s="1"/>
  <c r="O84" i="1"/>
  <c r="J46" i="1"/>
  <c r="J49" i="1" s="1"/>
  <c r="K44" i="1" l="1"/>
  <c r="J8" i="1"/>
  <c r="O11" i="1" s="1"/>
  <c r="J13" i="1" l="1"/>
  <c r="K46" i="1"/>
  <c r="K49" i="1" s="1"/>
  <c r="K5" i="1" l="1"/>
  <c r="L44" i="1"/>
  <c r="K8" i="1"/>
  <c r="K13" i="1" s="1"/>
  <c r="L5" i="1" l="1"/>
  <c r="L46" i="1"/>
  <c r="V42" i="1" l="1"/>
  <c r="W43" i="1"/>
  <c r="V43" i="1"/>
  <c r="L49" i="1"/>
  <c r="L8" i="1"/>
  <c r="V7" i="1" s="1"/>
  <c r="L13" i="1" l="1"/>
  <c r="M44" i="1"/>
  <c r="W47" i="1"/>
  <c r="M46" i="1" l="1"/>
  <c r="M49" i="1" s="1"/>
  <c r="M5" i="1"/>
  <c r="N44" i="1" l="1"/>
  <c r="M51" i="1"/>
  <c r="M8" i="1"/>
  <c r="M13" i="1" s="1"/>
  <c r="M15" i="1" l="1"/>
  <c r="N5" i="1"/>
  <c r="N46" i="1"/>
  <c r="N49" i="1" s="1"/>
  <c r="N51" i="1" l="1"/>
  <c r="O44" i="1"/>
  <c r="N8" i="1"/>
  <c r="N13" i="1" s="1"/>
  <c r="N15" i="1" l="1"/>
  <c r="O5" i="1"/>
  <c r="O46" i="1"/>
  <c r="O49" i="1" s="1"/>
  <c r="O51" i="1" l="1"/>
  <c r="P44" i="1"/>
  <c r="O8" i="1"/>
  <c r="O13" i="1" s="1"/>
  <c r="O15" i="1" l="1"/>
  <c r="P5" i="1"/>
  <c r="P46" i="1"/>
  <c r="P49" i="1" s="1"/>
  <c r="P51" i="1" s="1"/>
  <c r="P8" i="1" l="1"/>
  <c r="P13" i="1" s="1"/>
  <c r="P15" i="1" s="1"/>
  <c r="W7" i="1" l="1"/>
  <c r="W5" i="1"/>
  <c r="V6" i="1"/>
  <c r="W11" i="1" l="1"/>
</calcChain>
</file>

<file path=xl/comments1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2.xml><?xml version="1.0" encoding="utf-8"?>
<comments xmlns="http://schemas.openxmlformats.org/spreadsheetml/2006/main">
  <authors>
    <author>Berg, Jenny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"plug" to get to Ryan's balance of $14,182,183.96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"plug" to get to Ryan's balance of $14,182,183.96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Captured annually; compiled from rates.  Booked in November - "November 2016 Transfers".  Includes 112 (if there were customers), 122 &amp; 132.
122 - St Lukes Hospital
122- State of Washington
122 - Spokane County Courthouse
132 - Spokane County Courthouse
132 - State of Washington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Demand…increases in '16 b/c of change in rate from .02571 to .09174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O4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Demand…increases in '16 b/c of change in rate from .02571 to .09174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O4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P4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</t>
        </r>
      </text>
    </comment>
    <comment ref="O4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"November 2016 Transfers" spreadsheet</t>
        </r>
      </text>
    </comment>
    <comment ref="O48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"November 2016 Transfers" spreadsheet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O8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P8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Correction to backwards sign on $298 last month...</t>
        </r>
      </text>
    </comment>
  </commentList>
</comments>
</file>

<file path=xl/sharedStrings.xml><?xml version="1.0" encoding="utf-8"?>
<sst xmlns="http://schemas.openxmlformats.org/spreadsheetml/2006/main" count="373" uniqueCount="165">
  <si>
    <t>Blue Text = Drag Formula to next month and copy/paste value in prior month</t>
  </si>
  <si>
    <t>Update JE date to pull current month values</t>
  </si>
  <si>
    <t>(   ) = Rebate</t>
  </si>
  <si>
    <t>Washington Current Deferral</t>
  </si>
  <si>
    <t>Month</t>
  </si>
  <si>
    <t>Interest Rate</t>
  </si>
  <si>
    <t>Beginning Balance</t>
  </si>
  <si>
    <t>WA Deferral Interest Income</t>
  </si>
  <si>
    <t>GD</t>
  </si>
  <si>
    <t>WA</t>
  </si>
  <si>
    <t>Commodity Deferral</t>
  </si>
  <si>
    <t>WA Deferral Interest Expense</t>
  </si>
  <si>
    <t>Demand Deferral</t>
  </si>
  <si>
    <t>WA Deferral</t>
  </si>
  <si>
    <t>Interest (Rev/Expense)</t>
  </si>
  <si>
    <t>WA Deferral Expense</t>
  </si>
  <si>
    <t>Commodity Adjustment</t>
  </si>
  <si>
    <t>Tracker Transfer</t>
  </si>
  <si>
    <t>Demand Adjustment</t>
  </si>
  <si>
    <t>Interest Adjustment</t>
  </si>
  <si>
    <t>Check</t>
  </si>
  <si>
    <t>Misc Adjustment</t>
  </si>
  <si>
    <t>Ending Balance</t>
  </si>
  <si>
    <t>GLW Check</t>
  </si>
  <si>
    <t>Variance</t>
  </si>
  <si>
    <t>Washington Amortization</t>
  </si>
  <si>
    <t>Volume - Commodity &amp; Demand</t>
  </si>
  <si>
    <t>Schedule 101</t>
  </si>
  <si>
    <t>Schedule 102</t>
  </si>
  <si>
    <t>Schedule 111</t>
  </si>
  <si>
    <t>Schedule 112</t>
  </si>
  <si>
    <t>Schedule 121</t>
  </si>
  <si>
    <t>Schedule 122</t>
  </si>
  <si>
    <t>Schedule 131</t>
  </si>
  <si>
    <t>Schedule 132</t>
  </si>
  <si>
    <t>Schedule 146</t>
  </si>
  <si>
    <t>Total</t>
  </si>
  <si>
    <t>Calendar Sales Check</t>
  </si>
  <si>
    <t>Rates</t>
  </si>
  <si>
    <t>Main Calc</t>
  </si>
  <si>
    <t>GL</t>
  </si>
  <si>
    <t>WA Amortization Interest Income</t>
  </si>
  <si>
    <t>WA Amortization Interest Expense</t>
  </si>
  <si>
    <t>WA Amortization</t>
  </si>
  <si>
    <t>WA Amortization Expense</t>
  </si>
  <si>
    <t>Amortization</t>
  </si>
  <si>
    <t>Large Customer Refund</t>
  </si>
  <si>
    <t>Interest</t>
  </si>
  <si>
    <t>PGA Transfer</t>
  </si>
  <si>
    <t>Volume - Demand only</t>
  </si>
  <si>
    <t>WA Amortization JP</t>
  </si>
  <si>
    <t>WA Amortization Expense JP</t>
  </si>
  <si>
    <t>*Misc Adjustments*</t>
  </si>
  <si>
    <t xml:space="preserve">Washington/Idaho Gas Costs </t>
  </si>
  <si>
    <t xml:space="preserve">Total </t>
  </si>
  <si>
    <t>Demand</t>
  </si>
  <si>
    <t xml:space="preserve">Commodity </t>
  </si>
  <si>
    <t>System</t>
  </si>
  <si>
    <t>Allocated to</t>
  </si>
  <si>
    <t xml:space="preserve">Allocated to </t>
  </si>
  <si>
    <r>
      <t>Demand (Transportation)</t>
    </r>
    <r>
      <rPr>
        <b/>
        <sz val="12"/>
        <color indexed="8"/>
        <rFont val="Arial"/>
        <family val="2"/>
      </rPr>
      <t xml:space="preserve"> Costs</t>
    </r>
  </si>
  <si>
    <t>Expense Calculation</t>
  </si>
  <si>
    <t>Cost</t>
  </si>
  <si>
    <t>Washington</t>
  </si>
  <si>
    <t>Idaho</t>
  </si>
  <si>
    <t xml:space="preserve">NWP Fixed </t>
  </si>
  <si>
    <t xml:space="preserve">NWP Variable </t>
  </si>
  <si>
    <t>NWP Capacity Release</t>
  </si>
  <si>
    <t>NWP Total (excluding Refund)</t>
  </si>
  <si>
    <r>
      <t xml:space="preserve">Total Current Demand Costs </t>
    </r>
    <r>
      <rPr>
        <b/>
        <sz val="12"/>
        <rFont val="Arial"/>
        <family val="2"/>
      </rPr>
      <t>(excluding refund)</t>
    </r>
  </si>
  <si>
    <t>GTN Fixed</t>
  </si>
  <si>
    <t xml:space="preserve">GTN Variable </t>
  </si>
  <si>
    <t>Total Commodity Costs to be Allocated</t>
  </si>
  <si>
    <t>GTN Capacity Release</t>
  </si>
  <si>
    <t>Imbalance Cost Washington</t>
  </si>
  <si>
    <t xml:space="preserve">  Current Month Estimate</t>
  </si>
  <si>
    <t>Imbalance Cost Idaho</t>
  </si>
  <si>
    <t>Transcanada Foothills (BC System) Fixed</t>
  </si>
  <si>
    <t>Total Commodity Costs before refund</t>
  </si>
  <si>
    <t>Transcanada Foothills (BC System) Variable</t>
  </si>
  <si>
    <t>ANG Total</t>
  </si>
  <si>
    <t>NOVA (AB System) Fixed</t>
  </si>
  <si>
    <t>check</t>
  </si>
  <si>
    <t>NOVA (AB System) Variable</t>
  </si>
  <si>
    <t>NOVA Total</t>
  </si>
  <si>
    <t>Spectra Westcoast Fixed</t>
  </si>
  <si>
    <t>WASHINGTON</t>
  </si>
  <si>
    <t>IDAHO</t>
  </si>
  <si>
    <t>Spectra Westcoast Variable</t>
  </si>
  <si>
    <t xml:space="preserve">Balance Sheet </t>
  </si>
  <si>
    <t>PGA</t>
  </si>
  <si>
    <t>WEI (Duke) Total</t>
  </si>
  <si>
    <t>Def Rev Calc</t>
  </si>
  <si>
    <t>Volumes</t>
  </si>
  <si>
    <t>Rate</t>
  </si>
  <si>
    <t>Revenue</t>
  </si>
  <si>
    <t>Questar</t>
  </si>
  <si>
    <t>DEMAND</t>
  </si>
  <si>
    <t xml:space="preserve">NOVA Fixed charges </t>
  </si>
  <si>
    <t xml:space="preserve">Third party capacity release </t>
  </si>
  <si>
    <t>Other Pipeline Fixed charges</t>
  </si>
  <si>
    <t>Other capacity release credit</t>
  </si>
  <si>
    <t>Counterparty Invoice Total</t>
  </si>
  <si>
    <t>Thermal Transport</t>
  </si>
  <si>
    <t xml:space="preserve">Total Demand </t>
  </si>
  <si>
    <t>Intracompany Transportation Optimization</t>
  </si>
  <si>
    <r>
      <t>Total Demand</t>
    </r>
    <r>
      <rPr>
        <b/>
        <sz val="12"/>
        <color indexed="8"/>
        <rFont val="Arial"/>
        <family val="2"/>
      </rPr>
      <t xml:space="preserve"> Costs from Purchase Journals</t>
    </r>
  </si>
  <si>
    <t>WA/ID Buy/Sell Transportation Recovery</t>
  </si>
  <si>
    <t xml:space="preserve">Total Demand Costs </t>
  </si>
  <si>
    <t>804001 GD AN</t>
  </si>
  <si>
    <t>less variable costs charged to Commodity</t>
  </si>
  <si>
    <t>Total Demand Costs to be Allocated</t>
  </si>
  <si>
    <t>COMMODITY</t>
  </si>
  <si>
    <t>Commodity Purchases (Natural Gas)</t>
  </si>
  <si>
    <t>Commodity Physical</t>
  </si>
  <si>
    <t>804000 GD AN</t>
  </si>
  <si>
    <t>Misc</t>
  </si>
  <si>
    <t>Cochrane Credit</t>
  </si>
  <si>
    <t>811000 GD AN</t>
  </si>
  <si>
    <t>Financial Settlements</t>
  </si>
  <si>
    <t>804600 GD AN</t>
  </si>
  <si>
    <t>Foreign Exchange Hedge Activity</t>
  </si>
  <si>
    <t>804010 GD AN</t>
  </si>
  <si>
    <t>Interco Purchase from Thermal</t>
  </si>
  <si>
    <t>804730 GD AN</t>
  </si>
  <si>
    <t>Total Commodity Costs from Purchase Journals</t>
  </si>
  <si>
    <t>Total Commodity</t>
  </si>
  <si>
    <t>Storage (Injections)/Withdrawals</t>
  </si>
  <si>
    <t>808100/808200 GD AN</t>
  </si>
  <si>
    <t>FAFB Commodity for Anderson Elementary/Lignetics (semi-annual)</t>
  </si>
  <si>
    <t>WA/ID Gas Purchased from Interstate Asphalt (Annual)</t>
  </si>
  <si>
    <t>GST</t>
  </si>
  <si>
    <t>M Chemical Accrual</t>
  </si>
  <si>
    <t>Broker Fees</t>
  </si>
  <si>
    <t>804017 GD AN</t>
  </si>
  <si>
    <t xml:space="preserve">Idaho </t>
  </si>
  <si>
    <t>Mizuho Broker Fees</t>
  </si>
  <si>
    <t>Deferral Calculation</t>
  </si>
  <si>
    <t>Commodity</t>
  </si>
  <si>
    <t>Wells Fargo Journal DJ 473</t>
  </si>
  <si>
    <t>Totals from above</t>
  </si>
  <si>
    <t>plus variable costs from Demand</t>
  </si>
  <si>
    <t>Total Deferral Expenses from above</t>
  </si>
  <si>
    <t>Merchandise Processing Fee DJ 467</t>
  </si>
  <si>
    <t>804018 GD AN</t>
  </si>
  <si>
    <t>PGA Deferral Revenue from above</t>
  </si>
  <si>
    <t>WA/ID Off System Revenue</t>
  </si>
  <si>
    <t>483000/483600/483730</t>
  </si>
  <si>
    <t>Adjustments</t>
  </si>
  <si>
    <t>Deferred Exchange Revenue</t>
  </si>
  <si>
    <t>495028 GD AN</t>
  </si>
  <si>
    <t>Amount to be Deferred</t>
  </si>
  <si>
    <t>(overcollected)/undercollected</t>
  </si>
  <si>
    <t>WA Total</t>
  </si>
  <si>
    <t>ID Total</t>
  </si>
  <si>
    <t>WA Imbalance</t>
  </si>
  <si>
    <t>ID Imbalance</t>
  </si>
  <si>
    <t>(rebate)/surcharge</t>
  </si>
  <si>
    <t>Total Deferred Commodity Costs:</t>
  </si>
  <si>
    <t>Deferral Check</t>
  </si>
  <si>
    <t>JET Entry</t>
  </si>
  <si>
    <t>Debits</t>
  </si>
  <si>
    <t>Credits</t>
  </si>
  <si>
    <t xml:space="preserve">Total Net Gas Costs </t>
  </si>
  <si>
    <t>From DJ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</si>
</sst>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0000_);\(#,##0.00000\)"/>
    <numFmt numFmtId="165" formatCode="0_)"/>
    <numFmt numFmtId="166" formatCode="0.0000%"/>
    <numFmt numFmtId="167" formatCode="General_)"/>
    <numFmt numFmtId="168" formatCode="#,##0.0000_);[Red]\(#,##0.0000\)"/>
    <numFmt numFmtId="169" formatCode="0.000%"/>
    <numFmt numFmtId="170" formatCode="_(&quot;$&quot;* #,##0.00000_);_(&quot;$&quot;* \(#,##0.00000\);_(&quot;$&quot;* &quot;-&quot;??_);_(@_)"/>
    <numFmt numFmtId="171" formatCode="&quot;$&quot;#,##0.00000_);[Red]\(&quot;$&quot;#,##0.00000\)"/>
    <numFmt numFmtId="172" formatCode="#,##0.0000_);\(#,##0.0000\)"/>
    <numFmt numFmtId="173" formatCode="&quot;$&quot;#,##0.00000_);\(&quot;$&quot;#,##0.00000\)"/>
  </numFmts>
  <fonts count="25">
    <font>
      <sz val="10"/>
      <name val="Helv"/>
    </font>
    <font>
      <i/>
      <sz val="12"/>
      <color rgb="FF0000FF"/>
      <name val="Helv"/>
    </font>
    <font>
      <sz val="12"/>
      <name val="Helv"/>
    </font>
    <font>
      <b/>
      <sz val="12"/>
      <name val="Helv"/>
    </font>
    <font>
      <sz val="10"/>
      <name val="Geneva"/>
    </font>
    <font>
      <b/>
      <sz val="12"/>
      <color rgb="FF0000FF"/>
      <name val="Helv"/>
    </font>
    <font>
      <sz val="12"/>
      <name val="Arial"/>
      <family val="2"/>
    </font>
    <font>
      <sz val="12"/>
      <color rgb="FF0000FF"/>
      <name val="Helv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7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rgb="FF0000FF"/>
      <name val="Arial"/>
      <family val="2"/>
    </font>
    <font>
      <sz val="12"/>
      <color indexed="12"/>
      <name val="Arial"/>
      <family val="2"/>
    </font>
    <font>
      <sz val="12"/>
      <color theme="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2"/>
      <color indexed="9"/>
      <name val="Arial"/>
      <family val="2"/>
    </font>
    <font>
      <b/>
      <sz val="12"/>
      <color theme="0"/>
      <name val="Arial"/>
      <family val="2"/>
    </font>
    <font>
      <b/>
      <sz val="12"/>
      <color indexed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39" fontId="0" fillId="0" borderId="0"/>
    <xf numFmtId="4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1" applyNumberFormat="0" applyFill="0" applyAlignment="0" applyProtection="0"/>
    <xf numFmtId="8" fontId="4" fillId="0" borderId="0" applyFont="0" applyFill="0" applyBorder="0" applyAlignment="0" applyProtection="0"/>
  </cellStyleXfs>
  <cellXfs count="250">
    <xf numFmtId="39" fontId="0" fillId="0" borderId="0" xfId="0"/>
    <xf numFmtId="39" fontId="1" fillId="2" borderId="0" xfId="0" applyFont="1" applyFill="1"/>
    <xf numFmtId="39" fontId="2" fillId="2" borderId="0" xfId="0" applyFont="1" applyFill="1" applyAlignment="1">
      <alignment horizontal="right"/>
    </xf>
    <xf numFmtId="39" fontId="2" fillId="2" borderId="0" xfId="0" applyFont="1" applyFill="1"/>
    <xf numFmtId="39" fontId="2" fillId="2" borderId="0" xfId="0" applyFont="1" applyFill="1" applyBorder="1"/>
    <xf numFmtId="0" fontId="2" fillId="2" borderId="0" xfId="0" applyNumberFormat="1" applyFont="1" applyFill="1"/>
    <xf numFmtId="39" fontId="3" fillId="2" borderId="0" xfId="0" applyFont="1" applyFill="1"/>
    <xf numFmtId="0" fontId="3" fillId="2" borderId="0" xfId="0" applyNumberFormat="1" applyFont="1" applyFill="1"/>
    <xf numFmtId="39" fontId="3" fillId="2" borderId="0" xfId="0" applyFont="1" applyFill="1" applyAlignment="1">
      <alignment horizontal="right"/>
    </xf>
    <xf numFmtId="39" fontId="3" fillId="2" borderId="0" xfId="0" applyFont="1" applyFill="1" applyBorder="1"/>
    <xf numFmtId="10" fontId="2" fillId="2" borderId="0" xfId="2" applyNumberFormat="1" applyFont="1" applyFill="1"/>
    <xf numFmtId="10" fontId="2" fillId="0" borderId="0" xfId="2" applyNumberFormat="1" applyFont="1" applyFill="1"/>
    <xf numFmtId="10" fontId="2" fillId="3" borderId="0" xfId="2" applyNumberFormat="1" applyFont="1" applyFill="1"/>
    <xf numFmtId="0" fontId="5" fillId="2" borderId="2" xfId="0" applyNumberFormat="1" applyFont="1" applyFill="1" applyBorder="1"/>
    <xf numFmtId="0" fontId="2" fillId="2" borderId="3" xfId="0" applyNumberFormat="1" applyFont="1" applyFill="1" applyBorder="1"/>
    <xf numFmtId="39" fontId="2" fillId="2" borderId="3" xfId="0" applyFont="1" applyFill="1" applyBorder="1"/>
    <xf numFmtId="39" fontId="2" fillId="2" borderId="4" xfId="0" applyFont="1" applyFill="1" applyBorder="1"/>
    <xf numFmtId="39" fontId="2" fillId="0" borderId="0" xfId="0" applyFont="1" applyFill="1"/>
    <xf numFmtId="39" fontId="2" fillId="3" borderId="0" xfId="0" applyFont="1" applyFill="1"/>
    <xf numFmtId="39" fontId="6" fillId="2" borderId="2" xfId="0" applyFont="1" applyFill="1" applyBorder="1"/>
    <xf numFmtId="0" fontId="6" fillId="2" borderId="3" xfId="0" applyNumberFormat="1" applyFont="1" applyFill="1" applyBorder="1"/>
    <xf numFmtId="39" fontId="6" fillId="2" borderId="3" xfId="0" applyFont="1" applyFill="1" applyBorder="1"/>
    <xf numFmtId="40" fontId="6" fillId="2" borderId="3" xfId="1" applyFont="1" applyFill="1" applyBorder="1"/>
    <xf numFmtId="40" fontId="6" fillId="2" borderId="4" xfId="1" applyFont="1" applyFill="1" applyBorder="1"/>
    <xf numFmtId="39" fontId="6" fillId="2" borderId="5" xfId="0" applyFont="1" applyFill="1" applyBorder="1"/>
    <xf numFmtId="0" fontId="6" fillId="2" borderId="0" xfId="0" applyNumberFormat="1" applyFont="1" applyFill="1" applyBorder="1"/>
    <xf numFmtId="39" fontId="6" fillId="2" borderId="0" xfId="0" applyFont="1" applyFill="1" applyBorder="1"/>
    <xf numFmtId="40" fontId="6" fillId="2" borderId="0" xfId="1" applyFont="1" applyFill="1" applyBorder="1"/>
    <xf numFmtId="40" fontId="6" fillId="2" borderId="6" xfId="1" applyFont="1" applyFill="1" applyBorder="1"/>
    <xf numFmtId="39" fontId="7" fillId="2" borderId="0" xfId="0" applyFont="1" applyFill="1"/>
    <xf numFmtId="39" fontId="7" fillId="0" borderId="0" xfId="0" applyFont="1" applyFill="1"/>
    <xf numFmtId="39" fontId="2" fillId="4" borderId="7" xfId="0" applyFont="1" applyFill="1" applyBorder="1"/>
    <xf numFmtId="39" fontId="2" fillId="0" borderId="7" xfId="0" applyFont="1" applyFill="1" applyBorder="1"/>
    <xf numFmtId="39" fontId="2" fillId="5" borderId="8" xfId="0" applyFont="1" applyFill="1" applyBorder="1"/>
    <xf numFmtId="39" fontId="2" fillId="0" borderId="8" xfId="0" applyFont="1" applyFill="1" applyBorder="1"/>
    <xf numFmtId="39" fontId="6" fillId="2" borderId="9" xfId="0" applyFont="1" applyFill="1" applyBorder="1"/>
    <xf numFmtId="0" fontId="6" fillId="2" borderId="10" xfId="0" applyNumberFormat="1" applyFont="1" applyFill="1" applyBorder="1"/>
    <xf numFmtId="40" fontId="6" fillId="2" borderId="10" xfId="1" applyFont="1" applyFill="1" applyBorder="1"/>
    <xf numFmtId="40" fontId="6" fillId="2" borderId="11" xfId="1" applyFont="1" applyFill="1" applyBorder="1"/>
    <xf numFmtId="39" fontId="2" fillId="7" borderId="8" xfId="0" applyFont="1" applyFill="1" applyBorder="1"/>
    <xf numFmtId="39" fontId="2" fillId="2" borderId="9" xfId="0" applyFont="1" applyFill="1" applyBorder="1"/>
    <xf numFmtId="0" fontId="2" fillId="2" borderId="10" xfId="0" applyNumberFormat="1" applyFont="1" applyFill="1" applyBorder="1"/>
    <xf numFmtId="39" fontId="2" fillId="2" borderId="10" xfId="0" applyFont="1" applyFill="1" applyBorder="1"/>
    <xf numFmtId="39" fontId="2" fillId="2" borderId="11" xfId="0" applyFont="1" applyFill="1" applyBorder="1"/>
    <xf numFmtId="39" fontId="2" fillId="8" borderId="12" xfId="0" applyFont="1" applyFill="1" applyBorder="1"/>
    <xf numFmtId="39" fontId="2" fillId="0" borderId="12" xfId="0" applyFont="1" applyFill="1" applyBorder="1"/>
    <xf numFmtId="39" fontId="9" fillId="2" borderId="1" xfId="3" applyNumberFormat="1" applyFont="1" applyFill="1"/>
    <xf numFmtId="39" fontId="9" fillId="2" borderId="13" xfId="3" applyNumberFormat="1" applyFont="1" applyFill="1" applyBorder="1"/>
    <xf numFmtId="39" fontId="3" fillId="2" borderId="0" xfId="0" applyFont="1" applyFill="1" applyAlignment="1"/>
    <xf numFmtId="38" fontId="2" fillId="2" borderId="0" xfId="1" applyNumberFormat="1" applyFont="1" applyFill="1"/>
    <xf numFmtId="37" fontId="2" fillId="2" borderId="0" xfId="0" applyNumberFormat="1" applyFont="1" applyFill="1"/>
    <xf numFmtId="37" fontId="2" fillId="3" borderId="0" xfId="0" applyNumberFormat="1" applyFont="1" applyFill="1"/>
    <xf numFmtId="39" fontId="2" fillId="0" borderId="0" xfId="0" applyFont="1" applyFill="1" applyAlignment="1">
      <alignment horizontal="right"/>
    </xf>
    <xf numFmtId="38" fontId="10" fillId="0" borderId="0" xfId="1" applyNumberFormat="1" applyFont="1" applyFill="1" applyBorder="1" applyProtection="1"/>
    <xf numFmtId="39" fontId="2" fillId="3" borderId="0" xfId="0" applyFont="1" applyFill="1" applyAlignment="1">
      <alignment horizontal="right"/>
    </xf>
    <xf numFmtId="37" fontId="9" fillId="2" borderId="1" xfId="3" applyNumberFormat="1" applyFont="1" applyFill="1"/>
    <xf numFmtId="38" fontId="2" fillId="0" borderId="0" xfId="1" applyNumberFormat="1" applyFont="1" applyFill="1"/>
    <xf numFmtId="38" fontId="2" fillId="2" borderId="0" xfId="1" applyNumberFormat="1" applyFont="1" applyFill="1" applyBorder="1"/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6" borderId="0" xfId="0" applyNumberFormat="1" applyFont="1" applyFill="1" applyAlignment="1">
      <alignment horizontal="center"/>
    </xf>
    <xf numFmtId="0" fontId="3" fillId="2" borderId="2" xfId="0" applyNumberFormat="1" applyFont="1" applyFill="1" applyBorder="1"/>
    <xf numFmtId="39" fontId="2" fillId="2" borderId="0" xfId="0" applyFont="1" applyFill="1" applyAlignment="1">
      <alignment horizontal="center"/>
    </xf>
    <xf numFmtId="39" fontId="6" fillId="0" borderId="5" xfId="0" applyFont="1" applyFill="1" applyBorder="1"/>
    <xf numFmtId="0" fontId="6" fillId="0" borderId="0" xfId="0" applyNumberFormat="1" applyFont="1" applyFill="1" applyBorder="1"/>
    <xf numFmtId="40" fontId="6" fillId="0" borderId="0" xfId="1" applyFont="1" applyFill="1" applyBorder="1"/>
    <xf numFmtId="40" fontId="6" fillId="0" borderId="6" xfId="1" applyFont="1" applyFill="1" applyBorder="1"/>
    <xf numFmtId="39" fontId="6" fillId="0" borderId="9" xfId="0" applyFont="1" applyFill="1" applyBorder="1"/>
    <xf numFmtId="0" fontId="6" fillId="0" borderId="10" xfId="0" applyNumberFormat="1" applyFont="1" applyFill="1" applyBorder="1"/>
    <xf numFmtId="40" fontId="6" fillId="0" borderId="10" xfId="1" applyFont="1" applyFill="1" applyBorder="1"/>
    <xf numFmtId="40" fontId="6" fillId="0" borderId="11" xfId="1" applyFont="1" applyFill="1" applyBorder="1"/>
    <xf numFmtId="39" fontId="2" fillId="9" borderId="14" xfId="0" applyFont="1" applyFill="1" applyBorder="1"/>
    <xf numFmtId="38" fontId="2" fillId="3" borderId="0" xfId="1" applyNumberFormat="1" applyFont="1" applyFill="1"/>
    <xf numFmtId="40" fontId="2" fillId="2" borderId="0" xfId="0" applyNumberFormat="1" applyFont="1" applyFill="1"/>
    <xf numFmtId="0" fontId="3" fillId="2" borderId="15" xfId="0" applyNumberFormat="1" applyFont="1" applyFill="1" applyBorder="1"/>
    <xf numFmtId="0" fontId="2" fillId="2" borderId="16" xfId="0" applyNumberFormat="1" applyFont="1" applyFill="1" applyBorder="1"/>
    <xf numFmtId="39" fontId="2" fillId="2" borderId="16" xfId="0" applyFont="1" applyFill="1" applyBorder="1"/>
    <xf numFmtId="39" fontId="2" fillId="2" borderId="17" xfId="0" applyFont="1" applyFill="1" applyBorder="1"/>
    <xf numFmtId="39" fontId="2" fillId="2" borderId="15" xfId="0" applyFont="1" applyFill="1" applyBorder="1"/>
    <xf numFmtId="17" fontId="14" fillId="0" borderId="15" xfId="0" applyNumberFormat="1" applyFont="1" applyBorder="1"/>
    <xf numFmtId="17" fontId="14" fillId="0" borderId="17" xfId="0" applyNumberFormat="1" applyFont="1" applyBorder="1"/>
    <xf numFmtId="0" fontId="14" fillId="0" borderId="0" xfId="0" applyNumberFormat="1" applyFont="1" applyFill="1" applyAlignment="1">
      <alignment horizontal="center"/>
    </xf>
    <xf numFmtId="39" fontId="6" fillId="10" borderId="0" xfId="0" applyFont="1" applyFill="1"/>
    <xf numFmtId="39" fontId="6" fillId="0" borderId="0" xfId="0" applyFont="1"/>
    <xf numFmtId="39" fontId="6" fillId="0" borderId="0" xfId="0" applyFont="1" applyFill="1"/>
    <xf numFmtId="165" fontId="14" fillId="0" borderId="18" xfId="0" applyNumberFormat="1" applyFont="1" applyFill="1" applyBorder="1" applyAlignment="1" applyProtection="1">
      <alignment horizontal="center"/>
    </xf>
    <xf numFmtId="39" fontId="14" fillId="0" borderId="18" xfId="0" applyFont="1" applyFill="1" applyBorder="1" applyAlignment="1">
      <alignment horizontal="center"/>
    </xf>
    <xf numFmtId="5" fontId="14" fillId="0" borderId="0" xfId="0" applyNumberFormat="1" applyFont="1" applyFill="1" applyAlignment="1">
      <alignment horizontal="center"/>
    </xf>
    <xf numFmtId="165" fontId="14" fillId="0" borderId="19" xfId="0" applyNumberFormat="1" applyFont="1" applyFill="1" applyBorder="1" applyAlignment="1" applyProtection="1">
      <alignment horizontal="center"/>
    </xf>
    <xf numFmtId="39" fontId="14" fillId="0" borderId="19" xfId="0" applyFont="1" applyFill="1" applyBorder="1" applyAlignment="1">
      <alignment horizontal="center"/>
    </xf>
    <xf numFmtId="39" fontId="14" fillId="0" borderId="20" xfId="0" applyFont="1" applyBorder="1"/>
    <xf numFmtId="5" fontId="6" fillId="0" borderId="0" xfId="0" applyNumberFormat="1" applyFont="1" applyFill="1"/>
    <xf numFmtId="17" fontId="14" fillId="10" borderId="0" xfId="0" applyNumberFormat="1" applyFont="1" applyFill="1"/>
    <xf numFmtId="39" fontId="14" fillId="0" borderId="0" xfId="0" applyFont="1" applyFill="1"/>
    <xf numFmtId="39" fontId="14" fillId="0" borderId="21" xfId="0" applyFont="1" applyFill="1" applyBorder="1" applyAlignment="1">
      <alignment horizontal="center"/>
    </xf>
    <xf numFmtId="44" fontId="10" fillId="5" borderId="0" xfId="0" applyNumberFormat="1" applyFont="1" applyFill="1" applyBorder="1"/>
    <xf numFmtId="5" fontId="14" fillId="10" borderId="0" xfId="0" applyNumberFormat="1" applyFont="1" applyFill="1" applyAlignment="1">
      <alignment horizontal="center"/>
    </xf>
    <xf numFmtId="39" fontId="14" fillId="0" borderId="0" xfId="0" applyFont="1" applyFill="1" applyBorder="1"/>
    <xf numFmtId="10" fontId="14" fillId="3" borderId="0" xfId="2" applyNumberFormat="1" applyFont="1" applyFill="1" applyAlignment="1">
      <alignment horizontal="center"/>
    </xf>
    <xf numFmtId="166" fontId="14" fillId="0" borderId="0" xfId="2" applyNumberFormat="1" applyFont="1" applyFill="1" applyAlignment="1">
      <alignment horizontal="center"/>
    </xf>
    <xf numFmtId="39" fontId="6" fillId="0" borderId="20" xfId="0" applyFont="1" applyFill="1" applyBorder="1"/>
    <xf numFmtId="44" fontId="10" fillId="5" borderId="20" xfId="0" applyNumberFormat="1" applyFont="1" applyFill="1" applyBorder="1"/>
    <xf numFmtId="39" fontId="6" fillId="0" borderId="0" xfId="0" applyFont="1" applyFill="1" applyAlignment="1">
      <alignment horizontal="right"/>
    </xf>
    <xf numFmtId="44" fontId="6" fillId="0" borderId="0" xfId="0" applyNumberFormat="1" applyFont="1" applyFill="1" applyBorder="1"/>
    <xf numFmtId="5" fontId="6" fillId="10" borderId="0" xfId="0" applyNumberFormat="1" applyFont="1" applyFill="1"/>
    <xf numFmtId="167" fontId="6" fillId="0" borderId="0" xfId="0" applyNumberFormat="1" applyFont="1" applyFill="1" applyAlignment="1" applyProtection="1">
      <alignment horizontal="left"/>
    </xf>
    <xf numFmtId="44" fontId="14" fillId="10" borderId="22" xfId="0" applyNumberFormat="1" applyFont="1" applyFill="1" applyBorder="1"/>
    <xf numFmtId="44" fontId="6" fillId="0" borderId="0" xfId="0" applyNumberFormat="1" applyFont="1" applyFill="1" applyProtection="1">
      <protection locked="0"/>
    </xf>
    <xf numFmtId="44" fontId="6" fillId="0" borderId="0" xfId="0" applyNumberFormat="1" applyFont="1" applyFill="1"/>
    <xf numFmtId="7" fontId="6" fillId="10" borderId="0" xfId="0" applyNumberFormat="1" applyFont="1" applyFill="1"/>
    <xf numFmtId="39" fontId="6" fillId="0" borderId="0" xfId="0" applyFont="1" applyFill="1" applyAlignment="1">
      <alignment horizontal="left"/>
    </xf>
    <xf numFmtId="44" fontId="6" fillId="0" borderId="20" xfId="0" applyNumberFormat="1" applyFont="1" applyFill="1" applyBorder="1" applyProtection="1">
      <protection locked="0"/>
    </xf>
    <xf numFmtId="44" fontId="10" fillId="0" borderId="20" xfId="0" applyNumberFormat="1" applyFont="1" applyFill="1" applyBorder="1"/>
    <xf numFmtId="39" fontId="16" fillId="0" borderId="0" xfId="0" applyFont="1" applyFill="1"/>
    <xf numFmtId="39" fontId="16" fillId="0" borderId="0" xfId="0" applyFont="1" applyFill="1" applyAlignment="1">
      <alignment horizontal="right"/>
    </xf>
    <xf numFmtId="44" fontId="16" fillId="0" borderId="0" xfId="0" applyNumberFormat="1" applyFont="1" applyFill="1" applyAlignment="1" applyProtection="1">
      <alignment horizontal="center"/>
    </xf>
    <xf numFmtId="44" fontId="6" fillId="0" borderId="0" xfId="0" applyNumberFormat="1" applyFont="1" applyFill="1" applyProtection="1"/>
    <xf numFmtId="7" fontId="6" fillId="10" borderId="0" xfId="0" applyNumberFormat="1" applyFont="1" applyFill="1" applyBorder="1"/>
    <xf numFmtId="167" fontId="14" fillId="0" borderId="0" xfId="0" applyNumberFormat="1" applyFont="1" applyFill="1" applyAlignment="1" applyProtection="1">
      <alignment horizontal="left"/>
    </xf>
    <xf numFmtId="44" fontId="14" fillId="0" borderId="23" xfId="0" applyNumberFormat="1" applyFont="1" applyFill="1" applyBorder="1" applyProtection="1">
      <protection locked="0"/>
    </xf>
    <xf numFmtId="49" fontId="6" fillId="0" borderId="0" xfId="0" applyNumberFormat="1" applyFont="1" applyFill="1" applyProtection="1"/>
    <xf numFmtId="168" fontId="16" fillId="0" borderId="0" xfId="1" applyNumberFormat="1" applyFont="1" applyFill="1"/>
    <xf numFmtId="7" fontId="16" fillId="0" borderId="0" xfId="0" applyNumberFormat="1" applyFont="1" applyFill="1" applyAlignment="1" applyProtection="1">
      <alignment horizontal="center"/>
    </xf>
    <xf numFmtId="7" fontId="6" fillId="0" borderId="0" xfId="0" applyNumberFormat="1" applyFont="1" applyFill="1" applyProtection="1"/>
    <xf numFmtId="7" fontId="16" fillId="0" borderId="0" xfId="0" applyNumberFormat="1" applyFont="1" applyFill="1" applyBorder="1" applyAlignment="1" applyProtection="1">
      <alignment horizontal="center"/>
    </xf>
    <xf numFmtId="39" fontId="6" fillId="0" borderId="20" xfId="0" applyFont="1" applyBorder="1"/>
    <xf numFmtId="39" fontId="14" fillId="0" borderId="19" xfId="0" applyFont="1" applyFill="1" applyBorder="1"/>
    <xf numFmtId="39" fontId="14" fillId="0" borderId="6" xfId="0" applyFont="1" applyFill="1" applyBorder="1" applyAlignment="1">
      <alignment horizontal="center"/>
    </xf>
    <xf numFmtId="39" fontId="6" fillId="0" borderId="0" xfId="0" applyFont="1" applyBorder="1" applyAlignment="1">
      <alignment horizontal="right"/>
    </xf>
    <xf numFmtId="39" fontId="14" fillId="0" borderId="21" xfId="0" applyFont="1" applyFill="1" applyBorder="1"/>
    <xf numFmtId="39" fontId="14" fillId="0" borderId="5" xfId="0" applyFont="1" applyFill="1" applyBorder="1"/>
    <xf numFmtId="39" fontId="14" fillId="0" borderId="0" xfId="0" applyFont="1" applyFill="1" applyBorder="1" applyAlignment="1">
      <alignment horizontal="center"/>
    </xf>
    <xf numFmtId="39" fontId="14" fillId="0" borderId="2" xfId="0" applyFont="1" applyFill="1" applyBorder="1" applyAlignment="1">
      <alignment horizontal="center"/>
    </xf>
    <xf numFmtId="39" fontId="14" fillId="0" borderId="3" xfId="0" applyFont="1" applyFill="1" applyBorder="1" applyAlignment="1">
      <alignment horizontal="center"/>
    </xf>
    <xf numFmtId="39" fontId="6" fillId="0" borderId="4" xfId="0" applyFont="1" applyFill="1" applyBorder="1"/>
    <xf numFmtId="39" fontId="6" fillId="0" borderId="0" xfId="0" applyFont="1" applyFill="1" applyBorder="1" applyAlignment="1">
      <alignment horizontal="right"/>
    </xf>
    <xf numFmtId="39" fontId="14" fillId="0" borderId="5" xfId="0" applyFont="1" applyFill="1" applyBorder="1" applyAlignment="1">
      <alignment horizontal="right"/>
    </xf>
    <xf numFmtId="39" fontId="6" fillId="0" borderId="0" xfId="0" applyFont="1" applyFill="1" applyBorder="1"/>
    <xf numFmtId="39" fontId="6" fillId="0" borderId="6" xfId="0" applyFont="1" applyFill="1" applyBorder="1"/>
    <xf numFmtId="39" fontId="6" fillId="0" borderId="5" xfId="0" applyFont="1" applyFill="1" applyBorder="1" applyAlignment="1">
      <alignment horizontal="right"/>
    </xf>
    <xf numFmtId="38" fontId="10" fillId="5" borderId="0" xfId="1" applyNumberFormat="1" applyFont="1" applyFill="1" applyBorder="1" applyProtection="1"/>
    <xf numFmtId="164" fontId="17" fillId="3" borderId="0" xfId="0" applyNumberFormat="1" applyFont="1" applyFill="1" applyBorder="1" applyAlignment="1" applyProtection="1">
      <alignment horizontal="center"/>
      <protection locked="0"/>
    </xf>
    <xf numFmtId="44" fontId="6" fillId="0" borderId="6" xfId="4" applyNumberFormat="1" applyFont="1" applyFill="1" applyBorder="1"/>
    <xf numFmtId="44" fontId="10" fillId="2" borderId="0" xfId="0" applyNumberFormat="1" applyFont="1" applyFill="1" applyBorder="1"/>
    <xf numFmtId="8" fontId="10" fillId="2" borderId="0" xfId="0" applyNumberFormat="1" applyFont="1" applyFill="1" applyBorder="1"/>
    <xf numFmtId="0" fontId="6" fillId="0" borderId="20" xfId="0" applyNumberFormat="1" applyFont="1" applyFill="1" applyBorder="1"/>
    <xf numFmtId="8" fontId="10" fillId="2" borderId="20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37" fontId="6" fillId="0" borderId="23" xfId="0" applyNumberFormat="1" applyFont="1" applyFill="1" applyBorder="1" applyProtection="1"/>
    <xf numFmtId="164" fontId="18" fillId="0" borderId="0" xfId="0" applyNumberFormat="1" applyFont="1" applyFill="1" applyBorder="1" applyAlignment="1" applyProtection="1">
      <alignment horizontal="center"/>
      <protection locked="0"/>
    </xf>
    <xf numFmtId="44" fontId="14" fillId="0" borderId="24" xfId="4" applyNumberFormat="1" applyFont="1" applyFill="1" applyBorder="1"/>
    <xf numFmtId="37" fontId="17" fillId="0" borderId="0" xfId="0" applyNumberFormat="1" applyFont="1" applyFill="1" applyBorder="1" applyProtection="1"/>
    <xf numFmtId="164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6" xfId="4" applyNumberFormat="1" applyFont="1" applyFill="1" applyBorder="1"/>
    <xf numFmtId="39" fontId="14" fillId="0" borderId="0" xfId="0" applyFont="1"/>
    <xf numFmtId="37" fontId="19" fillId="0" borderId="0" xfId="0" applyNumberFormat="1" applyFont="1" applyFill="1" applyBorder="1"/>
    <xf numFmtId="8" fontId="6" fillId="0" borderId="6" xfId="4" applyFont="1" applyFill="1" applyBorder="1"/>
    <xf numFmtId="39" fontId="6" fillId="10" borderId="0" xfId="0" applyNumberFormat="1" applyFont="1" applyFill="1"/>
    <xf numFmtId="44" fontId="14" fillId="5" borderId="0" xfId="0" applyNumberFormat="1" applyFont="1" applyFill="1" applyBorder="1"/>
    <xf numFmtId="7" fontId="20" fillId="10" borderId="0" xfId="0" applyNumberFormat="1" applyFont="1" applyFill="1"/>
    <xf numFmtId="8" fontId="6" fillId="0" borderId="5" xfId="4" applyFont="1" applyFill="1" applyBorder="1"/>
    <xf numFmtId="169" fontId="6" fillId="0" borderId="0" xfId="2" applyNumberFormat="1" applyFont="1" applyFill="1" applyBorder="1"/>
    <xf numFmtId="8" fontId="14" fillId="0" borderId="6" xfId="4" applyFont="1" applyFill="1" applyBorder="1"/>
    <xf numFmtId="39" fontId="6" fillId="0" borderId="5" xfId="0" applyFont="1" applyFill="1" applyBorder="1" applyAlignment="1">
      <alignment horizontal="left"/>
    </xf>
    <xf numFmtId="170" fontId="6" fillId="0" borderId="6" xfId="0" applyNumberFormat="1" applyFont="1" applyFill="1" applyBorder="1"/>
    <xf numFmtId="8" fontId="6" fillId="0" borderId="0" xfId="4" applyFont="1" applyFill="1" applyBorder="1"/>
    <xf numFmtId="44" fontId="14" fillId="11" borderId="0" xfId="0" applyNumberFormat="1" applyFont="1" applyFill="1" applyBorder="1"/>
    <xf numFmtId="39" fontId="14" fillId="0" borderId="0" xfId="0" applyFont="1" applyBorder="1"/>
    <xf numFmtId="38" fontId="6" fillId="5" borderId="0" xfId="1" applyNumberFormat="1" applyFont="1" applyFill="1" applyBorder="1" applyProtection="1"/>
    <xf numFmtId="38" fontId="6" fillId="0" borderId="0" xfId="1" applyNumberFormat="1" applyFont="1"/>
    <xf numFmtId="39" fontId="6" fillId="0" borderId="0" xfId="0" applyFont="1" applyFill="1" applyBorder="1" applyAlignment="1">
      <alignment horizontal="center"/>
    </xf>
    <xf numFmtId="0" fontId="6" fillId="0" borderId="0" xfId="0" applyNumberFormat="1" applyFont="1"/>
    <xf numFmtId="39" fontId="6" fillId="0" borderId="0" xfId="0" applyFont="1" applyAlignment="1">
      <alignment horizontal="center"/>
    </xf>
    <xf numFmtId="38" fontId="10" fillId="5" borderId="20" xfId="1" applyNumberFormat="1" applyFont="1" applyFill="1" applyBorder="1" applyProtection="1"/>
    <xf numFmtId="39" fontId="14" fillId="0" borderId="0" xfId="0" applyFont="1" applyFill="1" applyBorder="1" applyAlignment="1">
      <alignment horizontal="left"/>
    </xf>
    <xf numFmtId="39" fontId="6" fillId="0" borderId="0" xfId="0" applyNumberFormat="1" applyFont="1" applyAlignment="1">
      <alignment horizontal="left" vertical="top"/>
    </xf>
    <xf numFmtId="39" fontId="6" fillId="0" borderId="0" xfId="0" applyNumberFormat="1" applyFont="1" applyAlignment="1">
      <alignment horizontal="center" vertical="top"/>
    </xf>
    <xf numFmtId="39" fontId="14" fillId="0" borderId="9" xfId="0" applyFont="1" applyFill="1" applyBorder="1" applyAlignment="1">
      <alignment horizontal="left"/>
    </xf>
    <xf numFmtId="37" fontId="17" fillId="0" borderId="10" xfId="0" applyNumberFormat="1" applyFont="1" applyFill="1" applyBorder="1" applyProtection="1"/>
    <xf numFmtId="164" fontId="6" fillId="0" borderId="10" xfId="0" applyNumberFormat="1" applyFont="1" applyFill="1" applyBorder="1" applyAlignment="1" applyProtection="1">
      <alignment horizontal="left"/>
      <protection locked="0"/>
    </xf>
    <xf numFmtId="171" fontId="6" fillId="0" borderId="11" xfId="4" applyNumberFormat="1" applyFont="1" applyFill="1" applyBorder="1"/>
    <xf numFmtId="0" fontId="6" fillId="0" borderId="0" xfId="0" applyNumberFormat="1" applyFont="1" applyFill="1"/>
    <xf numFmtId="44" fontId="10" fillId="0" borderId="0" xfId="0" applyNumberFormat="1" applyFont="1" applyFill="1" applyBorder="1"/>
    <xf numFmtId="171" fontId="6" fillId="0" borderId="0" xfId="4" applyNumberFormat="1" applyFont="1" applyFill="1" applyBorder="1"/>
    <xf numFmtId="39" fontId="6" fillId="0" borderId="9" xfId="0" applyFont="1" applyFill="1" applyBorder="1" applyAlignment="1">
      <alignment horizontal="left"/>
    </xf>
    <xf numFmtId="170" fontId="6" fillId="0" borderId="11" xfId="0" applyNumberFormat="1" applyFont="1" applyFill="1" applyBorder="1" applyAlignment="1">
      <alignment horizontal="right"/>
    </xf>
    <xf numFmtId="8" fontId="6" fillId="0" borderId="0" xfId="4" applyFont="1" applyFill="1"/>
    <xf numFmtId="37" fontId="6" fillId="0" borderId="0" xfId="0" applyNumberFormat="1" applyFont="1" applyFill="1" applyBorder="1" applyProtection="1"/>
    <xf numFmtId="8" fontId="14" fillId="0" borderId="0" xfId="4" applyFont="1" applyFill="1" applyBorder="1"/>
    <xf numFmtId="39" fontId="14" fillId="0" borderId="4" xfId="0" applyFont="1" applyFill="1" applyBorder="1" applyAlignment="1">
      <alignment horizontal="center"/>
    </xf>
    <xf numFmtId="39" fontId="14" fillId="0" borderId="9" xfId="0" applyFont="1" applyFill="1" applyBorder="1" applyAlignment="1">
      <alignment horizontal="center"/>
    </xf>
    <xf numFmtId="39" fontId="14" fillId="0" borderId="10" xfId="0" applyFont="1" applyFill="1" applyBorder="1" applyAlignment="1">
      <alignment horizontal="center"/>
    </xf>
    <xf numFmtId="39" fontId="14" fillId="0" borderId="11" xfId="0" applyFont="1" applyFill="1" applyBorder="1" applyAlignment="1">
      <alignment horizontal="center"/>
    </xf>
    <xf numFmtId="39" fontId="6" fillId="0" borderId="2" xfId="0" applyFont="1" applyFill="1" applyBorder="1"/>
    <xf numFmtId="39" fontId="6" fillId="0" borderId="3" xfId="0" applyFont="1" applyFill="1" applyBorder="1"/>
    <xf numFmtId="39" fontId="6" fillId="0" borderId="0" xfId="0" applyFont="1" applyAlignment="1">
      <alignment horizontal="left"/>
    </xf>
    <xf numFmtId="44" fontId="6" fillId="5" borderId="0" xfId="0" applyNumberFormat="1" applyFont="1" applyFill="1" applyBorder="1"/>
    <xf numFmtId="44" fontId="14" fillId="0" borderId="5" xfId="4" applyNumberFormat="1" applyFont="1" applyFill="1" applyBorder="1" applyProtection="1"/>
    <xf numFmtId="44" fontId="14" fillId="0" borderId="0" xfId="4" applyNumberFormat="1" applyFont="1" applyFill="1" applyBorder="1" applyProtection="1"/>
    <xf numFmtId="44" fontId="14" fillId="0" borderId="19" xfId="4" applyNumberFormat="1" applyFont="1" applyFill="1" applyBorder="1" applyProtection="1"/>
    <xf numFmtId="44" fontId="14" fillId="0" borderId="25" xfId="4" applyNumberFormat="1" applyFont="1" applyFill="1" applyBorder="1" applyProtection="1"/>
    <xf numFmtId="39" fontId="6" fillId="2" borderId="0" xfId="0" applyFont="1" applyFill="1"/>
    <xf numFmtId="39" fontId="6" fillId="2" borderId="0" xfId="0" applyFont="1" applyFill="1" applyAlignment="1">
      <alignment horizontal="center"/>
    </xf>
    <xf numFmtId="44" fontId="17" fillId="0" borderId="15" xfId="4" applyNumberFormat="1" applyFont="1" applyFill="1" applyBorder="1" applyProtection="1"/>
    <xf numFmtId="44" fontId="17" fillId="0" borderId="16" xfId="4" applyNumberFormat="1" applyFont="1" applyFill="1" applyBorder="1" applyProtection="1"/>
    <xf numFmtId="44" fontId="17" fillId="0" borderId="17" xfId="4" applyNumberFormat="1" applyFont="1" applyFill="1" applyBorder="1" applyProtection="1"/>
    <xf numFmtId="39" fontId="6" fillId="0" borderId="26" xfId="0" applyFont="1" applyBorder="1"/>
    <xf numFmtId="39" fontId="6" fillId="0" borderId="21" xfId="0" applyFont="1" applyBorder="1"/>
    <xf numFmtId="39" fontId="14" fillId="0" borderId="0" xfId="0" applyNumberFormat="1" applyFont="1" applyAlignment="1">
      <alignment horizontal="left" vertical="top"/>
    </xf>
    <xf numFmtId="44" fontId="14" fillId="0" borderId="23" xfId="0" applyNumberFormat="1" applyFont="1" applyFill="1" applyBorder="1"/>
    <xf numFmtId="39" fontId="19" fillId="0" borderId="0" xfId="0" applyFont="1"/>
    <xf numFmtId="39" fontId="6" fillId="0" borderId="0" xfId="0" applyFont="1" applyBorder="1"/>
    <xf numFmtId="39" fontId="6" fillId="0" borderId="0" xfId="0" applyFont="1" applyAlignment="1">
      <alignment horizontal="right"/>
    </xf>
    <xf numFmtId="44" fontId="6" fillId="12" borderId="27" xfId="0" applyNumberFormat="1" applyFont="1" applyFill="1" applyBorder="1"/>
    <xf numFmtId="39" fontId="6" fillId="0" borderId="0" xfId="0" applyNumberFormat="1" applyFont="1" applyProtection="1"/>
    <xf numFmtId="39" fontId="21" fillId="0" borderId="0" xfId="0" applyNumberFormat="1" applyFont="1"/>
    <xf numFmtId="172" fontId="6" fillId="0" borderId="0" xfId="0" applyNumberFormat="1" applyFont="1"/>
    <xf numFmtId="39" fontId="6" fillId="11" borderId="0" xfId="0" applyNumberFormat="1" applyFont="1" applyFill="1"/>
    <xf numFmtId="39" fontId="22" fillId="11" borderId="0" xfId="0" applyFont="1" applyFill="1"/>
    <xf numFmtId="2" fontId="6" fillId="11" borderId="0" xfId="0" applyNumberFormat="1" applyFont="1" applyFill="1"/>
    <xf numFmtId="39" fontId="21" fillId="0" borderId="0" xfId="0" applyNumberFormat="1" applyFont="1" applyAlignment="1">
      <alignment horizontal="right"/>
    </xf>
    <xf numFmtId="39" fontId="23" fillId="0" borderId="0" xfId="0" applyFont="1"/>
    <xf numFmtId="39" fontId="6" fillId="11" borderId="2" xfId="0" applyFont="1" applyFill="1" applyBorder="1"/>
    <xf numFmtId="39" fontId="6" fillId="11" borderId="4" xfId="0" applyFont="1" applyFill="1" applyBorder="1"/>
    <xf numFmtId="39" fontId="6" fillId="0" borderId="9" xfId="0" applyFont="1" applyBorder="1"/>
    <xf numFmtId="39" fontId="6" fillId="0" borderId="11" xfId="0" applyFont="1" applyBorder="1"/>
    <xf numFmtId="39" fontId="14" fillId="0" borderId="0" xfId="0" applyFont="1" applyAlignment="1">
      <alignment horizontal="right"/>
    </xf>
    <xf numFmtId="39" fontId="6" fillId="0" borderId="15" xfId="0" applyNumberFormat="1" applyFont="1" applyFill="1" applyBorder="1"/>
    <xf numFmtId="39" fontId="6" fillId="0" borderId="22" xfId="0" applyNumberFormat="1" applyFont="1" applyFill="1" applyBorder="1"/>
    <xf numFmtId="7" fontId="17" fillId="5" borderId="0" xfId="0" applyNumberFormat="1" applyFont="1" applyFill="1" applyBorder="1"/>
    <xf numFmtId="44" fontId="6" fillId="12" borderId="0" xfId="0" applyNumberFormat="1" applyFont="1" applyFill="1" applyBorder="1"/>
    <xf numFmtId="169" fontId="18" fillId="0" borderId="0" xfId="0" applyNumberFormat="1" applyFont="1" applyBorder="1" applyProtection="1"/>
    <xf numFmtId="44" fontId="6" fillId="6" borderId="0" xfId="0" applyNumberFormat="1" applyFont="1" applyFill="1" applyBorder="1"/>
    <xf numFmtId="39" fontId="24" fillId="0" borderId="0" xfId="0" applyFont="1"/>
    <xf numFmtId="7" fontId="6" fillId="0" borderId="0" xfId="1" applyNumberFormat="1" applyFont="1"/>
    <xf numFmtId="7" fontId="6" fillId="0" borderId="0" xfId="0" applyNumberFormat="1" applyFont="1" applyFill="1" applyBorder="1"/>
    <xf numFmtId="39" fontId="6" fillId="10" borderId="0" xfId="0" applyNumberFormat="1" applyFont="1" applyFill="1" applyBorder="1"/>
    <xf numFmtId="169" fontId="16" fillId="0" borderId="0" xfId="0" applyNumberFormat="1" applyFont="1" applyProtection="1">
      <protection locked="0"/>
    </xf>
    <xf numFmtId="169" fontId="18" fillId="0" borderId="0" xfId="0" applyNumberFormat="1" applyFont="1" applyProtection="1">
      <protection locked="0"/>
    </xf>
    <xf numFmtId="169" fontId="6" fillId="0" borderId="0" xfId="0" applyNumberFormat="1" applyFont="1" applyProtection="1"/>
    <xf numFmtId="169" fontId="6" fillId="0" borderId="0" xfId="0" applyNumberFormat="1" applyFont="1" applyProtection="1">
      <protection locked="0"/>
    </xf>
    <xf numFmtId="173" fontId="6" fillId="0" borderId="0" xfId="0" applyNumberFormat="1" applyFont="1" applyProtection="1"/>
    <xf numFmtId="8" fontId="6" fillId="10" borderId="0" xfId="4" applyFont="1" applyFill="1" applyBorder="1"/>
    <xf numFmtId="5" fontId="6" fillId="0" borderId="0" xfId="0" applyNumberFormat="1" applyFont="1" applyProtection="1"/>
    <xf numFmtId="39" fontId="14" fillId="0" borderId="15" xfId="0" applyFont="1" applyFill="1" applyBorder="1" applyAlignment="1">
      <alignment horizontal="center"/>
    </xf>
    <xf numFmtId="39" fontId="14" fillId="0" borderId="16" xfId="0" applyFont="1" applyFill="1" applyBorder="1" applyAlignment="1">
      <alignment horizontal="center"/>
    </xf>
    <xf numFmtId="39" fontId="14" fillId="0" borderId="17" xfId="0" applyFont="1" applyFill="1" applyBorder="1" applyAlignment="1">
      <alignment horizontal="center"/>
    </xf>
    <xf numFmtId="39" fontId="6" fillId="0" borderId="0" xfId="0" applyFont="1" applyFill="1" applyBorder="1" applyAlignment="1">
      <alignment horizontal="center"/>
    </xf>
    <xf numFmtId="39" fontId="6" fillId="0" borderId="6" xfId="0" applyFont="1" applyFill="1" applyBorder="1" applyAlignment="1">
      <alignment horizontal="center"/>
    </xf>
  </cellXfs>
  <cellStyles count="5">
    <cellStyle name="Comma" xfId="1" builtinId="3"/>
    <cellStyle name="Currency 2" xfId="4"/>
    <cellStyle name="Normal" xfId="0" builtinId="0"/>
    <cellStyle name="Percent" xfId="2" builtinId="5"/>
    <cellStyle name="Total" xfId="3" builtinId="25"/>
  </cellStyles>
  <dxfs count="1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rsc/EFilingDocuments/2017%20WA-ID%20Deferral%20&amp;%20Am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 Graphs 2012-13"/>
      <sheetName val="JE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WA - Def-Amtz (current)"/>
      <sheetName val="ID - Def-Amtz (current)"/>
      <sheetName val="WA - Def-Amtz (July)"/>
      <sheetName val="ID - Def-Amtz (July)"/>
      <sheetName val="WA - Def-Amtz (June)"/>
      <sheetName val="ID - Def-Amtz (June)"/>
      <sheetName val="WA - Def-Amtz (May)"/>
      <sheetName val="ID - Def-Amtz (May)"/>
      <sheetName val="WA - Def-Amtz (Apr)"/>
      <sheetName val="ID - Def-Amtz (Apr)"/>
      <sheetName val="WA - Def-Amtz (Mar)"/>
      <sheetName val="ID - Def-Amtz (Mar)"/>
      <sheetName val="WA - Def-Amtz (Feb)"/>
      <sheetName val="ID - Def-Amtz (Feb)"/>
      <sheetName val="WA - Def-Amtz (Jan)"/>
      <sheetName val="ID - Def-Amtz (Jan)"/>
      <sheetName val="PGA Graphs 2013-14"/>
      <sheetName val="ID Amort 191015"/>
      <sheetName val="ID Amort 191000"/>
      <sheetName val="WA Def 191010"/>
      <sheetName val="ID Def 191010"/>
      <sheetName val="ID Holdback 191015"/>
      <sheetName val="Amortization of JP Deferral"/>
      <sheetName val="WA Amort 191000"/>
    </sheetNames>
    <sheetDataSet>
      <sheetData sheetId="0" refreshError="1"/>
      <sheetData sheetId="1" refreshError="1"/>
      <sheetData sheetId="2">
        <row r="23">
          <cell r="G23">
            <v>27259641</v>
          </cell>
        </row>
        <row r="24">
          <cell r="G24">
            <v>40615</v>
          </cell>
        </row>
        <row r="25">
          <cell r="G25">
            <v>8738107</v>
          </cell>
        </row>
        <row r="26">
          <cell r="G26">
            <v>0</v>
          </cell>
        </row>
        <row r="27">
          <cell r="G27">
            <v>284721</v>
          </cell>
        </row>
        <row r="28">
          <cell r="G28">
            <v>64203</v>
          </cell>
        </row>
        <row r="29">
          <cell r="G29">
            <v>0</v>
          </cell>
        </row>
        <row r="30">
          <cell r="G30">
            <v>160387</v>
          </cell>
        </row>
        <row r="31">
          <cell r="G31">
            <v>4261630</v>
          </cell>
        </row>
        <row r="55">
          <cell r="H55">
            <v>-491376.17008000147</v>
          </cell>
          <cell r="I55">
            <v>-2913519.2274390003</v>
          </cell>
        </row>
      </sheetData>
      <sheetData sheetId="3">
        <row r="23">
          <cell r="G23">
            <v>19157522</v>
          </cell>
        </row>
        <row r="24">
          <cell r="G24">
            <v>29103</v>
          </cell>
        </row>
        <row r="25">
          <cell r="G25">
            <v>7258148</v>
          </cell>
        </row>
        <row r="26">
          <cell r="G26">
            <v>0</v>
          </cell>
        </row>
        <row r="27">
          <cell r="G27">
            <v>399264</v>
          </cell>
        </row>
        <row r="28">
          <cell r="G28">
            <v>55333</v>
          </cell>
        </row>
        <row r="29">
          <cell r="G29">
            <v>0</v>
          </cell>
        </row>
        <row r="30">
          <cell r="G30">
            <v>131982</v>
          </cell>
        </row>
        <row r="31">
          <cell r="G31">
            <v>3513623</v>
          </cell>
        </row>
        <row r="55">
          <cell r="H55">
            <v>-201411.09328799881</v>
          </cell>
          <cell r="I55">
            <v>-1856358.6126210007</v>
          </cell>
        </row>
      </sheetData>
      <sheetData sheetId="4">
        <row r="23">
          <cell r="G23">
            <v>14316138</v>
          </cell>
        </row>
        <row r="24">
          <cell r="G24">
            <v>22738</v>
          </cell>
        </row>
        <row r="25">
          <cell r="G25">
            <v>5603968</v>
          </cell>
        </row>
        <row r="26">
          <cell r="G26">
            <v>0</v>
          </cell>
        </row>
        <row r="27">
          <cell r="G27">
            <v>334116</v>
          </cell>
        </row>
        <row r="28">
          <cell r="G28">
            <v>53363</v>
          </cell>
        </row>
        <row r="29">
          <cell r="G29">
            <v>0</v>
          </cell>
        </row>
        <row r="30">
          <cell r="G30">
            <v>102871</v>
          </cell>
        </row>
        <row r="31">
          <cell r="G31">
            <v>3381923</v>
          </cell>
        </row>
        <row r="55">
          <cell r="H55">
            <v>-696753.01067200163</v>
          </cell>
          <cell r="I55">
            <v>-916596.2697570005</v>
          </cell>
        </row>
      </sheetData>
      <sheetData sheetId="5">
        <row r="23">
          <cell r="G23">
            <v>9641125</v>
          </cell>
        </row>
        <row r="24">
          <cell r="G24">
            <v>15697</v>
          </cell>
        </row>
        <row r="25">
          <cell r="G25">
            <v>4021494</v>
          </cell>
        </row>
        <row r="26">
          <cell r="G26">
            <v>0</v>
          </cell>
        </row>
        <row r="27">
          <cell r="G27">
            <v>288026</v>
          </cell>
        </row>
        <row r="28">
          <cell r="G28">
            <v>35134</v>
          </cell>
        </row>
        <row r="29">
          <cell r="G29">
            <v>0</v>
          </cell>
        </row>
        <row r="30">
          <cell r="G30">
            <v>88850</v>
          </cell>
        </row>
        <row r="31">
          <cell r="G31">
            <v>2868630</v>
          </cell>
        </row>
        <row r="55">
          <cell r="H55">
            <v>-912928.80422000168</v>
          </cell>
          <cell r="I55">
            <v>-225142.70389499958</v>
          </cell>
        </row>
      </sheetData>
      <sheetData sheetId="6">
        <row r="23">
          <cell r="G23">
            <v>4941679</v>
          </cell>
        </row>
        <row r="24">
          <cell r="G24">
            <v>8078</v>
          </cell>
        </row>
        <row r="25">
          <cell r="G25">
            <v>2425238</v>
          </cell>
        </row>
        <row r="26">
          <cell r="G26">
            <v>0</v>
          </cell>
        </row>
        <row r="27">
          <cell r="G27">
            <v>302382</v>
          </cell>
        </row>
        <row r="28">
          <cell r="G28">
            <v>29064</v>
          </cell>
        </row>
        <row r="29">
          <cell r="G29">
            <v>0</v>
          </cell>
        </row>
        <row r="30">
          <cell r="G30">
            <v>71877</v>
          </cell>
        </row>
        <row r="31">
          <cell r="G31">
            <v>2501903</v>
          </cell>
        </row>
        <row r="55">
          <cell r="H55">
            <v>-482101.19766700035</v>
          </cell>
          <cell r="I55">
            <v>604158.21510300005</v>
          </cell>
        </row>
      </sheetData>
      <sheetData sheetId="7">
        <row r="23">
          <cell r="G23">
            <v>2542069</v>
          </cell>
        </row>
        <row r="24">
          <cell r="G24">
            <v>3619</v>
          </cell>
        </row>
        <row r="25">
          <cell r="G25">
            <v>1878375</v>
          </cell>
        </row>
        <row r="26">
          <cell r="G26">
            <v>0</v>
          </cell>
        </row>
        <row r="27">
          <cell r="G27">
            <v>289055</v>
          </cell>
        </row>
        <row r="28">
          <cell r="G28">
            <v>17666</v>
          </cell>
        </row>
        <row r="29">
          <cell r="G29">
            <v>0</v>
          </cell>
        </row>
        <row r="30">
          <cell r="G30">
            <v>53882</v>
          </cell>
        </row>
        <row r="31">
          <cell r="G31">
            <v>2531843</v>
          </cell>
        </row>
        <row r="55">
          <cell r="H55">
            <v>-580245.48787200102</v>
          </cell>
          <cell r="I55">
            <v>953286.75289800053</v>
          </cell>
        </row>
      </sheetData>
      <sheetData sheetId="8">
        <row r="1">
          <cell r="C1">
            <v>201707</v>
          </cell>
        </row>
        <row r="23">
          <cell r="G23">
            <v>2070483</v>
          </cell>
        </row>
        <row r="24">
          <cell r="G24">
            <v>2296</v>
          </cell>
        </row>
        <row r="25">
          <cell r="G25">
            <v>1446879</v>
          </cell>
        </row>
        <row r="26">
          <cell r="G26">
            <v>0</v>
          </cell>
        </row>
        <row r="27">
          <cell r="G27">
            <v>274504</v>
          </cell>
        </row>
        <row r="28">
          <cell r="G28">
            <v>44343</v>
          </cell>
        </row>
        <row r="29">
          <cell r="G29">
            <v>0</v>
          </cell>
        </row>
        <row r="30">
          <cell r="G30">
            <v>67673</v>
          </cell>
        </row>
        <row r="31">
          <cell r="G31">
            <v>2144434</v>
          </cell>
        </row>
        <row r="55">
          <cell r="H55">
            <v>-2217856.2503400007</v>
          </cell>
          <cell r="I55">
            <v>1129801.1151090004</v>
          </cell>
        </row>
      </sheetData>
      <sheetData sheetId="9">
        <row r="23">
          <cell r="G23">
            <v>2080707</v>
          </cell>
        </row>
        <row r="24">
          <cell r="G24">
            <v>2393</v>
          </cell>
        </row>
        <row r="25">
          <cell r="G25">
            <v>1463939</v>
          </cell>
        </row>
        <row r="26">
          <cell r="G26">
            <v>0</v>
          </cell>
        </row>
        <row r="27">
          <cell r="G27">
            <v>291721</v>
          </cell>
        </row>
        <row r="28">
          <cell r="G28">
            <v>24662</v>
          </cell>
        </row>
        <row r="29">
          <cell r="G29">
            <v>0</v>
          </cell>
        </row>
        <row r="30">
          <cell r="G30">
            <v>23786</v>
          </cell>
        </row>
        <row r="31">
          <cell r="G31">
            <v>2338940</v>
          </cell>
        </row>
        <row r="55">
          <cell r="H55">
            <v>-2108794.2989039999</v>
          </cell>
          <cell r="I55">
            <v>1095472.3340190002</v>
          </cell>
        </row>
      </sheetData>
      <sheetData sheetId="10">
        <row r="23">
          <cell r="G23">
            <v>3123052</v>
          </cell>
        </row>
        <row r="24">
          <cell r="G24">
            <v>4729</v>
          </cell>
        </row>
        <row r="25">
          <cell r="G25">
            <v>2056535</v>
          </cell>
        </row>
        <row r="26">
          <cell r="G26">
            <v>0</v>
          </cell>
        </row>
        <row r="27">
          <cell r="G27">
            <v>291879</v>
          </cell>
        </row>
        <row r="28">
          <cell r="G28">
            <v>26763</v>
          </cell>
        </row>
        <row r="29">
          <cell r="G29">
            <v>0</v>
          </cell>
        </row>
        <row r="30">
          <cell r="G30">
            <v>46700</v>
          </cell>
        </row>
        <row r="31">
          <cell r="G31">
            <v>1915306</v>
          </cell>
        </row>
        <row r="55">
          <cell r="H55">
            <v>-1421303.766953001</v>
          </cell>
          <cell r="I55">
            <v>821854.23736999987</v>
          </cell>
        </row>
      </sheetData>
      <sheetData sheetId="11">
        <row r="23">
          <cell r="G23">
            <v>7137333</v>
          </cell>
        </row>
        <row r="24">
          <cell r="G24">
            <v>12809</v>
          </cell>
        </row>
        <row r="25">
          <cell r="G25">
            <v>3586972</v>
          </cell>
        </row>
        <row r="26">
          <cell r="G26">
            <v>0</v>
          </cell>
        </row>
        <row r="27">
          <cell r="G27">
            <v>401880</v>
          </cell>
        </row>
        <row r="28">
          <cell r="G28">
            <v>37231</v>
          </cell>
        </row>
        <row r="29">
          <cell r="G29">
            <v>0</v>
          </cell>
        </row>
        <row r="30">
          <cell r="G30">
            <v>59610</v>
          </cell>
        </row>
        <row r="31">
          <cell r="G31">
            <v>2505633</v>
          </cell>
        </row>
        <row r="55">
          <cell r="H55">
            <v>-389419.70859999908</v>
          </cell>
          <cell r="I55">
            <v>208678.05243800068</v>
          </cell>
        </row>
      </sheetData>
      <sheetData sheetId="12">
        <row r="23">
          <cell r="G23">
            <v>11352396</v>
          </cell>
        </row>
        <row r="24">
          <cell r="G24">
            <v>19581</v>
          </cell>
        </row>
        <row r="25">
          <cell r="G25">
            <v>4116109</v>
          </cell>
        </row>
        <row r="26">
          <cell r="G26">
            <v>0</v>
          </cell>
        </row>
        <row r="27">
          <cell r="G27">
            <v>314956</v>
          </cell>
        </row>
        <row r="28">
          <cell r="G28">
            <v>51431</v>
          </cell>
        </row>
        <row r="29">
          <cell r="G29">
            <v>0</v>
          </cell>
        </row>
        <row r="30">
          <cell r="G30">
            <v>85100</v>
          </cell>
        </row>
        <row r="31">
          <cell r="G31">
            <v>2750386</v>
          </cell>
        </row>
        <row r="55">
          <cell r="H55">
            <v>-192874.3790970007</v>
          </cell>
          <cell r="I55">
            <v>-521813.363136</v>
          </cell>
        </row>
      </sheetData>
      <sheetData sheetId="13">
        <row r="23">
          <cell r="G23">
            <v>24209007</v>
          </cell>
        </row>
        <row r="24">
          <cell r="G24">
            <v>35292</v>
          </cell>
        </row>
        <row r="25">
          <cell r="G25">
            <v>8576537</v>
          </cell>
        </row>
        <row r="26">
          <cell r="G26">
            <v>0</v>
          </cell>
        </row>
        <row r="27">
          <cell r="G27">
            <v>234225</v>
          </cell>
        </row>
        <row r="28">
          <cell r="G28">
            <v>69958</v>
          </cell>
        </row>
        <row r="29">
          <cell r="G29">
            <v>0</v>
          </cell>
        </row>
        <row r="30">
          <cell r="G30">
            <v>111788</v>
          </cell>
        </row>
        <row r="31">
          <cell r="G31">
            <v>3806098</v>
          </cell>
        </row>
        <row r="55">
          <cell r="H55">
            <v>-1133881.9007779993</v>
          </cell>
          <cell r="I55">
            <v>-2594975.8860759991</v>
          </cell>
        </row>
      </sheetData>
      <sheetData sheetId="14">
        <row r="6">
          <cell r="BJ6">
            <v>54174.23</v>
          </cell>
        </row>
        <row r="7">
          <cell r="BK7">
            <v>1067496.1948849997</v>
          </cell>
        </row>
        <row r="8">
          <cell r="BJ8">
            <v>1013321.9648849997</v>
          </cell>
        </row>
        <row r="42">
          <cell r="BJ42">
            <v>619.17965711123838</v>
          </cell>
        </row>
        <row r="43">
          <cell r="BJ43">
            <v>309581.10253288882</v>
          </cell>
        </row>
        <row r="44">
          <cell r="BK44">
            <v>310200.28219000006</v>
          </cell>
        </row>
        <row r="76">
          <cell r="BJ76">
            <v>38.872079999999997</v>
          </cell>
        </row>
        <row r="77">
          <cell r="BK77">
            <v>38.872079999999997</v>
          </cell>
        </row>
      </sheetData>
      <sheetData sheetId="15">
        <row r="6">
          <cell r="BK6">
            <v>6903.21</v>
          </cell>
        </row>
        <row r="7">
          <cell r="BL7">
            <v>948837.73185499967</v>
          </cell>
        </row>
        <row r="8">
          <cell r="BK8">
            <v>941934.52185499971</v>
          </cell>
        </row>
        <row r="42">
          <cell r="BL42">
            <v>48.262913938949097</v>
          </cell>
        </row>
        <row r="44">
          <cell r="BK44">
            <v>219057.68419393897</v>
          </cell>
        </row>
        <row r="45">
          <cell r="BL45">
            <v>219009.42128000001</v>
          </cell>
        </row>
        <row r="76">
          <cell r="BK76">
            <v>10.160445179441764</v>
          </cell>
        </row>
        <row r="77">
          <cell r="BL77">
            <v>10.160445179441764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CC66"/>
    <pageSetUpPr fitToPage="1"/>
  </sheetPr>
  <dimension ref="A1:U1485"/>
  <sheetViews>
    <sheetView showGridLines="0" tabSelected="1" zoomScale="70" zoomScaleNormal="70" workbookViewId="0">
      <selection activeCell="G25" sqref="G25"/>
    </sheetView>
  </sheetViews>
  <sheetFormatPr defaultColWidth="16" defaultRowHeight="15"/>
  <cols>
    <col min="1" max="1" width="44.85546875" style="84" customWidth="1"/>
    <col min="2" max="2" width="25.5703125" style="84" customWidth="1"/>
    <col min="3" max="3" width="25.28515625" style="84" customWidth="1"/>
    <col min="4" max="4" width="2.7109375" style="83" customWidth="1"/>
    <col min="5" max="5" width="4.28515625" style="84" customWidth="1"/>
    <col min="6" max="6" width="26.7109375" style="84" customWidth="1"/>
    <col min="7" max="7" width="19" style="84" customWidth="1"/>
    <col min="8" max="8" width="22" style="84" customWidth="1"/>
    <col min="9" max="9" width="20.42578125" style="84" customWidth="1"/>
    <col min="10" max="10" width="26.28515625" style="84" customWidth="1"/>
    <col min="11" max="11" width="21.85546875" style="84" bestFit="1" customWidth="1"/>
    <col min="12" max="12" width="23.85546875" style="84" customWidth="1"/>
    <col min="13" max="13" width="20.85546875" style="84" bestFit="1" customWidth="1"/>
    <col min="14" max="15" width="16" style="84"/>
    <col min="16" max="16" width="16.28515625" style="84" bestFit="1" customWidth="1"/>
    <col min="17" max="16384" width="16" style="84"/>
  </cols>
  <sheetData>
    <row r="1" spans="1:13" ht="16.5" thickBot="1">
      <c r="A1" s="80" t="s">
        <v>53</v>
      </c>
      <c r="B1" s="81"/>
      <c r="C1" s="82">
        <f>[1]Jul!C1+1</f>
        <v>201708</v>
      </c>
      <c r="F1" s="82">
        <f>C1</f>
        <v>201708</v>
      </c>
      <c r="G1" s="85"/>
      <c r="H1" s="86" t="s">
        <v>54</v>
      </c>
      <c r="I1" s="87" t="s">
        <v>55</v>
      </c>
      <c r="J1" s="87" t="s">
        <v>55</v>
      </c>
      <c r="K1" s="87" t="s">
        <v>56</v>
      </c>
      <c r="L1" s="87" t="s">
        <v>56</v>
      </c>
      <c r="M1" s="85"/>
    </row>
    <row r="2" spans="1:13" ht="15.75">
      <c r="C2" s="88"/>
      <c r="F2" s="85"/>
      <c r="G2" s="85"/>
      <c r="H2" s="89" t="s">
        <v>57</v>
      </c>
      <c r="I2" s="90" t="s">
        <v>58</v>
      </c>
      <c r="J2" s="90" t="s">
        <v>58</v>
      </c>
      <c r="K2" s="90" t="s">
        <v>59</v>
      </c>
      <c r="L2" s="90" t="s">
        <v>59</v>
      </c>
      <c r="M2" s="85"/>
    </row>
    <row r="3" spans="1:13" ht="16.5" thickBot="1">
      <c r="A3" s="91" t="s">
        <v>60</v>
      </c>
      <c r="C3" s="92"/>
      <c r="D3" s="93"/>
      <c r="F3" s="94" t="s">
        <v>61</v>
      </c>
      <c r="G3" s="85"/>
      <c r="H3" s="95" t="s">
        <v>62</v>
      </c>
      <c r="I3" s="95" t="s">
        <v>63</v>
      </c>
      <c r="J3" s="95" t="s">
        <v>64</v>
      </c>
      <c r="K3" s="95" t="s">
        <v>63</v>
      </c>
      <c r="L3" s="95" t="s">
        <v>64</v>
      </c>
      <c r="M3" s="85"/>
    </row>
    <row r="4" spans="1:13" ht="15.75">
      <c r="A4" s="85" t="s">
        <v>65</v>
      </c>
      <c r="C4" s="96">
        <f>4598122.63</f>
        <v>4598122.63</v>
      </c>
      <c r="D4" s="97"/>
      <c r="F4" s="85"/>
      <c r="G4" s="85"/>
      <c r="H4" s="98"/>
      <c r="I4" s="85"/>
      <c r="J4" s="85"/>
      <c r="L4" s="85"/>
      <c r="M4" s="85"/>
    </row>
    <row r="5" spans="1:13" ht="14.25" customHeight="1">
      <c r="A5" s="85" t="s">
        <v>66</v>
      </c>
      <c r="C5" s="96">
        <f>42848.39+117.92-158.87</f>
        <v>42807.439999999995</v>
      </c>
      <c r="D5" s="97"/>
      <c r="F5" s="85"/>
      <c r="G5" s="85"/>
      <c r="H5" s="98"/>
      <c r="I5" s="99">
        <v>0.70530000000000004</v>
      </c>
      <c r="J5" s="99">
        <v>0.29470000000000002</v>
      </c>
      <c r="K5" s="100">
        <f>ROUND(G45/(G45+K43),4)</f>
        <v>0.61480000000000001</v>
      </c>
      <c r="L5" s="100">
        <f>1-K5</f>
        <v>0.38519999999999999</v>
      </c>
      <c r="M5" s="85"/>
    </row>
    <row r="6" spans="1:13" ht="16.5" thickBot="1">
      <c r="A6" s="101" t="s">
        <v>67</v>
      </c>
      <c r="C6" s="102">
        <f>-2343063.08-444850-127100-142987.5-81979.5-102391.76</f>
        <v>-3242371.84</v>
      </c>
      <c r="D6" s="97"/>
      <c r="F6" s="85"/>
      <c r="G6" s="85"/>
      <c r="H6" s="85"/>
      <c r="I6" s="85"/>
      <c r="J6" s="85"/>
      <c r="K6" s="85"/>
      <c r="L6" s="85"/>
      <c r="M6" s="85"/>
    </row>
    <row r="7" spans="1:13" ht="16.5" thickBot="1">
      <c r="A7" s="103" t="s">
        <v>68</v>
      </c>
      <c r="C7" s="104">
        <f>SUM(C4:C6)</f>
        <v>1398558.2300000004</v>
      </c>
      <c r="D7" s="105"/>
      <c r="F7" s="106" t="s">
        <v>69</v>
      </c>
      <c r="G7" s="106"/>
      <c r="H7" s="107">
        <f>C34</f>
        <v>2229985.0300000003</v>
      </c>
      <c r="I7" s="108">
        <f>H7*I5</f>
        <v>1572808.4416590002</v>
      </c>
      <c r="J7" s="108">
        <f>H7*J5</f>
        <v>657176.58834100014</v>
      </c>
      <c r="K7" s="108"/>
      <c r="L7" s="108"/>
      <c r="M7" s="85"/>
    </row>
    <row r="8" spans="1:13" ht="15.75">
      <c r="A8" s="84" t="s">
        <v>70</v>
      </c>
      <c r="C8" s="96">
        <v>191512.75</v>
      </c>
      <c r="D8" s="105"/>
      <c r="F8" s="85"/>
      <c r="G8" s="85"/>
      <c r="H8" s="109"/>
      <c r="I8" s="109"/>
      <c r="J8" s="109"/>
      <c r="K8" s="109"/>
      <c r="L8" s="109"/>
      <c r="M8" s="85"/>
    </row>
    <row r="9" spans="1:13" ht="15.75">
      <c r="A9" s="85" t="s">
        <v>71</v>
      </c>
      <c r="C9" s="96">
        <v>6446.71</v>
      </c>
      <c r="D9" s="110"/>
      <c r="F9" s="106" t="s">
        <v>72</v>
      </c>
      <c r="G9" s="85"/>
      <c r="H9" s="108">
        <f>C56</f>
        <v>-1823262.9799999995</v>
      </c>
      <c r="I9" s="108"/>
      <c r="J9" s="108"/>
      <c r="K9" s="108">
        <f>H9*K5</f>
        <v>-1120942.0801039997</v>
      </c>
      <c r="L9" s="108">
        <f>H9*L5</f>
        <v>-702320.89989599981</v>
      </c>
      <c r="M9" s="85"/>
    </row>
    <row r="10" spans="1:13" ht="15.75">
      <c r="A10" s="101" t="s">
        <v>73</v>
      </c>
      <c r="C10" s="102">
        <v>-3418.47</v>
      </c>
      <c r="D10" s="110"/>
      <c r="F10" s="111" t="s">
        <v>74</v>
      </c>
      <c r="G10" s="85"/>
      <c r="H10" s="108">
        <f>C57</f>
        <v>-60364.39</v>
      </c>
      <c r="I10" s="108"/>
      <c r="J10" s="108"/>
      <c r="K10" s="108">
        <f>H10</f>
        <v>-60364.39</v>
      </c>
      <c r="L10" s="108"/>
      <c r="M10" s="85"/>
    </row>
    <row r="11" spans="1:13">
      <c r="A11" s="103" t="s">
        <v>75</v>
      </c>
      <c r="C11" s="104">
        <f>SUM(C8:C10)</f>
        <v>194540.99</v>
      </c>
      <c r="D11" s="110"/>
      <c r="F11" s="111" t="s">
        <v>76</v>
      </c>
      <c r="G11" s="85"/>
      <c r="H11" s="112">
        <f>C58</f>
        <v>-38982.51</v>
      </c>
      <c r="I11" s="108"/>
      <c r="J11" s="108"/>
      <c r="K11" s="112"/>
      <c r="L11" s="112">
        <f>H11</f>
        <v>-38982.51</v>
      </c>
      <c r="M11" s="85"/>
    </row>
    <row r="12" spans="1:13" ht="15.75">
      <c r="A12" s="84" t="s">
        <v>77</v>
      </c>
      <c r="C12" s="96">
        <f>190268.51-1841.12</f>
        <v>188427.39</v>
      </c>
      <c r="D12" s="110"/>
      <c r="F12" s="111" t="s">
        <v>78</v>
      </c>
      <c r="G12" s="85"/>
      <c r="H12" s="108">
        <f>H9+H10+H11</f>
        <v>-1922609.8799999994</v>
      </c>
      <c r="I12" s="108"/>
      <c r="J12" s="108"/>
      <c r="K12" s="108">
        <f>SUM(K9:K11)</f>
        <v>-1181306.4701039996</v>
      </c>
      <c r="L12" s="108">
        <f>SUM(L9:L11)</f>
        <v>-741303.40989599982</v>
      </c>
      <c r="M12" s="85"/>
    </row>
    <row r="13" spans="1:13" ht="16.5" thickBot="1">
      <c r="A13" s="101" t="s">
        <v>79</v>
      </c>
      <c r="C13" s="113">
        <v>0</v>
      </c>
      <c r="D13" s="110"/>
      <c r="F13" s="114"/>
      <c r="G13" s="115"/>
      <c r="H13" s="116"/>
      <c r="I13" s="117"/>
      <c r="J13" s="116"/>
      <c r="K13" s="109"/>
      <c r="L13" s="116"/>
      <c r="M13" s="85"/>
    </row>
    <row r="14" spans="1:13" ht="16.5" thickBot="1">
      <c r="A14" s="103" t="s">
        <v>80</v>
      </c>
      <c r="C14" s="104">
        <f>SUM(C12:C13)</f>
        <v>188427.39</v>
      </c>
      <c r="D14" s="118"/>
      <c r="F14" s="94" t="s">
        <v>54</v>
      </c>
      <c r="G14" s="119"/>
      <c r="H14" s="107">
        <f>H12+H7</f>
        <v>307375.15000000084</v>
      </c>
      <c r="I14" s="120">
        <f>SUM(I7:I13)</f>
        <v>1572808.4416590002</v>
      </c>
      <c r="J14" s="120">
        <f>SUM(J7:J13)</f>
        <v>657176.58834100014</v>
      </c>
      <c r="K14" s="120">
        <f>K12</f>
        <v>-1181306.4701039996</v>
      </c>
      <c r="L14" s="120">
        <f>L12</f>
        <v>-741303.40989599982</v>
      </c>
      <c r="M14" s="85"/>
    </row>
    <row r="15" spans="1:13" ht="15.75">
      <c r="A15" s="84" t="s">
        <v>81</v>
      </c>
      <c r="C15" s="96">
        <f>444595.13-4302.9</f>
        <v>440292.23</v>
      </c>
      <c r="D15" s="110"/>
      <c r="F15" s="114"/>
      <c r="G15" s="115" t="s">
        <v>82</v>
      </c>
      <c r="H15" s="116">
        <f>H14-C61</f>
        <v>0</v>
      </c>
      <c r="I15" s="121"/>
      <c r="J15" s="116">
        <f>J7+I7-H7</f>
        <v>0</v>
      </c>
      <c r="K15" s="85"/>
      <c r="L15" s="116">
        <f>H12-K14-L14</f>
        <v>0</v>
      </c>
      <c r="M15" s="85"/>
    </row>
    <row r="16" spans="1:13" ht="15.75">
      <c r="A16" s="101" t="s">
        <v>83</v>
      </c>
      <c r="C16" s="113">
        <v>0</v>
      </c>
      <c r="D16" s="110"/>
      <c r="F16" s="122"/>
      <c r="G16" s="115"/>
      <c r="H16" s="123"/>
      <c r="I16" s="124"/>
      <c r="J16" s="123"/>
      <c r="K16" s="85"/>
      <c r="L16" s="123"/>
      <c r="M16" s="85"/>
    </row>
    <row r="17" spans="1:13" ht="15.75" thickBot="1">
      <c r="A17" s="103" t="s">
        <v>84</v>
      </c>
      <c r="C17" s="104">
        <f>SUM(C15:C16)</f>
        <v>440292.23</v>
      </c>
      <c r="D17" s="118"/>
      <c r="F17" s="114"/>
      <c r="G17" s="115"/>
      <c r="H17" s="123"/>
      <c r="I17" s="124"/>
      <c r="J17" s="125"/>
      <c r="K17" s="85"/>
      <c r="L17" s="123"/>
      <c r="M17" s="85"/>
    </row>
    <row r="18" spans="1:13" ht="16.5" thickBot="1">
      <c r="A18" s="84" t="s">
        <v>85</v>
      </c>
      <c r="C18" s="96">
        <f>-1586.97+10413+64675.04</f>
        <v>73501.070000000007</v>
      </c>
      <c r="D18" s="110"/>
      <c r="F18" s="245" t="s">
        <v>86</v>
      </c>
      <c r="G18" s="246"/>
      <c r="H18" s="246"/>
      <c r="I18" s="247"/>
      <c r="J18" s="245" t="s">
        <v>87</v>
      </c>
      <c r="K18" s="246"/>
      <c r="L18" s="246"/>
      <c r="M18" s="247"/>
    </row>
    <row r="19" spans="1:13" ht="15.75">
      <c r="A19" s="126" t="s">
        <v>88</v>
      </c>
      <c r="C19" s="102">
        <f>-4284.96</f>
        <v>-4284.96</v>
      </c>
      <c r="D19" s="110"/>
      <c r="F19" s="127" t="s">
        <v>89</v>
      </c>
      <c r="G19" s="90" t="s">
        <v>90</v>
      </c>
      <c r="H19" s="90" t="s">
        <v>90</v>
      </c>
      <c r="I19" s="90" t="s">
        <v>90</v>
      </c>
      <c r="J19" s="127" t="s">
        <v>89</v>
      </c>
      <c r="K19" s="90" t="s">
        <v>90</v>
      </c>
      <c r="L19" s="90" t="s">
        <v>90</v>
      </c>
      <c r="M19" s="128" t="s">
        <v>90</v>
      </c>
    </row>
    <row r="20" spans="1:13" ht="16.5" thickBot="1">
      <c r="A20" s="129" t="s">
        <v>91</v>
      </c>
      <c r="C20" s="104">
        <f>SUM(C18:C19)</f>
        <v>69216.11</v>
      </c>
      <c r="D20" s="110"/>
      <c r="F20" s="130" t="s">
        <v>92</v>
      </c>
      <c r="G20" s="95" t="s">
        <v>93</v>
      </c>
      <c r="H20" s="95" t="s">
        <v>94</v>
      </c>
      <c r="I20" s="95" t="s">
        <v>95</v>
      </c>
      <c r="J20" s="130" t="s">
        <v>92</v>
      </c>
      <c r="K20" s="95" t="s">
        <v>93</v>
      </c>
      <c r="L20" s="95" t="s">
        <v>94</v>
      </c>
      <c r="M20" s="95" t="s">
        <v>95</v>
      </c>
    </row>
    <row r="21" spans="1:13" ht="15.75">
      <c r="A21" s="126" t="s">
        <v>96</v>
      </c>
      <c r="C21" s="102">
        <f>1850-129.71</f>
        <v>1720.29</v>
      </c>
      <c r="D21" s="110"/>
      <c r="F21" s="131"/>
      <c r="G21" s="132"/>
      <c r="H21" s="132"/>
      <c r="I21" s="128"/>
      <c r="J21" s="133"/>
      <c r="K21" s="134"/>
      <c r="L21" s="134"/>
      <c r="M21" s="135"/>
    </row>
    <row r="22" spans="1:13" ht="18" customHeight="1">
      <c r="A22" s="136" t="s">
        <v>96</v>
      </c>
      <c r="C22" s="104">
        <f>SUM(C21)</f>
        <v>1720.29</v>
      </c>
      <c r="D22" s="110"/>
      <c r="F22" s="137" t="s">
        <v>97</v>
      </c>
      <c r="G22" s="138"/>
      <c r="H22" s="138"/>
      <c r="I22" s="139"/>
      <c r="J22" s="137" t="s">
        <v>97</v>
      </c>
      <c r="K22" s="138"/>
      <c r="L22" s="138"/>
      <c r="M22" s="139"/>
    </row>
    <row r="23" spans="1:13" ht="15.75">
      <c r="A23" s="65" t="s">
        <v>98</v>
      </c>
      <c r="C23" s="104">
        <v>0</v>
      </c>
      <c r="D23" s="110"/>
      <c r="F23" s="140" t="s">
        <v>27</v>
      </c>
      <c r="G23" s="141">
        <v>2080707</v>
      </c>
      <c r="H23" s="142">
        <v>0.12678</v>
      </c>
      <c r="I23" s="143">
        <f t="shared" ref="I23:I31" si="0">G23*H23</f>
        <v>263792.03346000001</v>
      </c>
      <c r="J23" s="140" t="s">
        <v>27</v>
      </c>
      <c r="K23" s="141">
        <v>986275</v>
      </c>
      <c r="L23" s="142">
        <v>0.11330999999999999</v>
      </c>
      <c r="M23" s="143">
        <f>K23*L23</f>
        <v>111754.82024999999</v>
      </c>
    </row>
    <row r="24" spans="1:13" ht="15.75">
      <c r="A24" s="65" t="s">
        <v>99</v>
      </c>
      <c r="C24" s="144">
        <v>0</v>
      </c>
      <c r="D24" s="110"/>
      <c r="F24" s="140" t="s">
        <v>28</v>
      </c>
      <c r="G24" s="141">
        <v>2393</v>
      </c>
      <c r="H24" s="142">
        <v>0.12678</v>
      </c>
      <c r="I24" s="143">
        <f t="shared" si="0"/>
        <v>303.38454000000002</v>
      </c>
      <c r="J24" s="140" t="s">
        <v>29</v>
      </c>
      <c r="K24" s="141">
        <v>1366641</v>
      </c>
      <c r="L24" s="142">
        <v>0.11330999999999999</v>
      </c>
      <c r="M24" s="143">
        <f t="shared" ref="M24:M27" si="1">K24*L24</f>
        <v>154854.09170999998</v>
      </c>
    </row>
    <row r="25" spans="1:13" ht="15.75">
      <c r="A25" s="65" t="s">
        <v>100</v>
      </c>
      <c r="C25" s="145">
        <v>0</v>
      </c>
      <c r="D25" s="110"/>
      <c r="F25" s="140" t="s">
        <v>29</v>
      </c>
      <c r="G25" s="141">
        <v>1463939</v>
      </c>
      <c r="H25" s="142">
        <v>0.11865000000000001</v>
      </c>
      <c r="I25" s="143">
        <f t="shared" si="0"/>
        <v>173696.36235000001</v>
      </c>
      <c r="J25" s="140" t="s">
        <v>30</v>
      </c>
      <c r="K25" s="141">
        <v>82239</v>
      </c>
      <c r="L25" s="142">
        <v>0.11330999999999999</v>
      </c>
      <c r="M25" s="143">
        <f t="shared" si="1"/>
        <v>9318.5010899999997</v>
      </c>
    </row>
    <row r="26" spans="1:13" ht="15.75">
      <c r="A26" s="146" t="s">
        <v>101</v>
      </c>
      <c r="C26" s="147">
        <v>0</v>
      </c>
      <c r="D26" s="110"/>
      <c r="F26" s="140" t="s">
        <v>30</v>
      </c>
      <c r="G26" s="141">
        <v>0</v>
      </c>
      <c r="H26" s="142">
        <v>0.11865000000000001</v>
      </c>
      <c r="I26" s="143">
        <f t="shared" si="0"/>
        <v>0</v>
      </c>
      <c r="J26" s="140" t="s">
        <v>31</v>
      </c>
      <c r="K26" s="141">
        <v>0</v>
      </c>
      <c r="L26" s="142">
        <v>0.11330999999999999</v>
      </c>
      <c r="M26" s="143">
        <f t="shared" si="1"/>
        <v>0</v>
      </c>
    </row>
    <row r="27" spans="1:13" ht="15.75">
      <c r="A27" s="136" t="s">
        <v>102</v>
      </c>
      <c r="C27" s="104">
        <f>SUM(C23:C26)</f>
        <v>0</v>
      </c>
      <c r="D27" s="110"/>
      <c r="F27" s="140" t="s">
        <v>31</v>
      </c>
      <c r="G27" s="141">
        <v>291721</v>
      </c>
      <c r="H27" s="142">
        <v>0.11541</v>
      </c>
      <c r="I27" s="143">
        <f t="shared" si="0"/>
        <v>33667.52061</v>
      </c>
      <c r="J27" s="140" t="s">
        <v>32</v>
      </c>
      <c r="K27" s="141">
        <v>0</v>
      </c>
      <c r="L27" s="142">
        <v>0.11330999999999999</v>
      </c>
      <c r="M27" s="143">
        <f t="shared" si="1"/>
        <v>0</v>
      </c>
    </row>
    <row r="28" spans="1:13" ht="16.5" thickBot="1">
      <c r="A28" s="148" t="s">
        <v>103</v>
      </c>
      <c r="C28" s="144">
        <v>0</v>
      </c>
      <c r="D28" s="118"/>
      <c r="F28" s="140" t="s">
        <v>32</v>
      </c>
      <c r="G28" s="141">
        <v>24662</v>
      </c>
      <c r="H28" s="142">
        <v>0.11541</v>
      </c>
      <c r="I28" s="143">
        <f t="shared" si="0"/>
        <v>2846.2414199999998</v>
      </c>
      <c r="J28" s="137" t="s">
        <v>104</v>
      </c>
      <c r="K28" s="149">
        <f>SUM(K23:K27)</f>
        <v>2435155</v>
      </c>
      <c r="L28" s="150"/>
      <c r="M28" s="151">
        <f>SUM(M23:M27)</f>
        <v>275927.41304999992</v>
      </c>
    </row>
    <row r="29" spans="1:13" ht="17.25" thickTop="1" thickBot="1">
      <c r="A29" s="148" t="s">
        <v>105</v>
      </c>
      <c r="B29" s="85"/>
      <c r="C29" s="144">
        <v>0</v>
      </c>
      <c r="D29" s="110"/>
      <c r="F29" s="140" t="s">
        <v>33</v>
      </c>
      <c r="G29" s="141">
        <v>0</v>
      </c>
      <c r="H29" s="142">
        <v>7.4310000000000001E-2</v>
      </c>
      <c r="I29" s="143">
        <f t="shared" si="0"/>
        <v>0</v>
      </c>
      <c r="J29" s="137"/>
      <c r="K29" s="152">
        <v>2435155</v>
      </c>
      <c r="L29" s="153" t="s">
        <v>82</v>
      </c>
      <c r="M29" s="154">
        <f>M28/K28</f>
        <v>0.11330999999999997</v>
      </c>
    </row>
    <row r="30" spans="1:13" ht="16.5" thickBot="1">
      <c r="A30" s="155" t="s">
        <v>106</v>
      </c>
      <c r="C30" s="107">
        <f>C7+C11+C14+C17+C20+C22+C27+C28+C29</f>
        <v>2292755.2400000002</v>
      </c>
      <c r="D30" s="118"/>
      <c r="F30" s="140" t="s">
        <v>34</v>
      </c>
      <c r="G30" s="141">
        <v>23786</v>
      </c>
      <c r="H30" s="142">
        <v>7.4310000000000001E-2</v>
      </c>
      <c r="I30" s="143">
        <f t="shared" si="0"/>
        <v>1767.53766</v>
      </c>
      <c r="J30" s="140"/>
      <c r="K30" s="156">
        <f>K28-K29</f>
        <v>0</v>
      </c>
      <c r="L30" s="150"/>
      <c r="M30" s="157"/>
    </row>
    <row r="31" spans="1:13" ht="15.75">
      <c r="A31" s="84" t="s">
        <v>107</v>
      </c>
      <c r="C31" s="96">
        <v>-17801.02</v>
      </c>
      <c r="D31" s="158"/>
      <c r="F31" s="140" t="s">
        <v>35</v>
      </c>
      <c r="G31" s="141">
        <v>2338940</v>
      </c>
      <c r="H31" s="142">
        <v>5.4000000000000001E-4</v>
      </c>
      <c r="I31" s="143">
        <f t="shared" si="0"/>
        <v>1263.0276000000001</v>
      </c>
      <c r="J31" s="64"/>
      <c r="K31" s="138"/>
      <c r="L31" s="150"/>
      <c r="M31" s="157"/>
    </row>
    <row r="32" spans="1:13" ht="16.5" thickBot="1">
      <c r="A32" s="155" t="s">
        <v>108</v>
      </c>
      <c r="B32" s="155" t="s">
        <v>109</v>
      </c>
      <c r="C32" s="159">
        <f>C30+C31</f>
        <v>2274954.2200000002</v>
      </c>
      <c r="D32" s="160"/>
      <c r="F32" s="137" t="s">
        <v>104</v>
      </c>
      <c r="G32" s="149">
        <f>SUM(G23:G31)</f>
        <v>6226148</v>
      </c>
      <c r="H32" s="138"/>
      <c r="I32" s="151">
        <f>SUM(I23:I31)</f>
        <v>477336.10763999994</v>
      </c>
      <c r="J32" s="161"/>
      <c r="K32" s="162"/>
      <c r="L32" s="138"/>
      <c r="M32" s="163"/>
    </row>
    <row r="33" spans="1:17" ht="17.25" thickTop="1" thickBot="1">
      <c r="A33" s="84" t="s">
        <v>110</v>
      </c>
      <c r="C33" s="159">
        <f>-C5-C9-C13-C16-C19</f>
        <v>-44969.189999999995</v>
      </c>
      <c r="D33" s="110"/>
      <c r="F33" s="164"/>
      <c r="G33" s="152">
        <v>6226148</v>
      </c>
      <c r="H33" s="153" t="s">
        <v>82</v>
      </c>
      <c r="I33" s="165">
        <f>I32/G32</f>
        <v>7.6666360587637802E-2</v>
      </c>
      <c r="J33" s="161"/>
      <c r="K33" s="162"/>
      <c r="L33" s="138"/>
      <c r="M33" s="139"/>
    </row>
    <row r="34" spans="1:17" ht="16.5" thickBot="1">
      <c r="A34" s="155" t="s">
        <v>111</v>
      </c>
      <c r="C34" s="107">
        <f>SUM(C32:C33)</f>
        <v>2229985.0300000003</v>
      </c>
      <c r="D34" s="110"/>
      <c r="F34" s="64"/>
      <c r="G34" s="156">
        <f>G32-G33</f>
        <v>0</v>
      </c>
      <c r="H34" s="138"/>
      <c r="I34" s="139"/>
      <c r="J34" s="161"/>
      <c r="K34" s="166"/>
      <c r="L34" s="138"/>
      <c r="M34" s="139"/>
    </row>
    <row r="35" spans="1:17" ht="18" customHeight="1">
      <c r="A35" s="155"/>
      <c r="C35" s="167"/>
      <c r="D35" s="110"/>
      <c r="F35" s="131"/>
      <c r="G35" s="132"/>
      <c r="H35" s="132"/>
      <c r="I35" s="128"/>
      <c r="J35" s="137" t="s">
        <v>112</v>
      </c>
      <c r="K35" s="248"/>
      <c r="L35" s="248"/>
      <c r="M35" s="249"/>
    </row>
    <row r="36" spans="1:17" ht="15.75">
      <c r="A36" s="168" t="s">
        <v>113</v>
      </c>
      <c r="B36" s="155"/>
      <c r="C36" s="104"/>
      <c r="D36" s="110"/>
      <c r="F36" s="137" t="s">
        <v>112</v>
      </c>
      <c r="G36" s="138"/>
      <c r="H36" s="138"/>
      <c r="I36" s="139"/>
      <c r="J36" s="140" t="s">
        <v>27</v>
      </c>
      <c r="K36" s="169">
        <f>K23</f>
        <v>986275</v>
      </c>
      <c r="L36" s="142">
        <v>0.23895</v>
      </c>
      <c r="M36" s="143">
        <f t="shared" ref="M36:M42" si="2">K36*L36</f>
        <v>235670.41125</v>
      </c>
      <c r="P36" s="170"/>
      <c r="Q36" s="170"/>
    </row>
    <row r="37" spans="1:17" ht="15.75">
      <c r="A37" s="138" t="s">
        <v>114</v>
      </c>
      <c r="B37" s="171" t="s">
        <v>115</v>
      </c>
      <c r="C37" s="96">
        <v>7642183.6399999997</v>
      </c>
      <c r="D37" s="110"/>
      <c r="F37" s="140" t="s">
        <v>27</v>
      </c>
      <c r="G37" s="169">
        <f>G23</f>
        <v>2080707</v>
      </c>
      <c r="H37" s="142">
        <v>0.23860000000000001</v>
      </c>
      <c r="I37" s="143">
        <f t="shared" ref="I37:I44" si="3">G37*H37</f>
        <v>496456.69020000001</v>
      </c>
      <c r="J37" s="140" t="s">
        <v>29</v>
      </c>
      <c r="K37" s="169">
        <f>K24</f>
        <v>1366641</v>
      </c>
      <c r="L37" s="142">
        <v>0.23895</v>
      </c>
      <c r="M37" s="143">
        <f t="shared" si="2"/>
        <v>326558.86695</v>
      </c>
      <c r="P37" s="170"/>
      <c r="Q37" s="170"/>
    </row>
    <row r="38" spans="1:17" ht="15.75">
      <c r="A38" s="172" t="s">
        <v>116</v>
      </c>
      <c r="B38" s="171" t="s">
        <v>115</v>
      </c>
      <c r="C38" s="96">
        <v>0</v>
      </c>
      <c r="D38" s="110"/>
      <c r="F38" s="140" t="s">
        <v>28</v>
      </c>
      <c r="G38" s="169">
        <f>G24</f>
        <v>2393</v>
      </c>
      <c r="H38" s="142">
        <v>0.23860000000000001</v>
      </c>
      <c r="I38" s="143">
        <f t="shared" si="3"/>
        <v>570.96979999999996</v>
      </c>
      <c r="J38" s="140" t="s">
        <v>30</v>
      </c>
      <c r="K38" s="169">
        <f>K25</f>
        <v>82239</v>
      </c>
      <c r="L38" s="142">
        <v>0.23895</v>
      </c>
      <c r="M38" s="143">
        <f t="shared" si="2"/>
        <v>19651.009050000001</v>
      </c>
      <c r="P38" s="170"/>
      <c r="Q38" s="170"/>
    </row>
    <row r="39" spans="1:17" ht="15.75">
      <c r="A39" s="138" t="s">
        <v>117</v>
      </c>
      <c r="B39" s="171" t="s">
        <v>118</v>
      </c>
      <c r="C39" s="96">
        <v>-54851.29</v>
      </c>
      <c r="D39" s="110"/>
      <c r="F39" s="140" t="s">
        <v>29</v>
      </c>
      <c r="G39" s="169">
        <f t="shared" ref="G39:G44" si="4">G25</f>
        <v>1463939</v>
      </c>
      <c r="H39" s="142">
        <v>0.23860000000000001</v>
      </c>
      <c r="I39" s="143">
        <f t="shared" si="3"/>
        <v>349295.84539999999</v>
      </c>
      <c r="J39" s="140" t="s">
        <v>31</v>
      </c>
      <c r="K39" s="169">
        <f>K26</f>
        <v>0</v>
      </c>
      <c r="L39" s="142">
        <v>0.23895</v>
      </c>
      <c r="M39" s="143">
        <f t="shared" si="2"/>
        <v>0</v>
      </c>
      <c r="P39" s="170"/>
      <c r="Q39" s="170"/>
    </row>
    <row r="40" spans="1:17" ht="15.75">
      <c r="A40" s="138" t="s">
        <v>119</v>
      </c>
      <c r="B40" s="171" t="s">
        <v>120</v>
      </c>
      <c r="C40" s="96">
        <v>306159.90999999997</v>
      </c>
      <c r="D40" s="110"/>
      <c r="F40" s="140" t="s">
        <v>30</v>
      </c>
      <c r="G40" s="169">
        <f t="shared" si="4"/>
        <v>0</v>
      </c>
      <c r="H40" s="142">
        <v>0.23860000000000001</v>
      </c>
      <c r="I40" s="143">
        <f t="shared" si="3"/>
        <v>0</v>
      </c>
      <c r="J40" s="140" t="s">
        <v>32</v>
      </c>
      <c r="K40" s="169">
        <f>K27</f>
        <v>0</v>
      </c>
      <c r="L40" s="142">
        <v>0.23895</v>
      </c>
      <c r="M40" s="143">
        <f t="shared" si="2"/>
        <v>0</v>
      </c>
      <c r="P40" s="170"/>
      <c r="Q40" s="170"/>
    </row>
    <row r="41" spans="1:17" ht="15.75">
      <c r="A41" s="138" t="s">
        <v>121</v>
      </c>
      <c r="B41" s="173" t="s">
        <v>122</v>
      </c>
      <c r="C41" s="96">
        <v>54490.6</v>
      </c>
      <c r="D41" s="110"/>
      <c r="F41" s="140" t="s">
        <v>31</v>
      </c>
      <c r="G41" s="169">
        <f t="shared" si="4"/>
        <v>291721</v>
      </c>
      <c r="H41" s="142">
        <v>0.23860000000000001</v>
      </c>
      <c r="I41" s="143">
        <f t="shared" si="3"/>
        <v>69604.630600000004</v>
      </c>
      <c r="J41" s="140" t="s">
        <v>33</v>
      </c>
      <c r="K41" s="141">
        <v>0</v>
      </c>
      <c r="L41" s="142">
        <v>0.23895</v>
      </c>
      <c r="M41" s="143">
        <f t="shared" si="2"/>
        <v>0</v>
      </c>
      <c r="P41" s="170"/>
      <c r="Q41" s="170"/>
    </row>
    <row r="42" spans="1:17" ht="16.5" thickBot="1">
      <c r="A42" s="138" t="s">
        <v>123</v>
      </c>
      <c r="B42" s="171" t="s">
        <v>124</v>
      </c>
      <c r="C42" s="96">
        <v>350599.55</v>
      </c>
      <c r="D42" s="118"/>
      <c r="F42" s="140" t="s">
        <v>32</v>
      </c>
      <c r="G42" s="169">
        <f t="shared" si="4"/>
        <v>24662</v>
      </c>
      <c r="H42" s="142">
        <v>0.23860000000000001</v>
      </c>
      <c r="I42" s="143">
        <f t="shared" si="3"/>
        <v>5884.3532000000005</v>
      </c>
      <c r="J42" s="140" t="s">
        <v>34</v>
      </c>
      <c r="K42" s="174">
        <v>0</v>
      </c>
      <c r="L42" s="142">
        <v>0.23895</v>
      </c>
      <c r="M42" s="143">
        <f t="shared" si="2"/>
        <v>0</v>
      </c>
      <c r="P42" s="170"/>
      <c r="Q42" s="170"/>
    </row>
    <row r="43" spans="1:17" ht="16.5" thickBot="1">
      <c r="A43" s="175" t="s">
        <v>125</v>
      </c>
      <c r="B43" s="132"/>
      <c r="C43" s="107">
        <f>SUM(C37:C42)</f>
        <v>8298582.4099999992</v>
      </c>
      <c r="D43" s="110"/>
      <c r="F43" s="140" t="s">
        <v>33</v>
      </c>
      <c r="G43" s="169">
        <f t="shared" si="4"/>
        <v>0</v>
      </c>
      <c r="H43" s="142">
        <v>0.23860000000000001</v>
      </c>
      <c r="I43" s="143">
        <f t="shared" si="3"/>
        <v>0</v>
      </c>
      <c r="J43" s="137" t="s">
        <v>126</v>
      </c>
      <c r="K43" s="149">
        <f>SUM(K36:K42)</f>
        <v>2435155</v>
      </c>
      <c r="L43" s="150"/>
      <c r="M43" s="151">
        <f>SUM(M36:M42)</f>
        <v>581880.28725000005</v>
      </c>
    </row>
    <row r="44" spans="1:17" ht="16.5" thickBot="1">
      <c r="A44" s="176" t="s">
        <v>127</v>
      </c>
      <c r="B44" s="177" t="s">
        <v>128</v>
      </c>
      <c r="C44" s="96">
        <f>-2108794.83+422385.48</f>
        <v>-1686409.35</v>
      </c>
      <c r="D44" s="118"/>
      <c r="F44" s="140" t="s">
        <v>34</v>
      </c>
      <c r="G44" s="169">
        <f t="shared" si="4"/>
        <v>23786</v>
      </c>
      <c r="H44" s="142">
        <v>0.23860000000000001</v>
      </c>
      <c r="I44" s="143">
        <f t="shared" si="3"/>
        <v>5675.3396000000002</v>
      </c>
      <c r="J44" s="178"/>
      <c r="K44" s="179">
        <v>2435155</v>
      </c>
      <c r="L44" s="180" t="s">
        <v>82</v>
      </c>
      <c r="M44" s="181">
        <f>M43/K43</f>
        <v>0.23895000000000002</v>
      </c>
    </row>
    <row r="45" spans="1:17" ht="16.5" thickBot="1">
      <c r="A45" s="182" t="s">
        <v>129</v>
      </c>
      <c r="B45" s="173" t="s">
        <v>115</v>
      </c>
      <c r="C45" s="183">
        <v>0</v>
      </c>
      <c r="D45" s="158"/>
      <c r="F45" s="137" t="s">
        <v>126</v>
      </c>
      <c r="G45" s="149">
        <f>SUM(G37:G44)</f>
        <v>3887208</v>
      </c>
      <c r="H45" s="150"/>
      <c r="I45" s="151">
        <f>SUM(I37:I44)</f>
        <v>927487.82880000002</v>
      </c>
      <c r="J45" s="175"/>
      <c r="K45" s="152"/>
      <c r="L45" s="153"/>
      <c r="M45" s="184"/>
    </row>
    <row r="46" spans="1:17" ht="19.5" customHeight="1" thickTop="1" thickBot="1">
      <c r="A46" s="172" t="s">
        <v>130</v>
      </c>
      <c r="B46" s="173" t="s">
        <v>115</v>
      </c>
      <c r="C46" s="183">
        <v>0</v>
      </c>
      <c r="D46" s="160"/>
      <c r="F46" s="185"/>
      <c r="G46" s="179">
        <v>3887208</v>
      </c>
      <c r="H46" s="180" t="s">
        <v>82</v>
      </c>
      <c r="I46" s="186">
        <f>I45/G45</f>
        <v>0.23860000000000001</v>
      </c>
      <c r="J46" s="175"/>
      <c r="K46" s="152"/>
      <c r="L46" s="153"/>
      <c r="M46" s="184"/>
    </row>
    <row r="47" spans="1:17" ht="19.5" customHeight="1">
      <c r="A47" s="84" t="s">
        <v>131</v>
      </c>
      <c r="B47" s="173" t="s">
        <v>115</v>
      </c>
      <c r="C47" s="96">
        <v>0</v>
      </c>
      <c r="D47" s="110"/>
      <c r="F47" s="85"/>
      <c r="G47" s="156">
        <f>G45-G46</f>
        <v>0</v>
      </c>
      <c r="H47" s="85"/>
      <c r="I47" s="85"/>
      <c r="J47" s="187"/>
      <c r="K47" s="156">
        <f>K43-K44</f>
        <v>0</v>
      </c>
      <c r="L47" s="85"/>
      <c r="M47" s="187"/>
    </row>
    <row r="48" spans="1:17" ht="16.5" thickBot="1">
      <c r="A48" s="172" t="s">
        <v>132</v>
      </c>
      <c r="B48" s="173" t="s">
        <v>115</v>
      </c>
      <c r="C48" s="96">
        <v>7000</v>
      </c>
      <c r="D48" s="110"/>
      <c r="F48" s="85"/>
      <c r="G48" s="85"/>
      <c r="H48" s="85"/>
      <c r="I48" s="85"/>
      <c r="J48" s="187"/>
      <c r="K48" s="188"/>
      <c r="L48" s="85"/>
      <c r="M48" s="189"/>
    </row>
    <row r="49" spans="1:21" ht="15.75">
      <c r="A49" s="138" t="s">
        <v>133</v>
      </c>
      <c r="B49" s="171" t="s">
        <v>134</v>
      </c>
      <c r="C49" s="96">
        <v>17272.150000000001</v>
      </c>
      <c r="D49" s="110"/>
      <c r="F49" s="85"/>
      <c r="G49" s="188"/>
      <c r="H49" s="133" t="s">
        <v>63</v>
      </c>
      <c r="I49" s="134" t="s">
        <v>63</v>
      </c>
      <c r="J49" s="134" t="s">
        <v>64</v>
      </c>
      <c r="K49" s="190" t="s">
        <v>135</v>
      </c>
      <c r="L49" s="187"/>
      <c r="M49" s="85"/>
    </row>
    <row r="50" spans="1:21" ht="16.5" thickBot="1">
      <c r="A50" s="138" t="s">
        <v>136</v>
      </c>
      <c r="B50" s="171" t="s">
        <v>134</v>
      </c>
      <c r="C50" s="96">
        <v>1011.96</v>
      </c>
      <c r="D50" s="118"/>
      <c r="F50" s="94" t="s">
        <v>137</v>
      </c>
      <c r="G50" s="85"/>
      <c r="H50" s="191" t="s">
        <v>138</v>
      </c>
      <c r="I50" s="192" t="s">
        <v>55</v>
      </c>
      <c r="J50" s="192" t="s">
        <v>138</v>
      </c>
      <c r="K50" s="193" t="s">
        <v>55</v>
      </c>
      <c r="L50" s="85"/>
      <c r="M50" s="85"/>
    </row>
    <row r="51" spans="1:21" ht="15.75">
      <c r="A51" s="138" t="s">
        <v>139</v>
      </c>
      <c r="B51" s="171" t="s">
        <v>134</v>
      </c>
      <c r="C51" s="96">
        <v>4806.32</v>
      </c>
      <c r="D51" s="110"/>
      <c r="F51" s="85"/>
      <c r="G51" s="85"/>
      <c r="H51" s="194"/>
      <c r="I51" s="195"/>
      <c r="J51" s="195"/>
      <c r="K51" s="195"/>
      <c r="L51" s="87" t="s">
        <v>140</v>
      </c>
      <c r="M51" s="85"/>
    </row>
    <row r="52" spans="1:21" ht="15.75">
      <c r="A52" s="196" t="s">
        <v>141</v>
      </c>
      <c r="B52" s="173"/>
      <c r="C52" s="197">
        <f>-C33</f>
        <v>44969.189999999995</v>
      </c>
      <c r="D52" s="93"/>
      <c r="F52" s="85" t="s">
        <v>142</v>
      </c>
      <c r="G52" s="85"/>
      <c r="H52" s="198">
        <f>K12</f>
        <v>-1181306.4701039996</v>
      </c>
      <c r="I52" s="199">
        <f>I14</f>
        <v>1572808.4416590002</v>
      </c>
      <c r="J52" s="199">
        <f>L12</f>
        <v>-741303.40989599982</v>
      </c>
      <c r="K52" s="199">
        <f>J14</f>
        <v>657176.58834100014</v>
      </c>
      <c r="L52" s="200">
        <f>SUM(H52:K52)</f>
        <v>307375.15000000095</v>
      </c>
      <c r="M52" s="85"/>
    </row>
    <row r="53" spans="1:21" ht="16.5" thickBot="1">
      <c r="A53" s="85" t="s">
        <v>143</v>
      </c>
      <c r="B53" s="171" t="s">
        <v>144</v>
      </c>
      <c r="C53" s="96">
        <f>10285.55+0.05+34210.61</f>
        <v>44496.21</v>
      </c>
      <c r="D53" s="93"/>
      <c r="F53" s="84" t="s">
        <v>145</v>
      </c>
      <c r="H53" s="198">
        <f>-I45</f>
        <v>-927487.82880000002</v>
      </c>
      <c r="I53" s="199">
        <f>-I32</f>
        <v>-477336.10763999994</v>
      </c>
      <c r="J53" s="199">
        <f>-M43</f>
        <v>-581880.28725000005</v>
      </c>
      <c r="K53" s="199">
        <f>-M28</f>
        <v>-275927.41304999992</v>
      </c>
      <c r="L53" s="201">
        <f>SUM(H53:K53)</f>
        <v>-2262631.63674</v>
      </c>
    </row>
    <row r="54" spans="1:21" ht="16.5" thickBot="1">
      <c r="A54" s="202" t="s">
        <v>146</v>
      </c>
      <c r="B54" s="203" t="s">
        <v>147</v>
      </c>
      <c r="C54" s="96">
        <f>-268611.14-3188020.17-4723360.56</f>
        <v>-8179991.8699999992</v>
      </c>
      <c r="D54" s="110"/>
      <c r="F54" s="84" t="s">
        <v>148</v>
      </c>
      <c r="H54" s="204">
        <v>0</v>
      </c>
      <c r="I54" s="205">
        <v>0</v>
      </c>
      <c r="J54" s="205">
        <v>0</v>
      </c>
      <c r="K54" s="206">
        <v>0</v>
      </c>
      <c r="L54" s="207">
        <f>SUM(L52:L53)</f>
        <v>-1955256.4867399991</v>
      </c>
    </row>
    <row r="55" spans="1:21" ht="16.5" thickBot="1">
      <c r="A55" s="84" t="s">
        <v>149</v>
      </c>
      <c r="B55" s="173" t="s">
        <v>150</v>
      </c>
      <c r="C55" s="96">
        <v>-375000</v>
      </c>
      <c r="D55" s="110"/>
      <c r="F55" s="84" t="s">
        <v>151</v>
      </c>
      <c r="H55" s="107">
        <f>IFERROR(H52+H53+H54,0)</f>
        <v>-2108794.2989039999</v>
      </c>
      <c r="I55" s="107">
        <f>I52+I53+I54</f>
        <v>1095472.3340190002</v>
      </c>
      <c r="J55" s="107">
        <f>IFERROR(J52+J53+J54,0)</f>
        <v>-1323183.6971459999</v>
      </c>
      <c r="K55" s="107">
        <f>K52+K53+K54</f>
        <v>381249.17529100023</v>
      </c>
      <c r="L55" s="208">
        <f>SUM(H55:K55)</f>
        <v>-1955256.4867399994</v>
      </c>
    </row>
    <row r="56" spans="1:21" ht="16.5" thickBot="1">
      <c r="A56" s="209" t="s">
        <v>72</v>
      </c>
      <c r="B56" s="177"/>
      <c r="C56" s="210">
        <f>SUM(C43:C55)</f>
        <v>-1823262.9799999995</v>
      </c>
      <c r="D56" s="110"/>
      <c r="F56" s="211" t="s">
        <v>152</v>
      </c>
      <c r="H56" s="84" t="s">
        <v>153</v>
      </c>
      <c r="I56" s="212">
        <f>SUM(H55:I55)</f>
        <v>-1013321.9648849997</v>
      </c>
      <c r="J56" s="213" t="s">
        <v>154</v>
      </c>
      <c r="K56" s="84">
        <f>SUM(J55:K55)</f>
        <v>-941934.52185499971</v>
      </c>
      <c r="L56" s="214">
        <f>ROUND(L54-L55,3)</f>
        <v>0</v>
      </c>
      <c r="T56" s="215"/>
    </row>
    <row r="57" spans="1:21" ht="16.5" thickTop="1">
      <c r="A57" s="84" t="s">
        <v>155</v>
      </c>
      <c r="B57" s="173" t="s">
        <v>115</v>
      </c>
      <c r="C57" s="96">
        <v>-60364.39</v>
      </c>
      <c r="D57" s="110"/>
      <c r="F57" s="216" t="s">
        <v>152</v>
      </c>
      <c r="H57" s="217"/>
    </row>
    <row r="58" spans="1:21" ht="16.5" thickBot="1">
      <c r="A58" s="84" t="s">
        <v>156</v>
      </c>
      <c r="B58" s="173" t="s">
        <v>115</v>
      </c>
      <c r="C58" s="96">
        <v>-38982.51</v>
      </c>
      <c r="D58" s="110"/>
      <c r="F58" s="216" t="s">
        <v>157</v>
      </c>
      <c r="H58" s="218"/>
      <c r="I58" s="219"/>
      <c r="J58" s="219"/>
      <c r="K58" s="220"/>
      <c r="L58" s="219"/>
    </row>
    <row r="59" spans="1:21" ht="16.5" thickBot="1">
      <c r="A59" s="155" t="s">
        <v>158</v>
      </c>
      <c r="B59" s="155"/>
      <c r="C59" s="210">
        <f>SUM(C56:C58)</f>
        <v>-1922609.8799999994</v>
      </c>
      <c r="D59" s="110"/>
      <c r="F59" s="221" t="s">
        <v>159</v>
      </c>
      <c r="G59" s="222" t="str">
        <f>IF(OR(AND(I56&gt;0,K56&gt;0),AND(I56&lt;0,K56&lt;0)),"OK","ERROR")</f>
        <v>OK</v>
      </c>
      <c r="H59" s="223" t="s">
        <v>160</v>
      </c>
      <c r="I59" s="224"/>
    </row>
    <row r="60" spans="1:21" ht="17.25" thickTop="1" thickBot="1">
      <c r="A60" s="155"/>
      <c r="C60" s="167"/>
      <c r="D60" s="110"/>
      <c r="H60" s="225" t="s">
        <v>161</v>
      </c>
      <c r="I60" s="226" t="s">
        <v>162</v>
      </c>
      <c r="J60" s="212"/>
    </row>
    <row r="61" spans="1:21" ht="16.5" thickBot="1">
      <c r="A61" s="227"/>
      <c r="B61" s="227" t="s">
        <v>163</v>
      </c>
      <c r="C61" s="107">
        <f>C59+C34</f>
        <v>307375.15000000084</v>
      </c>
      <c r="D61" s="110"/>
      <c r="H61" s="228">
        <f>'[1]WA - Def-Amtz (current)'!BJ6+'[1]WA - Def-Amtz (current)'!BJ8+'[1]WA - Def-Amtz (current)'!BJ42+'[1]WA - Def-Amtz (current)'!BJ43+'[1]WA - Def-Amtz (current)'!BJ76+'[1]ID - Def-Amtz (current)'!BK6+'[1]ID - Def-Amtz (current)'!BK8+'[1]ID - Def-Amtz (current)'!BK44+'[1]ID - Def-Amtz (current)'!BK76</f>
        <v>2545640.9256491172</v>
      </c>
      <c r="I61" s="229">
        <f>'[1]WA - Def-Amtz (current)'!BK7+'[1]WA - Def-Amtz (current)'!BK44+'[1]WA - Def-Amtz (current)'!BK77+'[1]ID - Def-Amtz (current)'!BL7+'[1]ID - Def-Amtz (current)'!BL42+'[1]ID - Def-Amtz (current)'!BL45+'[1]ID - Def-Amtz (current)'!BL77</f>
        <v>2545640.9256491177</v>
      </c>
      <c r="J61" s="84">
        <f>H53+I53+J53+K53</f>
        <v>-2262631.63674</v>
      </c>
    </row>
    <row r="62" spans="1:21" ht="15.75">
      <c r="A62" s="155"/>
      <c r="B62" s="227" t="s">
        <v>164</v>
      </c>
      <c r="C62" s="230">
        <v>307375.15000000002</v>
      </c>
      <c r="D62" s="118"/>
      <c r="G62" s="212"/>
      <c r="I62" s="231">
        <f>H61-I61</f>
        <v>0</v>
      </c>
      <c r="N62" s="212"/>
      <c r="O62" s="212"/>
      <c r="P62" s="232"/>
    </row>
    <row r="63" spans="1:21" ht="15.75">
      <c r="A63" s="227"/>
      <c r="B63" s="227" t="s">
        <v>20</v>
      </c>
      <c r="C63" s="233">
        <f>ROUND(C61-C62,2)</f>
        <v>0</v>
      </c>
      <c r="S63" s="173"/>
    </row>
    <row r="64" spans="1:21" ht="15.75">
      <c r="A64" s="234"/>
      <c r="C64" s="235"/>
      <c r="D64" s="110"/>
      <c r="N64" s="196"/>
      <c r="U64" s="155"/>
    </row>
    <row r="65" spans="1:21" ht="15.75">
      <c r="A65" s="234"/>
      <c r="C65" s="236"/>
      <c r="D65" s="237"/>
      <c r="N65" s="196"/>
      <c r="S65" s="238"/>
    </row>
    <row r="66" spans="1:21" ht="15.75">
      <c r="A66" s="155"/>
      <c r="C66" s="236"/>
      <c r="D66" s="110"/>
      <c r="N66" s="196"/>
      <c r="S66" s="239"/>
    </row>
    <row r="67" spans="1:21">
      <c r="C67" s="104"/>
      <c r="D67" s="110"/>
      <c r="N67" s="196"/>
      <c r="S67" s="240"/>
    </row>
    <row r="68" spans="1:21">
      <c r="D68" s="110"/>
      <c r="N68" s="196"/>
      <c r="S68" s="239"/>
    </row>
    <row r="69" spans="1:21">
      <c r="D69" s="110"/>
      <c r="N69" s="196"/>
    </row>
    <row r="70" spans="1:21">
      <c r="D70" s="118"/>
      <c r="N70" s="196"/>
      <c r="S70" s="241"/>
    </row>
    <row r="71" spans="1:21">
      <c r="D71" s="110"/>
    </row>
    <row r="72" spans="1:21">
      <c r="D72" s="110"/>
    </row>
    <row r="73" spans="1:21">
      <c r="D73" s="110"/>
      <c r="S73" s="242"/>
    </row>
    <row r="74" spans="1:21">
      <c r="D74" s="243"/>
      <c r="R74" s="173"/>
      <c r="S74" s="173"/>
      <c r="T74" s="173"/>
    </row>
    <row r="76" spans="1:21">
      <c r="U76" s="244"/>
    </row>
    <row r="1477" spans="3:3">
      <c r="C1477" s="84">
        <v>-2130</v>
      </c>
    </row>
    <row r="1485" spans="3:3">
      <c r="C1485" s="84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14" priority="7" stopIfTrue="1" operator="equal">
      <formula>0</formula>
    </cfRule>
    <cfRule type="cellIs" dxfId="13" priority="8" stopIfTrue="1" operator="notEqual">
      <formula>0</formula>
    </cfRule>
  </conditionalFormatting>
  <conditionalFormatting sqref="G34 G47 K30 K47">
    <cfRule type="cellIs" dxfId="12" priority="6" operator="notEqual">
      <formula>0</formula>
    </cfRule>
  </conditionalFormatting>
  <conditionalFormatting sqref="C63">
    <cfRule type="cellIs" dxfId="11" priority="4" stopIfTrue="1" operator="equal">
      <formula>0</formula>
    </cfRule>
    <cfRule type="cellIs" dxfId="10" priority="5" stopIfTrue="1" operator="notEqual">
      <formula>0</formula>
    </cfRule>
  </conditionalFormatting>
  <conditionalFormatting sqref="K30">
    <cfRule type="cellIs" dxfId="9" priority="3" operator="notEqual">
      <formula>0</formula>
    </cfRule>
  </conditionalFormatting>
  <conditionalFormatting sqref="G59">
    <cfRule type="cellIs" dxfId="8" priority="2" operator="equal">
      <formula>"ERROR"</formula>
    </cfRule>
  </conditionalFormatting>
  <conditionalFormatting sqref="G59">
    <cfRule type="cellIs" dxfId="7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66"/>
    <pageSetUpPr fitToPage="1"/>
  </sheetPr>
  <dimension ref="A1:W84"/>
  <sheetViews>
    <sheetView showGridLines="0" zoomScale="70" zoomScaleNormal="70" zoomScaleSheetLayoutView="85" workbookViewId="0">
      <pane xSplit="2" ySplit="3" topLeftCell="C73" activePane="bottomRight" state="frozen"/>
      <selection pane="topRight" activeCell="C1" sqref="C1"/>
      <selection pane="bottomLeft" activeCell="A4" sqref="A4"/>
      <selection pane="bottomRight" activeCell="C83" sqref="C83:L84"/>
    </sheetView>
  </sheetViews>
  <sheetFormatPr defaultColWidth="9.140625" defaultRowHeight="15.75" outlineLevelRow="1" outlineLevelCol="1"/>
  <cols>
    <col min="1" max="1" width="17.28515625" style="3" customWidth="1"/>
    <col min="2" max="2" width="18.7109375" style="2" customWidth="1"/>
    <col min="3" max="3" width="18.140625" style="3" customWidth="1"/>
    <col min="4" max="4" width="17.7109375" style="3" customWidth="1"/>
    <col min="5" max="5" width="18.7109375" style="3" customWidth="1"/>
    <col min="6" max="6" width="19.140625" style="3" customWidth="1"/>
    <col min="7" max="7" width="17.42578125" style="3" customWidth="1"/>
    <col min="8" max="8" width="16.7109375" style="3" customWidth="1"/>
    <col min="9" max="12" width="17.42578125" style="3" customWidth="1"/>
    <col min="13" max="13" width="17.42578125" style="3" hidden="1" customWidth="1" outlineLevel="1"/>
    <col min="14" max="14" width="16.28515625" style="3" hidden="1" customWidth="1" outlineLevel="1"/>
    <col min="15" max="15" width="18.140625" style="3" hidden="1" customWidth="1" outlineLevel="1"/>
    <col min="16" max="16" width="17.7109375" style="3" hidden="1" customWidth="1" outlineLevel="1"/>
    <col min="17" max="17" width="3.42578125" style="4" customWidth="1" collapsed="1"/>
    <col min="18" max="18" width="34.42578125" style="3" customWidth="1"/>
    <col min="19" max="19" width="14.42578125" style="5" bestFit="1" customWidth="1"/>
    <col min="20" max="20" width="4.7109375" style="3" bestFit="1" customWidth="1"/>
    <col min="21" max="21" width="5" style="3" bestFit="1" customWidth="1"/>
    <col min="22" max="22" width="18.28515625" style="3" customWidth="1"/>
    <col min="23" max="23" width="17.140625" style="3" bestFit="1" customWidth="1"/>
    <col min="24" max="24" width="0.42578125" style="3" customWidth="1"/>
    <col min="25" max="16384" width="9.140625" style="3"/>
  </cols>
  <sheetData>
    <row r="1" spans="1:23">
      <c r="A1" s="1" t="s">
        <v>0</v>
      </c>
      <c r="R1" s="1" t="s">
        <v>1</v>
      </c>
      <c r="U1" s="6" t="s">
        <v>2</v>
      </c>
      <c r="V1" s="6"/>
    </row>
    <row r="2" spans="1:23">
      <c r="A2" s="6" t="s">
        <v>3</v>
      </c>
    </row>
    <row r="3" spans="1:23" s="6" customFormat="1" ht="16.5" thickBot="1">
      <c r="A3" s="7">
        <v>191010</v>
      </c>
      <c r="B3" s="8" t="s">
        <v>4</v>
      </c>
      <c r="C3" s="7">
        <v>201611</v>
      </c>
      <c r="D3" s="7">
        <f>C3+1</f>
        <v>201612</v>
      </c>
      <c r="E3" s="7">
        <v>201701</v>
      </c>
      <c r="F3" s="7">
        <f>E3+1</f>
        <v>201702</v>
      </c>
      <c r="G3" s="7">
        <f t="shared" ref="G3:J3" si="0">F3+1</f>
        <v>201703</v>
      </c>
      <c r="H3" s="7">
        <f t="shared" si="0"/>
        <v>201704</v>
      </c>
      <c r="I3" s="7">
        <f t="shared" si="0"/>
        <v>201705</v>
      </c>
      <c r="J3" s="7">
        <f t="shared" si="0"/>
        <v>201706</v>
      </c>
      <c r="K3" s="7">
        <f>J3+1</f>
        <v>201707</v>
      </c>
      <c r="L3" s="7">
        <f t="shared" ref="L3:O3" si="1">K3+1</f>
        <v>201708</v>
      </c>
      <c r="M3" s="7">
        <f t="shared" si="1"/>
        <v>201709</v>
      </c>
      <c r="N3" s="7">
        <f t="shared" si="1"/>
        <v>201710</v>
      </c>
      <c r="O3" s="7">
        <f t="shared" si="1"/>
        <v>201711</v>
      </c>
      <c r="P3" s="7">
        <f>O3+1</f>
        <v>201712</v>
      </c>
      <c r="Q3" s="9"/>
      <c r="S3" s="7"/>
    </row>
    <row r="4" spans="1:23" s="6" customFormat="1" ht="16.5" thickBot="1">
      <c r="B4" s="8" t="s">
        <v>5</v>
      </c>
      <c r="C4" s="10">
        <v>3.5000000000000003E-2</v>
      </c>
      <c r="D4" s="10">
        <v>3.5000000000000003E-2</v>
      </c>
      <c r="E4" s="12">
        <v>3.5000000000000003E-2</v>
      </c>
      <c r="F4" s="12">
        <v>3.5000000000000003E-2</v>
      </c>
      <c r="G4" s="12">
        <v>3.5000000000000003E-2</v>
      </c>
      <c r="H4" s="12">
        <v>3.7100000000000001E-2</v>
      </c>
      <c r="I4" s="12">
        <v>3.7100000000000001E-2</v>
      </c>
      <c r="J4" s="12">
        <v>3.7100000000000001E-2</v>
      </c>
      <c r="K4" s="12">
        <v>3.9600000000000003E-2</v>
      </c>
      <c r="L4" s="12">
        <v>3.9600000000000003E-2</v>
      </c>
      <c r="M4" s="12">
        <v>3.7100000000000001E-2</v>
      </c>
      <c r="N4" s="12">
        <v>3.7100000000000001E-2</v>
      </c>
      <c r="O4" s="12">
        <v>3.7100000000000001E-2</v>
      </c>
      <c r="P4" s="12">
        <v>3.7100000000000001E-2</v>
      </c>
      <c r="Q4" s="9"/>
      <c r="R4" s="13">
        <v>201708</v>
      </c>
      <c r="S4" s="14"/>
      <c r="T4" s="15"/>
      <c r="U4" s="15"/>
      <c r="V4" s="15"/>
      <c r="W4" s="16"/>
    </row>
    <row r="5" spans="1:23">
      <c r="B5" s="2" t="s">
        <v>6</v>
      </c>
      <c r="C5" s="3">
        <v>-16534597.329101773</v>
      </c>
      <c r="D5" s="3">
        <f t="shared" ref="D5" si="2">C13</f>
        <v>-3075004.5709557864</v>
      </c>
      <c r="E5" s="3">
        <f>D13</f>
        <v>-6818269.0378097855</v>
      </c>
      <c r="F5" s="3">
        <f>E13</f>
        <v>-10248016.525328787</v>
      </c>
      <c r="G5" s="3">
        <f>F13</f>
        <v>-12338677.191237787</v>
      </c>
      <c r="H5" s="3">
        <f t="shared" ref="H5:J5" si="3">G13</f>
        <v>-13990367.081666788</v>
      </c>
      <c r="I5" s="17">
        <f t="shared" si="3"/>
        <v>-15173451.409781789</v>
      </c>
      <c r="J5" s="3">
        <f t="shared" si="3"/>
        <v>-15098116.96234579</v>
      </c>
      <c r="K5" s="3">
        <f>J13</f>
        <v>-14771177.38731979</v>
      </c>
      <c r="L5" s="18">
        <f t="shared" ref="L5" si="4">K13</f>
        <v>-15909772.702550791</v>
      </c>
      <c r="M5" s="3">
        <f>L13</f>
        <v>-16977268.897435792</v>
      </c>
      <c r="N5" s="3">
        <f t="shared" ref="N5" si="5">M13</f>
        <v>-17630133.137018796</v>
      </c>
      <c r="O5" s="3">
        <f>N13</f>
        <v>-17865660.683180794</v>
      </c>
      <c r="P5" s="3">
        <f t="shared" ref="P5" si="6">O13</f>
        <v>-6179528.7768167919</v>
      </c>
      <c r="R5" s="19" t="s">
        <v>7</v>
      </c>
      <c r="S5" s="20">
        <v>419600</v>
      </c>
      <c r="T5" s="21" t="s">
        <v>8</v>
      </c>
      <c r="U5" s="21" t="s">
        <v>9</v>
      </c>
      <c r="V5" s="22">
        <v>0</v>
      </c>
      <c r="W5" s="23">
        <f>IF(SUMIF(C3:P3,R4,C8:P8)&gt;0,SUMIF(C3:P3,R4,C8:P8),0)</f>
        <v>0</v>
      </c>
    </row>
    <row r="6" spans="1:23">
      <c r="B6" s="2" t="s">
        <v>10</v>
      </c>
      <c r="C6" s="17">
        <v>-192874.3790970007</v>
      </c>
      <c r="D6" s="3">
        <f>[1]Dec!$H$55</f>
        <v>-1133881.9007779993</v>
      </c>
      <c r="E6" s="17">
        <f>[1]Jan!$H$55</f>
        <v>-491376.17008000147</v>
      </c>
      <c r="F6" s="17">
        <f>[1]Feb!$H$55</f>
        <v>-201411.09328799881</v>
      </c>
      <c r="G6" s="17">
        <f>[1]Mar!$H$55</f>
        <v>-696753.01067200163</v>
      </c>
      <c r="H6" s="17">
        <f>[1]Apr!$H$55</f>
        <v>-912928.80422000168</v>
      </c>
      <c r="I6" s="17">
        <f>[1]May!$H$55</f>
        <v>-482101.19766700035</v>
      </c>
      <c r="J6" s="17">
        <f>[1]Jun!$H$55</f>
        <v>-580245.48787200102</v>
      </c>
      <c r="K6" s="17">
        <f>[1]Jul!$H$55</f>
        <v>-2217856.2503400007</v>
      </c>
      <c r="L6" s="17">
        <f>[1]Aug!$H$55</f>
        <v>-2108794.2989039999</v>
      </c>
      <c r="M6" s="17">
        <f>[1]Sep!$H$55</f>
        <v>-1421303.766953001</v>
      </c>
      <c r="N6" s="17">
        <f>[1]Oct!$H$55</f>
        <v>-389419.70859999908</v>
      </c>
      <c r="O6" s="17">
        <f>[1]Nov!$H$55</f>
        <v>-192874.3790970007</v>
      </c>
      <c r="P6" s="3">
        <f>[1]Dec!$H$55</f>
        <v>-1133881.9007779993</v>
      </c>
      <c r="R6" s="24" t="s">
        <v>11</v>
      </c>
      <c r="S6" s="25">
        <v>431600</v>
      </c>
      <c r="T6" s="26" t="s">
        <v>8</v>
      </c>
      <c r="U6" s="26" t="s">
        <v>9</v>
      </c>
      <c r="V6" s="27">
        <f>IF(SUMIF(C3:P3,R4,C8:P8)&lt;0,-SUMIF(C3:P3,R4,C8:P8),0)</f>
        <v>54174.23</v>
      </c>
      <c r="W6" s="28">
        <v>0</v>
      </c>
    </row>
    <row r="7" spans="1:23">
      <c r="B7" s="2" t="s">
        <v>12</v>
      </c>
      <c r="C7" s="17">
        <v>-521813.363136</v>
      </c>
      <c r="D7" s="3">
        <f>[1]Dec!$I$55</f>
        <v>-2594975.8860759991</v>
      </c>
      <c r="E7" s="17">
        <f>[1]Jan!$I$55</f>
        <v>-2913519.2274390003</v>
      </c>
      <c r="F7" s="17">
        <f>[1]Feb!$I$55</f>
        <v>-1856358.6126210007</v>
      </c>
      <c r="G7" s="17">
        <f>[1]Mar!$I$55</f>
        <v>-916596.2697570005</v>
      </c>
      <c r="H7" s="17">
        <f>[1]Apr!$I$55</f>
        <v>-225142.70389499958</v>
      </c>
      <c r="I7" s="17">
        <f>[1]May!$I$55</f>
        <v>604158.21510300005</v>
      </c>
      <c r="J7" s="17">
        <f>[1]Jun!$I$55</f>
        <v>953286.75289800053</v>
      </c>
      <c r="K7" s="17">
        <f>[1]Jul!$I$55</f>
        <v>1129801.1151090004</v>
      </c>
      <c r="L7" s="17">
        <f>[1]Aug!$I$55</f>
        <v>1095472.3340190002</v>
      </c>
      <c r="M7" s="17">
        <f>[1]Sep!$I$55</f>
        <v>821854.23736999987</v>
      </c>
      <c r="N7" s="17">
        <f>[1]Oct!$I$55</f>
        <v>208678.05243800068</v>
      </c>
      <c r="O7" s="17">
        <f>[1]Nov!$I$55</f>
        <v>-521813.363136</v>
      </c>
      <c r="P7" s="3">
        <f>[1]Dec!$I$55</f>
        <v>-2594975.8860759991</v>
      </c>
      <c r="R7" s="24" t="s">
        <v>13</v>
      </c>
      <c r="S7" s="25">
        <v>191010</v>
      </c>
      <c r="T7" s="26" t="s">
        <v>8</v>
      </c>
      <c r="U7" s="26" t="s">
        <v>9</v>
      </c>
      <c r="V7" s="27">
        <f>IF((SUMIF(C3:P3,R4,C6:P6)+SUMIF(C3:P3,R4,C7:P7)+SUMIF(C3:P3,R4,C8:P8))&gt;0,(SUMIF(C3:P3,R4,C6:P6)+SUMIF(C3:P3,R4,C7:P7)+SUMIF(C3:P3,R4,C8:P8)),0)</f>
        <v>0</v>
      </c>
      <c r="W7" s="28">
        <f>IF((SUMIF(C3:P3,R4,C6:P6)+SUMIF(C3:P3,R4,C7:P7)+SUMIF(C3:P3,R4,C8:P8))&lt;0,-(SUMIF(C3:P3,R4,C6:P6)+SUMIF(C3:P3,R4,C7:P7)++SUMIF(C3:P3,R4,C8:P8)),0)</f>
        <v>1067496.1948849997</v>
      </c>
    </row>
    <row r="8" spans="1:23">
      <c r="B8" s="2" t="s">
        <v>14</v>
      </c>
      <c r="C8" s="30">
        <v>-7903.46</v>
      </c>
      <c r="D8" s="29">
        <f t="shared" ref="D8:I8" si="7">ROUND(((D5)*(D4/12))+((SUM(D6:D7)/2)*(D4/12)),2)</f>
        <v>-14406.68</v>
      </c>
      <c r="E8" s="30">
        <f t="shared" si="7"/>
        <v>-24852.09</v>
      </c>
      <c r="F8" s="30">
        <f t="shared" si="7"/>
        <v>-32890.959999999999</v>
      </c>
      <c r="G8" s="30">
        <f t="shared" si="7"/>
        <v>-38340.61</v>
      </c>
      <c r="H8" s="30">
        <f t="shared" si="7"/>
        <v>-45012.82</v>
      </c>
      <c r="I8" s="30">
        <f t="shared" si="7"/>
        <v>-46722.57</v>
      </c>
      <c r="J8" s="30">
        <f>ROUND(((J5)*(J4/12))+((SUM(J6:J7)/2)*(J4/12)),2)</f>
        <v>-46101.69</v>
      </c>
      <c r="K8" s="30">
        <f t="shared" ref="K8:M8" si="8">ROUND(((K5)*(K4/12))+((SUM(K6:K7)/2)*(K4/12)),2)</f>
        <v>-50540.18</v>
      </c>
      <c r="L8" s="30">
        <f>ROUND(((L5)*(L4/12))+((SUM(L6:L7)/2)*(L4/12)),2)</f>
        <v>-54174.23</v>
      </c>
      <c r="M8" s="30">
        <f t="shared" si="8"/>
        <v>-53414.71</v>
      </c>
      <c r="N8" s="30">
        <f>ROUND(((N5)*(N4/12))+((SUM(N6:N7)/2)*(N4/12)),2)</f>
        <v>-54785.89</v>
      </c>
      <c r="O8" s="30">
        <f>ROUND(((O5+O9+O10+O11)*(O4/12))+((SUM(O6:O7)/2)*(O4/12)),2)</f>
        <v>-17944.78</v>
      </c>
      <c r="P8" s="29">
        <f>ROUND(((P5)*(P4/12))+((SUM(P6:P7)/2)*(P4/12)),2)</f>
        <v>-24869.24</v>
      </c>
      <c r="R8" s="24" t="s">
        <v>15</v>
      </c>
      <c r="S8" s="25">
        <v>805120</v>
      </c>
      <c r="T8" s="26" t="s">
        <v>8</v>
      </c>
      <c r="U8" s="26" t="s">
        <v>9</v>
      </c>
      <c r="V8" s="27">
        <f>IF((SUMIF(C3:P3,R4,C6:P6)+SUMIF(C3:P3,R4,C7:P7))&lt;0,-(SUMIF(C3:P3,R4,C6:P6)+SUMIF(C3:P3,R4,C7:P7)),0)</f>
        <v>1013321.9648849997</v>
      </c>
      <c r="W8" s="28">
        <f>IF((SUMIF(C3:P3,R4,C6:P6)+SUMIF(C3:P3,R4,C7:P7))&gt;0,(SUMIF(C3:P3,R4,C6:P6)+SUMIF(C3:P3,R4,C7:P7)),0)</f>
        <v>0</v>
      </c>
    </row>
    <row r="9" spans="1:23">
      <c r="B9" s="2" t="s">
        <v>16</v>
      </c>
      <c r="C9" s="31">
        <v>14149619.095440991</v>
      </c>
      <c r="D9" s="3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32">
        <f>-SUM(C6:J6)</f>
        <v>4691572.0436740052</v>
      </c>
      <c r="P9" s="3">
        <v>0</v>
      </c>
      <c r="R9" s="24" t="s">
        <v>17</v>
      </c>
      <c r="S9" s="25">
        <v>191010</v>
      </c>
      <c r="T9" s="26" t="s">
        <v>8</v>
      </c>
      <c r="U9" s="26" t="s">
        <v>9</v>
      </c>
      <c r="V9" s="27">
        <v>0</v>
      </c>
      <c r="W9" s="28">
        <v>0</v>
      </c>
    </row>
    <row r="10" spans="1:23" ht="16.5" thickBot="1">
      <c r="B10" s="2" t="s">
        <v>18</v>
      </c>
      <c r="C10" s="33">
        <v>-213886.19506200103</v>
      </c>
      <c r="D10" s="3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34">
        <f>-SUM(C7:J7)-D12</f>
        <v>7470961.0949229989</v>
      </c>
      <c r="P10" s="3">
        <v>0</v>
      </c>
      <c r="R10" s="35" t="str">
        <f>R9</f>
        <v>Tracker Transfer</v>
      </c>
      <c r="S10" s="36">
        <f>S43</f>
        <v>191000</v>
      </c>
      <c r="T10" s="36" t="str">
        <f>T43</f>
        <v>GD</v>
      </c>
      <c r="U10" s="36" t="str">
        <f>U43</f>
        <v>WA</v>
      </c>
      <c r="V10" s="37">
        <v>0</v>
      </c>
      <c r="W10" s="38">
        <f>V9</f>
        <v>0</v>
      </c>
    </row>
    <row r="11" spans="1:23" ht="16.5" thickBot="1">
      <c r="B11" s="2" t="s">
        <v>19</v>
      </c>
      <c r="C11" s="39">
        <v>246450.64999999997</v>
      </c>
      <c r="D11" s="3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34">
        <f>-SUM(C8:J8)</f>
        <v>256230.88</v>
      </c>
      <c r="P11" s="3">
        <v>0</v>
      </c>
      <c r="R11" s="40"/>
      <c r="S11" s="41"/>
      <c r="T11" s="42"/>
      <c r="U11" s="42"/>
      <c r="V11" s="42" t="s">
        <v>20</v>
      </c>
      <c r="W11" s="43">
        <f>SUM(V5:V10)-SUM(W5:W10)</f>
        <v>0</v>
      </c>
    </row>
    <row r="12" spans="1:23">
      <c r="B12" s="2" t="s">
        <v>21</v>
      </c>
      <c r="C12" s="44">
        <v>0.41</v>
      </c>
      <c r="D12" s="3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45">
        <v>0.41</v>
      </c>
      <c r="P12" s="3">
        <v>0</v>
      </c>
    </row>
    <row r="13" spans="1:23" ht="16.5" thickBot="1">
      <c r="B13" s="2" t="s">
        <v>22</v>
      </c>
      <c r="C13" s="47">
        <v>-3075004.5709557864</v>
      </c>
      <c r="D13" s="46">
        <f>SUM(D5:D12)</f>
        <v>-6818269.0378097855</v>
      </c>
      <c r="E13" s="46">
        <f>SUM(E5:E12)</f>
        <v>-10248016.525328787</v>
      </c>
      <c r="F13" s="46">
        <f>SUM(F5:F12)</f>
        <v>-12338677.191237787</v>
      </c>
      <c r="G13" s="46">
        <f>SUM(G5:G12)</f>
        <v>-13990367.081666788</v>
      </c>
      <c r="H13" s="46">
        <f t="shared" ref="H13:I13" si="9">SUM(H5:H12)</f>
        <v>-15173451.409781789</v>
      </c>
      <c r="I13" s="46">
        <f t="shared" si="9"/>
        <v>-15098116.96234579</v>
      </c>
      <c r="J13" s="46">
        <f>SUM(J5:J12)</f>
        <v>-14771177.38731979</v>
      </c>
      <c r="K13" s="46">
        <f t="shared" ref="K13:L13" si="10">SUM(K5:K12)</f>
        <v>-15909772.702550791</v>
      </c>
      <c r="L13" s="46">
        <f t="shared" si="10"/>
        <v>-16977268.897435792</v>
      </c>
      <c r="M13" s="46">
        <f>SUM(M5:M12)</f>
        <v>-17630133.137018796</v>
      </c>
      <c r="N13" s="46">
        <f t="shared" ref="N13" si="11">SUM(N5:N12)</f>
        <v>-17865660.683180794</v>
      </c>
      <c r="O13" s="47">
        <f>SUM(O5:O12)</f>
        <v>-6179528.7768167919</v>
      </c>
      <c r="P13" s="46">
        <f>SUM(P5:P12)</f>
        <v>-9933255.80367079</v>
      </c>
    </row>
    <row r="14" spans="1:23" ht="16.5" thickTop="1">
      <c r="B14" s="2" t="s">
        <v>23</v>
      </c>
      <c r="J14" s="17"/>
      <c r="M14" s="3" t="str">
        <f>_xll.Get_Balance(M3,"YTD","USD","Total","A","","001",$A$3,"GD","WA","DL")</f>
        <v>Error (Logon)</v>
      </c>
      <c r="N14" s="3" t="str">
        <f>_xll.Get_Balance(N3,"YTD","USD","Total","A","","001",$A$3,"GD","WA","DL")</f>
        <v>Error (Logon)</v>
      </c>
      <c r="O14" s="3" t="str">
        <f>_xll.Get_Balance(O3,"YTD","USD","Total","A","","001",$A$3,"GD","WA","DL")</f>
        <v>Error (Logon)</v>
      </c>
      <c r="P14" s="3" t="str">
        <f>_xll.Get_Balance(P3,"YTD","USD","Total","A","","001",$A$3,"GD","WA","DL")</f>
        <v>Error (Logon)</v>
      </c>
    </row>
    <row r="15" spans="1:23">
      <c r="B15" s="2" t="s">
        <v>24</v>
      </c>
      <c r="M15" s="3" t="e">
        <f t="shared" ref="M15:N15" si="12">M13-M14</f>
        <v>#VALUE!</v>
      </c>
      <c r="N15" s="3" t="e">
        <f t="shared" si="12"/>
        <v>#VALUE!</v>
      </c>
      <c r="O15" s="3" t="e">
        <f>O13-O14</f>
        <v>#VALUE!</v>
      </c>
      <c r="P15" s="3" t="e">
        <f>P13-P14</f>
        <v>#VALUE!</v>
      </c>
    </row>
    <row r="16" spans="1:23">
      <c r="A16" s="6" t="s">
        <v>25</v>
      </c>
    </row>
    <row r="17" spans="1:18">
      <c r="A17" s="6" t="s">
        <v>26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8">
      <c r="A18" s="7">
        <v>191000</v>
      </c>
      <c r="B18" s="8" t="s">
        <v>4</v>
      </c>
      <c r="C18" s="7">
        <v>201611</v>
      </c>
      <c r="D18" s="7">
        <f t="shared" ref="D18" si="13">C18+1</f>
        <v>201612</v>
      </c>
      <c r="E18" s="7">
        <f>E3</f>
        <v>201701</v>
      </c>
      <c r="F18" s="7">
        <f>E18+1</f>
        <v>201702</v>
      </c>
      <c r="G18" s="7">
        <f t="shared" ref="G18:P18" si="14">F18+1</f>
        <v>201703</v>
      </c>
      <c r="H18" s="7">
        <f t="shared" si="14"/>
        <v>201704</v>
      </c>
      <c r="I18" s="7">
        <f t="shared" si="14"/>
        <v>201705</v>
      </c>
      <c r="J18" s="7">
        <f t="shared" si="14"/>
        <v>201706</v>
      </c>
      <c r="K18" s="7">
        <f t="shared" si="14"/>
        <v>201707</v>
      </c>
      <c r="L18" s="7">
        <f t="shared" si="14"/>
        <v>201708</v>
      </c>
      <c r="M18" s="7">
        <f t="shared" si="14"/>
        <v>201709</v>
      </c>
      <c r="N18" s="7">
        <f t="shared" si="14"/>
        <v>201710</v>
      </c>
      <c r="O18" s="7">
        <f t="shared" si="14"/>
        <v>201711</v>
      </c>
      <c r="P18" s="7">
        <f t="shared" si="14"/>
        <v>201712</v>
      </c>
    </row>
    <row r="19" spans="1:18">
      <c r="A19" s="6"/>
      <c r="B19" s="2" t="s">
        <v>27</v>
      </c>
      <c r="C19" s="50">
        <v>11352396</v>
      </c>
      <c r="D19" s="50">
        <f>[1]Dec!$G23</f>
        <v>24209007</v>
      </c>
      <c r="E19" s="51">
        <f>[1]Jan!$G23</f>
        <v>27259641</v>
      </c>
      <c r="F19" s="51">
        <f>[1]Feb!$G23</f>
        <v>19157522</v>
      </c>
      <c r="G19" s="51">
        <f>[1]Mar!$G23</f>
        <v>14316138</v>
      </c>
      <c r="H19" s="51">
        <f>[1]Apr!$G23</f>
        <v>9641125</v>
      </c>
      <c r="I19" s="51">
        <f>[1]May!$G23</f>
        <v>4941679</v>
      </c>
      <c r="J19" s="51">
        <f>[1]Jun!$G23</f>
        <v>2542069</v>
      </c>
      <c r="K19" s="51">
        <f>[1]Jul!$G23</f>
        <v>2070483</v>
      </c>
      <c r="L19" s="51">
        <f>[1]Aug!$G23</f>
        <v>2080707</v>
      </c>
      <c r="M19" s="50">
        <f>[1]Sep!S23</f>
        <v>0</v>
      </c>
      <c r="N19" s="50">
        <f>[1]Oct!S23</f>
        <v>0</v>
      </c>
      <c r="O19" s="50">
        <f>[1]Nov!S23</f>
        <v>0</v>
      </c>
      <c r="P19" s="50">
        <f>[1]Dec!$G23</f>
        <v>24209007</v>
      </c>
    </row>
    <row r="20" spans="1:18">
      <c r="A20" s="6"/>
      <c r="B20" s="52" t="s">
        <v>28</v>
      </c>
      <c r="C20" s="50">
        <v>19581</v>
      </c>
      <c r="D20" s="50">
        <f>[1]Dec!$G24</f>
        <v>35292</v>
      </c>
      <c r="E20" s="51">
        <f>[1]Jan!$G24</f>
        <v>40615</v>
      </c>
      <c r="F20" s="51">
        <f>[1]Feb!$G24</f>
        <v>29103</v>
      </c>
      <c r="G20" s="51">
        <f>[1]Mar!$G24</f>
        <v>22738</v>
      </c>
      <c r="H20" s="51">
        <f>[1]Apr!$G24</f>
        <v>15697</v>
      </c>
      <c r="I20" s="51">
        <f>[1]May!$G24</f>
        <v>8078</v>
      </c>
      <c r="J20" s="51">
        <f>[1]Jun!$G24</f>
        <v>3619</v>
      </c>
      <c r="K20" s="51">
        <f>[1]Jul!$G24</f>
        <v>2296</v>
      </c>
      <c r="L20" s="51">
        <f>[1]Aug!$G24</f>
        <v>2393</v>
      </c>
      <c r="M20" s="50">
        <f>[1]Sep!$G24</f>
        <v>4729</v>
      </c>
      <c r="N20" s="50">
        <f>[1]Oct!$G24</f>
        <v>12809</v>
      </c>
      <c r="O20" s="50">
        <f>[1]Nov!$G24</f>
        <v>19581</v>
      </c>
      <c r="P20" s="50">
        <f>[1]Dec!$G24</f>
        <v>35292</v>
      </c>
      <c r="R20" s="53"/>
    </row>
    <row r="21" spans="1:18">
      <c r="A21" s="6"/>
      <c r="B21" s="2" t="s">
        <v>29</v>
      </c>
      <c r="C21" s="50">
        <v>4116109</v>
      </c>
      <c r="D21" s="50">
        <f>[1]Dec!$G25</f>
        <v>8576537</v>
      </c>
      <c r="E21" s="51">
        <f>[1]Jan!$G25</f>
        <v>8738107</v>
      </c>
      <c r="F21" s="51">
        <f>[1]Feb!$G25</f>
        <v>7258148</v>
      </c>
      <c r="G21" s="51">
        <f>[1]Mar!$G25</f>
        <v>5603968</v>
      </c>
      <c r="H21" s="51">
        <f>[1]Apr!$G25</f>
        <v>4021494</v>
      </c>
      <c r="I21" s="51">
        <f>[1]May!$G25</f>
        <v>2425238</v>
      </c>
      <c r="J21" s="51">
        <f>[1]Jun!$G25</f>
        <v>1878375</v>
      </c>
      <c r="K21" s="51">
        <f>[1]Jul!$G25</f>
        <v>1446879</v>
      </c>
      <c r="L21" s="51">
        <f>[1]Aug!$G25</f>
        <v>1463939</v>
      </c>
      <c r="M21" s="50">
        <f>[1]Sep!$G25</f>
        <v>2056535</v>
      </c>
      <c r="N21" s="50">
        <f>[1]Oct!$G25</f>
        <v>3586972</v>
      </c>
      <c r="O21" s="50">
        <f>[1]Nov!$G25</f>
        <v>4116109</v>
      </c>
      <c r="P21" s="50">
        <f>[1]Dec!$G25</f>
        <v>8576537</v>
      </c>
      <c r="R21" s="53"/>
    </row>
    <row r="22" spans="1:18" hidden="1" outlineLevel="1">
      <c r="A22" s="6"/>
      <c r="B22" s="54" t="s">
        <v>30</v>
      </c>
      <c r="C22" s="50"/>
      <c r="D22" s="50"/>
      <c r="E22" s="51"/>
      <c r="F22" s="51"/>
      <c r="G22" s="51"/>
      <c r="H22" s="51"/>
      <c r="I22" s="51"/>
      <c r="J22" s="51"/>
      <c r="K22" s="51"/>
      <c r="L22" s="51"/>
      <c r="M22" s="50"/>
      <c r="N22" s="50"/>
      <c r="O22" s="50"/>
      <c r="P22" s="50"/>
      <c r="R22" s="53"/>
    </row>
    <row r="23" spans="1:18" collapsed="1">
      <c r="A23" s="6"/>
      <c r="B23" s="2" t="s">
        <v>31</v>
      </c>
      <c r="C23" s="50">
        <v>314956</v>
      </c>
      <c r="D23" s="50">
        <f>[1]Dec!$G27</f>
        <v>234225</v>
      </c>
      <c r="E23" s="51">
        <f>[1]Jan!$G27</f>
        <v>284721</v>
      </c>
      <c r="F23" s="51">
        <f>[1]Feb!$G27</f>
        <v>399264</v>
      </c>
      <c r="G23" s="51">
        <f>[1]Mar!$G27</f>
        <v>334116</v>
      </c>
      <c r="H23" s="51">
        <f>[1]Apr!$G27</f>
        <v>288026</v>
      </c>
      <c r="I23" s="51">
        <f>[1]May!$G27</f>
        <v>302382</v>
      </c>
      <c r="J23" s="51">
        <f>[1]Jun!$G27</f>
        <v>289055</v>
      </c>
      <c r="K23" s="51">
        <f>[1]Jul!$G27</f>
        <v>274504</v>
      </c>
      <c r="L23" s="51">
        <f>[1]Aug!$G27</f>
        <v>291721</v>
      </c>
      <c r="M23" s="50">
        <f>[1]Sep!$G27</f>
        <v>291879</v>
      </c>
      <c r="N23" s="50">
        <f>[1]Oct!$G27</f>
        <v>401880</v>
      </c>
      <c r="O23" s="50">
        <f>[1]Nov!$G27</f>
        <v>314956</v>
      </c>
      <c r="P23" s="50">
        <f>[1]Dec!$G27</f>
        <v>234225</v>
      </c>
      <c r="R23" s="53"/>
    </row>
    <row r="24" spans="1:18" hidden="1" outlineLevel="1">
      <c r="A24" s="6"/>
      <c r="B24" s="54" t="s">
        <v>32</v>
      </c>
      <c r="C24" s="50"/>
      <c r="D24" s="50"/>
      <c r="E24" s="51"/>
      <c r="F24" s="51"/>
      <c r="G24" s="51"/>
      <c r="H24" s="51"/>
      <c r="I24" s="51"/>
      <c r="J24" s="51"/>
      <c r="K24" s="51"/>
      <c r="L24" s="51"/>
      <c r="M24" s="50"/>
      <c r="N24" s="50"/>
      <c r="O24" s="50"/>
      <c r="P24" s="50"/>
      <c r="R24" s="53"/>
    </row>
    <row r="25" spans="1:18" collapsed="1">
      <c r="A25" s="6"/>
      <c r="B25" s="52" t="s">
        <v>33</v>
      </c>
      <c r="C25" s="50">
        <v>0</v>
      </c>
      <c r="D25" s="50">
        <f>[1]Dec!$G29</f>
        <v>0</v>
      </c>
      <c r="E25" s="51">
        <f>[1]Jan!$G29</f>
        <v>0</v>
      </c>
      <c r="F25" s="51">
        <f>[1]Feb!$G29</f>
        <v>0</v>
      </c>
      <c r="G25" s="51">
        <f>[1]Mar!$G29</f>
        <v>0</v>
      </c>
      <c r="H25" s="51">
        <f>[1]Apr!$G29</f>
        <v>0</v>
      </c>
      <c r="I25" s="51">
        <f>[1]May!$G29</f>
        <v>0</v>
      </c>
      <c r="J25" s="51">
        <f>[1]Jun!$G29</f>
        <v>0</v>
      </c>
      <c r="K25" s="51">
        <f>[1]Jul!$G29</f>
        <v>0</v>
      </c>
      <c r="L25" s="51">
        <f>[1]Aug!$G29</f>
        <v>0</v>
      </c>
      <c r="M25" s="50">
        <f>[1]Sep!$G29</f>
        <v>0</v>
      </c>
      <c r="N25" s="50">
        <f>[1]Oct!$G29</f>
        <v>0</v>
      </c>
      <c r="O25" s="50">
        <f>[1]Nov!$G29</f>
        <v>0</v>
      </c>
      <c r="P25" s="50">
        <f>[1]Dec!$G29</f>
        <v>0</v>
      </c>
      <c r="R25" s="53"/>
    </row>
    <row r="26" spans="1:18" hidden="1" outlineLevel="1">
      <c r="A26" s="6"/>
      <c r="B26" s="54" t="s">
        <v>34</v>
      </c>
      <c r="C26" s="50"/>
      <c r="D26" s="50"/>
      <c r="E26" s="51"/>
      <c r="F26" s="51"/>
      <c r="G26" s="51"/>
      <c r="H26" s="51"/>
      <c r="I26" s="51"/>
      <c r="J26" s="51"/>
      <c r="K26" s="51"/>
      <c r="L26" s="51"/>
      <c r="M26" s="50"/>
      <c r="N26" s="50"/>
      <c r="O26" s="50"/>
      <c r="P26" s="50"/>
      <c r="R26" s="53"/>
    </row>
    <row r="27" spans="1:18" collapsed="1">
      <c r="A27" s="6"/>
      <c r="B27" s="2" t="s">
        <v>35</v>
      </c>
      <c r="C27" s="50">
        <v>2750386</v>
      </c>
      <c r="D27" s="50">
        <f>[1]Dec!$G31</f>
        <v>3806098</v>
      </c>
      <c r="E27" s="51">
        <f>[1]Jan!$G31</f>
        <v>4261630</v>
      </c>
      <c r="F27" s="51">
        <f>[1]Feb!$G31</f>
        <v>3513623</v>
      </c>
      <c r="G27" s="51">
        <f>[1]Mar!$G31</f>
        <v>3381923</v>
      </c>
      <c r="H27" s="51">
        <f>[1]Apr!$G31</f>
        <v>2868630</v>
      </c>
      <c r="I27" s="51">
        <f>[1]May!$G31</f>
        <v>2501903</v>
      </c>
      <c r="J27" s="51">
        <f>[1]Jun!$G31</f>
        <v>2531843</v>
      </c>
      <c r="K27" s="51">
        <f>[1]Jul!$G31</f>
        <v>2144434</v>
      </c>
      <c r="L27" s="51">
        <f>[1]Aug!$G31</f>
        <v>2338940</v>
      </c>
      <c r="M27" s="50">
        <f>[1]Sep!$G31</f>
        <v>1915306</v>
      </c>
      <c r="N27" s="50">
        <f>[1]Oct!$G31</f>
        <v>2505633</v>
      </c>
      <c r="O27" s="50">
        <f>[1]Nov!$G31</f>
        <v>2750386</v>
      </c>
      <c r="P27" s="50">
        <f>[1]Dec!$G31</f>
        <v>3806098</v>
      </c>
      <c r="R27" s="53"/>
    </row>
    <row r="28" spans="1:18" ht="16.5" thickBot="1">
      <c r="A28" s="6"/>
      <c r="B28" s="2" t="s">
        <v>36</v>
      </c>
      <c r="C28" s="55">
        <v>18553428</v>
      </c>
      <c r="D28" s="55">
        <f t="shared" ref="D28" si="15">SUM(D19:D27)</f>
        <v>36861159</v>
      </c>
      <c r="E28" s="55">
        <f>SUM(E19:E27)</f>
        <v>40584714</v>
      </c>
      <c r="F28" s="55">
        <f t="shared" ref="F28:I28" si="16">SUM(F19:F27)</f>
        <v>30357660</v>
      </c>
      <c r="G28" s="55">
        <f t="shared" si="16"/>
        <v>23658883</v>
      </c>
      <c r="H28" s="55">
        <f t="shared" si="16"/>
        <v>16834972</v>
      </c>
      <c r="I28" s="55">
        <f t="shared" si="16"/>
        <v>10179280</v>
      </c>
      <c r="J28" s="55">
        <f>SUM(J19:J27)</f>
        <v>7244961</v>
      </c>
      <c r="K28" s="55">
        <f>SUM(K19:K27)</f>
        <v>5938596</v>
      </c>
      <c r="L28" s="55">
        <f t="shared" ref="L28" si="17">SUM(L19:L27)</f>
        <v>6177700</v>
      </c>
      <c r="M28" s="55">
        <f>SUM(M19:M27)</f>
        <v>4268449</v>
      </c>
      <c r="N28" s="55">
        <f t="shared" ref="N28:P28" si="18">SUM(N19:N27)</f>
        <v>6507294</v>
      </c>
      <c r="O28" s="55">
        <f t="shared" si="18"/>
        <v>7201032</v>
      </c>
      <c r="P28" s="55">
        <f t="shared" si="18"/>
        <v>36861159</v>
      </c>
      <c r="R28" s="53"/>
    </row>
    <row r="29" spans="1:18" ht="16.5" thickTop="1">
      <c r="A29" s="6"/>
      <c r="B29" s="2" t="s">
        <v>37</v>
      </c>
      <c r="C29" s="49">
        <v>18553428</v>
      </c>
      <c r="D29" s="49">
        <v>36861159</v>
      </c>
      <c r="E29" s="49">
        <v>40584714</v>
      </c>
      <c r="F29" s="49">
        <v>30357660</v>
      </c>
      <c r="G29" s="49">
        <v>23658883</v>
      </c>
      <c r="H29" s="49">
        <v>16834972</v>
      </c>
      <c r="I29" s="49">
        <v>10179280</v>
      </c>
      <c r="J29" s="49">
        <v>7244961</v>
      </c>
      <c r="K29" s="49">
        <v>5938596</v>
      </c>
      <c r="L29" s="56">
        <v>6177700</v>
      </c>
      <c r="M29" s="56">
        <v>7391501</v>
      </c>
      <c r="N29" s="56">
        <v>13644627</v>
      </c>
      <c r="O29" s="56">
        <v>18553428</v>
      </c>
      <c r="P29" s="49">
        <v>36861159</v>
      </c>
      <c r="Q29" s="57"/>
    </row>
    <row r="30" spans="1:18">
      <c r="A30" s="6" t="s">
        <v>38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8">
      <c r="A31" s="7">
        <v>191000</v>
      </c>
      <c r="B31" s="8" t="s">
        <v>4</v>
      </c>
      <c r="C31" s="7">
        <v>201611</v>
      </c>
      <c r="D31" s="7">
        <f t="shared" ref="D31" si="19">C31+1</f>
        <v>201612</v>
      </c>
      <c r="E31" s="7">
        <f>E3</f>
        <v>201701</v>
      </c>
      <c r="F31" s="7">
        <f>E31+1</f>
        <v>201702</v>
      </c>
      <c r="G31" s="7">
        <f t="shared" ref="G31:P31" si="20">F31+1</f>
        <v>201703</v>
      </c>
      <c r="H31" s="7">
        <f t="shared" si="20"/>
        <v>201704</v>
      </c>
      <c r="I31" s="7">
        <f t="shared" si="20"/>
        <v>201705</v>
      </c>
      <c r="J31" s="7">
        <f t="shared" si="20"/>
        <v>201706</v>
      </c>
      <c r="K31" s="7">
        <f t="shared" si="20"/>
        <v>201707</v>
      </c>
      <c r="L31" s="7">
        <f t="shared" si="20"/>
        <v>201708</v>
      </c>
      <c r="M31" s="7">
        <f t="shared" si="20"/>
        <v>201709</v>
      </c>
      <c r="N31" s="7">
        <f t="shared" si="20"/>
        <v>201710</v>
      </c>
      <c r="O31" s="7">
        <f t="shared" si="20"/>
        <v>201711</v>
      </c>
      <c r="P31" s="7">
        <f t="shared" si="20"/>
        <v>201712</v>
      </c>
    </row>
    <row r="32" spans="1:18">
      <c r="A32" s="6"/>
      <c r="B32" s="2" t="s">
        <v>27</v>
      </c>
      <c r="C32" s="59" t="s">
        <v>39</v>
      </c>
      <c r="D32" s="59" t="s">
        <v>39</v>
      </c>
      <c r="E32" s="60">
        <v>9.1740000000000002E-2</v>
      </c>
      <c r="F32" s="60">
        <v>9.1740000000000002E-2</v>
      </c>
      <c r="G32" s="60">
        <v>9.1740000000000002E-2</v>
      </c>
      <c r="H32" s="60">
        <v>9.1740000000000002E-2</v>
      </c>
      <c r="I32" s="60">
        <v>9.1740000000000002E-2</v>
      </c>
      <c r="J32" s="60">
        <v>9.1740000000000002E-2</v>
      </c>
      <c r="K32" s="60">
        <v>9.1740000000000002E-2</v>
      </c>
      <c r="L32" s="60">
        <v>9.1740000000000002E-2</v>
      </c>
      <c r="M32" s="61">
        <v>2.571E-2</v>
      </c>
      <c r="N32" s="61">
        <v>2.571E-2</v>
      </c>
      <c r="O32" s="59" t="s">
        <v>39</v>
      </c>
      <c r="P32" s="59" t="s">
        <v>39</v>
      </c>
    </row>
    <row r="33" spans="1:23">
      <c r="A33" s="6"/>
      <c r="B33" s="2" t="s">
        <v>28</v>
      </c>
      <c r="C33" s="59" t="s">
        <v>39</v>
      </c>
      <c r="D33" s="59" t="s">
        <v>39</v>
      </c>
      <c r="E33" s="60">
        <v>9.1740000000000002E-2</v>
      </c>
      <c r="F33" s="60">
        <v>9.1740000000000002E-2</v>
      </c>
      <c r="G33" s="60">
        <v>9.1740000000000002E-2</v>
      </c>
      <c r="H33" s="60">
        <v>9.1740000000000002E-2</v>
      </c>
      <c r="I33" s="60">
        <v>9.1740000000000002E-2</v>
      </c>
      <c r="J33" s="60">
        <v>9.1740000000000002E-2</v>
      </c>
      <c r="K33" s="60">
        <v>9.1740000000000002E-2</v>
      </c>
      <c r="L33" s="60">
        <v>9.1740000000000002E-2</v>
      </c>
      <c r="M33" s="61">
        <v>2.571E-2</v>
      </c>
      <c r="N33" s="61">
        <v>2.571E-2</v>
      </c>
      <c r="O33" s="59" t="s">
        <v>39</v>
      </c>
      <c r="P33" s="59" t="s">
        <v>39</v>
      </c>
    </row>
    <row r="34" spans="1:23">
      <c r="A34" s="6"/>
      <c r="B34" s="2" t="s">
        <v>29</v>
      </c>
      <c r="C34" s="59" t="s">
        <v>39</v>
      </c>
      <c r="D34" s="59" t="s">
        <v>39</v>
      </c>
      <c r="E34" s="60">
        <v>7.2489999999999999E-2</v>
      </c>
      <c r="F34" s="60">
        <v>7.2489999999999999E-2</v>
      </c>
      <c r="G34" s="60">
        <v>7.2489999999999999E-2</v>
      </c>
      <c r="H34" s="60">
        <v>7.2489999999999999E-2</v>
      </c>
      <c r="I34" s="60">
        <v>7.2489999999999999E-2</v>
      </c>
      <c r="J34" s="60">
        <v>7.2489999999999999E-2</v>
      </c>
      <c r="K34" s="60">
        <v>7.2489999999999999E-2</v>
      </c>
      <c r="L34" s="60">
        <v>7.2489999999999999E-2</v>
      </c>
      <c r="M34" s="61">
        <v>1.372E-2</v>
      </c>
      <c r="N34" s="61">
        <v>1.372E-2</v>
      </c>
      <c r="O34" s="59" t="s">
        <v>39</v>
      </c>
      <c r="P34" s="59" t="s">
        <v>39</v>
      </c>
    </row>
    <row r="35" spans="1:23" hidden="1" outlineLevel="1">
      <c r="A35" s="6"/>
      <c r="B35" s="54" t="s">
        <v>30</v>
      </c>
      <c r="C35" s="59"/>
      <c r="D35" s="59"/>
      <c r="E35" s="60"/>
      <c r="F35" s="60"/>
      <c r="G35" s="60"/>
      <c r="H35" s="60"/>
      <c r="I35" s="60"/>
      <c r="J35" s="60"/>
      <c r="K35" s="60"/>
      <c r="L35" s="60"/>
      <c r="M35" s="61"/>
      <c r="N35" s="61"/>
      <c r="O35" s="59"/>
      <c r="P35" s="59"/>
    </row>
    <row r="36" spans="1:23" collapsed="1">
      <c r="A36" s="6"/>
      <c r="B36" s="2" t="s">
        <v>31</v>
      </c>
      <c r="C36" s="59" t="s">
        <v>39</v>
      </c>
      <c r="D36" s="59" t="s">
        <v>39</v>
      </c>
      <c r="E36" s="60">
        <v>4.4479999999999999E-2</v>
      </c>
      <c r="F36" s="60">
        <v>4.4479999999999999E-2</v>
      </c>
      <c r="G36" s="60">
        <v>4.4479999999999999E-2</v>
      </c>
      <c r="H36" s="60">
        <v>4.4479999999999999E-2</v>
      </c>
      <c r="I36" s="60">
        <v>4.4479999999999999E-2</v>
      </c>
      <c r="J36" s="60">
        <v>4.4479999999999999E-2</v>
      </c>
      <c r="K36" s="60">
        <v>4.4479999999999999E-2</v>
      </c>
      <c r="L36" s="60">
        <v>4.4479999999999999E-2</v>
      </c>
      <c r="M36" s="61">
        <v>-5.2900000000000004E-3</v>
      </c>
      <c r="N36" s="61">
        <v>-5.2900000000000004E-3</v>
      </c>
      <c r="O36" s="59" t="s">
        <v>39</v>
      </c>
      <c r="P36" s="59" t="s">
        <v>39</v>
      </c>
    </row>
    <row r="37" spans="1:23" hidden="1" outlineLevel="1">
      <c r="A37" s="6"/>
      <c r="B37" s="54" t="s">
        <v>32</v>
      </c>
      <c r="C37" s="59"/>
      <c r="D37" s="59"/>
      <c r="E37" s="60"/>
      <c r="F37" s="60"/>
      <c r="G37" s="60"/>
      <c r="H37" s="60"/>
      <c r="I37" s="60"/>
      <c r="J37" s="60"/>
      <c r="K37" s="60"/>
      <c r="L37" s="60"/>
      <c r="M37" s="61"/>
      <c r="N37" s="61"/>
      <c r="O37" s="59"/>
      <c r="P37" s="59"/>
    </row>
    <row r="38" spans="1:23" ht="16.5" collapsed="1" thickBot="1">
      <c r="A38" s="6"/>
      <c r="B38" s="2" t="s">
        <v>33</v>
      </c>
      <c r="C38" s="59" t="s">
        <v>39</v>
      </c>
      <c r="D38" s="59" t="s">
        <v>39</v>
      </c>
      <c r="E38" s="60">
        <v>8.8340000000000002E-2</v>
      </c>
      <c r="F38" s="60">
        <v>8.8340000000000002E-2</v>
      </c>
      <c r="G38" s="60">
        <v>8.8340000000000002E-2</v>
      </c>
      <c r="H38" s="60">
        <v>8.8340000000000002E-2</v>
      </c>
      <c r="I38" s="60">
        <v>8.8340000000000002E-2</v>
      </c>
      <c r="J38" s="60">
        <v>8.8340000000000002E-2</v>
      </c>
      <c r="K38" s="60">
        <v>8.8340000000000002E-2</v>
      </c>
      <c r="L38" s="60">
        <v>8.8340000000000002E-2</v>
      </c>
      <c r="M38" s="61">
        <v>1.635E-2</v>
      </c>
      <c r="N38" s="61">
        <v>1.635E-2</v>
      </c>
      <c r="O38" s="59" t="s">
        <v>39</v>
      </c>
      <c r="P38" s="59" t="s">
        <v>39</v>
      </c>
    </row>
    <row r="39" spans="1:23" ht="16.5" hidden="1" outlineLevel="1" thickBot="1">
      <c r="A39" s="6"/>
      <c r="B39" s="54" t="s">
        <v>34</v>
      </c>
      <c r="C39" s="59"/>
      <c r="D39" s="59"/>
      <c r="E39" s="60"/>
      <c r="F39" s="60"/>
      <c r="G39" s="60"/>
      <c r="H39" s="60"/>
      <c r="I39" s="60"/>
      <c r="J39" s="60"/>
      <c r="K39" s="60"/>
      <c r="L39" s="60"/>
      <c r="M39" s="61"/>
      <c r="N39" s="61"/>
      <c r="O39" s="59"/>
      <c r="P39" s="59"/>
      <c r="R39" s="6"/>
      <c r="S39" s="7"/>
      <c r="T39" s="6"/>
      <c r="U39" s="6"/>
      <c r="V39" s="6"/>
      <c r="W39" s="6"/>
    </row>
    <row r="40" spans="1:23" ht="16.5" collapsed="1" thickBot="1">
      <c r="A40" s="6"/>
      <c r="B40" s="2" t="s">
        <v>35</v>
      </c>
      <c r="C40" s="59" t="s">
        <v>39</v>
      </c>
      <c r="D40" s="59" t="s">
        <v>39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1">
        <v>0</v>
      </c>
      <c r="N40" s="61">
        <v>0</v>
      </c>
      <c r="O40" s="59" t="s">
        <v>39</v>
      </c>
      <c r="P40" s="59" t="s">
        <v>39</v>
      </c>
      <c r="R40" s="62">
        <f>R4</f>
        <v>201708</v>
      </c>
      <c r="S40" s="14"/>
      <c r="T40" s="15"/>
      <c r="U40" s="15"/>
      <c r="V40" s="15"/>
      <c r="W40" s="16"/>
    </row>
    <row r="41" spans="1:23">
      <c r="A41" s="6" t="s">
        <v>40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R41" s="19" t="s">
        <v>41</v>
      </c>
      <c r="S41" s="20">
        <v>419600</v>
      </c>
      <c r="T41" s="21" t="s">
        <v>8</v>
      </c>
      <c r="U41" s="21" t="s">
        <v>9</v>
      </c>
      <c r="V41" s="22">
        <v>0</v>
      </c>
      <c r="W41" s="23">
        <f>IF(SUMIF(C42:D42,R40,C46:D46)&gt;0,SUMIF(C42:D42,R40,C46:D46),0)</f>
        <v>0</v>
      </c>
    </row>
    <row r="42" spans="1:23" s="6" customFormat="1">
      <c r="A42" s="7">
        <v>191000</v>
      </c>
      <c r="B42" s="8" t="s">
        <v>4</v>
      </c>
      <c r="C42" s="7">
        <v>201611</v>
      </c>
      <c r="D42" s="7">
        <f t="shared" ref="D42" si="21">C42+1</f>
        <v>201612</v>
      </c>
      <c r="E42" s="7">
        <f>E3</f>
        <v>201701</v>
      </c>
      <c r="F42" s="7">
        <f>E42+1</f>
        <v>201702</v>
      </c>
      <c r="G42" s="7">
        <f t="shared" ref="G42:P42" si="22">F42+1</f>
        <v>201703</v>
      </c>
      <c r="H42" s="7">
        <f t="shared" si="22"/>
        <v>201704</v>
      </c>
      <c r="I42" s="7">
        <f t="shared" si="22"/>
        <v>201705</v>
      </c>
      <c r="J42" s="7">
        <f t="shared" si="22"/>
        <v>201706</v>
      </c>
      <c r="K42" s="7">
        <f t="shared" si="22"/>
        <v>201707</v>
      </c>
      <c r="L42" s="7">
        <f t="shared" si="22"/>
        <v>201708</v>
      </c>
      <c r="M42" s="7">
        <f t="shared" si="22"/>
        <v>201709</v>
      </c>
      <c r="N42" s="7">
        <f t="shared" si="22"/>
        <v>201710</v>
      </c>
      <c r="O42" s="7">
        <f t="shared" si="22"/>
        <v>201711</v>
      </c>
      <c r="P42" s="7">
        <f t="shared" si="22"/>
        <v>201712</v>
      </c>
      <c r="Q42" s="9"/>
      <c r="R42" s="24" t="s">
        <v>42</v>
      </c>
      <c r="S42" s="25">
        <v>431600</v>
      </c>
      <c r="T42" s="26" t="s">
        <v>8</v>
      </c>
      <c r="U42" s="26" t="s">
        <v>9</v>
      </c>
      <c r="V42" s="27">
        <f>IF(SUMIF(C42:P42,R40,C46:P46)&lt;0,-SUMIF(C42:P42,R40,C46:P46),0)</f>
        <v>619.17965711123838</v>
      </c>
      <c r="W42" s="28">
        <v>0</v>
      </c>
    </row>
    <row r="43" spans="1:23" s="6" customFormat="1">
      <c r="B43" s="8" t="s">
        <v>5</v>
      </c>
      <c r="C43" s="11">
        <v>3.5000000000000003E-2</v>
      </c>
      <c r="D43" s="11">
        <v>3.5000000000000003E-2</v>
      </c>
      <c r="E43" s="12">
        <v>3.5000000000000003E-2</v>
      </c>
      <c r="F43" s="12">
        <v>3.5000000000000003E-2</v>
      </c>
      <c r="G43" s="12">
        <v>3.5000000000000003E-2</v>
      </c>
      <c r="H43" s="12">
        <v>3.7100000000000001E-2</v>
      </c>
      <c r="I43" s="12">
        <v>3.7100000000000001E-2</v>
      </c>
      <c r="J43" s="12">
        <v>3.7100000000000001E-2</v>
      </c>
      <c r="K43" s="12">
        <v>3.9600000000000003E-2</v>
      </c>
      <c r="L43" s="12">
        <v>3.9600000000000003E-2</v>
      </c>
      <c r="M43" s="11"/>
      <c r="N43" s="11"/>
      <c r="O43" s="11"/>
      <c r="P43" s="11"/>
      <c r="Q43" s="9"/>
      <c r="R43" s="24" t="s">
        <v>43</v>
      </c>
      <c r="S43" s="25">
        <v>191000</v>
      </c>
      <c r="T43" s="26" t="s">
        <v>8</v>
      </c>
      <c r="U43" s="26" t="s">
        <v>9</v>
      </c>
      <c r="V43" s="27">
        <f>IF((SUMIF(C42:P42,R40,C45:P45)+SUMIF(C42:P42,R40,C46:P46))&gt;0,(SUMIF(C42:P42,R40,C45:P45)+SUMIF(C42:P42,R40,C46:P46)),0)</f>
        <v>309581.10253288882</v>
      </c>
      <c r="W43" s="28">
        <f>IF((SUMIF(C42:P42,R40,C45:P45)+SUMIF(C42:P42,R40,C46:P46))&lt;0,-(SUMIF(C42:P42,R40,C45:P45)+SUMIF(C42:P42,R40,C46:P46)),0)</f>
        <v>0</v>
      </c>
    </row>
    <row r="44" spans="1:23">
      <c r="A44" s="63"/>
      <c r="B44" s="2" t="s">
        <v>6</v>
      </c>
      <c r="C44" s="17">
        <v>-123445.19123732927</v>
      </c>
      <c r="D44" s="3">
        <f t="shared" ref="D44:F44" si="23">C49</f>
        <v>-12794629.54065969</v>
      </c>
      <c r="E44" s="3">
        <f t="shared" si="23"/>
        <v>-9990002.7430699486</v>
      </c>
      <c r="F44" s="3">
        <f t="shared" si="23"/>
        <v>-6863930.3518781429</v>
      </c>
      <c r="G44" s="3">
        <f>F49</f>
        <v>-4576506.6383892084</v>
      </c>
      <c r="H44" s="3">
        <f t="shared" ref="H44:I44" si="24">G49</f>
        <v>-2850780.7220049934</v>
      </c>
      <c r="I44" s="17">
        <f t="shared" si="24"/>
        <v>-1667508.1164393995</v>
      </c>
      <c r="J44" s="3">
        <f>I49</f>
        <v>-1028322.8285985981</v>
      </c>
      <c r="K44" s="3">
        <f t="shared" ref="K44" si="25">J49</f>
        <v>-648348.69566836057</v>
      </c>
      <c r="L44" s="18">
        <f>K49</f>
        <v>-342730.3402196177</v>
      </c>
      <c r="M44" s="3">
        <f>L49</f>
        <v>-33149.237686728884</v>
      </c>
      <c r="N44" s="3">
        <f>M49</f>
        <v>-6356.0348067288833</v>
      </c>
      <c r="O44" s="17">
        <f>N49</f>
        <v>41060.595223271113</v>
      </c>
      <c r="P44" s="3">
        <f>O49</f>
        <v>-12590660.094776731</v>
      </c>
      <c r="R44" s="24" t="s">
        <v>44</v>
      </c>
      <c r="S44" s="25">
        <v>805110</v>
      </c>
      <c r="T44" s="26" t="s">
        <v>8</v>
      </c>
      <c r="U44" s="26" t="s">
        <v>9</v>
      </c>
      <c r="V44" s="27">
        <f>IF((SUMIF(C42:P42,R40,C45:P45))&lt;0,-(SUMIF(C42:P42,R40,C45:P45)),0)</f>
        <v>0</v>
      </c>
      <c r="W44" s="28">
        <f>IF((SUMIF(C42:P42,R40,C45:P45))&gt;0,(SUMIF(C42:P42,R40,C45:P45)),0)</f>
        <v>310200.28219000006</v>
      </c>
    </row>
    <row r="45" spans="1:23">
      <c r="B45" s="2" t="s">
        <v>45</v>
      </c>
      <c r="C45" s="17">
        <v>1361030</v>
      </c>
      <c r="D45" s="3">
        <f>2837806</f>
        <v>2837806</v>
      </c>
      <c r="E45" s="3">
        <f t="shared" ref="E45:I45" si="26">SUMPRODUCT(E19:E27,E32:E40)</f>
        <v>3150615.2519499999</v>
      </c>
      <c r="F45" s="3">
        <f t="shared" si="26"/>
        <v>2304083.3887400003</v>
      </c>
      <c r="G45" s="3">
        <f t="shared" si="26"/>
        <v>1736541.60424</v>
      </c>
      <c r="H45" s="3">
        <f t="shared" si="26"/>
        <v>1190246.3468200001</v>
      </c>
      <c r="I45" s="3">
        <f t="shared" si="26"/>
        <v>643346.16116000002</v>
      </c>
      <c r="J45" s="3">
        <f>SUMPRODUCT(J19:J27,J32:J40)</f>
        <v>382561.98726999998</v>
      </c>
      <c r="K45" s="3">
        <f t="shared" ref="K45" si="27">SUMPRODUCT(K19:K27,K32:K40)</f>
        <v>307250.94208999997</v>
      </c>
      <c r="L45" s="3">
        <f>SUMPRODUCT(L19:L27,L32:L40)</f>
        <v>310200.28219000006</v>
      </c>
      <c r="M45" s="3">
        <f>SUMPRODUCT(M19:M27,M32:M40)</f>
        <v>26793.202880000001</v>
      </c>
      <c r="N45" s="3">
        <f>SUMPRODUCT(N19:N27,N32:N40)</f>
        <v>47416.630029999993</v>
      </c>
      <c r="O45" s="17">
        <v>1361030</v>
      </c>
      <c r="P45" s="3">
        <f>2837806</f>
        <v>2837806</v>
      </c>
      <c r="R45" s="64" t="s">
        <v>46</v>
      </c>
      <c r="S45" s="65">
        <f>S43</f>
        <v>191000</v>
      </c>
      <c r="T45" s="65" t="str">
        <f t="shared" ref="T45:U46" si="28">T43</f>
        <v>GD</v>
      </c>
      <c r="U45" s="65" t="str">
        <f t="shared" si="28"/>
        <v>WA</v>
      </c>
      <c r="V45" s="66">
        <v>0</v>
      </c>
      <c r="W45" s="67">
        <v>0</v>
      </c>
    </row>
    <row r="46" spans="1:23" ht="16.5" thickBot="1">
      <c r="B46" s="2" t="s">
        <v>47</v>
      </c>
      <c r="C46" s="30">
        <v>-39463.659422358884</v>
      </c>
      <c r="D46" s="29">
        <f t="shared" ref="D46:H46" si="29">((D44+D47)*(D43/12))+(((D45+D48)/2)*(D43/12))</f>
        <v>-33179.202410257429</v>
      </c>
      <c r="E46" s="29">
        <f t="shared" si="29"/>
        <v>-24542.860758193601</v>
      </c>
      <c r="F46" s="29">
        <f t="shared" si="29"/>
        <v>-16659.675251065419</v>
      </c>
      <c r="G46" s="29">
        <f t="shared" si="29"/>
        <v>-10815.687855785192</v>
      </c>
      <c r="H46" s="29">
        <f t="shared" si="29"/>
        <v>-6973.7412544061872</v>
      </c>
      <c r="I46" s="29">
        <f>((I44+I47)*(I43/12))+(((I45+I48)/2)*(I43/12))</f>
        <v>-4160.873319198643</v>
      </c>
      <c r="J46" s="29">
        <f>((J44+J47)*(J43/12))+(((J45+J48)/2)*(J43/12))</f>
        <v>-2587.8543397624576</v>
      </c>
      <c r="K46" s="29">
        <f t="shared" ref="K46" si="30">((K44+K47)*(K43/12))+(((K45+K48)/2)*(K43/12))</f>
        <v>-1632.5866412570899</v>
      </c>
      <c r="L46" s="29">
        <f>((L44+L47)*(L43/12))+(((L45+L48)/2)*(L43/12))</f>
        <v>-619.17965711123838</v>
      </c>
      <c r="M46" s="29">
        <f>((M44+M47)*(M43/12))+(((M45+M48)/2)*(M43/12))</f>
        <v>0</v>
      </c>
      <c r="N46" s="29">
        <f>((N44+N47)*(N43/12))+(((N45+N48)/2)*(N43/12))</f>
        <v>0</v>
      </c>
      <c r="O46" s="30">
        <f>((O44+O47)*(O43/12))+(((O45+O48)/2)*(O43/12))</f>
        <v>0</v>
      </c>
      <c r="P46" s="29">
        <f>((P44+P47)*(P43/12))+(((P45+P48)/2)*(P43/12))</f>
        <v>0</v>
      </c>
      <c r="R46" s="68" t="str">
        <f>R45</f>
        <v>Large Customer Refund</v>
      </c>
      <c r="S46" s="69">
        <f>S44</f>
        <v>805110</v>
      </c>
      <c r="T46" s="69" t="str">
        <f t="shared" si="28"/>
        <v>GD</v>
      </c>
      <c r="U46" s="69" t="str">
        <f t="shared" si="28"/>
        <v>WA</v>
      </c>
      <c r="V46" s="70">
        <f>W45</f>
        <v>0</v>
      </c>
      <c r="W46" s="71">
        <f>V45</f>
        <v>0</v>
      </c>
    </row>
    <row r="47" spans="1:23" ht="16.5" thickBot="1">
      <c r="B47" s="2" t="s">
        <v>48</v>
      </c>
      <c r="C47" s="72">
        <v>-14182183.960000001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72">
        <v>-14182183.960000001</v>
      </c>
      <c r="P47" s="3">
        <v>0</v>
      </c>
      <c r="R47" s="40"/>
      <c r="S47" s="41"/>
      <c r="T47" s="42"/>
      <c r="U47" s="42"/>
      <c r="V47" s="42" t="s">
        <v>20</v>
      </c>
      <c r="W47" s="43">
        <f>SUM(V41:V46)-SUM(W41:W46)</f>
        <v>0</v>
      </c>
    </row>
    <row r="48" spans="1:23">
      <c r="B48" s="2" t="s">
        <v>21</v>
      </c>
      <c r="C48" s="17">
        <v>189433.27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17">
        <v>189433.27</v>
      </c>
      <c r="P48" s="3">
        <v>0</v>
      </c>
    </row>
    <row r="49" spans="1:22" ht="16.5" thickBot="1">
      <c r="B49" s="2" t="s">
        <v>22</v>
      </c>
      <c r="C49" s="46">
        <v>-12794629.54065969</v>
      </c>
      <c r="D49" s="46">
        <f t="shared" ref="D49" si="31">SUM(D44:D48)</f>
        <v>-9990002.7430699486</v>
      </c>
      <c r="E49" s="46">
        <f>SUM(E44:E48)</f>
        <v>-6863930.3518781429</v>
      </c>
      <c r="F49" s="46">
        <f t="shared" ref="F49:J49" si="32">SUM(F44:F48)</f>
        <v>-4576506.6383892084</v>
      </c>
      <c r="G49" s="46">
        <f>SUM(G44:G48)</f>
        <v>-2850780.7220049934</v>
      </c>
      <c r="H49" s="46">
        <f t="shared" si="32"/>
        <v>-1667508.1164393995</v>
      </c>
      <c r="I49" s="46">
        <f t="shared" si="32"/>
        <v>-1028322.8285985981</v>
      </c>
      <c r="J49" s="46">
        <f t="shared" si="32"/>
        <v>-648348.69566836057</v>
      </c>
      <c r="K49" s="46">
        <f>SUM(K44:K48)</f>
        <v>-342730.3402196177</v>
      </c>
      <c r="L49" s="46">
        <f t="shared" ref="L49:N49" si="33">SUM(L44:L48)</f>
        <v>-33149.237686728884</v>
      </c>
      <c r="M49" s="46">
        <f t="shared" si="33"/>
        <v>-6356.0348067288833</v>
      </c>
      <c r="N49" s="46">
        <f t="shared" si="33"/>
        <v>41060.595223271113</v>
      </c>
      <c r="O49" s="46">
        <f>SUM(O44:O48)</f>
        <v>-12590660.094776731</v>
      </c>
      <c r="P49" s="46">
        <f t="shared" ref="P49" si="34">SUM(P44:P48)</f>
        <v>-9752854.094776731</v>
      </c>
    </row>
    <row r="50" spans="1:22" ht="16.5" thickTop="1">
      <c r="B50" s="2" t="s">
        <v>23</v>
      </c>
      <c r="M50" s="3" t="str">
        <f>_xll.Get_Balance(M42,"YTD","USD","Total","A","","001",$A$42,"GD","WA","DL")</f>
        <v>Error (Logon)</v>
      </c>
      <c r="N50" s="3" t="str">
        <f>_xll.Get_Balance(N42,"YTD","USD","Total","A","","001",$A$42,"GD","WA","DL")</f>
        <v>Error (Logon)</v>
      </c>
      <c r="O50" s="3" t="str">
        <f>_xll.Get_Balance(O42,"YTD","USD","Total","A","","001",$A$42,"GD","WA","DL")</f>
        <v>Error (Logon)</v>
      </c>
      <c r="P50" s="3" t="str">
        <f>_xll.Get_Balance(P42,"YTD","USD","Total","A","","001",$A$42,"GD","WA","DL")</f>
        <v>Error (Logon)</v>
      </c>
      <c r="V50" s="17"/>
    </row>
    <row r="51" spans="1:22">
      <c r="B51" s="2" t="s">
        <v>24</v>
      </c>
      <c r="M51" s="3" t="e">
        <f t="shared" ref="M51" si="35">M49-M50</f>
        <v>#VALUE!</v>
      </c>
      <c r="N51" s="3" t="e">
        <f>N49-N50</f>
        <v>#VALUE!</v>
      </c>
      <c r="O51" s="3" t="e">
        <f>O49-O50</f>
        <v>#VALUE!</v>
      </c>
      <c r="P51" s="3" t="e">
        <f>P49-P50</f>
        <v>#VALUE!</v>
      </c>
    </row>
    <row r="53" spans="1:22">
      <c r="A53" s="6" t="s">
        <v>49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</row>
    <row r="54" spans="1:22">
      <c r="A54" s="7">
        <v>191025</v>
      </c>
      <c r="B54" s="8" t="s">
        <v>4</v>
      </c>
      <c r="C54" s="7">
        <v>201611</v>
      </c>
      <c r="D54" s="7">
        <f t="shared" ref="D54" si="36">C54+1</f>
        <v>201612</v>
      </c>
      <c r="E54" s="7">
        <f>E3</f>
        <v>201701</v>
      </c>
      <c r="F54" s="7">
        <f>E54+1</f>
        <v>201702</v>
      </c>
      <c r="G54" s="7">
        <f t="shared" ref="G54:P54" si="37">F54+1</f>
        <v>201703</v>
      </c>
      <c r="H54" s="7">
        <f t="shared" si="37"/>
        <v>201704</v>
      </c>
      <c r="I54" s="7">
        <f t="shared" si="37"/>
        <v>201705</v>
      </c>
      <c r="J54" s="7">
        <f t="shared" si="37"/>
        <v>201706</v>
      </c>
      <c r="K54" s="7">
        <f t="shared" si="37"/>
        <v>201707</v>
      </c>
      <c r="L54" s="7">
        <f t="shared" si="37"/>
        <v>201708</v>
      </c>
      <c r="M54" s="7">
        <f t="shared" si="37"/>
        <v>201709</v>
      </c>
      <c r="N54" s="7">
        <f t="shared" si="37"/>
        <v>201710</v>
      </c>
      <c r="O54" s="7">
        <f t="shared" si="37"/>
        <v>201711</v>
      </c>
      <c r="P54" s="7">
        <f t="shared" si="37"/>
        <v>201712</v>
      </c>
      <c r="V54" s="17"/>
    </row>
    <row r="55" spans="1:22">
      <c r="A55" s="6"/>
      <c r="B55" s="2" t="s">
        <v>27</v>
      </c>
      <c r="C55" s="50">
        <v>11352396</v>
      </c>
      <c r="D55" s="50">
        <f>[1]Dec!$G23</f>
        <v>24209007</v>
      </c>
      <c r="E55" s="51">
        <f>[1]Jan!$G23</f>
        <v>27259641</v>
      </c>
      <c r="F55" s="51">
        <f>[1]Feb!$G23</f>
        <v>19157522</v>
      </c>
      <c r="G55" s="51">
        <f>[1]Mar!$G23</f>
        <v>14316138</v>
      </c>
      <c r="H55" s="51">
        <f>[1]Apr!$G23</f>
        <v>9641125</v>
      </c>
      <c r="I55" s="51">
        <f>[1]May!$G23</f>
        <v>4941679</v>
      </c>
      <c r="J55" s="51">
        <f>[1]Jun!$G23</f>
        <v>2542069</v>
      </c>
      <c r="K55" s="51">
        <f>[1]Jul!$G23</f>
        <v>2070483</v>
      </c>
      <c r="L55" s="51">
        <f>[1]Aug!$G23</f>
        <v>2080707</v>
      </c>
      <c r="M55" s="50">
        <f>[1]Sep!$G23</f>
        <v>3123052</v>
      </c>
      <c r="N55" s="50">
        <f>[1]Oct!$G23</f>
        <v>7137333</v>
      </c>
      <c r="O55" s="50">
        <f>[1]Nov!$G23</f>
        <v>11352396</v>
      </c>
      <c r="P55" s="50">
        <f>[1]Dec!$G23</f>
        <v>24209007</v>
      </c>
    </row>
    <row r="56" spans="1:22">
      <c r="A56" s="6"/>
      <c r="B56" s="52" t="s">
        <v>28</v>
      </c>
      <c r="C56" s="50">
        <v>19581</v>
      </c>
      <c r="D56" s="50">
        <f>[1]Dec!$G24</f>
        <v>35292</v>
      </c>
      <c r="E56" s="51">
        <f>[1]Jan!$G24</f>
        <v>40615</v>
      </c>
      <c r="F56" s="51">
        <f>[1]Feb!$G24</f>
        <v>29103</v>
      </c>
      <c r="G56" s="51">
        <f>[1]Mar!$G24</f>
        <v>22738</v>
      </c>
      <c r="H56" s="51">
        <f>[1]Apr!$G24</f>
        <v>15697</v>
      </c>
      <c r="I56" s="51">
        <f>[1]May!$G24</f>
        <v>8078</v>
      </c>
      <c r="J56" s="51">
        <f>[1]Jun!$G24</f>
        <v>3619</v>
      </c>
      <c r="K56" s="51">
        <f>[1]Jul!$G24</f>
        <v>2296</v>
      </c>
      <c r="L56" s="51">
        <f>[1]Aug!$G24</f>
        <v>2393</v>
      </c>
      <c r="M56" s="50">
        <f>[1]Sep!$G24</f>
        <v>4729</v>
      </c>
      <c r="N56" s="50">
        <f>[1]Oct!$G24</f>
        <v>12809</v>
      </c>
      <c r="O56" s="50">
        <f>[1]Nov!$G24</f>
        <v>19581</v>
      </c>
      <c r="P56" s="50">
        <f>[1]Dec!$G24</f>
        <v>35292</v>
      </c>
    </row>
    <row r="57" spans="1:22">
      <c r="A57" s="6"/>
      <c r="B57" s="2" t="s">
        <v>29</v>
      </c>
      <c r="C57" s="50">
        <v>4116109</v>
      </c>
      <c r="D57" s="50">
        <f>[1]Dec!$G25</f>
        <v>8576537</v>
      </c>
      <c r="E57" s="51">
        <f>[1]Jan!$G25</f>
        <v>8738107</v>
      </c>
      <c r="F57" s="51">
        <f>[1]Feb!$G25</f>
        <v>7258148</v>
      </c>
      <c r="G57" s="51">
        <f>[1]Mar!$G25</f>
        <v>5603968</v>
      </c>
      <c r="H57" s="51">
        <f>[1]Apr!$G25</f>
        <v>4021494</v>
      </c>
      <c r="I57" s="51">
        <f>[1]May!$G25</f>
        <v>2425238</v>
      </c>
      <c r="J57" s="51">
        <f>[1]Jun!$G25</f>
        <v>1878375</v>
      </c>
      <c r="K57" s="51">
        <f>[1]Jul!$G25</f>
        <v>1446879</v>
      </c>
      <c r="L57" s="51">
        <f>[1]Aug!$G25</f>
        <v>1463939</v>
      </c>
      <c r="M57" s="50">
        <f>[1]Sep!$G25</f>
        <v>2056535</v>
      </c>
      <c r="N57" s="50">
        <f>[1]Oct!$G25</f>
        <v>3586972</v>
      </c>
      <c r="O57" s="50">
        <f>[1]Nov!$G25</f>
        <v>4116109</v>
      </c>
      <c r="P57" s="50">
        <f>[1]Dec!$G25</f>
        <v>8576537</v>
      </c>
    </row>
    <row r="58" spans="1:22">
      <c r="A58" s="6"/>
      <c r="B58" s="2" t="s">
        <v>30</v>
      </c>
      <c r="C58" s="50">
        <v>0</v>
      </c>
      <c r="D58" s="50">
        <f>[1]Dec!$G26</f>
        <v>0</v>
      </c>
      <c r="E58" s="51">
        <f>[1]Jan!$G26</f>
        <v>0</v>
      </c>
      <c r="F58" s="51">
        <f>[1]Feb!$G26</f>
        <v>0</v>
      </c>
      <c r="G58" s="51">
        <f>[1]Mar!$G26</f>
        <v>0</v>
      </c>
      <c r="H58" s="51">
        <f>[1]Apr!$G26</f>
        <v>0</v>
      </c>
      <c r="I58" s="51">
        <f>[1]May!$G26</f>
        <v>0</v>
      </c>
      <c r="J58" s="51">
        <f>[1]Jun!$G26</f>
        <v>0</v>
      </c>
      <c r="K58" s="51">
        <f>[1]Jul!$G26</f>
        <v>0</v>
      </c>
      <c r="L58" s="51">
        <f>[1]Aug!$G26</f>
        <v>0</v>
      </c>
      <c r="M58" s="50">
        <f>[1]Sep!$G26</f>
        <v>0</v>
      </c>
      <c r="N58" s="50">
        <f>[1]Oct!$G26</f>
        <v>0</v>
      </c>
      <c r="O58" s="50">
        <f>[1]Nov!$G26</f>
        <v>0</v>
      </c>
      <c r="P58" s="50">
        <f>[1]Dec!$G26</f>
        <v>0</v>
      </c>
    </row>
    <row r="59" spans="1:22">
      <c r="A59" s="6"/>
      <c r="B59" s="2" t="s">
        <v>31</v>
      </c>
      <c r="C59" s="50">
        <v>314956</v>
      </c>
      <c r="D59" s="50">
        <f>[1]Dec!$G27</f>
        <v>234225</v>
      </c>
      <c r="E59" s="51">
        <f>[1]Jan!$G27</f>
        <v>284721</v>
      </c>
      <c r="F59" s="51">
        <f>[1]Feb!$G27</f>
        <v>399264</v>
      </c>
      <c r="G59" s="51">
        <f>[1]Mar!$G27</f>
        <v>334116</v>
      </c>
      <c r="H59" s="51">
        <f>[1]Apr!$G27</f>
        <v>288026</v>
      </c>
      <c r="I59" s="51">
        <f>[1]May!$G27</f>
        <v>302382</v>
      </c>
      <c r="J59" s="51">
        <f>[1]Jun!$G27</f>
        <v>289055</v>
      </c>
      <c r="K59" s="51">
        <f>[1]Jul!$G27</f>
        <v>274504</v>
      </c>
      <c r="L59" s="51">
        <f>[1]Aug!$G27</f>
        <v>291721</v>
      </c>
      <c r="M59" s="50">
        <f>[1]Sep!$G27</f>
        <v>291879</v>
      </c>
      <c r="N59" s="50">
        <f>[1]Oct!$G27</f>
        <v>401880</v>
      </c>
      <c r="O59" s="50">
        <f>[1]Nov!$G27</f>
        <v>314956</v>
      </c>
      <c r="P59" s="50">
        <f>[1]Dec!$G27</f>
        <v>234225</v>
      </c>
    </row>
    <row r="60" spans="1:22">
      <c r="A60" s="6"/>
      <c r="B60" s="2" t="s">
        <v>32</v>
      </c>
      <c r="C60" s="50">
        <v>51431</v>
      </c>
      <c r="D60" s="50">
        <f>[1]Dec!$G28</f>
        <v>69958</v>
      </c>
      <c r="E60" s="51">
        <f>[1]Jan!$G28</f>
        <v>64203</v>
      </c>
      <c r="F60" s="51">
        <f>[1]Feb!$G28</f>
        <v>55333</v>
      </c>
      <c r="G60" s="51">
        <f>[1]Mar!$G28</f>
        <v>53363</v>
      </c>
      <c r="H60" s="51">
        <f>[1]Apr!$G28</f>
        <v>35134</v>
      </c>
      <c r="I60" s="51">
        <f>[1]May!$G28</f>
        <v>29064</v>
      </c>
      <c r="J60" s="51">
        <f>[1]Jun!$G28</f>
        <v>17666</v>
      </c>
      <c r="K60" s="51">
        <f>[1]Jul!$G28</f>
        <v>44343</v>
      </c>
      <c r="L60" s="51">
        <f>[1]Aug!$G28</f>
        <v>24662</v>
      </c>
      <c r="M60" s="50">
        <f>[1]Sep!$G28</f>
        <v>26763</v>
      </c>
      <c r="N60" s="50">
        <f>[1]Oct!$G28</f>
        <v>37231</v>
      </c>
      <c r="O60" s="50">
        <f>[1]Nov!$G28</f>
        <v>51431</v>
      </c>
      <c r="P60" s="50">
        <f>[1]Dec!$G28</f>
        <v>69958</v>
      </c>
    </row>
    <row r="61" spans="1:22">
      <c r="A61" s="6"/>
      <c r="B61" s="2" t="s">
        <v>33</v>
      </c>
      <c r="C61" s="50">
        <v>0</v>
      </c>
      <c r="D61" s="50">
        <f>[1]Dec!$G29</f>
        <v>0</v>
      </c>
      <c r="E61" s="51">
        <f>[1]Jan!$G29</f>
        <v>0</v>
      </c>
      <c r="F61" s="51">
        <f>[1]Feb!$G29</f>
        <v>0</v>
      </c>
      <c r="G61" s="51">
        <f>[1]Mar!$G29</f>
        <v>0</v>
      </c>
      <c r="H61" s="51">
        <f>[1]Apr!$G29</f>
        <v>0</v>
      </c>
      <c r="I61" s="51">
        <f>[1]May!$G29</f>
        <v>0</v>
      </c>
      <c r="J61" s="51">
        <f>[1]Jun!$G29</f>
        <v>0</v>
      </c>
      <c r="K61" s="51">
        <f>[1]Jul!$G29</f>
        <v>0</v>
      </c>
      <c r="L61" s="51">
        <f>[1]Aug!$G29</f>
        <v>0</v>
      </c>
      <c r="M61" s="50">
        <f>[1]Sep!$G29</f>
        <v>0</v>
      </c>
      <c r="N61" s="50">
        <f>[1]Oct!$G29</f>
        <v>0</v>
      </c>
      <c r="O61" s="50">
        <f>[1]Nov!$G29</f>
        <v>0</v>
      </c>
      <c r="P61" s="50">
        <f>[1]Dec!$G29</f>
        <v>0</v>
      </c>
    </row>
    <row r="62" spans="1:22">
      <c r="A62" s="6"/>
      <c r="B62" s="2" t="s">
        <v>34</v>
      </c>
      <c r="C62" s="50">
        <v>85100</v>
      </c>
      <c r="D62" s="50">
        <f>[1]Dec!$G30</f>
        <v>111788</v>
      </c>
      <c r="E62" s="51">
        <f>[1]Jan!$G30</f>
        <v>160387</v>
      </c>
      <c r="F62" s="51">
        <f>[1]Feb!$G30</f>
        <v>131982</v>
      </c>
      <c r="G62" s="51">
        <f>[1]Mar!$G30</f>
        <v>102871</v>
      </c>
      <c r="H62" s="51">
        <f>[1]Apr!$G30</f>
        <v>88850</v>
      </c>
      <c r="I62" s="51">
        <f>[1]May!$G30</f>
        <v>71877</v>
      </c>
      <c r="J62" s="51">
        <f>[1]Jun!$G30</f>
        <v>53882</v>
      </c>
      <c r="K62" s="51">
        <f>[1]Jul!$G30</f>
        <v>67673</v>
      </c>
      <c r="L62" s="51">
        <f>[1]Aug!$G30</f>
        <v>23786</v>
      </c>
      <c r="M62" s="50">
        <f>[1]Sep!$G30</f>
        <v>46700</v>
      </c>
      <c r="N62" s="50">
        <f>[1]Oct!$G30</f>
        <v>59610</v>
      </c>
      <c r="O62" s="50">
        <f>[1]Nov!$G30</f>
        <v>85100</v>
      </c>
      <c r="P62" s="50">
        <f>[1]Dec!$G30</f>
        <v>111788</v>
      </c>
    </row>
    <row r="63" spans="1:22">
      <c r="A63" s="6"/>
      <c r="B63" s="2" t="s">
        <v>35</v>
      </c>
      <c r="C63" s="50">
        <v>2750386</v>
      </c>
      <c r="D63" s="50">
        <f>[1]Dec!$G31</f>
        <v>3806098</v>
      </c>
      <c r="E63" s="51">
        <f>[1]Jan!$G31</f>
        <v>4261630</v>
      </c>
      <c r="F63" s="51">
        <f>[1]Feb!$G31</f>
        <v>3513623</v>
      </c>
      <c r="G63" s="51">
        <f>[1]Mar!$G31</f>
        <v>3381923</v>
      </c>
      <c r="H63" s="51">
        <f>[1]Apr!$G31</f>
        <v>2868630</v>
      </c>
      <c r="I63" s="51">
        <f>[1]May!$G31</f>
        <v>2501903</v>
      </c>
      <c r="J63" s="51">
        <f>[1]Jun!$G31</f>
        <v>2531843</v>
      </c>
      <c r="K63" s="51">
        <f>[1]Jul!$G31</f>
        <v>2144434</v>
      </c>
      <c r="L63" s="51">
        <f>[1]Aug!$G31</f>
        <v>2338940</v>
      </c>
      <c r="M63" s="50">
        <f>[1]Sep!$G31</f>
        <v>1915306</v>
      </c>
      <c r="N63" s="50">
        <f>[1]Oct!$G31</f>
        <v>2505633</v>
      </c>
      <c r="O63" s="50">
        <f>[1]Nov!$G31</f>
        <v>2750386</v>
      </c>
      <c r="P63" s="50">
        <f>[1]Dec!$G31</f>
        <v>3806098</v>
      </c>
    </row>
    <row r="64" spans="1:22" ht="16.5" thickBot="1">
      <c r="A64" s="6"/>
      <c r="B64" s="2" t="s">
        <v>36</v>
      </c>
      <c r="C64" s="55">
        <v>18689959</v>
      </c>
      <c r="D64" s="55">
        <f t="shared" ref="D64:J64" si="38">SUM(D55:D63)</f>
        <v>37042905</v>
      </c>
      <c r="E64" s="55">
        <f t="shared" si="38"/>
        <v>40809304</v>
      </c>
      <c r="F64" s="55">
        <f t="shared" si="38"/>
        <v>30544975</v>
      </c>
      <c r="G64" s="55">
        <f t="shared" si="38"/>
        <v>23815117</v>
      </c>
      <c r="H64" s="55">
        <f t="shared" si="38"/>
        <v>16958956</v>
      </c>
      <c r="I64" s="55">
        <f t="shared" si="38"/>
        <v>10280221</v>
      </c>
      <c r="J64" s="55">
        <f t="shared" si="38"/>
        <v>7316509</v>
      </c>
      <c r="K64" s="55">
        <f>SUM(K55:K63)</f>
        <v>6050612</v>
      </c>
      <c r="L64" s="55">
        <f t="shared" ref="L64:M64" si="39">SUM(L55:L63)</f>
        <v>6226148</v>
      </c>
      <c r="M64" s="55">
        <f t="shared" si="39"/>
        <v>7464964</v>
      </c>
      <c r="N64" s="55">
        <f>SUM(N55:N63)</f>
        <v>13741468</v>
      </c>
      <c r="O64" s="55">
        <f t="shared" ref="O64:P64" si="40">SUM(O55:O63)</f>
        <v>18689959</v>
      </c>
      <c r="P64" s="55">
        <f t="shared" si="40"/>
        <v>37042905</v>
      </c>
    </row>
    <row r="65" spans="1:23" ht="16.5" thickTop="1">
      <c r="A65" s="6"/>
      <c r="B65" s="2" t="s">
        <v>37</v>
      </c>
      <c r="C65" s="49">
        <v>18689959</v>
      </c>
      <c r="D65" s="49">
        <v>37042905</v>
      </c>
      <c r="E65" s="73">
        <v>40809304</v>
      </c>
      <c r="F65" s="73">
        <v>30544975</v>
      </c>
      <c r="G65" s="73">
        <v>23815117</v>
      </c>
      <c r="H65" s="73">
        <v>16958956</v>
      </c>
      <c r="I65" s="73">
        <v>10280221</v>
      </c>
      <c r="J65" s="73">
        <v>7316509</v>
      </c>
      <c r="K65" s="73">
        <v>6050612</v>
      </c>
      <c r="L65" s="73">
        <v>6226148</v>
      </c>
      <c r="M65" s="49">
        <v>7464964</v>
      </c>
      <c r="N65" s="49">
        <v>13741468</v>
      </c>
      <c r="O65" s="49">
        <v>18689959</v>
      </c>
      <c r="P65" s="49">
        <v>37042905</v>
      </c>
      <c r="Q65" s="57"/>
    </row>
    <row r="66" spans="1:23">
      <c r="A66" s="6" t="s">
        <v>38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S66" s="74"/>
    </row>
    <row r="67" spans="1:23">
      <c r="A67" s="7">
        <v>191025</v>
      </c>
      <c r="B67" s="8" t="s">
        <v>4</v>
      </c>
      <c r="C67" s="7">
        <v>201611</v>
      </c>
      <c r="D67" s="7">
        <f t="shared" ref="D67" si="41">C67+1</f>
        <v>201612</v>
      </c>
      <c r="E67" s="7">
        <f>E3</f>
        <v>201701</v>
      </c>
      <c r="F67" s="7">
        <f>E67+1</f>
        <v>201702</v>
      </c>
      <c r="G67" s="7">
        <f t="shared" ref="G67:P67" si="42">F67+1</f>
        <v>201703</v>
      </c>
      <c r="H67" s="7">
        <f t="shared" si="42"/>
        <v>201704</v>
      </c>
      <c r="I67" s="7">
        <f t="shared" si="42"/>
        <v>201705</v>
      </c>
      <c r="J67" s="7">
        <f t="shared" si="42"/>
        <v>201706</v>
      </c>
      <c r="K67" s="7">
        <f t="shared" si="42"/>
        <v>201707</v>
      </c>
      <c r="L67" s="7">
        <f t="shared" si="42"/>
        <v>201708</v>
      </c>
      <c r="M67" s="7">
        <f t="shared" si="42"/>
        <v>201709</v>
      </c>
      <c r="N67" s="7">
        <f t="shared" si="42"/>
        <v>201710</v>
      </c>
      <c r="O67" s="7">
        <f t="shared" si="42"/>
        <v>201711</v>
      </c>
      <c r="P67" s="7">
        <f t="shared" si="42"/>
        <v>201712</v>
      </c>
    </row>
    <row r="68" spans="1:23">
      <c r="A68" s="6"/>
      <c r="B68" s="2" t="s">
        <v>27</v>
      </c>
      <c r="C68" s="59" t="s">
        <v>39</v>
      </c>
      <c r="D68" s="59" t="s">
        <v>39</v>
      </c>
      <c r="E68" s="60">
        <v>1.0000000000000001E-5</v>
      </c>
      <c r="F68" s="60">
        <v>1.0000000000000001E-5</v>
      </c>
      <c r="G68" s="60">
        <v>1.0000000000000001E-5</v>
      </c>
      <c r="H68" s="60">
        <v>1.0000000000000001E-5</v>
      </c>
      <c r="I68" s="60">
        <v>1.0000000000000001E-5</v>
      </c>
      <c r="J68" s="60">
        <v>1.0000000000000001E-5</v>
      </c>
      <c r="K68" s="60">
        <v>1.0000000000000001E-5</v>
      </c>
      <c r="L68" s="60">
        <v>1.0000000000000001E-5</v>
      </c>
      <c r="M68" s="61">
        <v>1.2999999999999999E-4</v>
      </c>
      <c r="N68" s="61">
        <v>1.2999999999999999E-4</v>
      </c>
      <c r="O68" s="59" t="s">
        <v>39</v>
      </c>
      <c r="P68" s="59" t="s">
        <v>39</v>
      </c>
    </row>
    <row r="69" spans="1:23">
      <c r="A69" s="6"/>
      <c r="B69" s="52" t="s">
        <v>28</v>
      </c>
      <c r="C69" s="59" t="s">
        <v>39</v>
      </c>
      <c r="D69" s="59" t="s">
        <v>39</v>
      </c>
      <c r="E69" s="60">
        <v>1.0000000000000001E-5</v>
      </c>
      <c r="F69" s="60">
        <v>1.0000000000000001E-5</v>
      </c>
      <c r="G69" s="60">
        <v>1.0000000000000001E-5</v>
      </c>
      <c r="H69" s="60">
        <v>1.0000000000000001E-5</v>
      </c>
      <c r="I69" s="60">
        <v>1.0000000000000001E-5</v>
      </c>
      <c r="J69" s="60">
        <v>1.0000000000000001E-5</v>
      </c>
      <c r="K69" s="60">
        <v>1.0000000000000001E-5</v>
      </c>
      <c r="L69" s="60">
        <v>1.0000000000000001E-5</v>
      </c>
      <c r="M69" s="61">
        <v>1.2999999999999999E-4</v>
      </c>
      <c r="N69" s="61">
        <v>1.2999999999999999E-4</v>
      </c>
      <c r="O69" s="59" t="s">
        <v>39</v>
      </c>
      <c r="P69" s="59" t="s">
        <v>39</v>
      </c>
    </row>
    <row r="70" spans="1:23">
      <c r="A70" s="6"/>
      <c r="B70" s="2" t="s">
        <v>29</v>
      </c>
      <c r="C70" s="59" t="s">
        <v>39</v>
      </c>
      <c r="D70" s="59" t="s">
        <v>39</v>
      </c>
      <c r="E70" s="60">
        <v>1.0000000000000001E-5</v>
      </c>
      <c r="F70" s="60">
        <v>1.0000000000000001E-5</v>
      </c>
      <c r="G70" s="60">
        <v>1.0000000000000001E-5</v>
      </c>
      <c r="H70" s="60">
        <v>1.0000000000000001E-5</v>
      </c>
      <c r="I70" s="60">
        <v>1.0000000000000001E-5</v>
      </c>
      <c r="J70" s="60">
        <v>1.0000000000000001E-5</v>
      </c>
      <c r="K70" s="60">
        <v>1.0000000000000001E-5</v>
      </c>
      <c r="L70" s="60">
        <v>1.0000000000000001E-5</v>
      </c>
      <c r="M70" s="61">
        <v>1.2999999999999999E-4</v>
      </c>
      <c r="N70" s="61">
        <v>1.2999999999999999E-4</v>
      </c>
      <c r="O70" s="59" t="s">
        <v>39</v>
      </c>
      <c r="P70" s="59" t="s">
        <v>39</v>
      </c>
    </row>
    <row r="71" spans="1:23">
      <c r="A71" s="6"/>
      <c r="B71" s="2" t="s">
        <v>30</v>
      </c>
      <c r="C71" s="59" t="s">
        <v>39</v>
      </c>
      <c r="D71" s="59" t="s">
        <v>39</v>
      </c>
      <c r="E71" s="60">
        <v>1.0000000000000001E-5</v>
      </c>
      <c r="F71" s="60">
        <v>1.0000000000000001E-5</v>
      </c>
      <c r="G71" s="60">
        <v>1.0000000000000001E-5</v>
      </c>
      <c r="H71" s="60">
        <v>1.0000000000000001E-5</v>
      </c>
      <c r="I71" s="60">
        <v>1.0000000000000001E-5</v>
      </c>
      <c r="J71" s="60">
        <v>1.0000000000000001E-5</v>
      </c>
      <c r="K71" s="60">
        <v>1.0000000000000001E-5</v>
      </c>
      <c r="L71" s="60">
        <v>1.0000000000000001E-5</v>
      </c>
      <c r="M71" s="61">
        <v>1.2999999999999999E-4</v>
      </c>
      <c r="N71" s="61">
        <v>1.2999999999999999E-4</v>
      </c>
      <c r="O71" s="59" t="s">
        <v>39</v>
      </c>
      <c r="P71" s="59" t="s">
        <v>39</v>
      </c>
    </row>
    <row r="72" spans="1:23">
      <c r="A72" s="6"/>
      <c r="B72" s="2" t="s">
        <v>31</v>
      </c>
      <c r="C72" s="59" t="s">
        <v>39</v>
      </c>
      <c r="D72" s="59" t="s">
        <v>39</v>
      </c>
      <c r="E72" s="60">
        <v>1.0000000000000001E-5</v>
      </c>
      <c r="F72" s="60">
        <v>1.0000000000000001E-5</v>
      </c>
      <c r="G72" s="60">
        <v>1.0000000000000001E-5</v>
      </c>
      <c r="H72" s="60">
        <v>1.0000000000000001E-5</v>
      </c>
      <c r="I72" s="60">
        <v>1.0000000000000001E-5</v>
      </c>
      <c r="J72" s="60">
        <v>1.0000000000000001E-5</v>
      </c>
      <c r="K72" s="60">
        <v>1.0000000000000001E-5</v>
      </c>
      <c r="L72" s="60">
        <v>1.0000000000000001E-5</v>
      </c>
      <c r="M72" s="61">
        <v>1.2999999999999999E-4</v>
      </c>
      <c r="N72" s="61">
        <v>1.2999999999999999E-4</v>
      </c>
      <c r="O72" s="59" t="s">
        <v>39</v>
      </c>
      <c r="P72" s="59" t="s">
        <v>39</v>
      </c>
    </row>
    <row r="73" spans="1:23">
      <c r="A73" s="6"/>
      <c r="B73" s="2" t="s">
        <v>32</v>
      </c>
      <c r="C73" s="59" t="s">
        <v>39</v>
      </c>
      <c r="D73" s="59" t="s">
        <v>39</v>
      </c>
      <c r="E73" s="60">
        <v>1.0000000000000001E-5</v>
      </c>
      <c r="F73" s="60">
        <v>1.0000000000000001E-5</v>
      </c>
      <c r="G73" s="60">
        <v>1.0000000000000001E-5</v>
      </c>
      <c r="H73" s="60">
        <v>1.0000000000000001E-5</v>
      </c>
      <c r="I73" s="60">
        <v>1.0000000000000001E-5</v>
      </c>
      <c r="J73" s="60">
        <v>1.0000000000000001E-5</v>
      </c>
      <c r="K73" s="60">
        <v>1.0000000000000001E-5</v>
      </c>
      <c r="L73" s="60">
        <v>1.0000000000000001E-5</v>
      </c>
      <c r="M73" s="61">
        <v>1.2999999999999999E-4</v>
      </c>
      <c r="N73" s="61">
        <v>1.2999999999999999E-4</v>
      </c>
      <c r="O73" s="59" t="s">
        <v>39</v>
      </c>
      <c r="P73" s="59" t="s">
        <v>39</v>
      </c>
    </row>
    <row r="74" spans="1:23" ht="16.5" thickBot="1">
      <c r="A74" s="6"/>
      <c r="B74" s="2" t="s">
        <v>33</v>
      </c>
      <c r="C74" s="59" t="s">
        <v>39</v>
      </c>
      <c r="D74" s="59" t="s">
        <v>39</v>
      </c>
      <c r="E74" s="60">
        <v>1.0000000000000001E-5</v>
      </c>
      <c r="F74" s="60">
        <v>1.0000000000000001E-5</v>
      </c>
      <c r="G74" s="60">
        <v>1.0000000000000001E-5</v>
      </c>
      <c r="H74" s="60">
        <v>1.0000000000000001E-5</v>
      </c>
      <c r="I74" s="60">
        <v>1.0000000000000001E-5</v>
      </c>
      <c r="J74" s="60">
        <v>1.0000000000000001E-5</v>
      </c>
      <c r="K74" s="60">
        <v>1.0000000000000001E-5</v>
      </c>
      <c r="L74" s="60">
        <v>1.0000000000000001E-5</v>
      </c>
      <c r="M74" s="61">
        <v>1.2999999999999999E-4</v>
      </c>
      <c r="N74" s="61">
        <v>1.2999999999999999E-4</v>
      </c>
      <c r="O74" s="59" t="s">
        <v>39</v>
      </c>
      <c r="P74" s="59" t="s">
        <v>39</v>
      </c>
    </row>
    <row r="75" spans="1:23" ht="16.5" thickBot="1">
      <c r="A75" s="6"/>
      <c r="B75" s="2" t="s">
        <v>34</v>
      </c>
      <c r="C75" s="59" t="s">
        <v>39</v>
      </c>
      <c r="D75" s="59" t="s">
        <v>39</v>
      </c>
      <c r="E75" s="60">
        <v>1.0000000000000001E-5</v>
      </c>
      <c r="F75" s="60">
        <v>1.0000000000000001E-5</v>
      </c>
      <c r="G75" s="60">
        <v>1.0000000000000001E-5</v>
      </c>
      <c r="H75" s="60">
        <v>1.0000000000000001E-5</v>
      </c>
      <c r="I75" s="60">
        <v>1.0000000000000001E-5</v>
      </c>
      <c r="J75" s="60">
        <v>1.0000000000000001E-5</v>
      </c>
      <c r="K75" s="60">
        <v>1.0000000000000001E-5</v>
      </c>
      <c r="L75" s="60">
        <v>1.0000000000000001E-5</v>
      </c>
      <c r="M75" s="61">
        <v>1.2999999999999999E-4</v>
      </c>
      <c r="N75" s="61">
        <v>1.2999999999999999E-4</v>
      </c>
      <c r="O75" s="59" t="s">
        <v>39</v>
      </c>
      <c r="P75" s="59" t="s">
        <v>39</v>
      </c>
      <c r="R75" s="75">
        <f>R4</f>
        <v>201708</v>
      </c>
      <c r="S75" s="76"/>
      <c r="T75" s="77"/>
      <c r="U75" s="77"/>
      <c r="V75" s="77"/>
      <c r="W75" s="78"/>
    </row>
    <row r="76" spans="1:23">
      <c r="A76" s="6"/>
      <c r="B76" s="2" t="s">
        <v>35</v>
      </c>
      <c r="C76" s="59" t="s">
        <v>39</v>
      </c>
      <c r="D76" s="59" t="s">
        <v>39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1">
        <v>2.0000000000000002E-5</v>
      </c>
      <c r="N76" s="61">
        <v>2.0000000000000002E-5</v>
      </c>
      <c r="O76" s="59" t="s">
        <v>39</v>
      </c>
      <c r="P76" s="59" t="s">
        <v>39</v>
      </c>
      <c r="R76" s="24" t="s">
        <v>50</v>
      </c>
      <c r="S76" s="25">
        <v>191025</v>
      </c>
      <c r="T76" s="26" t="s">
        <v>8</v>
      </c>
      <c r="U76" s="26" t="s">
        <v>9</v>
      </c>
      <c r="V76" s="27">
        <f>IF((SUMIF(C78:P78,R75,C80:P80))&gt;0,(SUMIF(C78:P78,R75,C80:P80)),0)</f>
        <v>38.872079999999997</v>
      </c>
      <c r="W76" s="28">
        <f>IF((SUMIF(C78:P78,R75,C80:P80))&lt;0,-(SUMIF(C78:P78,R75,C80:P80)),0)</f>
        <v>0</v>
      </c>
    </row>
    <row r="77" spans="1:23">
      <c r="A77" s="6" t="s">
        <v>40</v>
      </c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R77" s="24" t="s">
        <v>51</v>
      </c>
      <c r="S77" s="25">
        <v>805110</v>
      </c>
      <c r="T77" s="26" t="s">
        <v>8</v>
      </c>
      <c r="U77" s="26" t="s">
        <v>9</v>
      </c>
      <c r="V77" s="27">
        <f>IF((SUMIF(C78:P78,R75,C80:P80))&lt;0,-(SUMIF(C78:P78,R75,C80:P80)),0)</f>
        <v>0</v>
      </c>
      <c r="W77" s="28">
        <f>IF((SUMIF(C78:P78,R75,C80:P80))&gt;0,(SUMIF(C78:P78,R75,C80:P80)),0)</f>
        <v>38.872079999999997</v>
      </c>
    </row>
    <row r="78" spans="1:23" s="6" customFormat="1">
      <c r="A78" s="7">
        <v>191025</v>
      </c>
      <c r="B78" s="8" t="s">
        <v>4</v>
      </c>
      <c r="C78" s="7">
        <v>201611</v>
      </c>
      <c r="D78" s="7">
        <f t="shared" ref="D78" si="43">C78+1</f>
        <v>201612</v>
      </c>
      <c r="E78" s="7">
        <f>E3</f>
        <v>201701</v>
      </c>
      <c r="F78" s="7">
        <f>E78+1</f>
        <v>201702</v>
      </c>
      <c r="G78" s="7">
        <f t="shared" ref="G78:P78" si="44">F78+1</f>
        <v>201703</v>
      </c>
      <c r="H78" s="7">
        <f t="shared" si="44"/>
        <v>201704</v>
      </c>
      <c r="I78" s="7">
        <f t="shared" si="44"/>
        <v>201705</v>
      </c>
      <c r="J78" s="7">
        <f t="shared" si="44"/>
        <v>201706</v>
      </c>
      <c r="K78" s="7">
        <f t="shared" si="44"/>
        <v>201707</v>
      </c>
      <c r="L78" s="7">
        <f t="shared" si="44"/>
        <v>201708</v>
      </c>
      <c r="M78" s="7">
        <f t="shared" si="44"/>
        <v>201709</v>
      </c>
      <c r="N78" s="7">
        <f t="shared" si="44"/>
        <v>201710</v>
      </c>
      <c r="O78" s="7">
        <f t="shared" si="44"/>
        <v>201711</v>
      </c>
      <c r="P78" s="7">
        <f t="shared" si="44"/>
        <v>201712</v>
      </c>
      <c r="Q78" s="9"/>
      <c r="R78" s="24" t="s">
        <v>52</v>
      </c>
      <c r="S78" s="25">
        <v>191025</v>
      </c>
      <c r="T78" s="26" t="s">
        <v>8</v>
      </c>
      <c r="U78" s="26" t="s">
        <v>9</v>
      </c>
      <c r="V78" s="27">
        <v>0</v>
      </c>
      <c r="W78" s="28">
        <v>0</v>
      </c>
    </row>
    <row r="79" spans="1:23" ht="16.5" thickBot="1">
      <c r="A79" s="63"/>
      <c r="B79" s="2" t="s">
        <v>6</v>
      </c>
      <c r="C79" s="3">
        <v>-3439.8164200000119</v>
      </c>
      <c r="D79" s="3">
        <f>C82</f>
        <v>-4198.8164200000119</v>
      </c>
      <c r="E79" s="3">
        <f>D82</f>
        <v>-4496.8164200000119</v>
      </c>
      <c r="F79" s="3">
        <f>E82</f>
        <v>-3535.3396800000119</v>
      </c>
      <c r="G79" s="3">
        <f t="shared" ref="G79:M79" si="45">F82</f>
        <v>-3265.0261600000117</v>
      </c>
      <c r="H79" s="3">
        <f t="shared" si="45"/>
        <v>-3060.6942200000117</v>
      </c>
      <c r="I79" s="3">
        <f t="shared" si="45"/>
        <v>-2919.7909600000116</v>
      </c>
      <c r="J79" s="3">
        <f t="shared" si="45"/>
        <v>-2842.0077800000117</v>
      </c>
      <c r="K79" s="3">
        <f t="shared" si="45"/>
        <v>-2794.1611200000116</v>
      </c>
      <c r="L79" s="18">
        <f t="shared" si="45"/>
        <v>-2755.0993400000116</v>
      </c>
      <c r="M79" s="3">
        <f t="shared" si="45"/>
        <v>-2716.2272600000115</v>
      </c>
      <c r="N79" s="3">
        <f>M82</f>
        <v>-1956.4656000000116</v>
      </c>
      <c r="O79" s="3">
        <f>N82</f>
        <v>-445.69439000001171</v>
      </c>
      <c r="P79" s="3">
        <f>O82</f>
        <v>-1204.6943900000117</v>
      </c>
      <c r="R79" s="24" t="s">
        <v>52</v>
      </c>
      <c r="S79" s="25">
        <v>805110</v>
      </c>
      <c r="T79" s="26" t="s">
        <v>8</v>
      </c>
      <c r="U79" s="26" t="s">
        <v>9</v>
      </c>
      <c r="V79" s="27">
        <v>0</v>
      </c>
      <c r="W79" s="28">
        <v>0</v>
      </c>
    </row>
    <row r="80" spans="1:23" ht="16.5" thickBot="1">
      <c r="B80" s="2" t="s">
        <v>45</v>
      </c>
      <c r="C80" s="17">
        <v>-759</v>
      </c>
      <c r="D80" s="17">
        <v>-298</v>
      </c>
      <c r="E80" s="17">
        <f>SUMPRODUCT(E55:E63,E68:E76)</f>
        <v>365.47674000000006</v>
      </c>
      <c r="F80" s="17">
        <f>SUMPRODUCT(F55:F63,F68:F76)</f>
        <v>270.31351999999998</v>
      </c>
      <c r="G80" s="17">
        <f>SUMPRODUCT(G55:G63,G68:G76)</f>
        <v>204.33194</v>
      </c>
      <c r="H80" s="17">
        <f>SUMPRODUCT(H55:H63,H68:H76)</f>
        <v>140.90325999999999</v>
      </c>
      <c r="I80" s="17">
        <f t="shared" ref="I80" si="46">SUMPRODUCT(I55:I63,I68:I76)</f>
        <v>77.783180000000016</v>
      </c>
      <c r="J80" s="17">
        <f>SUMPRODUCT(J55:J63,J68:J76)</f>
        <v>47.84666</v>
      </c>
      <c r="K80" s="17">
        <f>SUMPRODUCT(K55:K63,K68:K76)</f>
        <v>39.061780000000006</v>
      </c>
      <c r="L80" s="17">
        <f>SUMPRODUCT(L55:L63,L68:L76)</f>
        <v>38.872079999999997</v>
      </c>
      <c r="M80" s="17">
        <f>SUMPRODUCT(M55:M63,M68:M76)</f>
        <v>759.76165999999989</v>
      </c>
      <c r="N80" s="17">
        <f>SUMPRODUCT(N55:N63,N68:N76)</f>
        <v>1510.7712099999999</v>
      </c>
      <c r="O80" s="17">
        <v>-759</v>
      </c>
      <c r="P80" s="17">
        <v>-298</v>
      </c>
      <c r="R80" s="79"/>
      <c r="S80" s="76"/>
      <c r="T80" s="77"/>
      <c r="U80" s="77"/>
      <c r="V80" s="77" t="s">
        <v>20</v>
      </c>
      <c r="W80" s="78">
        <f>SUM(V76:V79)-SUM(W76:W79)</f>
        <v>0</v>
      </c>
    </row>
    <row r="81" spans="2:16">
      <c r="B81" s="2" t="s">
        <v>21</v>
      </c>
      <c r="C81" s="3">
        <v>0</v>
      </c>
      <c r="D81" s="3">
        <v>0</v>
      </c>
      <c r="E81" s="3">
        <f>298+298</f>
        <v>596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2:16" ht="16.5" thickBot="1">
      <c r="B82" s="2" t="s">
        <v>22</v>
      </c>
      <c r="C82" s="46">
        <v>-4198.8164200000119</v>
      </c>
      <c r="D82" s="46">
        <f t="shared" ref="D82" si="47">SUM(D79:D81)</f>
        <v>-4496.8164200000119</v>
      </c>
      <c r="E82" s="46">
        <f>SUM(E79:E81)</f>
        <v>-3535.3396800000119</v>
      </c>
      <c r="F82" s="46">
        <f>SUM(F79:F81)</f>
        <v>-3265.0261600000117</v>
      </c>
      <c r="G82" s="46">
        <f t="shared" ref="G82:P82" si="48">SUM(G79:G81)</f>
        <v>-3060.6942200000117</v>
      </c>
      <c r="H82" s="46">
        <f t="shared" si="48"/>
        <v>-2919.7909600000116</v>
      </c>
      <c r="I82" s="46">
        <f t="shared" si="48"/>
        <v>-2842.0077800000117</v>
      </c>
      <c r="J82" s="46">
        <f t="shared" si="48"/>
        <v>-2794.1611200000116</v>
      </c>
      <c r="K82" s="46">
        <f t="shared" si="48"/>
        <v>-2755.0993400000116</v>
      </c>
      <c r="L82" s="46">
        <f t="shared" si="48"/>
        <v>-2716.2272600000115</v>
      </c>
      <c r="M82" s="46">
        <f t="shared" si="48"/>
        <v>-1956.4656000000116</v>
      </c>
      <c r="N82" s="46">
        <f t="shared" si="48"/>
        <v>-445.69439000001171</v>
      </c>
      <c r="O82" s="46">
        <f t="shared" si="48"/>
        <v>-1204.6943900000117</v>
      </c>
      <c r="P82" s="46">
        <f t="shared" si="48"/>
        <v>-1502.6943900000117</v>
      </c>
    </row>
    <row r="83" spans="2:16" ht="16.5" thickTop="1">
      <c r="B83" s="2" t="s">
        <v>23</v>
      </c>
      <c r="M83" s="3" t="str">
        <f>_xll.Get_Balance(M78,"YTD","USD","Total","A","","001",$A$78,"GD","WA","DL")</f>
        <v>Error (Logon)</v>
      </c>
      <c r="N83" s="3" t="str">
        <f>_xll.Get_Balance(N78,"YTD","USD","Total","A","","001",$A$78,"GD","WA","DL")</f>
        <v>Error (Logon)</v>
      </c>
      <c r="O83" s="3" t="str">
        <f>_xll.Get_Balance(O78,"YTD","USD","Total","A","","001",$A$78,"GD","WA","DL")</f>
        <v>Error (Logon)</v>
      </c>
      <c r="P83" s="3" t="str">
        <f>_xll.Get_Balance(P78,"YTD","USD","Total","A","","001",$A$78,"GD","WA","DL")</f>
        <v>Error (Logon)</v>
      </c>
    </row>
    <row r="84" spans="2:16">
      <c r="B84" s="2" t="s">
        <v>24</v>
      </c>
      <c r="M84" s="3" t="e">
        <f t="shared" ref="M84:P84" si="49">M82-M83</f>
        <v>#VALUE!</v>
      </c>
      <c r="N84" s="3" t="e">
        <f t="shared" si="49"/>
        <v>#VALUE!</v>
      </c>
      <c r="O84" s="3" t="e">
        <f t="shared" si="49"/>
        <v>#VALUE!</v>
      </c>
      <c r="P84" s="3" t="e">
        <f t="shared" si="49"/>
        <v>#VALUE!</v>
      </c>
    </row>
  </sheetData>
  <conditionalFormatting sqref="Q29 Q65 C29:D29 C65:D65">
    <cfRule type="cellIs" dxfId="6" priority="30" operator="notEqual">
      <formula>C28</formula>
    </cfRule>
  </conditionalFormatting>
  <conditionalFormatting sqref="W80 W47 W11">
    <cfRule type="cellIs" dxfId="5" priority="22" operator="notEqual">
      <formula>0</formula>
    </cfRule>
  </conditionalFormatting>
  <conditionalFormatting sqref="E65:I65 E29:I29 L29:P29 L65:P65">
    <cfRule type="cellIs" dxfId="4" priority="5" operator="notEqual">
      <formula>E28</formula>
    </cfRule>
  </conditionalFormatting>
  <conditionalFormatting sqref="J29">
    <cfRule type="cellIs" dxfId="3" priority="4" operator="notEqual">
      <formula>J28</formula>
    </cfRule>
  </conditionalFormatting>
  <conditionalFormatting sqref="J65">
    <cfRule type="cellIs" dxfId="2" priority="3" operator="notEqual">
      <formula>J64</formula>
    </cfRule>
  </conditionalFormatting>
  <conditionalFormatting sqref="K29">
    <cfRule type="cellIs" dxfId="1" priority="2" operator="notEqual">
      <formula>K28</formula>
    </cfRule>
  </conditionalFormatting>
  <conditionalFormatting sqref="K65">
    <cfRule type="cellIs" dxfId="0" priority="1" operator="notEqual">
      <formula>K64</formula>
    </cfRule>
  </conditionalFormatting>
  <pageMargins left="0" right="0" top="0.75" bottom="0.75" header="0.3" footer="0.3"/>
  <pageSetup scale="4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2017-09-21T07:00:00+00:00</OpenedDate>
    <Date1 xmlns="dc463f71-b30c-4ab2-9473-d307f9d35888">2017-09-21T07:00:00+00:00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170988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4ED0D60D3C7F43B708B6219D551ABF" ma:contentTypeVersion="104" ma:contentTypeDescription="" ma:contentTypeScope="" ma:versionID="2b179b76d8f01a90eab7a45da2b852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252E97-764C-414E-8CE1-80430FB7AB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926919-AAF3-46B3-8B4D-8E706B8B12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3DBE7A-4795-49CD-8BB3-0B6AC34C8D9D}"/>
</file>

<file path=customXml/itemProps4.xml><?xml version="1.0" encoding="utf-8"?>
<ds:datastoreItem xmlns:ds="http://schemas.openxmlformats.org/officeDocument/2006/customXml" ds:itemID="{404E0849-09D3-445B-92CB-BA532F16B6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Aug</vt:lpstr>
      <vt:lpstr>WA - Def-Amtz (current)</vt:lpstr>
      <vt:lpstr>Aug!Print_Area</vt:lpstr>
      <vt:lpstr>'WA - Def-Amtz (current)'!Print_Area</vt:lpstr>
      <vt:lpstr>Aug!Print_Titles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brandon</dc:creator>
  <cp:lastModifiedBy>Huey, Lorilyn (UTC)</cp:lastModifiedBy>
  <dcterms:created xsi:type="dcterms:W3CDTF">2017-09-20T20:29:29Z</dcterms:created>
  <dcterms:modified xsi:type="dcterms:W3CDTF">2017-09-21T23:20:15Z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0x0101006E56B4D1795A2E4DB2F0B01679ED314A00284ED0D60D3C7F43B708B6219D551ABF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