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ugust 2017\August 1\"/>
    </mc:Choice>
  </mc:AlternateContent>
  <bookViews>
    <workbookView xWindow="0" yWindow="0" windowWidth="21600" windowHeight="9735" tabRatio="870" firstSheet="2" activeTab="11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E35" i="13" l="1"/>
  <c r="D30" i="13"/>
  <c r="C42" i="12"/>
  <c r="H35" i="12"/>
  <c r="E16" i="3"/>
  <c r="D14" i="2" l="1"/>
  <c r="A3" i="5" l="1"/>
  <c r="I35" i="12" l="1"/>
  <c r="G35" i="5" s="1"/>
  <c r="E14" i="18" s="1"/>
  <c r="D10" i="2"/>
  <c r="I35" i="2"/>
  <c r="F35" i="5" s="1"/>
  <c r="D14" i="18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F14" i="18" l="1"/>
  <c r="E19" i="3" l="1"/>
  <c r="D19" i="3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D35" i="10" l="1"/>
  <c r="E22" i="13"/>
  <c r="E51" i="13"/>
  <c r="E34" i="13"/>
  <c r="D16" i="10"/>
  <c r="D22" i="10" s="1"/>
  <c r="D23" i="13"/>
  <c r="D30" i="10"/>
  <c r="E15" i="13"/>
  <c r="D9" i="10"/>
  <c r="C29" i="13"/>
  <c r="C39" i="13" s="1"/>
  <c r="C47" i="13" s="1"/>
  <c r="C54" i="13"/>
  <c r="C53" i="13"/>
  <c r="E23" i="13" l="1"/>
  <c r="D28" i="13"/>
  <c r="D53" i="13" s="1"/>
  <c r="E26" i="13"/>
  <c r="C55" i="13"/>
  <c r="C56" i="13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E39" i="13" s="1"/>
  <c r="D26" i="10"/>
  <c r="D54" i="13"/>
  <c r="D29" i="13"/>
  <c r="D38" i="13" s="1"/>
  <c r="E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1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0" i="3"/>
  <c r="D21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H47" i="2"/>
  <c r="H49" i="2" s="1"/>
  <c r="D35" i="2"/>
  <c r="D39" i="10"/>
  <c r="D47" i="10" s="1"/>
  <c r="G49" i="2"/>
  <c r="B49" i="2"/>
  <c r="B47" i="5"/>
  <c r="G49" i="5"/>
  <c r="B25" i="5"/>
  <c r="C49" i="5"/>
  <c r="D16" i="16" l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<sst xmlns="http://schemas.openxmlformats.org/spreadsheetml/2006/main" count="630" uniqueCount="269">
  <si>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</si>
  <si>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</si>
  <si>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</si>
  <si>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</si>
  <si>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</si>
  <si>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</si>
  <si>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</si>
  <si>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</si>
  <si>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</si>
  <si>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</si>
  <si>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</si>
  <si>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</si>
  <si>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</si>
  <si>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</si>
  <si>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</si>
  <si>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</si>
  <si>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</si>
  <si>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</si>
  <si>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</si>
  <si>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</si>
  <si>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</si>
  <si>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</si>
  <si>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</si>
  <si>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</si>
  <si>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</si>
  <si>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</si>
  <si>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</si>
  <si>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</si>
  <si>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</si>
  <si>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</si>
  <si>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</si>
  <si>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</si>
  <si>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</si>
  <si>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</si>
  <si>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</si>
  <si>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</si>
  <si>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</si>
  <si>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</si>
  <si>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</si>
  <si>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</si>
  <si>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</si>
  <si>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</si>
  <si>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</si>
  <si>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</si>
  <si>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</si>
  <si>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</si>
  <si>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</si>
  <si>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</si>
  <si>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</si>
  <si>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</si>
  <si>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</si>
  <si>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</si>
  <si>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</si>
  <si>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</si>
  <si>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</si>
  <si>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</si>
  <si>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</si>
  <si>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</si>
  <si>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</si>
  <si>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</si>
  <si>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</si>
  <si>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</si>
  <si>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</si>
  <si>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</si>
  <si>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</si>
  <si>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</si>
  <si>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</si>
  <si>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</si>
  <si>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</si>
  <si>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</si>
  <si>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</si>
  <si>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</si>
  <si>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</si>
  <si>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</si>
  <si>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</si>
  <si>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</si>
  <si>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</si>
  <si>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</si>
  <si>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</si>
  <si>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</si>
  <si>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</si>
  <si>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</si>
  <si>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</si>
  <si>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</si>
  <si>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</si>
  <si>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</si>
  <si>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</si>
  <si>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</si>
  <si>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</si>
  <si>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</si>
  <si>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</si>
  <si>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</si>
  <si>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</si>
  <si>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</si>
  <si>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</si>
  <si>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</si>
  <si>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</si>
  <si>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</si>
  <si>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</si>
  <si>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</si>
  <si>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</si>
  <si>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</si>
  <si>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</si>
  <si>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</si>
  <si>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</si>
  <si>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</si>
  <si>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</si>
  <si>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</si>
  <si>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</si>
  <si>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</si>
  <si>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</si>
  <si>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</si>
  <si>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</si>
  <si>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</si>
  <si>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</si>
  <si>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</si>
  <si>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</si>
  <si>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</si>
  <si>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</si>
  <si>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</si>
  <si>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</si>
  <si>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</si>
  <si>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</si>
  <si>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</si>
  <si>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</si>
  <si>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</si>
  <si>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</si>
  <si>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</si>
  <si>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</si>
  <si>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</si>
  <si>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</si>
  <si>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</si>
  <si>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</si>
  <si>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</si>
  <si>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</si>
  <si>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</si>
  <si>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1. Normal balance of deferred income taxes and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</si>
  <si>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</si>
  <si>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</si>
  <si>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</si>
  <si>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</si>
  <si>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</si>
  <si>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</si>
  <si>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</si>
  <si>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</si>
  <si>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</si>
  <si>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</si>
  <si>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</si>
  <si>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</si>
  <si>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</si>
  <si>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</si>
  <si>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</si>
  <si>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</si>
  <si>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</si>
  <si>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</si>
  <si>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</si>
  <si>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</si>
  <si>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</si>
  <si>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</si>
  <si>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</si>
  <si>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</si>
  <si>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</si>
  <si>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</si>
  <si>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</si>
  <si>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</si>
  <si>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</si>
  <si>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</si>
  <si>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</si>
  <si>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</si>
  <si>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</si>
  <si>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</si>
  <si>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</si>
  <si>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</si>
  <si>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</si>
  <si>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</si>
  <si>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</si>
  <si>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</si>
  <si>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</si>
  <si>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</si>
  <si>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</si>
  <si>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</si>
  <si>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</si>
  <si>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</si>
  <si>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</si>
  <si>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</si>
  <si>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</si>
  <si>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</si>
  <si>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</si>
  <si>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</si>
  <si>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</si>
  <si>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</si>
  <si>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</si>
  <si>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</si>
  <si>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</si>
  <si>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</si>
  <si>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</si>
  <si>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</si>
  <si>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</si>
  <si>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</si>
  <si>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</si>
  <si>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</si>
  <si>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</si>
  <si>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</si>
  <si>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</si>
  <si>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</si>
  <si>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</si>
  <si>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</si>
  <si>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</si>
  <si>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</si>
  <si>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</si>
  <si>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</si>
  <si>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</si>
  <si>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</si>
  <si>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</si>
  <si>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</si>
  <si>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2015 (A)</t>
  </si>
  <si>
    <t>2015 (B)</t>
  </si>
  <si>
    <t>Balance 2015</t>
  </si>
  <si>
    <t>Balance - 2015</t>
  </si>
  <si>
    <t>explain.</t>
  </si>
  <si>
    <t>2015</t>
  </si>
  <si>
    <t>OOP or PF?</t>
  </si>
  <si>
    <t>Pro Forma (PF)Adjustment for Current Year Petition or Reversing from Prior Year</t>
  </si>
  <si>
    <t>Out-of-Period Adjustments Net of FIT (1)</t>
  </si>
  <si>
    <t>(1)</t>
  </si>
  <si>
    <t>Column A to be completed by Company,</t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</si>
  <si>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</si>
  <si>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</si>
  <si>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</si>
  <si>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</si>
  <si>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</si>
  <si>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</si>
  <si>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>Lines 5 &amp; 12 will be completed by Staff</t>
  </si>
  <si>
    <t xml:space="preserve">Column B should equal Column A, but may </t>
  </si>
  <si>
    <t>include any Staff Adjustments</t>
  </si>
  <si>
    <t>50.  Other Jurisdictional Differences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</si>
  <si>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</si>
  <si>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</si>
  <si>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</si>
  <si>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</si>
  <si>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</si>
  <si>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</si>
  <si>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</si>
  <si>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</si>
  <si>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</si>
  <si>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</si>
  <si>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</si>
  <si>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</si>
  <si>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</si>
  <si>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>2016 (A)</t>
  </si>
  <si>
    <t>2016 (B)</t>
  </si>
  <si>
    <t xml:space="preserve">49. Other Deferred Credits </t>
  </si>
  <si>
    <t>58. Retained Earnings or Margins</t>
  </si>
  <si>
    <t>Balance 2016</t>
  </si>
  <si>
    <t>Balance - 2016</t>
  </si>
  <si>
    <t>If 2015 does not equal last year's petition and template,</t>
  </si>
  <si>
    <t>2016</t>
  </si>
  <si>
    <r>
      <t xml:space="preserve">Description of Out-of-Period (OOP) - 2016 (As Recorded) </t>
    </r>
    <r>
      <rPr>
        <b/>
        <sz val="11"/>
        <color theme="1"/>
        <rFont val="Calibri"/>
        <family val="2"/>
        <scheme val="minor"/>
      </rPr>
      <t>OR</t>
    </r>
  </si>
  <si>
    <t>2015 (C)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</si>
  <si>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</si>
  <si>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</si>
  <si>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</si>
  <si>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</si>
  <si>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</si>
  <si>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</si>
  <si>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</si>
  <si>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</si>
  <si>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</si>
  <si>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PEND OREILLE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</si>
</sst>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37" fontId="0" fillId="0" borderId="0" xfId="0" applyNumberFormat="1"/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workbookViewId="0">
      <selection activeCell="A13" sqref="A13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06" t="s">
        <v>211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6" t="s">
        <v>212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6" t="s">
        <v>213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H13" sqref="H13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167</v>
      </c>
    </row>
    <row r="3" spans="1:5" x14ac:dyDescent="0.25">
      <c r="B3" s="57" t="str">
        <f>PriorYearBalanceSheet!A3</f>
        <v>PEND OREILLE TELEPHONE COMPANY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73</v>
      </c>
      <c r="E6" s="23" t="s">
        <v>114</v>
      </c>
    </row>
    <row r="7" spans="1:5" x14ac:dyDescent="0.25">
      <c r="A7" s="17" t="s">
        <v>0</v>
      </c>
      <c r="B7" s="10" t="s">
        <v>153</v>
      </c>
      <c r="C7" s="10" t="s">
        <v>141</v>
      </c>
      <c r="D7" s="10">
        <v>2015</v>
      </c>
      <c r="E7" s="4">
        <v>2016</v>
      </c>
    </row>
    <row r="8" spans="1:5" x14ac:dyDescent="0.25">
      <c r="A8" s="19"/>
      <c r="B8" s="19"/>
      <c r="C8" s="11" t="s">
        <v>142</v>
      </c>
      <c r="D8" s="25"/>
      <c r="E8" s="29"/>
    </row>
    <row r="9" spans="1:5" x14ac:dyDescent="0.25">
      <c r="A9" s="9">
        <v>1</v>
      </c>
      <c r="B9" s="6" t="s">
        <v>143</v>
      </c>
      <c r="C9" s="27" t="s">
        <v>144</v>
      </c>
      <c r="D9" s="55">
        <v>196469</v>
      </c>
      <c r="E9" s="55">
        <v>193766</v>
      </c>
    </row>
    <row r="10" spans="1:5" x14ac:dyDescent="0.25">
      <c r="A10" s="10">
        <v>2</v>
      </c>
      <c r="B10" s="44" t="s">
        <v>145</v>
      </c>
      <c r="C10" s="28" t="s">
        <v>146</v>
      </c>
      <c r="D10" s="44"/>
      <c r="E10" s="44"/>
    </row>
    <row r="11" spans="1:5" x14ac:dyDescent="0.25">
      <c r="A11" s="10" t="s">
        <v>182</v>
      </c>
      <c r="B11" s="17" t="s">
        <v>147</v>
      </c>
      <c r="C11" s="10"/>
      <c r="D11" s="52">
        <v>149903</v>
      </c>
      <c r="E11" s="52">
        <v>107653</v>
      </c>
    </row>
    <row r="12" spans="1:5" x14ac:dyDescent="0.25">
      <c r="A12" s="10" t="s">
        <v>183</v>
      </c>
      <c r="B12" s="17" t="s">
        <v>210</v>
      </c>
      <c r="C12" s="10"/>
      <c r="D12" s="52">
        <v>813375</v>
      </c>
      <c r="E12" s="52">
        <v>762162</v>
      </c>
    </row>
    <row r="13" spans="1:5" x14ac:dyDescent="0.25">
      <c r="A13" s="10">
        <v>3</v>
      </c>
      <c r="B13" s="44" t="s">
        <v>149</v>
      </c>
      <c r="C13" s="10">
        <v>5083</v>
      </c>
      <c r="D13" s="44"/>
      <c r="E13" s="44"/>
    </row>
    <row r="14" spans="1:5" x14ac:dyDescent="0.25">
      <c r="A14" s="10" t="s">
        <v>184</v>
      </c>
      <c r="B14" s="17" t="s">
        <v>147</v>
      </c>
      <c r="C14" s="10"/>
      <c r="D14" s="52">
        <v>100009</v>
      </c>
      <c r="E14" s="52">
        <v>35911</v>
      </c>
    </row>
    <row r="15" spans="1:5" x14ac:dyDescent="0.25">
      <c r="A15" s="10" t="s">
        <v>185</v>
      </c>
      <c r="B15" s="17" t="s">
        <v>148</v>
      </c>
      <c r="C15" s="10"/>
      <c r="D15" s="52">
        <v>336869</v>
      </c>
      <c r="E15" s="52">
        <v>329750</v>
      </c>
    </row>
    <row r="16" spans="1:5" x14ac:dyDescent="0.25">
      <c r="A16" s="10">
        <v>4</v>
      </c>
      <c r="B16" s="17" t="s">
        <v>209</v>
      </c>
      <c r="C16" s="10" t="s">
        <v>150</v>
      </c>
      <c r="D16" s="52">
        <v>452927</v>
      </c>
      <c r="E16" s="52">
        <f>528052-59421</f>
        <v>468631</v>
      </c>
    </row>
    <row r="17" spans="1:5" x14ac:dyDescent="0.25">
      <c r="A17" s="10">
        <v>5</v>
      </c>
      <c r="B17" s="17" t="s">
        <v>199</v>
      </c>
      <c r="C17" s="10"/>
      <c r="D17" s="52">
        <v>154369</v>
      </c>
      <c r="E17" s="52">
        <v>201187</v>
      </c>
    </row>
    <row r="18" spans="1:5" x14ac:dyDescent="0.25">
      <c r="A18" s="10">
        <v>6</v>
      </c>
      <c r="B18" s="17" t="s">
        <v>170</v>
      </c>
      <c r="C18" s="11"/>
      <c r="D18" s="53"/>
      <c r="E18" s="53"/>
    </row>
    <row r="19" spans="1:5" x14ac:dyDescent="0.25">
      <c r="A19" s="10">
        <v>7</v>
      </c>
      <c r="B19" s="17" t="s">
        <v>151</v>
      </c>
      <c r="C19" s="6"/>
      <c r="D19" s="35">
        <f>D9+D11+D12+D14+D15+D16+D17+D18</f>
        <v>2203921</v>
      </c>
      <c r="E19" s="35">
        <f>E9+E11+E12+E14+E15+E16+E17+E18</f>
        <v>2099060</v>
      </c>
    </row>
    <row r="20" spans="1:5" x14ac:dyDescent="0.25">
      <c r="A20" s="10">
        <v>8</v>
      </c>
      <c r="B20" s="18" t="s">
        <v>157</v>
      </c>
      <c r="C20" s="17"/>
      <c r="D20" s="37">
        <f>IncomeStmtSummary!C10</f>
        <v>2203921</v>
      </c>
      <c r="E20" s="37">
        <f>IncomeStmtSummary!D10</f>
        <v>2099061</v>
      </c>
    </row>
    <row r="21" spans="1:5" ht="15.75" thickBot="1" x14ac:dyDescent="0.3">
      <c r="A21" s="11">
        <v>9</v>
      </c>
      <c r="B21" s="51" t="s">
        <v>130</v>
      </c>
      <c r="C21" s="19"/>
      <c r="D21" s="50">
        <f>D19-D20</f>
        <v>0</v>
      </c>
      <c r="E21" s="34">
        <f>E19-E20</f>
        <v>-1</v>
      </c>
    </row>
    <row r="22" spans="1:5" ht="15.75" thickTop="1" x14ac:dyDescent="0.25">
      <c r="B22" s="71" t="s">
        <v>186</v>
      </c>
      <c r="C22" s="65"/>
      <c r="D22" s="65"/>
      <c r="E22" s="65"/>
    </row>
    <row r="23" spans="1:5" x14ac:dyDescent="0.25">
      <c r="B23" t="s">
        <v>171</v>
      </c>
      <c r="C23" s="65"/>
      <c r="D23" s="65"/>
      <c r="E23" s="65"/>
    </row>
    <row r="24" spans="1:5" x14ac:dyDescent="0.25">
      <c r="B24" t="s">
        <v>172</v>
      </c>
      <c r="C24" s="65"/>
      <c r="D24" s="65"/>
      <c r="E24" s="65"/>
    </row>
    <row r="25" spans="1:5" x14ac:dyDescent="0.25">
      <c r="A25" s="65"/>
      <c r="B25" s="65"/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</sheetData>
  <sheetProtection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zoomScaleNormal="100" workbookViewId="0">
      <selection activeCell="A13" sqref="A13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2" t="s">
        <v>167</v>
      </c>
      <c r="B2" s="72"/>
    </row>
    <row r="3" spans="1:5" x14ac:dyDescent="0.25">
      <c r="A3" s="57" t="str">
        <f>PriorYearBalanceSheet!A3</f>
        <v>PEND OREILLE TELEPHONE COMPANY</v>
      </c>
      <c r="B3" s="66"/>
    </row>
    <row r="6" spans="1:5" x14ac:dyDescent="0.25">
      <c r="A6" s="9" t="s">
        <v>257</v>
      </c>
      <c r="B6" s="9" t="s">
        <v>230</v>
      </c>
      <c r="C6" s="6"/>
      <c r="D6" s="124" t="s">
        <v>195</v>
      </c>
      <c r="E6" s="125"/>
    </row>
    <row r="7" spans="1:5" x14ac:dyDescent="0.25">
      <c r="A7" s="11" t="s">
        <v>222</v>
      </c>
      <c r="B7" s="11"/>
      <c r="C7" s="11" t="s">
        <v>221</v>
      </c>
      <c r="D7" s="112" t="s">
        <v>201</v>
      </c>
      <c r="E7" s="5" t="s">
        <v>202</v>
      </c>
    </row>
    <row r="8" spans="1:5" x14ac:dyDescent="0.25">
      <c r="A8" s="6"/>
      <c r="B8" s="6"/>
      <c r="C8" s="6"/>
      <c r="D8" s="9"/>
      <c r="E8" s="9"/>
    </row>
    <row r="9" spans="1:5" x14ac:dyDescent="0.25">
      <c r="A9" s="17" t="s">
        <v>196</v>
      </c>
      <c r="B9" s="17"/>
      <c r="C9" s="17"/>
      <c r="D9" s="116"/>
      <c r="E9" s="116"/>
    </row>
    <row r="10" spans="1:5" x14ac:dyDescent="0.25">
      <c r="A10" s="17"/>
      <c r="B10" s="17"/>
      <c r="C10" s="17"/>
      <c r="D10" s="116"/>
      <c r="E10" s="116"/>
    </row>
    <row r="11" spans="1:5" x14ac:dyDescent="0.25">
      <c r="A11" s="17"/>
      <c r="B11" s="17"/>
      <c r="C11" s="17"/>
      <c r="D11" s="116"/>
      <c r="E11" s="116"/>
    </row>
    <row r="12" spans="1:5" x14ac:dyDescent="0.25">
      <c r="A12" s="17"/>
      <c r="B12" s="17"/>
      <c r="C12" s="17"/>
      <c r="D12" s="116"/>
      <c r="E12" s="116"/>
    </row>
    <row r="13" spans="1:5" x14ac:dyDescent="0.25">
      <c r="A13" s="19"/>
      <c r="B13" s="19"/>
      <c r="C13" s="19"/>
      <c r="D13" s="117"/>
      <c r="E13" s="117"/>
    </row>
    <row r="14" spans="1:5" x14ac:dyDescent="0.25">
      <c r="A14" s="17" t="s">
        <v>197</v>
      </c>
      <c r="B14" s="17"/>
      <c r="C14" s="17"/>
      <c r="D14" s="116"/>
      <c r="E14" s="116"/>
    </row>
    <row r="15" spans="1:5" x14ac:dyDescent="0.25">
      <c r="A15" s="17"/>
      <c r="B15" s="17"/>
      <c r="C15" s="17"/>
      <c r="D15" s="116"/>
      <c r="E15" s="116"/>
    </row>
    <row r="16" spans="1:5" x14ac:dyDescent="0.25">
      <c r="A16" s="17"/>
      <c r="B16" s="17"/>
      <c r="C16" s="17"/>
      <c r="D16" s="116"/>
      <c r="E16" s="116"/>
    </row>
    <row r="17" spans="1:5" x14ac:dyDescent="0.25">
      <c r="A17" s="17"/>
      <c r="B17" s="17"/>
      <c r="C17" s="17"/>
      <c r="D17" s="116"/>
      <c r="E17" s="116"/>
    </row>
    <row r="18" spans="1:5" x14ac:dyDescent="0.25">
      <c r="A18" s="19"/>
      <c r="B18" s="19"/>
      <c r="C18" s="19"/>
      <c r="D18" s="117"/>
      <c r="E18" s="117"/>
    </row>
    <row r="19" spans="1:5" x14ac:dyDescent="0.25">
      <c r="A19" s="17" t="s">
        <v>198</v>
      </c>
      <c r="B19" s="17"/>
      <c r="C19" s="17"/>
      <c r="D19" s="116"/>
      <c r="E19" s="116"/>
    </row>
    <row r="20" spans="1:5" x14ac:dyDescent="0.25">
      <c r="A20" s="17"/>
      <c r="B20" s="17"/>
      <c r="C20" s="17"/>
      <c r="D20" s="116"/>
      <c r="E20" s="116"/>
    </row>
    <row r="21" spans="1:5" x14ac:dyDescent="0.25">
      <c r="A21" s="17"/>
      <c r="B21" s="17"/>
      <c r="C21" s="17"/>
      <c r="D21" s="116"/>
      <c r="E21" s="116"/>
    </row>
    <row r="22" spans="1:5" x14ac:dyDescent="0.25">
      <c r="A22" s="17"/>
      <c r="B22" s="17"/>
      <c r="C22" s="17"/>
      <c r="D22" s="116"/>
      <c r="E22" s="116"/>
    </row>
    <row r="23" spans="1:5" x14ac:dyDescent="0.25">
      <c r="A23" s="19"/>
      <c r="B23" s="19"/>
      <c r="C23" s="19"/>
      <c r="D23" s="117"/>
      <c r="E23" s="117"/>
    </row>
    <row r="24" spans="1:5" x14ac:dyDescent="0.25">
      <c r="A24" s="17" t="s">
        <v>203</v>
      </c>
      <c r="B24" s="17"/>
      <c r="C24" s="17"/>
      <c r="D24" s="116"/>
      <c r="E24" s="116"/>
    </row>
    <row r="25" spans="1:5" x14ac:dyDescent="0.25">
      <c r="A25" s="17"/>
      <c r="B25" s="17"/>
      <c r="C25" s="17"/>
      <c r="D25" s="116"/>
      <c r="E25" s="116"/>
    </row>
    <row r="26" spans="1:5" x14ac:dyDescent="0.25">
      <c r="A26" s="17"/>
      <c r="B26" s="17"/>
      <c r="C26" s="17"/>
      <c r="D26" s="116"/>
      <c r="E26" s="116"/>
    </row>
    <row r="27" spans="1:5" x14ac:dyDescent="0.25">
      <c r="A27" s="17"/>
      <c r="B27" s="17"/>
      <c r="C27" s="17"/>
      <c r="D27" s="116"/>
      <c r="E27" s="116"/>
    </row>
    <row r="28" spans="1:5" x14ac:dyDescent="0.25">
      <c r="A28" s="19"/>
      <c r="B28" s="19"/>
      <c r="C28" s="19"/>
      <c r="D28" s="117"/>
      <c r="E28" s="117"/>
    </row>
    <row r="29" spans="1:5" x14ac:dyDescent="0.25">
      <c r="A29" s="17" t="s">
        <v>231</v>
      </c>
      <c r="B29" s="17"/>
      <c r="C29" s="17"/>
      <c r="D29" s="116"/>
      <c r="E29" s="116"/>
    </row>
    <row r="30" spans="1:5" x14ac:dyDescent="0.25">
      <c r="A30" s="17"/>
      <c r="B30" s="17"/>
      <c r="C30" s="17"/>
      <c r="D30" s="116"/>
      <c r="E30" s="116"/>
    </row>
    <row r="31" spans="1:5" x14ac:dyDescent="0.25">
      <c r="A31" s="17"/>
      <c r="B31" s="17"/>
      <c r="C31" s="17"/>
      <c r="D31" s="116"/>
      <c r="E31" s="116"/>
    </row>
    <row r="32" spans="1:5" x14ac:dyDescent="0.25">
      <c r="A32" s="17"/>
      <c r="B32" s="17"/>
      <c r="C32" s="17"/>
      <c r="D32" s="116"/>
      <c r="E32" s="116"/>
    </row>
    <row r="33" spans="1:5" x14ac:dyDescent="0.25">
      <c r="A33" s="19"/>
      <c r="B33" s="19"/>
      <c r="C33" s="19"/>
      <c r="D33" s="117"/>
      <c r="E33" s="117"/>
    </row>
    <row r="34" spans="1:5" x14ac:dyDescent="0.25">
      <c r="D34" s="110"/>
      <c r="E34" s="110"/>
    </row>
    <row r="35" spans="1:5" x14ac:dyDescent="0.25">
      <c r="D35" s="110"/>
      <c r="E35" s="110"/>
    </row>
    <row r="36" spans="1:5" x14ac:dyDescent="0.25">
      <c r="D36" s="110"/>
      <c r="E36" s="110"/>
    </row>
    <row r="37" spans="1:5" x14ac:dyDescent="0.25">
      <c r="D37" s="110"/>
      <c r="E37" s="110"/>
    </row>
    <row r="38" spans="1:5" x14ac:dyDescent="0.25">
      <c r="D38" s="110"/>
      <c r="E38" s="110"/>
    </row>
    <row r="39" spans="1:5" x14ac:dyDescent="0.25">
      <c r="D39" s="110"/>
      <c r="E39" s="110"/>
    </row>
    <row r="40" spans="1:5" x14ac:dyDescent="0.25">
      <c r="D40" s="110"/>
      <c r="E40" s="110"/>
    </row>
    <row r="41" spans="1:5" x14ac:dyDescent="0.25">
      <c r="D41" s="110"/>
      <c r="E41" s="110"/>
    </row>
    <row r="42" spans="1:5" x14ac:dyDescent="0.25">
      <c r="D42" s="110"/>
      <c r="E42" s="110"/>
    </row>
    <row r="43" spans="1:5" x14ac:dyDescent="0.25">
      <c r="D43" s="110"/>
      <c r="E43" s="110"/>
    </row>
    <row r="44" spans="1:5" x14ac:dyDescent="0.25">
      <c r="D44" s="110"/>
      <c r="E44" s="110"/>
    </row>
    <row r="45" spans="1:5" x14ac:dyDescent="0.25">
      <c r="D45" s="110"/>
      <c r="E45" s="110"/>
    </row>
    <row r="46" spans="1:5" x14ac:dyDescent="0.25">
      <c r="D46" s="110"/>
      <c r="E46" s="110"/>
    </row>
    <row r="47" spans="1:5" x14ac:dyDescent="0.25">
      <c r="D47" s="110"/>
      <c r="E47" s="110"/>
    </row>
    <row r="48" spans="1:5" x14ac:dyDescent="0.25">
      <c r="D48" s="110"/>
      <c r="E48" s="110"/>
    </row>
    <row r="49" spans="4:5" x14ac:dyDescent="0.25">
      <c r="D49" s="110"/>
      <c r="E49" s="110"/>
    </row>
    <row r="50" spans="4:5" x14ac:dyDescent="0.25">
      <c r="D50" s="110"/>
      <c r="E50" s="110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9"/>
  <sheetViews>
    <sheetView tabSelected="1" zoomScaleNormal="100" workbookViewId="0">
      <selection activeCell="C14" sqref="C14"/>
    </sheetView>
  </sheetViews>
  <sheetFormatPr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167</v>
      </c>
    </row>
    <row r="4" spans="1:4" x14ac:dyDescent="0.25">
      <c r="B4" s="57" t="str">
        <f>PriorYearBalanceSheet!A3</f>
        <v>PEND OREILLE TELEPHONE COMPANY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74"/>
      <c r="D7" s="74"/>
    </row>
    <row r="8" spans="1:4" x14ac:dyDescent="0.25">
      <c r="A8" s="79" t="s">
        <v>0</v>
      </c>
      <c r="B8" s="75" t="s">
        <v>153</v>
      </c>
      <c r="C8" s="76">
        <v>2016</v>
      </c>
      <c r="D8" s="76">
        <v>2016</v>
      </c>
    </row>
    <row r="9" spans="1:4" x14ac:dyDescent="0.25">
      <c r="A9" s="77"/>
      <c r="B9" s="77"/>
      <c r="C9" s="78" t="s">
        <v>155</v>
      </c>
      <c r="D9" s="78" t="s">
        <v>163</v>
      </c>
    </row>
    <row r="10" spans="1:4" x14ac:dyDescent="0.25">
      <c r="A10" s="86">
        <v>1</v>
      </c>
      <c r="B10" s="73" t="s">
        <v>214</v>
      </c>
      <c r="C10" s="82">
        <f>'RateBase '!D15</f>
        <v>2006644</v>
      </c>
      <c r="D10" s="82">
        <f>C10</f>
        <v>2006644</v>
      </c>
    </row>
    <row r="11" spans="1:4" x14ac:dyDescent="0.25">
      <c r="A11" s="75">
        <v>2</v>
      </c>
      <c r="B11" s="79" t="s">
        <v>177</v>
      </c>
      <c r="C11" s="94">
        <f>'RateBase '!E15</f>
        <v>2190692</v>
      </c>
      <c r="D11" s="94">
        <f>C11</f>
        <v>2190692</v>
      </c>
    </row>
    <row r="12" spans="1:4" x14ac:dyDescent="0.25">
      <c r="A12" s="75">
        <v>3</v>
      </c>
      <c r="B12" s="90" t="s">
        <v>178</v>
      </c>
      <c r="C12" s="80">
        <f>(C10+C11)/2</f>
        <v>2098668</v>
      </c>
      <c r="D12" s="80">
        <f>(D10+D11)/2</f>
        <v>2098668</v>
      </c>
    </row>
    <row r="13" spans="1:4" x14ac:dyDescent="0.25">
      <c r="A13" s="75">
        <v>4</v>
      </c>
      <c r="B13" s="79" t="s">
        <v>179</v>
      </c>
      <c r="C13" s="58">
        <f>IncomeStmtSummary!D29</f>
        <v>120541</v>
      </c>
      <c r="D13" s="58">
        <f>C13</f>
        <v>120541</v>
      </c>
    </row>
    <row r="14" spans="1:4" x14ac:dyDescent="0.25">
      <c r="A14" s="75">
        <v>5</v>
      </c>
      <c r="B14" s="79" t="s">
        <v>223</v>
      </c>
      <c r="C14" s="111"/>
      <c r="D14" s="53"/>
    </row>
    <row r="15" spans="1:4" x14ac:dyDescent="0.25">
      <c r="A15" s="75">
        <v>6</v>
      </c>
      <c r="B15" s="91" t="s">
        <v>181</v>
      </c>
      <c r="C15" s="80">
        <f>C13+C14</f>
        <v>120541</v>
      </c>
      <c r="D15" s="80">
        <f>D13+D14</f>
        <v>120541</v>
      </c>
    </row>
    <row r="16" spans="1:4" x14ac:dyDescent="0.25">
      <c r="A16" s="75">
        <v>7</v>
      </c>
      <c r="B16" s="90" t="s">
        <v>180</v>
      </c>
      <c r="C16" s="81">
        <f>C15/C12</f>
        <v>5.7436907600439902E-2</v>
      </c>
      <c r="D16" s="81">
        <f>D15/D12</f>
        <v>5.7436907600439902E-2</v>
      </c>
    </row>
    <row r="17" spans="1:7" x14ac:dyDescent="0.25">
      <c r="A17" s="87"/>
      <c r="B17" s="122"/>
      <c r="C17" s="81"/>
      <c r="D17" s="81"/>
    </row>
    <row r="18" spans="1:7" x14ac:dyDescent="0.25">
      <c r="B18" s="92" t="s">
        <v>176</v>
      </c>
      <c r="C18" s="65"/>
      <c r="D18" s="65"/>
      <c r="E18" s="65"/>
      <c r="F18" s="65"/>
      <c r="G18" s="65"/>
    </row>
    <row r="19" spans="1:7" x14ac:dyDescent="0.25">
      <c r="A19" s="107" t="s">
        <v>224</v>
      </c>
      <c r="B19" s="92" t="s">
        <v>232</v>
      </c>
      <c r="C19" s="65"/>
      <c r="D19" s="65"/>
      <c r="E19" s="65"/>
      <c r="F19" s="65"/>
      <c r="G19" s="65"/>
    </row>
    <row r="20" spans="1:7" x14ac:dyDescent="0.25">
      <c r="A20" s="109" t="s">
        <v>155</v>
      </c>
      <c r="B20" s="105" t="s">
        <v>225</v>
      </c>
      <c r="C20" s="65"/>
      <c r="D20" s="65"/>
      <c r="E20" s="65"/>
      <c r="F20" s="65"/>
      <c r="G20" s="65"/>
    </row>
    <row r="21" spans="1:7" x14ac:dyDescent="0.25">
      <c r="A21" s="109" t="s">
        <v>163</v>
      </c>
      <c r="B21" s="108" t="s">
        <v>233</v>
      </c>
      <c r="C21" s="65"/>
      <c r="D21" s="65"/>
      <c r="E21" s="65"/>
      <c r="F21" s="65"/>
      <c r="G21" s="65"/>
    </row>
    <row r="22" spans="1:7" x14ac:dyDescent="0.25">
      <c r="A22" s="65"/>
      <c r="B22" s="108" t="s">
        <v>234</v>
      </c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  <row r="29" spans="1:7" x14ac:dyDescent="0.25">
      <c r="A29" s="65"/>
      <c r="B29" s="65"/>
      <c r="C29" s="65"/>
      <c r="D29" s="65"/>
      <c r="E29" s="65"/>
      <c r="F29" s="65"/>
      <c r="G29" s="65"/>
    </row>
  </sheetData>
  <sheetProtection algorithmName="SHA-512" hashValue="oWhumdgxEo4+O2xZXjUeplHTGBcDJD/KksqOQnMA+7LB7WBvrZ0W+b9wq0weKF7caQraFjpOxMNHyNcR+NdwwA==" saltValue="B+XQ3kNNRqLVmh/ageHd4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="85" zoomScaleNormal="85" workbookViewId="0">
      <selection activeCell="G35" sqref="G35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167</v>
      </c>
    </row>
    <row r="3" spans="1:9" x14ac:dyDescent="0.25">
      <c r="A3" s="57" t="s">
        <v>268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x14ac:dyDescent="0.25">
      <c r="A8" s="8"/>
      <c r="B8" s="11" t="s">
        <v>215</v>
      </c>
      <c r="C8" s="11" t="s">
        <v>216</v>
      </c>
      <c r="D8" s="11" t="s">
        <v>258</v>
      </c>
      <c r="E8" s="11"/>
      <c r="F8" s="8"/>
      <c r="G8" s="11" t="s">
        <v>215</v>
      </c>
      <c r="H8" s="11" t="s">
        <v>216</v>
      </c>
      <c r="I8" s="5" t="s">
        <v>258</v>
      </c>
    </row>
    <row r="9" spans="1:9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6"/>
      <c r="I9" s="3"/>
    </row>
    <row r="10" spans="1:9" x14ac:dyDescent="0.25">
      <c r="A10" s="17" t="s">
        <v>42</v>
      </c>
      <c r="B10" s="52">
        <v>1159709</v>
      </c>
      <c r="C10" s="54"/>
      <c r="D10" s="58">
        <f>SUM(B10:C10)</f>
        <v>1159709</v>
      </c>
      <c r="E10" s="17"/>
      <c r="F10" s="17" t="s">
        <v>78</v>
      </c>
      <c r="G10" s="52">
        <v>169683</v>
      </c>
      <c r="H10" s="54"/>
      <c r="I10" s="58">
        <f>SUM(G10:H10)</f>
        <v>169683</v>
      </c>
    </row>
    <row r="11" spans="1:9" x14ac:dyDescent="0.25">
      <c r="A11" s="17" t="s">
        <v>134</v>
      </c>
      <c r="B11" s="52">
        <v>865</v>
      </c>
      <c r="C11" s="54"/>
      <c r="D11" s="58">
        <f>SUM(B11:C11)</f>
        <v>865</v>
      </c>
      <c r="E11" s="17"/>
      <c r="F11" s="17" t="s">
        <v>81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43</v>
      </c>
      <c r="B12" s="22"/>
      <c r="C12" s="22"/>
      <c r="D12" s="16"/>
      <c r="E12" s="18"/>
      <c r="F12" s="17" t="s">
        <v>82</v>
      </c>
      <c r="G12" s="52">
        <v>213068</v>
      </c>
      <c r="H12" s="54"/>
      <c r="I12" s="58">
        <f t="shared" si="0"/>
        <v>213068</v>
      </c>
    </row>
    <row r="13" spans="1:9" x14ac:dyDescent="0.25">
      <c r="A13" s="17" t="s">
        <v>44</v>
      </c>
      <c r="B13" s="52"/>
      <c r="C13" s="54"/>
      <c r="D13" s="58">
        <f>SUM(B13:C13)</f>
        <v>0</v>
      </c>
      <c r="E13" s="17"/>
      <c r="F13" s="17" t="s">
        <v>83</v>
      </c>
      <c r="G13" s="52">
        <v>4650</v>
      </c>
      <c r="H13" s="54"/>
      <c r="I13" s="58">
        <f t="shared" si="0"/>
        <v>4650</v>
      </c>
    </row>
    <row r="14" spans="1:9" x14ac:dyDescent="0.25">
      <c r="A14" s="17" t="s">
        <v>47</v>
      </c>
      <c r="B14" s="52">
        <v>179221</v>
      </c>
      <c r="C14" s="54"/>
      <c r="D14" s="58">
        <f>SUM(B14:C14)</f>
        <v>179221</v>
      </c>
      <c r="E14" s="17"/>
      <c r="F14" s="17" t="s">
        <v>84</v>
      </c>
      <c r="G14" s="52">
        <v>98188</v>
      </c>
      <c r="H14" s="54"/>
      <c r="I14" s="58">
        <f t="shared" si="0"/>
        <v>98188</v>
      </c>
    </row>
    <row r="15" spans="1:9" x14ac:dyDescent="0.25">
      <c r="A15" s="17" t="s">
        <v>45</v>
      </c>
      <c r="B15" s="52">
        <v>82377</v>
      </c>
      <c r="C15" s="54"/>
      <c r="D15" s="58">
        <f t="shared" ref="D15" si="1">SUM(B15:C15)</f>
        <v>82377</v>
      </c>
      <c r="E15" s="17"/>
      <c r="F15" s="17" t="s">
        <v>85</v>
      </c>
      <c r="G15" s="52"/>
      <c r="H15" s="54"/>
      <c r="I15" s="58">
        <f t="shared" si="0"/>
        <v>0</v>
      </c>
    </row>
    <row r="16" spans="1:9" x14ac:dyDescent="0.25">
      <c r="A16" s="17" t="s">
        <v>46</v>
      </c>
      <c r="B16" s="22"/>
      <c r="C16" s="22"/>
      <c r="D16" s="16"/>
      <c r="E16" s="18"/>
      <c r="F16" s="17" t="s">
        <v>86</v>
      </c>
      <c r="G16" s="52"/>
      <c r="H16" s="54"/>
      <c r="I16" s="58">
        <f t="shared" si="0"/>
        <v>0</v>
      </c>
    </row>
    <row r="17" spans="1:9" x14ac:dyDescent="0.25">
      <c r="A17" s="17" t="s">
        <v>44</v>
      </c>
      <c r="B17" s="52">
        <v>46076</v>
      </c>
      <c r="C17" s="54"/>
      <c r="D17" s="58">
        <f>SUM(B17:C17)</f>
        <v>46076</v>
      </c>
      <c r="E17" s="18"/>
      <c r="F17" s="17" t="s">
        <v>87</v>
      </c>
      <c r="G17" s="52"/>
      <c r="H17" s="54"/>
      <c r="I17" s="58">
        <f t="shared" si="0"/>
        <v>0</v>
      </c>
    </row>
    <row r="18" spans="1:9" x14ac:dyDescent="0.25">
      <c r="A18" s="17" t="s">
        <v>47</v>
      </c>
      <c r="B18" s="52">
        <v>183224</v>
      </c>
      <c r="C18" s="54"/>
      <c r="D18" s="58">
        <f t="shared" ref="D18:D24" si="2">SUM(B18:C18)</f>
        <v>183224</v>
      </c>
      <c r="E18" s="17"/>
      <c r="F18" s="17" t="s">
        <v>88</v>
      </c>
      <c r="G18" s="52"/>
      <c r="H18" s="54"/>
      <c r="I18" s="58">
        <f t="shared" si="0"/>
        <v>0</v>
      </c>
    </row>
    <row r="19" spans="1:9" x14ac:dyDescent="0.25">
      <c r="A19" s="17" t="s">
        <v>45</v>
      </c>
      <c r="B19" s="52"/>
      <c r="C19" s="54"/>
      <c r="D19" s="58">
        <f t="shared" si="2"/>
        <v>0</v>
      </c>
      <c r="E19" s="17"/>
      <c r="F19" s="17" t="s">
        <v>89</v>
      </c>
      <c r="G19" s="53">
        <v>52702</v>
      </c>
      <c r="H19" s="113"/>
      <c r="I19" s="59">
        <f t="shared" si="0"/>
        <v>52702</v>
      </c>
    </row>
    <row r="20" spans="1:9" x14ac:dyDescent="0.25">
      <c r="A20" s="17" t="s">
        <v>48</v>
      </c>
      <c r="B20" s="52"/>
      <c r="C20" s="54"/>
      <c r="D20" s="58">
        <f t="shared" si="2"/>
        <v>0</v>
      </c>
      <c r="E20" s="17"/>
      <c r="F20" s="17" t="s">
        <v>109</v>
      </c>
      <c r="G20" s="58">
        <f>SUM(G10:G19)</f>
        <v>538291</v>
      </c>
      <c r="H20" s="58">
        <f>SUM(H10:H19)</f>
        <v>0</v>
      </c>
      <c r="I20" s="58">
        <f t="shared" ref="I20" si="3">SUM(I10:I19)</f>
        <v>538291</v>
      </c>
    </row>
    <row r="21" spans="1:9" x14ac:dyDescent="0.25">
      <c r="A21" s="17" t="s">
        <v>49</v>
      </c>
      <c r="B21" s="52">
        <v>185149</v>
      </c>
      <c r="C21" s="54"/>
      <c r="D21" s="58">
        <f t="shared" si="2"/>
        <v>185149</v>
      </c>
      <c r="E21" s="17"/>
      <c r="F21" s="21" t="s">
        <v>91</v>
      </c>
      <c r="G21" s="13"/>
      <c r="H21" s="17"/>
      <c r="I21" s="14"/>
    </row>
    <row r="22" spans="1:9" x14ac:dyDescent="0.25">
      <c r="A22" s="17" t="s">
        <v>50</v>
      </c>
      <c r="B22" s="52">
        <v>5843</v>
      </c>
      <c r="C22" s="54">
        <v>-5843</v>
      </c>
      <c r="D22" s="58">
        <f t="shared" si="2"/>
        <v>0</v>
      </c>
      <c r="E22" s="17"/>
      <c r="F22" s="17" t="s">
        <v>92</v>
      </c>
      <c r="G22" s="52">
        <v>1102618</v>
      </c>
      <c r="H22" s="54"/>
      <c r="I22" s="58">
        <f>SUM(G22:H22)</f>
        <v>1102618</v>
      </c>
    </row>
    <row r="23" spans="1:9" x14ac:dyDescent="0.25">
      <c r="A23" s="17" t="s">
        <v>51</v>
      </c>
      <c r="B23" s="52"/>
      <c r="C23" s="54"/>
      <c r="D23" s="58">
        <f t="shared" si="2"/>
        <v>0</v>
      </c>
      <c r="E23" s="17"/>
      <c r="F23" s="17" t="s">
        <v>93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52</v>
      </c>
      <c r="B24" s="53">
        <v>71882</v>
      </c>
      <c r="C24" s="113"/>
      <c r="D24" s="59">
        <f t="shared" si="2"/>
        <v>71882</v>
      </c>
      <c r="E24" s="17"/>
      <c r="F24" s="17" t="s">
        <v>94</v>
      </c>
      <c r="G24" s="52"/>
      <c r="H24" s="54"/>
      <c r="I24" s="58">
        <f t="shared" si="4"/>
        <v>0</v>
      </c>
    </row>
    <row r="25" spans="1:9" x14ac:dyDescent="0.25">
      <c r="A25" s="17" t="s">
        <v>41</v>
      </c>
      <c r="B25" s="58">
        <f>B10+B11+B13+B14+B15+B17+B18+B19+B20+B21+B22+B23+B24</f>
        <v>1914346</v>
      </c>
      <c r="C25" s="58">
        <f>C10+C11+C13+C14+C15+C17+C18+C19+C20+C21+C22+C23+C24</f>
        <v>-5843</v>
      </c>
      <c r="D25" s="58">
        <f t="shared" ref="D25" si="5">D10+D11+D13+D14+D15+D17+D18+D19+D20+D21+D22+D23+D24</f>
        <v>1908503</v>
      </c>
      <c r="E25" s="17"/>
      <c r="F25" s="17" t="s">
        <v>95</v>
      </c>
      <c r="G25" s="52">
        <v>40598</v>
      </c>
      <c r="H25" s="54"/>
      <c r="I25" s="58">
        <f t="shared" si="4"/>
        <v>40598</v>
      </c>
    </row>
    <row r="26" spans="1:9" x14ac:dyDescent="0.25">
      <c r="A26" s="17"/>
      <c r="B26" s="58"/>
      <c r="C26" s="58"/>
      <c r="D26" s="82"/>
      <c r="E26" s="17"/>
      <c r="F26" s="17" t="s">
        <v>96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97</v>
      </c>
      <c r="G27" s="52"/>
      <c r="H27" s="54"/>
      <c r="I27" s="58">
        <f t="shared" si="6"/>
        <v>0</v>
      </c>
    </row>
    <row r="28" spans="1:9" x14ac:dyDescent="0.25">
      <c r="A28" s="21" t="s">
        <v>54</v>
      </c>
      <c r="B28" s="30"/>
      <c r="C28" s="18"/>
      <c r="D28" s="14"/>
      <c r="E28" s="17"/>
      <c r="F28" s="17" t="s">
        <v>135</v>
      </c>
      <c r="G28" s="52"/>
      <c r="H28" s="54"/>
      <c r="I28" s="58">
        <f t="shared" si="6"/>
        <v>0</v>
      </c>
    </row>
    <row r="29" spans="1:9" x14ac:dyDescent="0.25">
      <c r="A29" s="17" t="s">
        <v>59</v>
      </c>
      <c r="B29" s="31"/>
      <c r="C29" s="22"/>
      <c r="D29" s="16"/>
      <c r="E29" s="18"/>
      <c r="F29" s="17" t="s">
        <v>98</v>
      </c>
      <c r="G29" s="52"/>
      <c r="H29" s="54"/>
      <c r="I29" s="58">
        <f t="shared" si="6"/>
        <v>0</v>
      </c>
    </row>
    <row r="30" spans="1:9" x14ac:dyDescent="0.25">
      <c r="A30" s="17" t="s">
        <v>55</v>
      </c>
      <c r="B30" s="52"/>
      <c r="C30" s="54"/>
      <c r="D30" s="58">
        <f>SUM(B30:C30)</f>
        <v>0</v>
      </c>
      <c r="E30" s="17"/>
      <c r="F30" s="17" t="s">
        <v>99</v>
      </c>
      <c r="G30" s="52"/>
      <c r="H30" s="54"/>
      <c r="I30" s="58">
        <f t="shared" si="6"/>
        <v>0</v>
      </c>
    </row>
    <row r="31" spans="1:9" x14ac:dyDescent="0.25">
      <c r="A31" s="17" t="s">
        <v>56</v>
      </c>
      <c r="B31" s="52"/>
      <c r="C31" s="54"/>
      <c r="D31" s="58">
        <f>SUM(B31:C31)</f>
        <v>0</v>
      </c>
      <c r="E31" s="17"/>
      <c r="F31" s="17" t="s">
        <v>100</v>
      </c>
      <c r="G31" s="53"/>
      <c r="H31" s="113"/>
      <c r="I31" s="59">
        <f t="shared" si="6"/>
        <v>0</v>
      </c>
    </row>
    <row r="32" spans="1:9" x14ac:dyDescent="0.25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1143216</v>
      </c>
      <c r="H32" s="121">
        <f>SUM(H22:H31)</f>
        <v>0</v>
      </c>
      <c r="I32" s="121">
        <f>SUM(I22:I31)</f>
        <v>1143216</v>
      </c>
    </row>
    <row r="33" spans="1:9" x14ac:dyDescent="0.25">
      <c r="A33" s="17" t="s">
        <v>57</v>
      </c>
      <c r="B33" s="52"/>
      <c r="C33" s="54"/>
      <c r="D33" s="58">
        <f>SUM(B33:C33)</f>
        <v>0</v>
      </c>
      <c r="E33" s="17"/>
      <c r="F33" s="21" t="s">
        <v>102</v>
      </c>
      <c r="G33" s="17"/>
      <c r="H33" s="17"/>
      <c r="I33" s="17"/>
    </row>
    <row r="34" spans="1:9" x14ac:dyDescent="0.25">
      <c r="A34" s="17" t="s">
        <v>58</v>
      </c>
      <c r="B34" s="52">
        <v>291118</v>
      </c>
      <c r="C34" s="54"/>
      <c r="D34" s="58">
        <f t="shared" ref="D34:D38" si="7">SUM(B34:C34)</f>
        <v>291118</v>
      </c>
      <c r="E34" s="17"/>
      <c r="F34" s="17" t="s">
        <v>103</v>
      </c>
      <c r="G34" s="52">
        <v>0</v>
      </c>
      <c r="H34" s="54">
        <v>0</v>
      </c>
      <c r="I34" s="58">
        <f>SUM(G34:H34)</f>
        <v>0</v>
      </c>
    </row>
    <row r="35" spans="1:9" x14ac:dyDescent="0.25">
      <c r="A35" s="17" t="s">
        <v>158</v>
      </c>
      <c r="B35" s="52"/>
      <c r="C35" s="69">
        <f>-1*(C25+C30+C31+C33+C34+C36+C37+C38+C47)</f>
        <v>29850</v>
      </c>
      <c r="D35" s="58">
        <f t="shared" si="7"/>
        <v>29850</v>
      </c>
      <c r="E35" s="17"/>
      <c r="F35" s="18" t="s">
        <v>236</v>
      </c>
      <c r="G35" s="52">
        <v>335110</v>
      </c>
      <c r="H35" s="54">
        <v>-1908</v>
      </c>
      <c r="I35" s="58">
        <f>SUM(G35:H35)</f>
        <v>333202</v>
      </c>
    </row>
    <row r="36" spans="1:9" x14ac:dyDescent="0.25">
      <c r="A36" s="17" t="s">
        <v>62</v>
      </c>
      <c r="B36" s="52"/>
      <c r="C36" s="54"/>
      <c r="D36" s="58">
        <f t="shared" si="7"/>
        <v>0</v>
      </c>
      <c r="E36" s="17"/>
      <c r="F36" s="17" t="s">
        <v>263</v>
      </c>
      <c r="G36" s="52"/>
      <c r="H36" s="114"/>
      <c r="I36" s="58">
        <f t="shared" ref="I36:I37" si="8">SUM(G36:H36)</f>
        <v>0</v>
      </c>
    </row>
    <row r="37" spans="1:9" x14ac:dyDescent="0.25">
      <c r="A37" s="17" t="s">
        <v>63</v>
      </c>
      <c r="B37" s="52"/>
      <c r="C37" s="54"/>
      <c r="D37" s="58">
        <f t="shared" si="7"/>
        <v>0</v>
      </c>
      <c r="E37" s="17"/>
      <c r="F37" s="17" t="s">
        <v>235</v>
      </c>
      <c r="G37" s="53"/>
      <c r="H37" s="113"/>
      <c r="I37" s="59">
        <f t="shared" si="8"/>
        <v>0</v>
      </c>
    </row>
    <row r="38" spans="1:9" x14ac:dyDescent="0.25">
      <c r="A38" s="17" t="s">
        <v>64</v>
      </c>
      <c r="B38" s="53"/>
      <c r="C38" s="113"/>
      <c r="D38" s="59">
        <f t="shared" si="7"/>
        <v>0</v>
      </c>
      <c r="E38" s="17"/>
      <c r="F38" s="17" t="s">
        <v>237</v>
      </c>
      <c r="G38" s="58">
        <f>SUM(G34:G37)</f>
        <v>335110</v>
      </c>
      <c r="H38" s="58">
        <f>SUM(H34:H37)</f>
        <v>-1908</v>
      </c>
      <c r="I38" s="58">
        <f>SUM(I34:I37)</f>
        <v>333202</v>
      </c>
    </row>
    <row r="39" spans="1:9" x14ac:dyDescent="0.25">
      <c r="A39" s="17" t="s">
        <v>65</v>
      </c>
      <c r="B39" s="58">
        <f>B30+B31+B33+B34+B35+B36+B37+B38</f>
        <v>291118</v>
      </c>
      <c r="C39" s="58">
        <f>C30+C31+C33+C34+C35+C36+C37+C38</f>
        <v>29850</v>
      </c>
      <c r="D39" s="58">
        <f>D30+D31+D33+D34+D35+D36+D37+D38</f>
        <v>320968</v>
      </c>
      <c r="E39" s="17"/>
      <c r="F39" s="21" t="s">
        <v>104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238</v>
      </c>
      <c r="G40" s="52">
        <v>2666346</v>
      </c>
      <c r="H40" s="22"/>
      <c r="I40" s="58">
        <f>SUM(G40:H40)</f>
        <v>2666346</v>
      </c>
    </row>
    <row r="41" spans="1:9" x14ac:dyDescent="0.25">
      <c r="A41" s="21" t="s">
        <v>66</v>
      </c>
      <c r="B41" s="17"/>
      <c r="C41" s="17"/>
      <c r="D41" s="14"/>
      <c r="E41" s="17"/>
      <c r="F41" s="17" t="s">
        <v>239</v>
      </c>
      <c r="G41" s="52"/>
      <c r="H41" s="22"/>
      <c r="I41" s="58">
        <f t="shared" ref="I41:I46" si="9">SUM(G41:H41)</f>
        <v>0</v>
      </c>
    </row>
    <row r="42" spans="1:9" x14ac:dyDescent="0.25">
      <c r="A42" s="17" t="s">
        <v>166</v>
      </c>
      <c r="B42" s="52">
        <v>16754233</v>
      </c>
      <c r="C42" s="52">
        <v>-95412</v>
      </c>
      <c r="D42" s="58">
        <f>SUM(B42:C42)</f>
        <v>16658821</v>
      </c>
      <c r="E42" s="17"/>
      <c r="F42" s="17" t="s">
        <v>240</v>
      </c>
      <c r="G42" s="52"/>
      <c r="H42" s="22"/>
      <c r="I42" s="58">
        <f t="shared" si="9"/>
        <v>0</v>
      </c>
    </row>
    <row r="43" spans="1:9" x14ac:dyDescent="0.25">
      <c r="A43" s="17" t="s">
        <v>68</v>
      </c>
      <c r="B43" s="52">
        <v>1250</v>
      </c>
      <c r="C43" s="52">
        <v>-1250</v>
      </c>
      <c r="D43" s="58">
        <f t="shared" ref="D43:D46" si="10">SUM(B43:C43)</f>
        <v>0</v>
      </c>
      <c r="E43" s="17"/>
      <c r="F43" s="17" t="s">
        <v>246</v>
      </c>
      <c r="G43" s="52"/>
      <c r="H43" s="22"/>
      <c r="I43" s="58">
        <f t="shared" si="9"/>
        <v>0</v>
      </c>
    </row>
    <row r="44" spans="1:9" x14ac:dyDescent="0.25">
      <c r="A44" s="17" t="s">
        <v>69</v>
      </c>
      <c r="B44" s="52">
        <v>99076</v>
      </c>
      <c r="C44" s="52"/>
      <c r="D44" s="58">
        <f t="shared" si="10"/>
        <v>99076</v>
      </c>
      <c r="E44" s="17"/>
      <c r="F44" s="17" t="s">
        <v>241</v>
      </c>
      <c r="G44" s="52"/>
      <c r="H44" s="22"/>
      <c r="I44" s="58">
        <f t="shared" si="9"/>
        <v>0</v>
      </c>
    </row>
    <row r="45" spans="1:9" x14ac:dyDescent="0.25">
      <c r="A45" s="17" t="s">
        <v>70</v>
      </c>
      <c r="B45" s="52"/>
      <c r="C45" s="52"/>
      <c r="D45" s="58">
        <f t="shared" si="10"/>
        <v>0</v>
      </c>
      <c r="E45" s="17"/>
      <c r="F45" s="17" t="s">
        <v>242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-14576779</v>
      </c>
      <c r="C46" s="53">
        <v>72655</v>
      </c>
      <c r="D46" s="59">
        <f t="shared" si="10"/>
        <v>-14504124</v>
      </c>
      <c r="E46" s="17"/>
      <c r="F46" s="17" t="s">
        <v>243</v>
      </c>
      <c r="G46" s="53">
        <v>-199719</v>
      </c>
      <c r="H46" s="95">
        <f>-1*(H20+H32+H38)</f>
        <v>1908</v>
      </c>
      <c r="I46" s="59">
        <f t="shared" si="9"/>
        <v>-197811</v>
      </c>
    </row>
    <row r="47" spans="1:9" x14ac:dyDescent="0.25">
      <c r="A47" s="17" t="s">
        <v>71</v>
      </c>
      <c r="B47" s="58">
        <f>B42+B43+B44+B45+B46</f>
        <v>2277780</v>
      </c>
      <c r="C47" s="58">
        <f t="shared" ref="C47:D47" si="11">C42+C43+C44+C45+C46</f>
        <v>-24007</v>
      </c>
      <c r="D47" s="58">
        <f t="shared" si="11"/>
        <v>2253773</v>
      </c>
      <c r="E47" s="17"/>
      <c r="F47" s="17" t="s">
        <v>244</v>
      </c>
      <c r="G47" s="58">
        <f>SUM(G40:G46)</f>
        <v>2466627</v>
      </c>
      <c r="H47" s="61">
        <f t="shared" ref="H47:I47" si="12">SUM(H40:H46)</f>
        <v>1908</v>
      </c>
      <c r="I47" s="58">
        <f t="shared" si="12"/>
        <v>2468535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3" t="s">
        <v>204</v>
      </c>
      <c r="B49" s="60">
        <f>B25+B39+B47</f>
        <v>4483244</v>
      </c>
      <c r="C49" s="60">
        <f>C25+C39+C47</f>
        <v>0</v>
      </c>
      <c r="D49" s="60">
        <f>D25+D39+D47</f>
        <v>4483244</v>
      </c>
      <c r="E49" s="19"/>
      <c r="F49" s="83" t="s">
        <v>248</v>
      </c>
      <c r="G49" s="60">
        <f>G20+G32+G38+G47</f>
        <v>4483244</v>
      </c>
      <c r="H49" s="60">
        <f>H20+H32+H38+H47</f>
        <v>0</v>
      </c>
      <c r="I49" s="60">
        <f>I20+I32+I38+I47</f>
        <v>4483244</v>
      </c>
    </row>
    <row r="50" spans="1:9" ht="15.75" thickTop="1" x14ac:dyDescent="0.25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25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25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25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25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opLeftCell="A10" zoomScale="85" zoomScaleNormal="85" workbookViewId="0">
      <selection activeCell="C42" sqref="C42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167</v>
      </c>
    </row>
    <row r="3" spans="1:9" x14ac:dyDescent="0.25">
      <c r="A3" s="57" t="str">
        <f>PriorYearBalanceSheet!A3</f>
        <v>PEND OREILLE TELEPHONE COMPANY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x14ac:dyDescent="0.25">
      <c r="A8" s="8"/>
      <c r="B8" s="11" t="s">
        <v>249</v>
      </c>
      <c r="C8" s="11" t="s">
        <v>250</v>
      </c>
      <c r="D8" s="11" t="s">
        <v>259</v>
      </c>
      <c r="E8" s="11"/>
      <c r="F8" s="8"/>
      <c r="G8" s="11" t="s">
        <v>249</v>
      </c>
      <c r="H8" s="11" t="s">
        <v>250</v>
      </c>
      <c r="I8" s="5" t="s">
        <v>259</v>
      </c>
    </row>
    <row r="9" spans="1:9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115"/>
      <c r="I9" s="3"/>
    </row>
    <row r="10" spans="1:9" x14ac:dyDescent="0.25">
      <c r="A10" s="17" t="s">
        <v>42</v>
      </c>
      <c r="B10" s="52">
        <v>1086322</v>
      </c>
      <c r="C10" s="54"/>
      <c r="D10" s="58">
        <f>SUM(B10:C10)</f>
        <v>1086322</v>
      </c>
      <c r="E10" s="17"/>
      <c r="F10" s="17" t="s">
        <v>78</v>
      </c>
      <c r="G10" s="52">
        <v>101383</v>
      </c>
      <c r="H10" s="54"/>
      <c r="I10" s="58">
        <f>SUM(G10:H10)</f>
        <v>101383</v>
      </c>
    </row>
    <row r="11" spans="1:9" x14ac:dyDescent="0.25">
      <c r="A11" s="17" t="s">
        <v>134</v>
      </c>
      <c r="B11" s="52"/>
      <c r="C11" s="54"/>
      <c r="D11" s="58">
        <f>SUM(B11:C11)</f>
        <v>0</v>
      </c>
      <c r="E11" s="17"/>
      <c r="F11" s="17" t="s">
        <v>81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43</v>
      </c>
      <c r="B12" s="22"/>
      <c r="C12" s="22"/>
      <c r="D12" s="16"/>
      <c r="E12" s="18"/>
      <c r="F12" s="17" t="s">
        <v>82</v>
      </c>
      <c r="G12" s="52">
        <v>245213</v>
      </c>
      <c r="H12" s="54"/>
      <c r="I12" s="58">
        <f t="shared" si="0"/>
        <v>245213</v>
      </c>
    </row>
    <row r="13" spans="1:9" x14ac:dyDescent="0.25">
      <c r="A13" s="17" t="s">
        <v>44</v>
      </c>
      <c r="B13" s="52">
        <v>262136</v>
      </c>
      <c r="C13" s="54"/>
      <c r="D13" s="58">
        <f>SUM(B13:C13)</f>
        <v>262136</v>
      </c>
      <c r="E13" s="17"/>
      <c r="F13" s="17" t="s">
        <v>83</v>
      </c>
      <c r="G13" s="52">
        <v>5880</v>
      </c>
      <c r="H13" s="54"/>
      <c r="I13" s="58">
        <f t="shared" si="0"/>
        <v>5880</v>
      </c>
    </row>
    <row r="14" spans="1:9" x14ac:dyDescent="0.25">
      <c r="A14" s="17" t="s">
        <v>47</v>
      </c>
      <c r="B14" s="52">
        <v>143105</v>
      </c>
      <c r="C14" s="54"/>
      <c r="D14" s="58">
        <f t="shared" ref="D14:D15" si="1">SUM(B14:C14)</f>
        <v>143105</v>
      </c>
      <c r="E14" s="17"/>
      <c r="F14" s="17" t="s">
        <v>84</v>
      </c>
      <c r="G14" s="52">
        <v>103223</v>
      </c>
      <c r="H14" s="54"/>
      <c r="I14" s="58">
        <f t="shared" si="0"/>
        <v>103223</v>
      </c>
    </row>
    <row r="15" spans="1:9" x14ac:dyDescent="0.25">
      <c r="A15" s="17" t="s">
        <v>45</v>
      </c>
      <c r="B15" s="52"/>
      <c r="C15" s="54"/>
      <c r="D15" s="58">
        <f t="shared" si="1"/>
        <v>0</v>
      </c>
      <c r="E15" s="17"/>
      <c r="F15" s="17" t="s">
        <v>85</v>
      </c>
      <c r="G15" s="52"/>
      <c r="H15" s="54"/>
      <c r="I15" s="58">
        <f t="shared" si="0"/>
        <v>0</v>
      </c>
    </row>
    <row r="16" spans="1:9" x14ac:dyDescent="0.25">
      <c r="A16" s="17" t="s">
        <v>46</v>
      </c>
      <c r="B16" s="22"/>
      <c r="C16" s="22"/>
      <c r="D16" s="16"/>
      <c r="E16" s="18"/>
      <c r="F16" s="17" t="s">
        <v>86</v>
      </c>
      <c r="G16" s="52"/>
      <c r="H16" s="54"/>
      <c r="I16" s="58">
        <f t="shared" si="0"/>
        <v>0</v>
      </c>
    </row>
    <row r="17" spans="1:9" x14ac:dyDescent="0.25">
      <c r="A17" s="17" t="s">
        <v>44</v>
      </c>
      <c r="B17" s="52"/>
      <c r="C17" s="54"/>
      <c r="D17" s="58">
        <f>SUM(B17:C17)</f>
        <v>0</v>
      </c>
      <c r="E17" s="18"/>
      <c r="F17" s="17" t="s">
        <v>87</v>
      </c>
      <c r="G17" s="52"/>
      <c r="H17" s="54"/>
      <c r="I17" s="58">
        <f t="shared" si="0"/>
        <v>0</v>
      </c>
    </row>
    <row r="18" spans="1:9" x14ac:dyDescent="0.25">
      <c r="A18" s="17" t="s">
        <v>47</v>
      </c>
      <c r="B18" s="52"/>
      <c r="C18" s="54"/>
      <c r="D18" s="58">
        <f t="shared" ref="D18:D24" si="2">SUM(B18:C18)</f>
        <v>0</v>
      </c>
      <c r="E18" s="17"/>
      <c r="F18" s="17" t="s">
        <v>88</v>
      </c>
      <c r="G18" s="52"/>
      <c r="H18" s="54"/>
      <c r="I18" s="58">
        <f t="shared" si="0"/>
        <v>0</v>
      </c>
    </row>
    <row r="19" spans="1:9" x14ac:dyDescent="0.25">
      <c r="A19" s="17" t="s">
        <v>45</v>
      </c>
      <c r="B19" s="52">
        <v>84039</v>
      </c>
      <c r="C19" s="54"/>
      <c r="D19" s="58">
        <f t="shared" si="2"/>
        <v>84039</v>
      </c>
      <c r="E19" s="17"/>
      <c r="F19" s="17" t="s">
        <v>89</v>
      </c>
      <c r="G19" s="53">
        <v>116833</v>
      </c>
      <c r="H19" s="113"/>
      <c r="I19" s="59">
        <f t="shared" si="0"/>
        <v>116833</v>
      </c>
    </row>
    <row r="20" spans="1:9" x14ac:dyDescent="0.25">
      <c r="A20" s="17" t="s">
        <v>48</v>
      </c>
      <c r="B20" s="52"/>
      <c r="C20" s="54"/>
      <c r="D20" s="58">
        <f t="shared" si="2"/>
        <v>0</v>
      </c>
      <c r="E20" s="17"/>
      <c r="F20" s="17" t="s">
        <v>109</v>
      </c>
      <c r="G20" s="58">
        <f>SUM(G10:G19)</f>
        <v>572532</v>
      </c>
      <c r="H20" s="58">
        <f>SUM(H10:H19)</f>
        <v>0</v>
      </c>
      <c r="I20" s="58">
        <f t="shared" ref="I20" si="3">SUM(I10:I19)</f>
        <v>572532</v>
      </c>
    </row>
    <row r="21" spans="1:9" x14ac:dyDescent="0.25">
      <c r="A21" s="17" t="s">
        <v>49</v>
      </c>
      <c r="B21" s="52">
        <v>223710</v>
      </c>
      <c r="C21" s="54">
        <v>-7895</v>
      </c>
      <c r="D21" s="58">
        <f t="shared" si="2"/>
        <v>215815</v>
      </c>
      <c r="E21" s="17"/>
      <c r="F21" s="21" t="s">
        <v>91</v>
      </c>
      <c r="G21" s="13"/>
      <c r="H21" s="17"/>
      <c r="I21" s="14"/>
    </row>
    <row r="22" spans="1:9" x14ac:dyDescent="0.25">
      <c r="A22" s="17" t="s">
        <v>50</v>
      </c>
      <c r="B22" s="52"/>
      <c r="C22" s="54"/>
      <c r="D22" s="58">
        <f t="shared" si="2"/>
        <v>0</v>
      </c>
      <c r="E22" s="17"/>
      <c r="F22" s="17" t="s">
        <v>92</v>
      </c>
      <c r="G22" s="52">
        <v>1294192</v>
      </c>
      <c r="H22" s="54"/>
      <c r="I22" s="58">
        <f>SUM(G22:H22)</f>
        <v>1294192</v>
      </c>
    </row>
    <row r="23" spans="1:9" x14ac:dyDescent="0.25">
      <c r="A23" s="17" t="s">
        <v>51</v>
      </c>
      <c r="B23" s="52"/>
      <c r="C23" s="54"/>
      <c r="D23" s="58">
        <f t="shared" si="2"/>
        <v>0</v>
      </c>
      <c r="E23" s="17"/>
      <c r="F23" s="17" t="s">
        <v>93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52</v>
      </c>
      <c r="B24" s="53"/>
      <c r="C24" s="113"/>
      <c r="D24" s="59">
        <f t="shared" si="2"/>
        <v>0</v>
      </c>
      <c r="E24" s="17"/>
      <c r="F24" s="17" t="s">
        <v>94</v>
      </c>
      <c r="G24" s="52"/>
      <c r="H24" s="54"/>
      <c r="I24" s="58">
        <f t="shared" si="4"/>
        <v>0</v>
      </c>
    </row>
    <row r="25" spans="1:9" x14ac:dyDescent="0.25">
      <c r="A25" s="17" t="s">
        <v>41</v>
      </c>
      <c r="B25" s="58">
        <f>B10+B11+B13+B14+B15+B17+B18+B19+B20+B21+B22+B23+B24</f>
        <v>1799312</v>
      </c>
      <c r="C25" s="58">
        <f>C10+C11+C13+C14+C15+C17+C18+C19+C20+C21+C22+C23+C24</f>
        <v>-7895</v>
      </c>
      <c r="D25" s="58">
        <f t="shared" ref="D25" si="5">D10+D11+D13+D14+D15+D17+D18+D19+D20+D21+D22+D23+D24</f>
        <v>1791417</v>
      </c>
      <c r="E25" s="17"/>
      <c r="F25" s="17" t="s">
        <v>95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2"/>
      <c r="E26" s="17"/>
      <c r="F26" s="17" t="s">
        <v>96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97</v>
      </c>
      <c r="G27" s="52"/>
      <c r="H27" s="54"/>
      <c r="I27" s="58">
        <f t="shared" si="6"/>
        <v>0</v>
      </c>
    </row>
    <row r="28" spans="1:9" x14ac:dyDescent="0.25">
      <c r="A28" s="21" t="s">
        <v>54</v>
      </c>
      <c r="B28" s="30"/>
      <c r="C28" s="18"/>
      <c r="D28" s="14"/>
      <c r="E28" s="17"/>
      <c r="F28" s="17" t="s">
        <v>135</v>
      </c>
      <c r="G28" s="52"/>
      <c r="H28" s="54"/>
      <c r="I28" s="58">
        <f t="shared" si="6"/>
        <v>0</v>
      </c>
    </row>
    <row r="29" spans="1:9" x14ac:dyDescent="0.25">
      <c r="A29" s="17" t="s">
        <v>59</v>
      </c>
      <c r="B29" s="31"/>
      <c r="C29" s="22"/>
      <c r="D29" s="16"/>
      <c r="E29" s="18"/>
      <c r="F29" s="17" t="s">
        <v>98</v>
      </c>
      <c r="G29" s="52"/>
      <c r="H29" s="54"/>
      <c r="I29" s="58">
        <f t="shared" si="6"/>
        <v>0</v>
      </c>
    </row>
    <row r="30" spans="1:9" x14ac:dyDescent="0.25">
      <c r="A30" s="17" t="s">
        <v>55</v>
      </c>
      <c r="B30" s="52"/>
      <c r="C30" s="54"/>
      <c r="D30" s="58">
        <f>SUM(B30:C30)</f>
        <v>0</v>
      </c>
      <c r="E30" s="17"/>
      <c r="F30" s="17" t="s">
        <v>99</v>
      </c>
      <c r="G30" s="52"/>
      <c r="H30" s="54"/>
      <c r="I30" s="58">
        <f t="shared" si="6"/>
        <v>0</v>
      </c>
    </row>
    <row r="31" spans="1:9" x14ac:dyDescent="0.25">
      <c r="A31" s="17" t="s">
        <v>56</v>
      </c>
      <c r="B31" s="52"/>
      <c r="C31" s="54"/>
      <c r="D31" s="58">
        <f>SUM(B31:C31)</f>
        <v>0</v>
      </c>
      <c r="E31" s="17"/>
      <c r="F31" s="17" t="s">
        <v>100</v>
      </c>
      <c r="G31" s="53">
        <v>40598</v>
      </c>
      <c r="H31" s="113">
        <v>0</v>
      </c>
      <c r="I31" s="59">
        <f t="shared" si="6"/>
        <v>40598</v>
      </c>
    </row>
    <row r="32" spans="1:9" x14ac:dyDescent="0.25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1334790</v>
      </c>
      <c r="H32" s="82">
        <f>SUM(H22:H31)</f>
        <v>0</v>
      </c>
      <c r="I32" s="58">
        <f>SUM(I22:I31)</f>
        <v>1334790</v>
      </c>
    </row>
    <row r="33" spans="1:11" x14ac:dyDescent="0.25">
      <c r="A33" s="17" t="s">
        <v>57</v>
      </c>
      <c r="B33" s="52">
        <v>245972</v>
      </c>
      <c r="C33" s="54"/>
      <c r="D33" s="58">
        <f>SUM(B33:C33)</f>
        <v>245972</v>
      </c>
      <c r="E33" s="17"/>
      <c r="F33" s="21" t="s">
        <v>102</v>
      </c>
      <c r="G33" s="17"/>
      <c r="H33" s="14"/>
      <c r="I33" s="14"/>
    </row>
    <row r="34" spans="1:11" x14ac:dyDescent="0.25">
      <c r="A34" s="17" t="s">
        <v>58</v>
      </c>
      <c r="B34" s="52"/>
      <c r="C34" s="54"/>
      <c r="D34" s="58">
        <f t="shared" ref="D34:D38" si="7">SUM(B34:C34)</f>
        <v>0</v>
      </c>
      <c r="E34" s="17"/>
      <c r="F34" s="17" t="s">
        <v>103</v>
      </c>
      <c r="G34" s="52"/>
      <c r="H34" s="118"/>
      <c r="I34" s="58">
        <f>SUM(G34:H34)</f>
        <v>0</v>
      </c>
    </row>
    <row r="35" spans="1:11" x14ac:dyDescent="0.25">
      <c r="A35" s="17" t="s">
        <v>158</v>
      </c>
      <c r="B35" s="52"/>
      <c r="C35" s="69">
        <f>-1*(C25+C30+C31+C33+C34+C36+C37+C38+C47)</f>
        <v>69172</v>
      </c>
      <c r="D35" s="58">
        <f t="shared" si="7"/>
        <v>69172</v>
      </c>
      <c r="E35" s="17"/>
      <c r="F35" s="18" t="s">
        <v>236</v>
      </c>
      <c r="G35" s="52">
        <v>381721</v>
      </c>
      <c r="H35" s="52">
        <f>377930-G35</f>
        <v>-3791</v>
      </c>
      <c r="I35" s="58">
        <f>SUM(G35:H35)</f>
        <v>377930</v>
      </c>
    </row>
    <row r="36" spans="1:11" x14ac:dyDescent="0.25">
      <c r="A36" s="17" t="s">
        <v>62</v>
      </c>
      <c r="B36" s="52"/>
      <c r="C36" s="54"/>
      <c r="D36" s="58">
        <f t="shared" si="7"/>
        <v>0</v>
      </c>
      <c r="E36" s="17"/>
      <c r="F36" s="17" t="s">
        <v>263</v>
      </c>
      <c r="G36" s="52"/>
      <c r="H36" s="119"/>
      <c r="I36" s="58">
        <f t="shared" ref="I36:I37" si="8">SUM(G36:H36)</f>
        <v>0</v>
      </c>
    </row>
    <row r="37" spans="1:11" x14ac:dyDescent="0.25">
      <c r="A37" s="17" t="s">
        <v>63</v>
      </c>
      <c r="B37" s="52"/>
      <c r="C37" s="54"/>
      <c r="D37" s="58">
        <f t="shared" si="7"/>
        <v>0</v>
      </c>
      <c r="E37" s="17"/>
      <c r="F37" s="17" t="s">
        <v>235</v>
      </c>
      <c r="G37" s="53"/>
      <c r="H37" s="120"/>
      <c r="I37" s="59">
        <f t="shared" si="8"/>
        <v>0</v>
      </c>
    </row>
    <row r="38" spans="1:11" x14ac:dyDescent="0.25">
      <c r="A38" s="17" t="s">
        <v>64</v>
      </c>
      <c r="B38" s="53"/>
      <c r="C38" s="113"/>
      <c r="D38" s="59">
        <f t="shared" si="7"/>
        <v>0</v>
      </c>
      <c r="E38" s="17"/>
      <c r="F38" s="17" t="s">
        <v>237</v>
      </c>
      <c r="G38" s="58">
        <f>SUM(G34:G37)</f>
        <v>381721</v>
      </c>
      <c r="H38" s="58">
        <f>SUM(H34:H37)</f>
        <v>-3791</v>
      </c>
      <c r="I38" s="58">
        <f>SUM(I34:I37)</f>
        <v>377930</v>
      </c>
    </row>
    <row r="39" spans="1:11" x14ac:dyDescent="0.25">
      <c r="A39" s="17" t="s">
        <v>65</v>
      </c>
      <c r="B39" s="58">
        <f>B30+B31+B33+B34+B35+B36+B37+B38</f>
        <v>245972</v>
      </c>
      <c r="C39" s="58">
        <f>C30+C31+C33+C34+C35+C36+C37+C38</f>
        <v>69172</v>
      </c>
      <c r="D39" s="58">
        <f t="shared" ref="D39" si="9">D30+D31+D33+D34+D35+D36+D37+D38</f>
        <v>315144</v>
      </c>
      <c r="E39" s="17"/>
      <c r="F39" s="21" t="s">
        <v>104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238</v>
      </c>
      <c r="G40" s="52">
        <v>2666346</v>
      </c>
      <c r="H40" s="22"/>
      <c r="I40" s="58">
        <f>SUM(G40:H40)</f>
        <v>2666346</v>
      </c>
    </row>
    <row r="41" spans="1:11" x14ac:dyDescent="0.25">
      <c r="A41" s="21" t="s">
        <v>66</v>
      </c>
      <c r="B41" s="17"/>
      <c r="C41" s="17"/>
      <c r="D41" s="14"/>
      <c r="E41" s="17"/>
      <c r="F41" s="17" t="s">
        <v>239</v>
      </c>
      <c r="G41" s="52"/>
      <c r="H41" s="22"/>
      <c r="I41" s="58">
        <f t="shared" ref="I41:I46" si="10">SUM(G41:H41)</f>
        <v>0</v>
      </c>
    </row>
    <row r="42" spans="1:11" x14ac:dyDescent="0.25">
      <c r="A42" s="17" t="s">
        <v>166</v>
      </c>
      <c r="B42" s="52">
        <v>17387546</v>
      </c>
      <c r="C42" s="52">
        <f>17214110-B42</f>
        <v>-173436</v>
      </c>
      <c r="D42" s="58">
        <f>SUM(B42:C42)</f>
        <v>17214110</v>
      </c>
      <c r="E42" s="17"/>
      <c r="F42" s="17" t="s">
        <v>240</v>
      </c>
      <c r="G42" s="52"/>
      <c r="H42" s="22"/>
      <c r="I42" s="58">
        <f t="shared" si="10"/>
        <v>0</v>
      </c>
    </row>
    <row r="43" spans="1:11" x14ac:dyDescent="0.25">
      <c r="A43" s="17" t="s">
        <v>68</v>
      </c>
      <c r="B43" s="52">
        <v>1250</v>
      </c>
      <c r="C43" s="52">
        <v>-1250</v>
      </c>
      <c r="D43" s="58">
        <f t="shared" ref="D43:D46" si="11">SUM(B43:C43)</f>
        <v>0</v>
      </c>
      <c r="E43" s="17"/>
      <c r="F43" s="17" t="s">
        <v>246</v>
      </c>
      <c r="G43" s="52"/>
      <c r="H43" s="22"/>
      <c r="I43" s="58">
        <f t="shared" si="10"/>
        <v>0</v>
      </c>
    </row>
    <row r="44" spans="1:11" x14ac:dyDescent="0.25">
      <c r="A44" s="17" t="s">
        <v>69</v>
      </c>
      <c r="B44" s="52">
        <v>187714</v>
      </c>
      <c r="C44" s="52"/>
      <c r="D44" s="58">
        <f t="shared" si="11"/>
        <v>187714</v>
      </c>
      <c r="E44" s="17"/>
      <c r="F44" s="17" t="s">
        <v>241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70</v>
      </c>
      <c r="B45" s="52"/>
      <c r="C45" s="52"/>
      <c r="D45" s="58">
        <f t="shared" si="11"/>
        <v>0</v>
      </c>
      <c r="E45" s="17"/>
      <c r="F45" s="17" t="s">
        <v>242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-14974712</v>
      </c>
      <c r="C46" s="53">
        <v>113409</v>
      </c>
      <c r="D46" s="59">
        <f t="shared" si="11"/>
        <v>-14861303</v>
      </c>
      <c r="E46" s="17"/>
      <c r="F46" s="17" t="s">
        <v>243</v>
      </c>
      <c r="G46" s="53">
        <v>-308306</v>
      </c>
      <c r="H46" s="95">
        <f>-1*(H20+H32+H38)</f>
        <v>3791</v>
      </c>
      <c r="I46" s="59">
        <f t="shared" si="10"/>
        <v>-304515</v>
      </c>
    </row>
    <row r="47" spans="1:11" x14ac:dyDescent="0.25">
      <c r="A47" s="17" t="s">
        <v>71</v>
      </c>
      <c r="B47" s="58">
        <f>B42+B43+B44+B45+B46</f>
        <v>2601798</v>
      </c>
      <c r="C47" s="58">
        <f t="shared" ref="C47:D47" si="12">C42+C43+C44+C45+C46</f>
        <v>-61277</v>
      </c>
      <c r="D47" s="58">
        <f t="shared" si="12"/>
        <v>2540521</v>
      </c>
      <c r="E47" s="17"/>
      <c r="F47" s="17" t="s">
        <v>244</v>
      </c>
      <c r="G47" s="58">
        <f>SUM(G40:G46)</f>
        <v>2358040</v>
      </c>
      <c r="H47" s="61">
        <f t="shared" ref="H47:I47" si="13">SUM(H40:H46)</f>
        <v>3791</v>
      </c>
      <c r="I47" s="58">
        <f t="shared" si="13"/>
        <v>2361831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3" t="s">
        <v>204</v>
      </c>
      <c r="B49" s="60">
        <f>B25+B39+B47</f>
        <v>4647082</v>
      </c>
      <c r="C49" s="60">
        <f t="shared" ref="C49:D49" si="14">C25+C39+C47</f>
        <v>0</v>
      </c>
      <c r="D49" s="60">
        <f t="shared" si="14"/>
        <v>4647082</v>
      </c>
      <c r="E49" s="19"/>
      <c r="F49" s="83" t="s">
        <v>247</v>
      </c>
      <c r="G49" s="60">
        <f>G20+G32+G38+G47</f>
        <v>4647083</v>
      </c>
      <c r="H49" s="60">
        <f>H20+H32+H38+H47</f>
        <v>0</v>
      </c>
      <c r="I49" s="60">
        <f>I20+I32+I38+I47</f>
        <v>4647083</v>
      </c>
    </row>
    <row r="50" spans="1:9" ht="15.75" thickTop="1" x14ac:dyDescent="0.25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25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25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25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25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opLeftCell="A16" zoomScaleNormal="100" workbookViewId="0">
      <selection activeCell="C42" sqref="C42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167</v>
      </c>
    </row>
    <row r="3" spans="1:7" x14ac:dyDescent="0.25">
      <c r="A3" s="57" t="str">
        <f>PriorYearBalanceSheet!A3</f>
        <v>PEND OREILLE TELEPHONE COMPANY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111</v>
      </c>
      <c r="C6" s="9" t="s">
        <v>111</v>
      </c>
      <c r="D6" s="9"/>
      <c r="E6" s="6"/>
      <c r="F6" s="9" t="s">
        <v>111</v>
      </c>
      <c r="G6" s="23" t="s">
        <v>111</v>
      </c>
    </row>
    <row r="7" spans="1:7" x14ac:dyDescent="0.25">
      <c r="A7" s="7" t="s">
        <v>76</v>
      </c>
      <c r="B7" s="10" t="s">
        <v>73</v>
      </c>
      <c r="C7" s="10" t="s">
        <v>114</v>
      </c>
      <c r="D7" s="10"/>
      <c r="E7" s="7" t="s">
        <v>75</v>
      </c>
      <c r="F7" s="10" t="s">
        <v>73</v>
      </c>
      <c r="G7" s="4" t="s">
        <v>114</v>
      </c>
    </row>
    <row r="8" spans="1:7" x14ac:dyDescent="0.25">
      <c r="A8" s="8"/>
      <c r="B8" s="11" t="s">
        <v>217</v>
      </c>
      <c r="C8" s="11" t="s">
        <v>253</v>
      </c>
      <c r="D8" s="11"/>
      <c r="E8" s="8"/>
      <c r="F8" s="11" t="s">
        <v>217</v>
      </c>
      <c r="G8" s="5" t="s">
        <v>253</v>
      </c>
    </row>
    <row r="9" spans="1:7" x14ac:dyDescent="0.25">
      <c r="A9" s="20" t="s">
        <v>53</v>
      </c>
      <c r="B9" s="6"/>
      <c r="C9" s="6"/>
      <c r="D9" s="6"/>
      <c r="E9" s="20" t="s">
        <v>77</v>
      </c>
      <c r="F9" s="6"/>
      <c r="G9" s="14"/>
    </row>
    <row r="10" spans="1:7" x14ac:dyDescent="0.25">
      <c r="A10" s="17" t="s">
        <v>42</v>
      </c>
      <c r="B10" s="32">
        <f>PriorYearBalanceSheet!D10</f>
        <v>1159709</v>
      </c>
      <c r="C10" s="32">
        <f>'CurrentYearBalanceSheet '!D10</f>
        <v>1086322</v>
      </c>
      <c r="D10" s="17"/>
      <c r="E10" s="17" t="s">
        <v>78</v>
      </c>
      <c r="F10" s="32">
        <f>PriorYearBalanceSheet!I10</f>
        <v>169683</v>
      </c>
      <c r="G10" s="32">
        <f>'CurrentYearBalanceSheet '!I10</f>
        <v>101383</v>
      </c>
    </row>
    <row r="11" spans="1:7" x14ac:dyDescent="0.25">
      <c r="A11" s="17" t="s">
        <v>134</v>
      </c>
      <c r="B11" s="32">
        <f>PriorYearBalanceSheet!D11</f>
        <v>865</v>
      </c>
      <c r="C11" s="32">
        <f>'CurrentYearBalanceSheet '!D11</f>
        <v>0</v>
      </c>
      <c r="D11" s="17"/>
      <c r="E11" s="17" t="s">
        <v>81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43</v>
      </c>
      <c r="B12" s="22"/>
      <c r="C12" s="22"/>
      <c r="D12" s="18"/>
      <c r="E12" s="17" t="s">
        <v>82</v>
      </c>
      <c r="F12" s="32">
        <f>PriorYearBalanceSheet!I12</f>
        <v>213068</v>
      </c>
      <c r="G12" s="32">
        <f>'CurrentYearBalanceSheet '!I12</f>
        <v>245213</v>
      </c>
    </row>
    <row r="13" spans="1:7" x14ac:dyDescent="0.25">
      <c r="A13" s="17" t="s">
        <v>44</v>
      </c>
      <c r="B13" s="32">
        <f>PriorYearBalanceSheet!D13</f>
        <v>0</v>
      </c>
      <c r="C13" s="32">
        <f>'CurrentYearBalanceSheet '!D13</f>
        <v>262136</v>
      </c>
      <c r="D13" s="17"/>
      <c r="E13" s="17" t="s">
        <v>83</v>
      </c>
      <c r="F13" s="32">
        <f>PriorYearBalanceSheet!I13</f>
        <v>4650</v>
      </c>
      <c r="G13" s="32">
        <f>'CurrentYearBalanceSheet '!I13</f>
        <v>5880</v>
      </c>
    </row>
    <row r="14" spans="1:7" x14ac:dyDescent="0.25">
      <c r="A14" s="17" t="s">
        <v>47</v>
      </c>
      <c r="B14" s="32">
        <f>PriorYearBalanceSheet!D14</f>
        <v>179221</v>
      </c>
      <c r="C14" s="32">
        <f>'CurrentYearBalanceSheet '!D14</f>
        <v>143105</v>
      </c>
      <c r="D14" s="17"/>
      <c r="E14" s="17" t="s">
        <v>84</v>
      </c>
      <c r="F14" s="32">
        <f>PriorYearBalanceSheet!I14</f>
        <v>98188</v>
      </c>
      <c r="G14" s="32">
        <f>'CurrentYearBalanceSheet '!I14</f>
        <v>103223</v>
      </c>
    </row>
    <row r="15" spans="1:7" x14ac:dyDescent="0.25">
      <c r="A15" s="17" t="s">
        <v>45</v>
      </c>
      <c r="B15" s="32">
        <f>PriorYearBalanceSheet!D15</f>
        <v>82377</v>
      </c>
      <c r="C15" s="32">
        <f>'CurrentYearBalanceSheet '!D15</f>
        <v>0</v>
      </c>
      <c r="D15" s="17"/>
      <c r="E15" s="17" t="s">
        <v>85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46</v>
      </c>
      <c r="B16" s="22"/>
      <c r="C16" s="22"/>
      <c r="D16" s="18"/>
      <c r="E16" s="17" t="s">
        <v>86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44</v>
      </c>
      <c r="B17" s="32">
        <f>PriorYearBalanceSheet!D17</f>
        <v>46076</v>
      </c>
      <c r="C17" s="32">
        <f>'CurrentYearBalanceSheet '!D17</f>
        <v>0</v>
      </c>
      <c r="D17" s="17"/>
      <c r="E17" s="17" t="s">
        <v>87</v>
      </c>
      <c r="F17" s="32">
        <f>PriorYearBalanceSheet!I17</f>
        <v>0</v>
      </c>
      <c r="G17" s="32">
        <f>'CurrentYearBalanceSheet '!I17</f>
        <v>0</v>
      </c>
    </row>
    <row r="18" spans="1:7" x14ac:dyDescent="0.25">
      <c r="A18" s="17" t="s">
        <v>47</v>
      </c>
      <c r="B18" s="32">
        <f>PriorYearBalanceSheet!D18</f>
        <v>183224</v>
      </c>
      <c r="C18" s="32">
        <f>'CurrentYearBalanceSheet '!D18</f>
        <v>0</v>
      </c>
      <c r="D18" s="17"/>
      <c r="E18" s="17" t="s">
        <v>88</v>
      </c>
      <c r="F18" s="32">
        <f>PriorYearBalanceSheet!I18</f>
        <v>0</v>
      </c>
      <c r="G18" s="32">
        <f>'CurrentYearBalanceSheet '!I18</f>
        <v>0</v>
      </c>
    </row>
    <row r="19" spans="1:7" x14ac:dyDescent="0.25">
      <c r="A19" s="17" t="s">
        <v>45</v>
      </c>
      <c r="B19" s="32">
        <f>PriorYearBalanceSheet!D19</f>
        <v>0</v>
      </c>
      <c r="C19" s="32">
        <f>'CurrentYearBalanceSheet '!D19</f>
        <v>84039</v>
      </c>
      <c r="D19" s="17"/>
      <c r="E19" s="17" t="s">
        <v>89</v>
      </c>
      <c r="F19" s="33">
        <f>PriorYearBalanceSheet!I19</f>
        <v>52702</v>
      </c>
      <c r="G19" s="32">
        <f>'CurrentYearBalanceSheet '!I19</f>
        <v>116833</v>
      </c>
    </row>
    <row r="20" spans="1:7" x14ac:dyDescent="0.25">
      <c r="A20" s="17" t="s">
        <v>48</v>
      </c>
      <c r="B20" s="32">
        <f>PriorYearBalanceSheet!D20</f>
        <v>0</v>
      </c>
      <c r="C20" s="32">
        <f>'CurrentYearBalanceSheet '!D20</f>
        <v>0</v>
      </c>
      <c r="D20" s="17"/>
      <c r="E20" s="17" t="s">
        <v>90</v>
      </c>
      <c r="F20" s="36">
        <f>SUM(F10:F19)</f>
        <v>538291</v>
      </c>
      <c r="G20" s="35">
        <f>SUM(G10:G19)</f>
        <v>572532</v>
      </c>
    </row>
    <row r="21" spans="1:7" x14ac:dyDescent="0.25">
      <c r="A21" s="17" t="s">
        <v>49</v>
      </c>
      <c r="B21" s="32">
        <f>PriorYearBalanceSheet!D21</f>
        <v>185149</v>
      </c>
      <c r="C21" s="32">
        <f>'CurrentYearBalanceSheet '!D21</f>
        <v>215815</v>
      </c>
      <c r="D21" s="17"/>
      <c r="E21" s="21" t="s">
        <v>91</v>
      </c>
      <c r="F21" s="17"/>
      <c r="G21" s="14"/>
    </row>
    <row r="22" spans="1:7" x14ac:dyDescent="0.25">
      <c r="A22" s="17" t="s">
        <v>50</v>
      </c>
      <c r="B22" s="32">
        <f>PriorYearBalanceSheet!D22</f>
        <v>0</v>
      </c>
      <c r="C22" s="32">
        <f>'CurrentYearBalanceSheet '!D22</f>
        <v>0</v>
      </c>
      <c r="D22" s="17"/>
      <c r="E22" s="17" t="s">
        <v>92</v>
      </c>
      <c r="F22" s="32">
        <f>PriorYearBalanceSheet!I22</f>
        <v>1102618</v>
      </c>
      <c r="G22" s="32">
        <f>'CurrentYearBalanceSheet '!I22</f>
        <v>1294192</v>
      </c>
    </row>
    <row r="23" spans="1:7" x14ac:dyDescent="0.25">
      <c r="A23" s="17" t="s">
        <v>51</v>
      </c>
      <c r="B23" s="32">
        <f>PriorYearBalanceSheet!D23</f>
        <v>0</v>
      </c>
      <c r="C23" s="32">
        <f>'CurrentYearBalanceSheet '!D23</f>
        <v>0</v>
      </c>
      <c r="D23" s="17"/>
      <c r="E23" s="17" t="s">
        <v>93</v>
      </c>
      <c r="F23" s="32">
        <f>PriorYearBalanceSheet!I23</f>
        <v>0</v>
      </c>
      <c r="G23" s="32">
        <f>'CurrentYearBalanceSheet '!I23</f>
        <v>0</v>
      </c>
    </row>
    <row r="24" spans="1:7" x14ac:dyDescent="0.25">
      <c r="A24" s="17" t="s">
        <v>52</v>
      </c>
      <c r="B24" s="33">
        <f>PriorYearBalanceSheet!D24</f>
        <v>71882</v>
      </c>
      <c r="C24" s="33">
        <f>'CurrentYearBalanceSheet '!D24</f>
        <v>0</v>
      </c>
      <c r="D24" s="17"/>
      <c r="E24" s="17" t="s">
        <v>94</v>
      </c>
      <c r="F24" s="32">
        <f>PriorYearBalanceSheet!I24</f>
        <v>0</v>
      </c>
      <c r="G24" s="32">
        <f>'CurrentYearBalanceSheet '!I24</f>
        <v>0</v>
      </c>
    </row>
    <row r="25" spans="1:7" x14ac:dyDescent="0.25">
      <c r="A25" s="17" t="s">
        <v>41</v>
      </c>
      <c r="B25" s="32">
        <f>B10+B11+B13+B14+B15+B17+B18+B19+B20+B21+B22+B23+B24</f>
        <v>1908503</v>
      </c>
      <c r="C25" s="32">
        <f>C10+C11+C13+C14+C15+C17+C18+C19+C20+C21+C22+C23+C24</f>
        <v>1791417</v>
      </c>
      <c r="D25" s="17"/>
      <c r="E25" s="17" t="s">
        <v>95</v>
      </c>
      <c r="F25" s="32">
        <f>PriorYearBalanceSheet!I25</f>
        <v>40598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96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97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54</v>
      </c>
      <c r="B28" s="17"/>
      <c r="C28" s="17"/>
      <c r="D28" s="17"/>
      <c r="E28" s="17" t="s">
        <v>135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59</v>
      </c>
      <c r="B29" s="22"/>
      <c r="C29" s="22"/>
      <c r="D29" s="18"/>
      <c r="E29" s="17" t="s">
        <v>98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55</v>
      </c>
      <c r="B30" s="32">
        <f>PriorYearBalanceSheet!D30</f>
        <v>0</v>
      </c>
      <c r="C30" s="32">
        <f>'CurrentYearBalanceSheet '!D30</f>
        <v>0</v>
      </c>
      <c r="D30" s="17"/>
      <c r="E30" s="17" t="s">
        <v>99</v>
      </c>
      <c r="F30" s="32">
        <f>PriorYearBalanceSheet!I30</f>
        <v>0</v>
      </c>
      <c r="G30" s="32">
        <f>'CurrentYearBalanceSheet '!I30</f>
        <v>0</v>
      </c>
    </row>
    <row r="31" spans="1:7" x14ac:dyDescent="0.25">
      <c r="A31" s="17" t="s">
        <v>56</v>
      </c>
      <c r="B31" s="32">
        <f>PriorYearBalanceSheet!D31</f>
        <v>0</v>
      </c>
      <c r="C31" s="32">
        <f>'CurrentYearBalanceSheet '!D31</f>
        <v>0</v>
      </c>
      <c r="D31" s="17"/>
      <c r="E31" s="17" t="s">
        <v>100</v>
      </c>
      <c r="F31" s="33">
        <f>PriorYearBalanceSheet!I31</f>
        <v>0</v>
      </c>
      <c r="G31" s="33">
        <f>'CurrentYearBalanceSheet '!I31</f>
        <v>40598</v>
      </c>
    </row>
    <row r="32" spans="1:7" x14ac:dyDescent="0.25">
      <c r="A32" s="17" t="s">
        <v>60</v>
      </c>
      <c r="B32" s="22"/>
      <c r="C32" s="22"/>
      <c r="D32" s="18"/>
      <c r="E32" s="17" t="s">
        <v>101</v>
      </c>
      <c r="F32" s="32">
        <f>SUM(F22:F31)</f>
        <v>1143216</v>
      </c>
      <c r="G32" s="32">
        <f>SUM(G22:G31)</f>
        <v>1334790</v>
      </c>
    </row>
    <row r="33" spans="1:7" x14ac:dyDescent="0.25">
      <c r="A33" s="17" t="s">
        <v>57</v>
      </c>
      <c r="B33" s="32">
        <f>PriorYearBalanceSheet!D33</f>
        <v>0</v>
      </c>
      <c r="C33" s="32">
        <f>'CurrentYearBalanceSheet '!D33</f>
        <v>245972</v>
      </c>
      <c r="D33" s="17"/>
      <c r="E33" s="21" t="s">
        <v>102</v>
      </c>
      <c r="F33" s="17"/>
      <c r="G33" s="14"/>
    </row>
    <row r="34" spans="1:7" x14ac:dyDescent="0.25">
      <c r="A34" s="17" t="s">
        <v>58</v>
      </c>
      <c r="B34" s="32">
        <f>PriorYearBalanceSheet!D34</f>
        <v>291118</v>
      </c>
      <c r="C34" s="32">
        <f>'CurrentYearBalanceSheet '!D34</f>
        <v>0</v>
      </c>
      <c r="D34" s="17"/>
      <c r="E34" s="17" t="s">
        <v>103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61</v>
      </c>
      <c r="B35" s="32">
        <f>PriorYearBalanceSheet!D35</f>
        <v>29850</v>
      </c>
      <c r="C35" s="32">
        <f>'CurrentYearBalanceSheet '!D35</f>
        <v>69172</v>
      </c>
      <c r="D35" s="17"/>
      <c r="E35" s="18" t="s">
        <v>236</v>
      </c>
      <c r="F35" s="32">
        <f>PriorYearBalanceSheet!I35</f>
        <v>333202</v>
      </c>
      <c r="G35" s="32">
        <f>'CurrentYearBalanceSheet '!I35</f>
        <v>377930</v>
      </c>
    </row>
    <row r="36" spans="1:7" x14ac:dyDescent="0.25">
      <c r="A36" s="17" t="s">
        <v>62</v>
      </c>
      <c r="B36" s="32">
        <f>PriorYearBalanceSheet!D36</f>
        <v>0</v>
      </c>
      <c r="C36" s="32">
        <f>'CurrentYearBalanceSheet '!D36</f>
        <v>0</v>
      </c>
      <c r="D36" s="17"/>
      <c r="E36" s="17" t="s">
        <v>251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63</v>
      </c>
      <c r="B37" s="32">
        <f>PriorYearBalanceSheet!D37</f>
        <v>0</v>
      </c>
      <c r="C37" s="32">
        <f>'CurrentYearBalanceSheet '!D37</f>
        <v>0</v>
      </c>
      <c r="D37" s="17"/>
      <c r="E37" s="17" t="s">
        <v>235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64</v>
      </c>
      <c r="B38" s="33">
        <f>PriorYearBalanceSheet!D38</f>
        <v>0</v>
      </c>
      <c r="C38" s="33">
        <f>'CurrentYearBalanceSheet '!D38</f>
        <v>0</v>
      </c>
      <c r="D38" s="17"/>
      <c r="E38" s="17" t="s">
        <v>237</v>
      </c>
      <c r="F38" s="32">
        <f>SUM(F34:F37)</f>
        <v>333202</v>
      </c>
      <c r="G38" s="32">
        <f>SUM(G34:G37)</f>
        <v>377930</v>
      </c>
    </row>
    <row r="39" spans="1:7" x14ac:dyDescent="0.25">
      <c r="A39" s="17" t="s">
        <v>65</v>
      </c>
      <c r="B39" s="32">
        <f>B30+B31+B33+B34+B35+B36+B37+B38</f>
        <v>320968</v>
      </c>
      <c r="C39" s="32">
        <f>C30+C31+C33+C34+C35+C36+C37+C38</f>
        <v>315144</v>
      </c>
      <c r="D39" s="17"/>
      <c r="E39" s="21" t="s">
        <v>104</v>
      </c>
      <c r="F39" s="17"/>
      <c r="G39" s="14"/>
    </row>
    <row r="40" spans="1:7" x14ac:dyDescent="0.25">
      <c r="A40" s="17"/>
      <c r="B40" s="17"/>
      <c r="C40" s="17"/>
      <c r="D40" s="17"/>
      <c r="E40" s="17" t="s">
        <v>238</v>
      </c>
      <c r="F40" s="32">
        <f>PriorYearBalanceSheet!I40</f>
        <v>2666346</v>
      </c>
      <c r="G40" s="32">
        <f>'CurrentYearBalanceSheet '!I40</f>
        <v>2666346</v>
      </c>
    </row>
    <row r="41" spans="1:7" x14ac:dyDescent="0.25">
      <c r="A41" s="21" t="s">
        <v>66</v>
      </c>
      <c r="B41" s="17"/>
      <c r="C41" s="17"/>
      <c r="D41" s="17"/>
      <c r="E41" s="17" t="s">
        <v>239</v>
      </c>
      <c r="F41" s="32">
        <f>PriorYearBalanceSheet!I41</f>
        <v>0</v>
      </c>
      <c r="G41" s="32">
        <f>'CurrentYearBalanceSheet '!I41</f>
        <v>0</v>
      </c>
    </row>
    <row r="42" spans="1:7" x14ac:dyDescent="0.25">
      <c r="A42" s="17" t="s">
        <v>67</v>
      </c>
      <c r="B42" s="32">
        <f>PriorYearBalanceSheet!D42</f>
        <v>16658821</v>
      </c>
      <c r="C42" s="32">
        <f>'CurrentYearBalanceSheet '!D42</f>
        <v>17214110</v>
      </c>
      <c r="D42" s="17"/>
      <c r="E42" s="17" t="s">
        <v>240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68</v>
      </c>
      <c r="B43" s="32">
        <f>PriorYearBalanceSheet!D43</f>
        <v>0</v>
      </c>
      <c r="C43" s="32">
        <f>'CurrentYearBalanceSheet '!D43</f>
        <v>0</v>
      </c>
      <c r="D43" s="17"/>
      <c r="E43" s="17" t="s">
        <v>246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69</v>
      </c>
      <c r="B44" s="32">
        <f>PriorYearBalanceSheet!D44</f>
        <v>99076</v>
      </c>
      <c r="C44" s="32">
        <f>'CurrentYearBalanceSheet '!D44</f>
        <v>187714</v>
      </c>
      <c r="D44" s="17"/>
      <c r="E44" s="17" t="s">
        <v>241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70</v>
      </c>
      <c r="B45" s="32">
        <f>PriorYearBalanceSheet!D45</f>
        <v>0</v>
      </c>
      <c r="C45" s="32">
        <f>'CurrentYearBalanceSheet '!D45</f>
        <v>0</v>
      </c>
      <c r="D45" s="17"/>
      <c r="E45" s="17" t="s">
        <v>242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113</v>
      </c>
      <c r="B46" s="33">
        <f>PriorYearBalanceSheet!D46</f>
        <v>-14504124</v>
      </c>
      <c r="C46" s="33">
        <f>'CurrentYearBalanceSheet '!D46</f>
        <v>-14861303</v>
      </c>
      <c r="D46" s="17"/>
      <c r="E46" s="17" t="s">
        <v>252</v>
      </c>
      <c r="F46" s="33">
        <f>PriorYearBalanceSheet!I46</f>
        <v>-197811</v>
      </c>
      <c r="G46" s="33">
        <f>'CurrentYearBalanceSheet '!I46</f>
        <v>-304515</v>
      </c>
    </row>
    <row r="47" spans="1:7" x14ac:dyDescent="0.25">
      <c r="A47" s="17" t="s">
        <v>71</v>
      </c>
      <c r="B47" s="32">
        <f>SUM(B42:B46)</f>
        <v>2253773</v>
      </c>
      <c r="C47" s="32">
        <f>SUM(C42:C46)</f>
        <v>2540521</v>
      </c>
      <c r="D47" s="17"/>
      <c r="E47" s="17" t="s">
        <v>244</v>
      </c>
      <c r="F47" s="32">
        <f>SUM(F40:F46)</f>
        <v>2468535</v>
      </c>
      <c r="G47" s="32">
        <f>SUM(G40:G46)</f>
        <v>2361831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204</v>
      </c>
      <c r="B49" s="34">
        <f>B25+B39+B47</f>
        <v>4483244</v>
      </c>
      <c r="C49" s="34">
        <f>C25+C39+C47</f>
        <v>4647082</v>
      </c>
      <c r="D49" s="17"/>
      <c r="E49" s="21" t="s">
        <v>245</v>
      </c>
      <c r="F49" s="34">
        <f>F20+F32+F38+F47</f>
        <v>4483244</v>
      </c>
      <c r="G49" s="34">
        <f>G20+G32+G38+G47</f>
        <v>4647083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186</v>
      </c>
      <c r="B51" s="65"/>
      <c r="C51" s="65"/>
      <c r="D51" s="65"/>
      <c r="E51" s="65"/>
      <c r="F51" s="65"/>
      <c r="G51" s="65"/>
    </row>
    <row r="52" spans="1:7" x14ac:dyDescent="0.25">
      <c r="A52" t="s">
        <v>112</v>
      </c>
      <c r="B52" s="65"/>
      <c r="C52" s="65"/>
      <c r="D52" s="65"/>
      <c r="E52" s="65"/>
      <c r="F52" s="65"/>
      <c r="G52" s="65"/>
    </row>
    <row r="53" spans="1:7" x14ac:dyDescent="0.25">
      <c r="A53" t="s">
        <v>193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E10" sqref="E10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PEND OREILLE TELEPHONE COMPANY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169</v>
      </c>
      <c r="D6" s="9" t="s">
        <v>107</v>
      </c>
      <c r="E6" s="9" t="s">
        <v>107</v>
      </c>
      <c r="F6" s="23" t="s">
        <v>121</v>
      </c>
    </row>
    <row r="7" spans="1:6" x14ac:dyDescent="0.25">
      <c r="A7" s="17" t="s">
        <v>0</v>
      </c>
      <c r="B7" s="10" t="s">
        <v>153</v>
      </c>
      <c r="C7" s="10" t="s">
        <v>123</v>
      </c>
      <c r="D7" s="10" t="s">
        <v>74</v>
      </c>
      <c r="E7" s="10" t="s">
        <v>74</v>
      </c>
      <c r="F7" s="4" t="s">
        <v>122</v>
      </c>
    </row>
    <row r="8" spans="1:6" x14ac:dyDescent="0.25">
      <c r="A8" s="11"/>
      <c r="B8" s="19"/>
      <c r="C8" s="11" t="s">
        <v>124</v>
      </c>
      <c r="D8" s="11">
        <v>2015</v>
      </c>
      <c r="E8" s="11">
        <v>2016</v>
      </c>
      <c r="F8" s="5" t="s">
        <v>72</v>
      </c>
    </row>
    <row r="9" spans="1:6" x14ac:dyDescent="0.25">
      <c r="A9" s="9"/>
      <c r="B9" s="20" t="s">
        <v>115</v>
      </c>
      <c r="C9" s="6"/>
      <c r="D9" s="6"/>
      <c r="E9" s="6"/>
      <c r="F9" s="14"/>
    </row>
    <row r="10" spans="1:6" x14ac:dyDescent="0.25">
      <c r="A10" s="10">
        <v>1</v>
      </c>
      <c r="B10" s="17" t="s">
        <v>116</v>
      </c>
      <c r="C10" s="10">
        <v>18</v>
      </c>
      <c r="D10" s="58">
        <f>'BalanceSheet(Summary)'!B42</f>
        <v>16658821</v>
      </c>
      <c r="E10" s="58">
        <f>'BalanceSheet(Summary)'!C42</f>
        <v>17214110</v>
      </c>
      <c r="F10" s="58">
        <f>(D10+E10)/2</f>
        <v>16936465.5</v>
      </c>
    </row>
    <row r="11" spans="1:6" x14ac:dyDescent="0.25">
      <c r="A11" s="10">
        <v>2</v>
      </c>
      <c r="B11" s="17" t="s">
        <v>168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118</v>
      </c>
      <c r="C12" s="10">
        <v>22</v>
      </c>
      <c r="D12" s="58">
        <f>'BalanceSheet(Summary)'!B46</f>
        <v>-14504124</v>
      </c>
      <c r="E12" s="58">
        <f>'BalanceSheet(Summary)'!C46</f>
        <v>-14861303</v>
      </c>
      <c r="F12" s="58">
        <f t="shared" ref="F12:F15" si="0">(D12+E12)/2</f>
        <v>-14682713.5</v>
      </c>
    </row>
    <row r="13" spans="1:6" x14ac:dyDescent="0.25">
      <c r="A13" s="10">
        <v>4</v>
      </c>
      <c r="B13" s="17" t="s">
        <v>117</v>
      </c>
      <c r="C13" s="10">
        <v>6</v>
      </c>
      <c r="D13" s="58">
        <f>'BalanceSheet(Summary)'!B21</f>
        <v>185149</v>
      </c>
      <c r="E13" s="58">
        <f>'BalanceSheet(Summary)'!C21</f>
        <v>215815</v>
      </c>
      <c r="F13" s="58">
        <f t="shared" si="0"/>
        <v>200482</v>
      </c>
    </row>
    <row r="14" spans="1:6" x14ac:dyDescent="0.25">
      <c r="A14" s="10">
        <v>5</v>
      </c>
      <c r="B14" s="17" t="s">
        <v>119</v>
      </c>
      <c r="C14" s="11">
        <v>48</v>
      </c>
      <c r="D14" s="52">
        <f>'BalanceSheet(Summary)'!F35*-1</f>
        <v>-333202</v>
      </c>
      <c r="E14" s="52">
        <f>'BalanceSheet(Summary)'!G35*-1</f>
        <v>-377930</v>
      </c>
      <c r="F14" s="58">
        <f t="shared" si="0"/>
        <v>-355566</v>
      </c>
    </row>
    <row r="15" spans="1:6" ht="15.75" thickBot="1" x14ac:dyDescent="0.3">
      <c r="A15" s="11">
        <v>6</v>
      </c>
      <c r="B15" s="83" t="s">
        <v>162</v>
      </c>
      <c r="C15" s="85"/>
      <c r="D15" s="88">
        <f>SUM(D10:D14)</f>
        <v>2006644</v>
      </c>
      <c r="E15" s="62">
        <f>SUM(E10:E14)</f>
        <v>2190692</v>
      </c>
      <c r="F15" s="63">
        <f t="shared" si="0"/>
        <v>2098668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176</v>
      </c>
      <c r="C17" s="65"/>
      <c r="D17" s="65"/>
      <c r="E17" s="65"/>
      <c r="F17" s="65"/>
    </row>
    <row r="18" spans="1:6" x14ac:dyDescent="0.25">
      <c r="B18" t="s">
        <v>136</v>
      </c>
      <c r="C18" s="65"/>
      <c r="D18" s="65"/>
      <c r="E18" s="65"/>
      <c r="F18" s="65"/>
    </row>
    <row r="19" spans="1:6" x14ac:dyDescent="0.25">
      <c r="B19" t="s">
        <v>120</v>
      </c>
      <c r="C19" s="65"/>
      <c r="D19" s="65"/>
      <c r="E19" s="65"/>
      <c r="F19" s="65"/>
    </row>
    <row r="20" spans="1:6" x14ac:dyDescent="0.25">
      <c r="B20" t="s">
        <v>194</v>
      </c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</sheetData>
  <sheetProtection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C10" sqref="C10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PEND OREILLE TELEPHONE COMPANY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73</v>
      </c>
      <c r="D6" s="9" t="s">
        <v>114</v>
      </c>
      <c r="E6" s="6"/>
      <c r="F6" s="3"/>
    </row>
    <row r="7" spans="1:6" x14ac:dyDescent="0.25">
      <c r="A7" s="10" t="s">
        <v>0</v>
      </c>
      <c r="B7" s="10" t="s">
        <v>153</v>
      </c>
      <c r="C7" s="10" t="s">
        <v>129</v>
      </c>
      <c r="D7" s="10" t="s">
        <v>133</v>
      </c>
      <c r="E7" s="24" t="s">
        <v>130</v>
      </c>
      <c r="F7" s="4" t="s">
        <v>131</v>
      </c>
    </row>
    <row r="8" spans="1:6" x14ac:dyDescent="0.25">
      <c r="A8" s="19"/>
      <c r="B8" s="19"/>
      <c r="C8" s="11" t="s">
        <v>218</v>
      </c>
      <c r="D8" s="11" t="s">
        <v>254</v>
      </c>
      <c r="E8" s="11"/>
      <c r="F8" s="5" t="s">
        <v>132</v>
      </c>
    </row>
    <row r="9" spans="1:6" x14ac:dyDescent="0.25">
      <c r="A9" s="6"/>
      <c r="B9" s="20" t="s">
        <v>125</v>
      </c>
      <c r="C9" s="6"/>
      <c r="D9" s="32"/>
      <c r="E9" s="6"/>
      <c r="F9" s="14"/>
    </row>
    <row r="10" spans="1:6" x14ac:dyDescent="0.25">
      <c r="A10" s="10">
        <v>1</v>
      </c>
      <c r="B10" s="17" t="s">
        <v>126</v>
      </c>
      <c r="C10" s="52">
        <v>1120</v>
      </c>
      <c r="D10" s="52">
        <v>1129</v>
      </c>
      <c r="E10" s="32">
        <f>D10-C10</f>
        <v>9</v>
      </c>
      <c r="F10" s="38">
        <f>E10/C10</f>
        <v>8.0357142857142849E-3</v>
      </c>
    </row>
    <row r="11" spans="1:6" x14ac:dyDescent="0.25">
      <c r="A11" s="10">
        <v>2</v>
      </c>
      <c r="B11" s="19" t="s">
        <v>127</v>
      </c>
      <c r="C11" s="52">
        <v>320</v>
      </c>
      <c r="D11" s="52">
        <v>313</v>
      </c>
      <c r="E11" s="32">
        <f>D11-C11</f>
        <v>-7</v>
      </c>
      <c r="F11" s="38">
        <f t="shared" ref="F11:F12" si="0">E11/C11</f>
        <v>-2.1874999999999999E-2</v>
      </c>
    </row>
    <row r="12" spans="1:6" ht="15.75" thickBot="1" x14ac:dyDescent="0.3">
      <c r="A12" s="11">
        <v>3</v>
      </c>
      <c r="B12" s="85" t="s">
        <v>128</v>
      </c>
      <c r="C12" s="34">
        <f>SUM(C10:C11)</f>
        <v>1440</v>
      </c>
      <c r="D12" s="34">
        <f t="shared" ref="D12:E12" si="1">SUM(D10:D11)</f>
        <v>1442</v>
      </c>
      <c r="E12" s="34">
        <f t="shared" si="1"/>
        <v>2</v>
      </c>
      <c r="F12" s="39">
        <f t="shared" si="0"/>
        <v>1.3888888888888889E-3</v>
      </c>
    </row>
    <row r="13" spans="1:6" ht="15.75" thickTop="1" x14ac:dyDescent="0.25">
      <c r="A13" s="104"/>
      <c r="B13" s="66"/>
      <c r="C13" s="66"/>
      <c r="D13" s="66"/>
      <c r="E13" s="66"/>
      <c r="F13" s="66"/>
    </row>
    <row r="14" spans="1:6" x14ac:dyDescent="0.25">
      <c r="A14" s="65" t="s">
        <v>190</v>
      </c>
      <c r="B14" s="65" t="s">
        <v>255</v>
      </c>
      <c r="C14" s="65"/>
      <c r="D14" s="65"/>
      <c r="E14" s="65"/>
      <c r="F14" s="65"/>
    </row>
    <row r="15" spans="1:6" x14ac:dyDescent="0.25">
      <c r="A15" s="65"/>
      <c r="B15" s="65" t="s">
        <v>219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x+HlzCv49aYIchW6zsxPlrmRQurVjl+1F7OSqBwxJa3fW0z6fYLPe/vGKcLdUXRmvp4ss6Wp+Rc7lCKsmFxGUQ==" saltValue="Zb7QESEIO8vS3clzBNemp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zoomScale="85" zoomScaleNormal="85" workbookViewId="0">
      <selection activeCell="C58" sqref="C58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PEND OREILLE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73</v>
      </c>
      <c r="D6" s="27" t="s">
        <v>105</v>
      </c>
      <c r="E6" s="26" t="s">
        <v>73</v>
      </c>
    </row>
    <row r="7" spans="1:6" x14ac:dyDescent="0.25">
      <c r="A7" s="17" t="s">
        <v>0</v>
      </c>
      <c r="B7" s="10" t="s">
        <v>153</v>
      </c>
      <c r="C7" s="10">
        <v>2015</v>
      </c>
      <c r="D7" s="10" t="s">
        <v>137</v>
      </c>
      <c r="E7" s="4" t="s">
        <v>111</v>
      </c>
    </row>
    <row r="8" spans="1:6" x14ac:dyDescent="0.25">
      <c r="A8" s="11"/>
      <c r="B8" s="11"/>
      <c r="C8" s="11" t="s">
        <v>155</v>
      </c>
      <c r="D8" s="11" t="s">
        <v>163</v>
      </c>
      <c r="E8" s="5" t="s">
        <v>258</v>
      </c>
    </row>
    <row r="9" spans="1:6" x14ac:dyDescent="0.25">
      <c r="A9" s="9">
        <v>1</v>
      </c>
      <c r="B9" s="3" t="s">
        <v>1</v>
      </c>
      <c r="C9" s="55">
        <v>410863</v>
      </c>
      <c r="D9" s="52">
        <v>3</v>
      </c>
      <c r="E9" s="58">
        <f>SUM(C9:D9)</f>
        <v>410866</v>
      </c>
    </row>
    <row r="10" spans="1:6" x14ac:dyDescent="0.25">
      <c r="A10" s="10">
        <v>2</v>
      </c>
      <c r="B10" s="14" t="s">
        <v>2</v>
      </c>
      <c r="C10" s="52">
        <v>2203921</v>
      </c>
      <c r="D10" s="52"/>
      <c r="E10" s="58">
        <f t="shared" ref="E10:E14" si="0">SUM(C10:D10)</f>
        <v>2203921</v>
      </c>
    </row>
    <row r="11" spans="1:6" x14ac:dyDescent="0.25">
      <c r="A11" s="10">
        <v>3</v>
      </c>
      <c r="B11" s="14" t="s">
        <v>3</v>
      </c>
      <c r="C11" s="52"/>
      <c r="D11" s="52"/>
      <c r="E11" s="58">
        <f t="shared" si="0"/>
        <v>0</v>
      </c>
    </row>
    <row r="12" spans="1:6" x14ac:dyDescent="0.25">
      <c r="A12" s="10">
        <v>4</v>
      </c>
      <c r="B12" s="14" t="s">
        <v>4</v>
      </c>
      <c r="C12" s="52"/>
      <c r="D12" s="52"/>
      <c r="E12" s="58">
        <f t="shared" si="0"/>
        <v>0</v>
      </c>
    </row>
    <row r="13" spans="1:6" x14ac:dyDescent="0.25">
      <c r="A13" s="10">
        <v>5</v>
      </c>
      <c r="B13" s="14" t="s">
        <v>5</v>
      </c>
      <c r="C13" s="52">
        <v>26373</v>
      </c>
      <c r="D13" s="52">
        <v>-14555</v>
      </c>
      <c r="E13" s="58">
        <f t="shared" si="0"/>
        <v>11818</v>
      </c>
    </row>
    <row r="14" spans="1:6" x14ac:dyDescent="0.25">
      <c r="A14" s="10">
        <v>6</v>
      </c>
      <c r="B14" s="14" t="s">
        <v>139</v>
      </c>
      <c r="C14" s="52">
        <v>-18879</v>
      </c>
      <c r="D14" s="52"/>
      <c r="E14" s="58">
        <f t="shared" si="0"/>
        <v>-18879</v>
      </c>
    </row>
    <row r="15" spans="1:6" x14ac:dyDescent="0.25">
      <c r="A15" s="10">
        <v>7</v>
      </c>
      <c r="B15" s="89" t="s">
        <v>138</v>
      </c>
      <c r="C15" s="97">
        <f>SUM(C9:C14)</f>
        <v>2622278</v>
      </c>
      <c r="D15" s="97">
        <f t="shared" ref="D15:E15" si="1">SUM(D9:D14)</f>
        <v>-14552</v>
      </c>
      <c r="E15" s="97">
        <f t="shared" si="1"/>
        <v>2607726</v>
      </c>
      <c r="F15" s="1"/>
    </row>
    <row r="16" spans="1:6" x14ac:dyDescent="0.25">
      <c r="A16" s="10">
        <v>8</v>
      </c>
      <c r="B16" s="14" t="s">
        <v>6</v>
      </c>
      <c r="C16" s="52">
        <v>676176</v>
      </c>
      <c r="D16" s="52">
        <v>-4965</v>
      </c>
      <c r="E16" s="41">
        <f>SUM(C16:D16)</f>
        <v>671211</v>
      </c>
    </row>
    <row r="17" spans="1:6" x14ac:dyDescent="0.25">
      <c r="A17" s="10">
        <v>9</v>
      </c>
      <c r="B17" s="14" t="s">
        <v>40</v>
      </c>
      <c r="C17" s="52">
        <v>213547</v>
      </c>
      <c r="D17" s="52">
        <v>-17129</v>
      </c>
      <c r="E17" s="41">
        <f t="shared" ref="E17:E21" si="2">SUM(C17:D17)</f>
        <v>196418</v>
      </c>
    </row>
    <row r="18" spans="1:6" x14ac:dyDescent="0.25">
      <c r="A18" s="10">
        <v>10</v>
      </c>
      <c r="B18" s="14" t="s">
        <v>7</v>
      </c>
      <c r="C18" s="52">
        <v>318962</v>
      </c>
      <c r="D18" s="52">
        <v>-1888</v>
      </c>
      <c r="E18" s="41">
        <f t="shared" si="2"/>
        <v>317074</v>
      </c>
    </row>
    <row r="19" spans="1:6" x14ac:dyDescent="0.25">
      <c r="A19" s="10">
        <v>11</v>
      </c>
      <c r="B19" s="14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4" t="s">
        <v>9</v>
      </c>
      <c r="C20" s="52">
        <v>176809</v>
      </c>
      <c r="D20" s="52">
        <v>-7307</v>
      </c>
      <c r="E20" s="41">
        <f t="shared" si="2"/>
        <v>169502</v>
      </c>
    </row>
    <row r="21" spans="1:6" x14ac:dyDescent="0.25">
      <c r="A21" s="10">
        <v>13</v>
      </c>
      <c r="B21" s="14" t="s">
        <v>10</v>
      </c>
      <c r="C21" s="52">
        <v>803756</v>
      </c>
      <c r="D21" s="52">
        <v>-9625</v>
      </c>
      <c r="E21" s="41">
        <f t="shared" si="2"/>
        <v>794131</v>
      </c>
    </row>
    <row r="22" spans="1:6" x14ac:dyDescent="0.25">
      <c r="A22" s="10">
        <v>14</v>
      </c>
      <c r="B22" s="84" t="s">
        <v>260</v>
      </c>
      <c r="C22" s="97">
        <f>C16+C17+C18+C19+C20+C21</f>
        <v>2189250</v>
      </c>
      <c r="D22" s="97">
        <f>D16+D17+D18+D19+D20+D21</f>
        <v>-40914</v>
      </c>
      <c r="E22" s="98">
        <f>E16+E17+E18+E19+E20+E21</f>
        <v>2148336</v>
      </c>
      <c r="F22" s="1"/>
    </row>
    <row r="23" spans="1:6" x14ac:dyDescent="0.25">
      <c r="A23" s="10">
        <v>15</v>
      </c>
      <c r="B23" s="14" t="s">
        <v>14</v>
      </c>
      <c r="C23" s="58">
        <f>C15-C22</f>
        <v>433028</v>
      </c>
      <c r="D23" s="58">
        <f>D15-D22</f>
        <v>26362</v>
      </c>
      <c r="E23" s="58">
        <f>E15-E22</f>
        <v>459390</v>
      </c>
    </row>
    <row r="24" spans="1:6" x14ac:dyDescent="0.25">
      <c r="A24" s="10">
        <v>16</v>
      </c>
      <c r="B24" s="14" t="s">
        <v>140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/>
      <c r="D25" s="114"/>
      <c r="E25" s="58">
        <f t="shared" ref="E25:E27" si="3">SUM(C25:D25)</f>
        <v>0</v>
      </c>
    </row>
    <row r="26" spans="1:6" x14ac:dyDescent="0.25">
      <c r="A26" s="10">
        <v>18</v>
      </c>
      <c r="B26" s="14" t="s">
        <v>200</v>
      </c>
      <c r="C26" s="52">
        <v>117039</v>
      </c>
      <c r="D26" s="54">
        <v>4850</v>
      </c>
      <c r="E26" s="58">
        <f t="shared" si="3"/>
        <v>121889</v>
      </c>
    </row>
    <row r="27" spans="1:6" x14ac:dyDescent="0.25">
      <c r="A27" s="10">
        <v>19</v>
      </c>
      <c r="B27" s="14" t="s">
        <v>13</v>
      </c>
      <c r="C27" s="52">
        <v>52621</v>
      </c>
      <c r="D27" s="114">
        <v>-110</v>
      </c>
      <c r="E27" s="58">
        <f t="shared" si="3"/>
        <v>52511</v>
      </c>
    </row>
    <row r="28" spans="1:6" x14ac:dyDescent="0.25">
      <c r="A28" s="10">
        <v>20</v>
      </c>
      <c r="B28" s="89" t="s">
        <v>12</v>
      </c>
      <c r="C28" s="80">
        <f>SUM(C25:C27)</f>
        <v>169660</v>
      </c>
      <c r="D28" s="80">
        <f t="shared" ref="D28:E28" si="4">SUM(D25:D27)</f>
        <v>4740</v>
      </c>
      <c r="E28" s="99">
        <f t="shared" si="4"/>
        <v>174400</v>
      </c>
    </row>
    <row r="29" spans="1:6" x14ac:dyDescent="0.25">
      <c r="A29" s="10">
        <v>21</v>
      </c>
      <c r="B29" s="89" t="s">
        <v>23</v>
      </c>
      <c r="C29" s="80">
        <f>C23+C24-C28</f>
        <v>263368</v>
      </c>
      <c r="D29" s="80">
        <f>D23+D24-D28</f>
        <v>21622</v>
      </c>
      <c r="E29" s="99">
        <f>E23+E24-E28</f>
        <v>284990</v>
      </c>
    </row>
    <row r="30" spans="1:6" x14ac:dyDescent="0.25">
      <c r="A30" s="10">
        <v>22</v>
      </c>
      <c r="B30" s="14" t="s">
        <v>15</v>
      </c>
      <c r="C30" s="52">
        <v>63615</v>
      </c>
      <c r="D30" s="54">
        <v>-22457</v>
      </c>
      <c r="E30" s="58">
        <f>SUM(C30:D30)</f>
        <v>41158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>
        <v>2311</v>
      </c>
      <c r="D32" s="54">
        <v>-2311</v>
      </c>
      <c r="E32" s="58">
        <f t="shared" si="5"/>
        <v>0</v>
      </c>
    </row>
    <row r="33" spans="1:10" x14ac:dyDescent="0.25">
      <c r="A33" s="10">
        <v>25</v>
      </c>
      <c r="B33" s="14" t="s">
        <v>154</v>
      </c>
      <c r="C33" s="52">
        <v>-2362</v>
      </c>
      <c r="D33" s="54"/>
      <c r="E33" s="59">
        <f t="shared" si="5"/>
        <v>-2362</v>
      </c>
    </row>
    <row r="34" spans="1:10" x14ac:dyDescent="0.25">
      <c r="A34" s="10">
        <v>26</v>
      </c>
      <c r="B34" s="89" t="s">
        <v>18</v>
      </c>
      <c r="C34" s="80">
        <f>SUM(C30:C33)</f>
        <v>63564</v>
      </c>
      <c r="D34" s="100">
        <f t="shared" ref="D34" si="6">SUM(D30:D33)</f>
        <v>-24768</v>
      </c>
      <c r="E34" s="80">
        <f>SUM(E30:E33)</f>
        <v>38796</v>
      </c>
    </row>
    <row r="35" spans="1:10" x14ac:dyDescent="0.25">
      <c r="A35" s="10">
        <v>27</v>
      </c>
      <c r="B35" s="14" t="s">
        <v>19</v>
      </c>
      <c r="C35" s="52">
        <v>9050</v>
      </c>
      <c r="D35" s="54">
        <v>-16274</v>
      </c>
      <c r="E35" s="32">
        <f>SUM(C35:D35)</f>
        <v>-7224</v>
      </c>
    </row>
    <row r="36" spans="1:10" x14ac:dyDescent="0.25">
      <c r="A36" s="10">
        <v>28</v>
      </c>
      <c r="B36" s="14" t="s">
        <v>20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80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187</v>
      </c>
      <c r="C38" s="52">
        <v>82314</v>
      </c>
      <c r="D38" s="69">
        <f>-1*(D29-D34)</f>
        <v>-46390</v>
      </c>
      <c r="E38" s="32">
        <f t="shared" si="7"/>
        <v>35924</v>
      </c>
    </row>
    <row r="39" spans="1:10" x14ac:dyDescent="0.25">
      <c r="A39" s="10">
        <v>31</v>
      </c>
      <c r="B39" s="89" t="s">
        <v>22</v>
      </c>
      <c r="C39" s="80">
        <f>C29-C34+C35+C36+C37+C38</f>
        <v>291168</v>
      </c>
      <c r="D39" s="80">
        <f t="shared" ref="D39:E39" si="8">D29-D34+D35+D36+D37+D38</f>
        <v>-16274</v>
      </c>
      <c r="E39" s="80">
        <f t="shared" si="8"/>
        <v>274894</v>
      </c>
    </row>
    <row r="40" spans="1:10" x14ac:dyDescent="0.25">
      <c r="A40" s="10">
        <v>32</v>
      </c>
      <c r="B40" s="14" t="s">
        <v>24</v>
      </c>
      <c r="C40" s="101"/>
      <c r="D40" s="101"/>
      <c r="E40" s="101"/>
    </row>
    <row r="41" spans="1:10" x14ac:dyDescent="0.25">
      <c r="A41" s="10">
        <v>33</v>
      </c>
      <c r="B41" s="14" t="s">
        <v>25</v>
      </c>
      <c r="C41" s="52">
        <v>-311576</v>
      </c>
      <c r="D41" s="54"/>
      <c r="E41" s="58">
        <f t="shared" ref="E41:E46" si="9">SUM(C41:D41)</f>
        <v>-311576</v>
      </c>
    </row>
    <row r="42" spans="1:10" x14ac:dyDescent="0.25">
      <c r="A42" s="10">
        <v>34</v>
      </c>
      <c r="B42" s="14" t="s">
        <v>26</v>
      </c>
      <c r="C42" s="52"/>
      <c r="D42" s="54"/>
      <c r="E42" s="58">
        <f t="shared" si="9"/>
        <v>0</v>
      </c>
    </row>
    <row r="43" spans="1:10" x14ac:dyDescent="0.25">
      <c r="A43" s="10">
        <v>35</v>
      </c>
      <c r="B43" s="14" t="s">
        <v>27</v>
      </c>
      <c r="C43" s="52">
        <v>179311</v>
      </c>
      <c r="D43" s="54"/>
      <c r="E43" s="58">
        <f t="shared" si="9"/>
        <v>179311</v>
      </c>
    </row>
    <row r="44" spans="1:10" x14ac:dyDescent="0.25">
      <c r="A44" s="10">
        <v>36</v>
      </c>
      <c r="B44" s="14" t="s">
        <v>28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29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30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9" t="s">
        <v>208</v>
      </c>
      <c r="C47" s="80">
        <f>(C39+C41+C42)-(C43+C44+C45+C46)</f>
        <v>-199719</v>
      </c>
      <c r="D47" s="100">
        <f t="shared" ref="D47:E47" si="10">(D39+D41+D42)-(D43+D44+D45+D46)</f>
        <v>-16274</v>
      </c>
      <c r="E47" s="99">
        <f t="shared" si="10"/>
        <v>-215993</v>
      </c>
    </row>
    <row r="48" spans="1:10" x14ac:dyDescent="0.25">
      <c r="A48" s="10">
        <v>40</v>
      </c>
      <c r="B48" s="14" t="s">
        <v>32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30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33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9" t="s">
        <v>34</v>
      </c>
      <c r="C51" s="80">
        <f>C48+C49-C50</f>
        <v>0</v>
      </c>
      <c r="D51" s="100">
        <f t="shared" ref="D51:E51" si="12">D48+D49-D50</f>
        <v>0</v>
      </c>
      <c r="E51" s="99">
        <f t="shared" si="12"/>
        <v>0</v>
      </c>
    </row>
    <row r="52" spans="1:7" x14ac:dyDescent="0.25">
      <c r="A52" s="10">
        <v>44</v>
      </c>
      <c r="B52" s="14" t="s">
        <v>35</v>
      </c>
      <c r="C52" s="55">
        <v>99774</v>
      </c>
      <c r="D52" s="102"/>
      <c r="E52" s="32">
        <f>C52</f>
        <v>99774</v>
      </c>
    </row>
    <row r="53" spans="1:7" x14ac:dyDescent="0.25">
      <c r="A53" s="10">
        <v>45</v>
      </c>
      <c r="B53" s="14" t="s">
        <v>36</v>
      </c>
      <c r="C53" s="103">
        <f>((C22+C28-C18-C19)/C15)</f>
        <v>0.7779297236982502</v>
      </c>
      <c r="D53" s="103">
        <f>((D22+D28-D18-D19)/D15)</f>
        <v>2.3561022539857066</v>
      </c>
      <c r="E53" s="103">
        <f>((E22+E28-E18-E19)/E15)</f>
        <v>0.76912298301278581</v>
      </c>
    </row>
    <row r="54" spans="1:7" x14ac:dyDescent="0.25">
      <c r="A54" s="10">
        <v>46</v>
      </c>
      <c r="B54" s="14" t="s">
        <v>37</v>
      </c>
      <c r="C54" s="103">
        <f>((C22+C28+C34)/C15)</f>
        <v>0.92380518007625434</v>
      </c>
      <c r="D54" s="103">
        <f>((D22+D28+D34)/D15)</f>
        <v>4.1878779549202862</v>
      </c>
      <c r="E54" s="103">
        <f>((E22+E28+E34)/E15)</f>
        <v>0.90559054133754846</v>
      </c>
    </row>
    <row r="55" spans="1:7" x14ac:dyDescent="0.25">
      <c r="A55" s="10">
        <v>47</v>
      </c>
      <c r="B55" s="14" t="s">
        <v>38</v>
      </c>
      <c r="C55" s="103">
        <f>((C39+C34)/C34)</f>
        <v>5.5807060600339815</v>
      </c>
      <c r="D55" s="103">
        <f t="shared" ref="D55:E55" si="13">((D39+D34)/D34)</f>
        <v>1.6570574935400517</v>
      </c>
      <c r="E55" s="103">
        <f t="shared" si="13"/>
        <v>8.0856273842664184</v>
      </c>
    </row>
    <row r="56" spans="1:7" x14ac:dyDescent="0.25">
      <c r="A56" s="10">
        <v>48</v>
      </c>
      <c r="B56" s="14" t="s">
        <v>39</v>
      </c>
      <c r="C56" s="103">
        <f>(C39+C34+C18+C19)/C52</f>
        <v>6.7521999719365766</v>
      </c>
      <c r="D56" s="103" t="e">
        <f>(D39+D34+D18+D19)/D52</f>
        <v>#DIV/0!</v>
      </c>
      <c r="E56" s="103">
        <f>(E39+E34+E18+E19)/E52</f>
        <v>6.3219275562771866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176</v>
      </c>
      <c r="C58" s="66"/>
      <c r="D58" s="65"/>
      <c r="E58" s="65"/>
      <c r="F58" s="65"/>
      <c r="G58" s="65"/>
    </row>
    <row r="59" spans="1:7" x14ac:dyDescent="0.25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25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25">
      <c r="A61" s="47"/>
      <c r="B61" t="s">
        <v>207</v>
      </c>
      <c r="C61" s="65"/>
      <c r="D61" s="65"/>
      <c r="E61" s="65"/>
      <c r="F61" s="65"/>
      <c r="G61" s="65"/>
    </row>
    <row r="62" spans="1:7" x14ac:dyDescent="0.25">
      <c r="A62" s="47" t="s">
        <v>175</v>
      </c>
      <c r="B62" s="68" t="s">
        <v>261</v>
      </c>
      <c r="C62" s="65"/>
      <c r="D62" s="65"/>
      <c r="E62" s="65"/>
      <c r="F62" s="65"/>
      <c r="G62" s="65"/>
    </row>
    <row r="63" spans="1:7" x14ac:dyDescent="0.25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25">
      <c r="A64" s="47" t="s">
        <v>161</v>
      </c>
      <c r="B64" t="s">
        <v>228</v>
      </c>
      <c r="C64" s="65"/>
      <c r="D64" s="65"/>
      <c r="E64" s="65"/>
      <c r="F64" s="65"/>
      <c r="G64" s="65"/>
    </row>
    <row r="65" spans="1:7" x14ac:dyDescent="0.25">
      <c r="A65" s="93"/>
      <c r="B65" s="65" t="s">
        <v>229</v>
      </c>
      <c r="C65" s="65"/>
      <c r="D65" s="65"/>
      <c r="E65" s="65"/>
      <c r="F65" s="65"/>
      <c r="G65" s="65"/>
    </row>
    <row r="66" spans="1:7" x14ac:dyDescent="0.25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UuInvIGnCflyO8msefJO9RvWuQGJD6KQdDiuDaC2EJDKVEowjfD35ZVNG0/G1vQX1RfM+sWQAvpc69CrqBsSVw==" saltValue="Rf8Z1sCibjngkTtmNdAfo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zoomScale="85" zoomScaleNormal="85" workbookViewId="0">
      <selection activeCell="G29" sqref="G29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PEND OREILLE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114</v>
      </c>
      <c r="D6" s="27" t="s">
        <v>105</v>
      </c>
      <c r="E6" s="26" t="s">
        <v>114</v>
      </c>
    </row>
    <row r="7" spans="1:6" x14ac:dyDescent="0.25">
      <c r="A7" s="17" t="s">
        <v>0</v>
      </c>
      <c r="B7" s="10" t="s">
        <v>153</v>
      </c>
      <c r="C7" s="10">
        <v>2016</v>
      </c>
      <c r="D7" s="10" t="s">
        <v>137</v>
      </c>
      <c r="E7" s="4" t="s">
        <v>111</v>
      </c>
    </row>
    <row r="8" spans="1:6" x14ac:dyDescent="0.25">
      <c r="A8" s="11"/>
      <c r="B8" s="11"/>
      <c r="C8" s="11" t="s">
        <v>155</v>
      </c>
      <c r="D8" s="11" t="s">
        <v>163</v>
      </c>
      <c r="E8" s="5" t="s">
        <v>259</v>
      </c>
    </row>
    <row r="9" spans="1:6" x14ac:dyDescent="0.25">
      <c r="A9" s="9">
        <v>1</v>
      </c>
      <c r="B9" s="6" t="s">
        <v>1</v>
      </c>
      <c r="C9" s="55">
        <v>419794</v>
      </c>
      <c r="D9" s="52"/>
      <c r="E9" s="32">
        <f>SUM(C9:D9)</f>
        <v>419794</v>
      </c>
    </row>
    <row r="10" spans="1:6" x14ac:dyDescent="0.25">
      <c r="A10" s="10">
        <v>2</v>
      </c>
      <c r="B10" s="17" t="s">
        <v>2</v>
      </c>
      <c r="C10" s="52">
        <v>2099061</v>
      </c>
      <c r="D10" s="52"/>
      <c r="E10" s="32">
        <f t="shared" ref="E10:E14" si="0">SUM(C10:D10)</f>
        <v>2099061</v>
      </c>
    </row>
    <row r="11" spans="1:6" x14ac:dyDescent="0.25">
      <c r="A11" s="10">
        <v>3</v>
      </c>
      <c r="B11" s="17" t="s">
        <v>3</v>
      </c>
      <c r="C11" s="52"/>
      <c r="D11" s="52"/>
      <c r="E11" s="32">
        <f t="shared" si="0"/>
        <v>0</v>
      </c>
    </row>
    <row r="12" spans="1:6" x14ac:dyDescent="0.25">
      <c r="A12" s="10">
        <v>4</v>
      </c>
      <c r="B12" s="17" t="s">
        <v>4</v>
      </c>
      <c r="C12" s="52"/>
      <c r="D12" s="52"/>
      <c r="E12" s="32">
        <f t="shared" si="0"/>
        <v>0</v>
      </c>
    </row>
    <row r="13" spans="1:6" x14ac:dyDescent="0.25">
      <c r="A13" s="10">
        <v>5</v>
      </c>
      <c r="B13" s="17" t="s">
        <v>5</v>
      </c>
      <c r="C13" s="52">
        <v>12672</v>
      </c>
      <c r="D13" s="52"/>
      <c r="E13" s="32">
        <f t="shared" si="0"/>
        <v>12672</v>
      </c>
    </row>
    <row r="14" spans="1:6" x14ac:dyDescent="0.25">
      <c r="A14" s="10">
        <v>6</v>
      </c>
      <c r="B14" s="17" t="s">
        <v>139</v>
      </c>
      <c r="C14" s="52">
        <v>-33780</v>
      </c>
      <c r="D14" s="52"/>
      <c r="E14" s="32">
        <f t="shared" si="0"/>
        <v>-33780</v>
      </c>
    </row>
    <row r="15" spans="1:6" x14ac:dyDescent="0.25">
      <c r="A15" s="10">
        <v>7</v>
      </c>
      <c r="B15" s="84" t="s">
        <v>138</v>
      </c>
      <c r="C15" s="40">
        <f>SUM(C9:C14)</f>
        <v>2497747</v>
      </c>
      <c r="D15" s="40">
        <f t="shared" ref="D15:E15" si="1">SUM(D9:D14)</f>
        <v>0</v>
      </c>
      <c r="E15" s="40">
        <f t="shared" si="1"/>
        <v>2497747</v>
      </c>
      <c r="F15" s="1"/>
    </row>
    <row r="16" spans="1:6" x14ac:dyDescent="0.25">
      <c r="A16" s="10">
        <v>8</v>
      </c>
      <c r="B16" s="17" t="s">
        <v>6</v>
      </c>
      <c r="C16" s="52">
        <v>673453</v>
      </c>
      <c r="D16" s="52">
        <v>-11337</v>
      </c>
      <c r="E16" s="41">
        <f>SUM(C16:D16)</f>
        <v>662116</v>
      </c>
    </row>
    <row r="17" spans="1:7" x14ac:dyDescent="0.25">
      <c r="A17" s="10">
        <v>9</v>
      </c>
      <c r="B17" s="17" t="s">
        <v>40</v>
      </c>
      <c r="C17" s="52">
        <v>228911</v>
      </c>
      <c r="D17" s="52">
        <v>5664</v>
      </c>
      <c r="E17" s="41">
        <f t="shared" ref="E17:E21" si="2">SUM(C17:D17)</f>
        <v>234575</v>
      </c>
    </row>
    <row r="18" spans="1:7" x14ac:dyDescent="0.25">
      <c r="A18" s="10">
        <v>10</v>
      </c>
      <c r="B18" s="17" t="s">
        <v>7</v>
      </c>
      <c r="C18" s="52">
        <v>397932</v>
      </c>
      <c r="D18" s="52">
        <v>-2701</v>
      </c>
      <c r="E18" s="41">
        <f t="shared" si="2"/>
        <v>395231</v>
      </c>
    </row>
    <row r="19" spans="1:7" x14ac:dyDescent="0.25">
      <c r="A19" s="10">
        <v>11</v>
      </c>
      <c r="B19" s="17" t="s">
        <v>8</v>
      </c>
      <c r="C19" s="52"/>
      <c r="D19" s="52"/>
      <c r="E19" s="41">
        <f t="shared" si="2"/>
        <v>0</v>
      </c>
    </row>
    <row r="20" spans="1:7" x14ac:dyDescent="0.25">
      <c r="A20" s="10">
        <v>12</v>
      </c>
      <c r="B20" s="17" t="s">
        <v>9</v>
      </c>
      <c r="C20" s="52">
        <v>175398</v>
      </c>
      <c r="D20" s="52">
        <v>-5738</v>
      </c>
      <c r="E20" s="41">
        <f t="shared" si="2"/>
        <v>169660</v>
      </c>
    </row>
    <row r="21" spans="1:7" x14ac:dyDescent="0.25">
      <c r="A21" s="10">
        <v>13</v>
      </c>
      <c r="B21" s="17" t="s">
        <v>10</v>
      </c>
      <c r="C21" s="52">
        <v>835335</v>
      </c>
      <c r="D21" s="52">
        <v>-13323</v>
      </c>
      <c r="E21" s="41">
        <f t="shared" si="2"/>
        <v>822012</v>
      </c>
    </row>
    <row r="22" spans="1:7" x14ac:dyDescent="0.25">
      <c r="A22" s="10">
        <v>14</v>
      </c>
      <c r="B22" s="84" t="s">
        <v>260</v>
      </c>
      <c r="C22" s="40">
        <f>C16+C17+C18+C19+C20+C21</f>
        <v>2311029</v>
      </c>
      <c r="D22" s="40">
        <f>D16+D17+D18+D19+D20+D21</f>
        <v>-27435</v>
      </c>
      <c r="E22" s="42">
        <f>E16+E17+E18+E19+E20+E21</f>
        <v>2283594</v>
      </c>
      <c r="F22" s="1"/>
    </row>
    <row r="23" spans="1:7" x14ac:dyDescent="0.25">
      <c r="A23" s="10">
        <v>15</v>
      </c>
      <c r="B23" s="17" t="s">
        <v>14</v>
      </c>
      <c r="C23" s="32">
        <f>C15-C22</f>
        <v>186718</v>
      </c>
      <c r="D23" s="32">
        <f>D15-D22</f>
        <v>27435</v>
      </c>
      <c r="E23" s="32">
        <f>E15-E22</f>
        <v>214153</v>
      </c>
    </row>
    <row r="24" spans="1:7" x14ac:dyDescent="0.25">
      <c r="A24" s="10">
        <v>16</v>
      </c>
      <c r="B24" s="17" t="s">
        <v>140</v>
      </c>
      <c r="C24" s="52"/>
      <c r="D24" s="54">
        <v>0</v>
      </c>
      <c r="E24" s="32">
        <f>SUM(C24:D24)</f>
        <v>0</v>
      </c>
    </row>
    <row r="25" spans="1:7" x14ac:dyDescent="0.25">
      <c r="A25" s="10">
        <v>17</v>
      </c>
      <c r="B25" s="17" t="s">
        <v>11</v>
      </c>
      <c r="C25" s="52"/>
      <c r="D25" s="114"/>
      <c r="E25" s="32">
        <f t="shared" ref="E25:E27" si="3">SUM(C25:D25)</f>
        <v>0</v>
      </c>
    </row>
    <row r="26" spans="1:7" x14ac:dyDescent="0.25">
      <c r="A26" s="10">
        <v>18</v>
      </c>
      <c r="B26" s="17" t="s">
        <v>200</v>
      </c>
      <c r="C26" s="52">
        <v>64573</v>
      </c>
      <c r="D26" s="54">
        <v>-27391</v>
      </c>
      <c r="E26" s="32">
        <f t="shared" si="3"/>
        <v>37182</v>
      </c>
    </row>
    <row r="27" spans="1:7" x14ac:dyDescent="0.25">
      <c r="A27" s="10">
        <v>19</v>
      </c>
      <c r="B27" s="17" t="s">
        <v>13</v>
      </c>
      <c r="C27" s="52">
        <v>56647</v>
      </c>
      <c r="D27" s="114">
        <v>-217</v>
      </c>
      <c r="E27" s="32">
        <f t="shared" si="3"/>
        <v>56430</v>
      </c>
    </row>
    <row r="28" spans="1:7" x14ac:dyDescent="0.25">
      <c r="A28" s="10">
        <v>20</v>
      </c>
      <c r="B28" s="84" t="s">
        <v>12</v>
      </c>
      <c r="C28" s="37">
        <f>SUM(C25:C27)</f>
        <v>121220</v>
      </c>
      <c r="D28" s="37">
        <f t="shared" ref="D28:E28" si="4">SUM(D25:D27)</f>
        <v>-27608</v>
      </c>
      <c r="E28" s="43">
        <f t="shared" si="4"/>
        <v>93612</v>
      </c>
    </row>
    <row r="29" spans="1:7" x14ac:dyDescent="0.25">
      <c r="A29" s="10">
        <v>21</v>
      </c>
      <c r="B29" s="84" t="s">
        <v>23</v>
      </c>
      <c r="C29" s="37">
        <f>C23+C24-C28</f>
        <v>65498</v>
      </c>
      <c r="D29" s="37">
        <f>D23+D24-D28</f>
        <v>55043</v>
      </c>
      <c r="E29" s="43">
        <f>E23+E24-E28</f>
        <v>120541</v>
      </c>
    </row>
    <row r="30" spans="1:7" x14ac:dyDescent="0.25">
      <c r="A30" s="10">
        <v>22</v>
      </c>
      <c r="B30" s="17" t="s">
        <v>15</v>
      </c>
      <c r="C30" s="52">
        <v>70241</v>
      </c>
      <c r="D30" s="54">
        <f>41798-C30</f>
        <v>-28443</v>
      </c>
      <c r="E30" s="32">
        <f>SUM(C30:D30)</f>
        <v>41798</v>
      </c>
    </row>
    <row r="31" spans="1:7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7" x14ac:dyDescent="0.25">
      <c r="A32" s="10">
        <v>24</v>
      </c>
      <c r="B32" s="17" t="s">
        <v>17</v>
      </c>
      <c r="C32" s="52">
        <v>450</v>
      </c>
      <c r="D32" s="54">
        <v>-450</v>
      </c>
      <c r="E32" s="32">
        <f t="shared" si="5"/>
        <v>0</v>
      </c>
      <c r="G32" s="123"/>
    </row>
    <row r="33" spans="1:7" x14ac:dyDescent="0.25">
      <c r="A33" s="10">
        <v>25</v>
      </c>
      <c r="B33" s="17" t="s">
        <v>154</v>
      </c>
      <c r="C33" s="52">
        <v>-6688</v>
      </c>
      <c r="D33" s="54"/>
      <c r="E33" s="33">
        <f t="shared" si="5"/>
        <v>-6688</v>
      </c>
      <c r="G33" s="123"/>
    </row>
    <row r="34" spans="1:7" x14ac:dyDescent="0.25">
      <c r="A34" s="10">
        <v>26</v>
      </c>
      <c r="B34" s="84" t="s">
        <v>18</v>
      </c>
      <c r="C34" s="37">
        <f>SUM(C30:C33)</f>
        <v>64003</v>
      </c>
      <c r="D34" s="64">
        <f t="shared" ref="D34" si="6">SUM(D30:D33)</f>
        <v>-28893</v>
      </c>
      <c r="E34" s="37">
        <f>SUM(E30:E33)</f>
        <v>35110</v>
      </c>
      <c r="G34" s="123"/>
    </row>
    <row r="35" spans="1:7" x14ac:dyDescent="0.25">
      <c r="A35" s="10">
        <v>27</v>
      </c>
      <c r="B35" s="17" t="s">
        <v>19</v>
      </c>
      <c r="C35" s="52">
        <v>3436</v>
      </c>
      <c r="D35" s="54">
        <v>0</v>
      </c>
      <c r="E35" s="32">
        <f>SUM(C35:D35)</f>
        <v>3436</v>
      </c>
    </row>
    <row r="36" spans="1:7" x14ac:dyDescent="0.25">
      <c r="A36" s="10">
        <v>28</v>
      </c>
      <c r="B36" s="17" t="s">
        <v>20</v>
      </c>
      <c r="C36" s="52"/>
      <c r="D36" s="54"/>
      <c r="E36" s="32">
        <f t="shared" ref="E36:E38" si="7">SUM(C36:D36)</f>
        <v>0</v>
      </c>
    </row>
    <row r="37" spans="1:7" x14ac:dyDescent="0.25">
      <c r="A37" s="10">
        <v>29</v>
      </c>
      <c r="B37" s="17" t="s">
        <v>80</v>
      </c>
      <c r="C37" s="52"/>
      <c r="D37" s="54"/>
      <c r="E37" s="32">
        <f t="shared" si="7"/>
        <v>0</v>
      </c>
    </row>
    <row r="38" spans="1:7" x14ac:dyDescent="0.25">
      <c r="A38" s="10">
        <v>30</v>
      </c>
      <c r="B38" s="17" t="s">
        <v>187</v>
      </c>
      <c r="C38" s="52">
        <v>136902</v>
      </c>
      <c r="D38" s="69">
        <f>-1*(D29-D34)</f>
        <v>-83936</v>
      </c>
      <c r="E38" s="32">
        <f t="shared" si="7"/>
        <v>52966</v>
      </c>
    </row>
    <row r="39" spans="1:7" x14ac:dyDescent="0.25">
      <c r="A39" s="10">
        <v>31</v>
      </c>
      <c r="B39" s="84" t="s">
        <v>22</v>
      </c>
      <c r="C39" s="37">
        <f>C29-C34+C35+C36+C37+C38</f>
        <v>141833</v>
      </c>
      <c r="D39" s="37">
        <f t="shared" ref="D39" si="8">D29-D34+D35+D36+D37+D38</f>
        <v>0</v>
      </c>
      <c r="E39" s="37">
        <f>E29-E34+E35+E36+E37+E38</f>
        <v>141833</v>
      </c>
    </row>
    <row r="40" spans="1:7" x14ac:dyDescent="0.25">
      <c r="A40" s="10">
        <v>32</v>
      </c>
      <c r="B40" s="17" t="s">
        <v>24</v>
      </c>
      <c r="C40" s="67"/>
      <c r="D40" s="67"/>
      <c r="E40" s="44"/>
    </row>
    <row r="41" spans="1:7" x14ac:dyDescent="0.25">
      <c r="A41" s="10">
        <v>33</v>
      </c>
      <c r="B41" s="17" t="s">
        <v>25</v>
      </c>
      <c r="C41" s="52">
        <v>-199719</v>
      </c>
      <c r="D41" s="54"/>
      <c r="E41" s="32">
        <f t="shared" ref="E41:E46" si="9">SUM(C41:D41)</f>
        <v>-199719</v>
      </c>
    </row>
    <row r="42" spans="1:7" x14ac:dyDescent="0.25">
      <c r="A42" s="10">
        <v>34</v>
      </c>
      <c r="B42" s="17" t="s">
        <v>26</v>
      </c>
      <c r="C42" s="52"/>
      <c r="D42" s="54"/>
      <c r="E42" s="32">
        <f t="shared" si="9"/>
        <v>0</v>
      </c>
    </row>
    <row r="43" spans="1:7" x14ac:dyDescent="0.25">
      <c r="A43" s="10">
        <v>35</v>
      </c>
      <c r="B43" s="17" t="s">
        <v>27</v>
      </c>
      <c r="C43" s="52">
        <v>250007</v>
      </c>
      <c r="D43" s="54"/>
      <c r="E43" s="32">
        <f t="shared" si="9"/>
        <v>250007</v>
      </c>
    </row>
    <row r="44" spans="1:7" x14ac:dyDescent="0.25">
      <c r="A44" s="10">
        <v>36</v>
      </c>
      <c r="B44" s="17" t="s">
        <v>28</v>
      </c>
      <c r="C44" s="52"/>
      <c r="D44" s="54"/>
      <c r="E44" s="32">
        <f t="shared" si="9"/>
        <v>0</v>
      </c>
    </row>
    <row r="45" spans="1:7" x14ac:dyDescent="0.25">
      <c r="A45" s="10">
        <v>37</v>
      </c>
      <c r="B45" s="17" t="s">
        <v>29</v>
      </c>
      <c r="C45" s="52"/>
      <c r="D45" s="54"/>
      <c r="E45" s="32">
        <f t="shared" si="9"/>
        <v>0</v>
      </c>
    </row>
    <row r="46" spans="1:7" x14ac:dyDescent="0.25">
      <c r="A46" s="10">
        <v>38</v>
      </c>
      <c r="B46" s="17" t="s">
        <v>30</v>
      </c>
      <c r="C46" s="52"/>
      <c r="D46" s="54"/>
      <c r="E46" s="32">
        <f t="shared" si="9"/>
        <v>0</v>
      </c>
    </row>
    <row r="47" spans="1:7" x14ac:dyDescent="0.25">
      <c r="A47" s="10">
        <v>39</v>
      </c>
      <c r="B47" s="84" t="s">
        <v>208</v>
      </c>
      <c r="C47" s="37">
        <f>(C39+C41+C42)-(C43+C44+C45+C46)</f>
        <v>-307893</v>
      </c>
      <c r="D47" s="64">
        <f t="shared" ref="D47:E47" si="10">(D39+D41+D42)-(D43+D44+D45+D46)</f>
        <v>0</v>
      </c>
      <c r="E47" s="43">
        <f t="shared" si="10"/>
        <v>-307893</v>
      </c>
    </row>
    <row r="48" spans="1:7" x14ac:dyDescent="0.25">
      <c r="A48" s="10">
        <v>40</v>
      </c>
      <c r="B48" s="17" t="s">
        <v>32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30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33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4" t="s">
        <v>34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35</v>
      </c>
      <c r="C52" s="55">
        <v>131852</v>
      </c>
      <c r="D52" s="96"/>
      <c r="E52" s="32">
        <f>C52</f>
        <v>131852</v>
      </c>
    </row>
    <row r="53" spans="1:7" x14ac:dyDescent="0.25">
      <c r="A53" s="10">
        <v>45</v>
      </c>
      <c r="B53" s="17" t="s">
        <v>36</v>
      </c>
      <c r="C53" s="46">
        <f>((C22+C28-C18-C19)/C15)</f>
        <v>0.81446079206580968</v>
      </c>
      <c r="D53" s="46" t="e">
        <f>((D22+D28-D18-D19)/D15)</f>
        <v>#DIV/0!</v>
      </c>
      <c r="E53" s="46">
        <f>((E22+E28-E18-E19)/E15)</f>
        <v>0.79350510680225017</v>
      </c>
    </row>
    <row r="54" spans="1:7" x14ac:dyDescent="0.25">
      <c r="A54" s="10">
        <v>46</v>
      </c>
      <c r="B54" s="17" t="s">
        <v>37</v>
      </c>
      <c r="C54" s="46">
        <f>((C22+C28+C34)/C15)</f>
        <v>0.99940146059628943</v>
      </c>
      <c r="D54" s="46" t="e">
        <f>((D22+D28+D34)/D15)</f>
        <v>#DIV/0!</v>
      </c>
      <c r="E54" s="46">
        <f>((E22+E28+E34)/E15)</f>
        <v>0.96579677605458036</v>
      </c>
    </row>
    <row r="55" spans="1:7" x14ac:dyDescent="0.25">
      <c r="A55" s="10">
        <v>47</v>
      </c>
      <c r="B55" s="17" t="s">
        <v>38</v>
      </c>
      <c r="C55" s="46">
        <f>((C39+C34)/C34)</f>
        <v>3.2160367482774244</v>
      </c>
      <c r="D55" s="46">
        <f t="shared" ref="D55:E55" si="13">((D39+D34)/D34)</f>
        <v>1</v>
      </c>
      <c r="E55" s="46">
        <f t="shared" si="13"/>
        <v>5.039675306180575</v>
      </c>
    </row>
    <row r="56" spans="1:7" x14ac:dyDescent="0.25">
      <c r="A56" s="10">
        <v>48</v>
      </c>
      <c r="B56" s="17" t="s">
        <v>39</v>
      </c>
      <c r="C56" s="46">
        <f>(C39+C34+C18+C19)/C52</f>
        <v>4.5791341807481114</v>
      </c>
      <c r="D56" s="46" t="e">
        <f>(D39+D34+D18+D19)/D52</f>
        <v>#DIV/0!</v>
      </c>
      <c r="E56" s="46">
        <f>(E39+E34+E18+E19)/E52</f>
        <v>4.3395170342505232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176</v>
      </c>
      <c r="C58" s="66"/>
      <c r="D58" s="65"/>
      <c r="E58" s="65"/>
      <c r="F58" s="65"/>
      <c r="G58" s="65"/>
    </row>
    <row r="59" spans="1:7" x14ac:dyDescent="0.25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25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25">
      <c r="A61" s="47"/>
      <c r="B61" t="s">
        <v>207</v>
      </c>
      <c r="C61" s="65"/>
      <c r="D61" s="65"/>
      <c r="E61" s="65"/>
      <c r="F61" s="65"/>
      <c r="G61" s="65"/>
    </row>
    <row r="62" spans="1:7" x14ac:dyDescent="0.25">
      <c r="A62" s="47" t="s">
        <v>175</v>
      </c>
      <c r="B62" s="68" t="s">
        <v>262</v>
      </c>
      <c r="C62" s="65"/>
      <c r="D62" s="65"/>
      <c r="E62" s="65"/>
      <c r="F62" s="65"/>
      <c r="G62" s="65"/>
    </row>
    <row r="63" spans="1:7" x14ac:dyDescent="0.25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25">
      <c r="A64" s="47" t="s">
        <v>161</v>
      </c>
      <c r="B64" t="s">
        <v>227</v>
      </c>
      <c r="C64" s="65"/>
      <c r="D64" s="65"/>
      <c r="E64" s="65"/>
      <c r="F64" s="65"/>
      <c r="G64" s="65"/>
    </row>
    <row r="65" spans="1:7" x14ac:dyDescent="0.25">
      <c r="A65" s="65"/>
      <c r="B65" s="65" t="s">
        <v>229</v>
      </c>
      <c r="C65" s="65"/>
      <c r="D65" s="65"/>
      <c r="E65" s="65"/>
      <c r="F65" s="65"/>
      <c r="G65" s="65"/>
    </row>
    <row r="66" spans="1:7" x14ac:dyDescent="0.25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zoomScaleNormal="100" workbookViewId="0">
      <selection activeCell="A13" sqref="A13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152</v>
      </c>
    </row>
    <row r="3" spans="1:5" x14ac:dyDescent="0.25">
      <c r="B3" s="57" t="str">
        <f>PriorYearBalanceSheet!A3</f>
        <v>PEND OREILLE TELEPHONE COMPANY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111</v>
      </c>
      <c r="D6" s="26" t="s">
        <v>111</v>
      </c>
    </row>
    <row r="7" spans="1:5" x14ac:dyDescent="0.25">
      <c r="A7" s="17" t="s">
        <v>0</v>
      </c>
      <c r="B7" s="10" t="s">
        <v>153</v>
      </c>
      <c r="C7" s="28" t="s">
        <v>73</v>
      </c>
      <c r="D7" s="4" t="s">
        <v>114</v>
      </c>
    </row>
    <row r="8" spans="1:5" x14ac:dyDescent="0.25">
      <c r="A8" s="11"/>
      <c r="B8" s="11"/>
      <c r="C8" s="11">
        <v>2015</v>
      </c>
      <c r="D8" s="5">
        <v>2016</v>
      </c>
    </row>
    <row r="9" spans="1:5" x14ac:dyDescent="0.25">
      <c r="A9" s="9">
        <v>1</v>
      </c>
      <c r="B9" s="6" t="s">
        <v>1</v>
      </c>
      <c r="C9" s="36">
        <f>PriorYearIncomeStmt!E9</f>
        <v>410866</v>
      </c>
      <c r="D9" s="41">
        <f>'CurrentYearIncomeStmt '!E9</f>
        <v>419794</v>
      </c>
    </row>
    <row r="10" spans="1:5" x14ac:dyDescent="0.25">
      <c r="A10" s="10">
        <v>2</v>
      </c>
      <c r="B10" s="17" t="s">
        <v>2</v>
      </c>
      <c r="C10" s="32">
        <f>PriorYearIncomeStmt!E10</f>
        <v>2203921</v>
      </c>
      <c r="D10" s="41">
        <f>'CurrentYearIncomeStmt '!E10</f>
        <v>2099061</v>
      </c>
    </row>
    <row r="11" spans="1:5" x14ac:dyDescent="0.25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x14ac:dyDescent="0.25">
      <c r="A12" s="10">
        <v>4</v>
      </c>
      <c r="B12" s="17" t="s">
        <v>4</v>
      </c>
      <c r="C12" s="32">
        <f>PriorYearIncomeStmt!E12</f>
        <v>0</v>
      </c>
      <c r="D12" s="41">
        <f>'CurrentYearIncomeStmt '!E12</f>
        <v>0</v>
      </c>
    </row>
    <row r="13" spans="1:5" x14ac:dyDescent="0.25">
      <c r="A13" s="10">
        <v>5</v>
      </c>
      <c r="B13" s="17" t="s">
        <v>5</v>
      </c>
      <c r="C13" s="32">
        <f>PriorYearIncomeStmt!E13</f>
        <v>11818</v>
      </c>
      <c r="D13" s="41">
        <f>'CurrentYearIncomeStmt '!E13</f>
        <v>12672</v>
      </c>
    </row>
    <row r="14" spans="1:5" x14ac:dyDescent="0.25">
      <c r="A14" s="10">
        <v>6</v>
      </c>
      <c r="B14" s="17" t="s">
        <v>139</v>
      </c>
      <c r="C14" s="32">
        <f>PriorYearIncomeStmt!E14</f>
        <v>-18879</v>
      </c>
      <c r="D14" s="41">
        <f>'CurrentYearIncomeStmt '!E14</f>
        <v>-33780</v>
      </c>
    </row>
    <row r="15" spans="1:5" x14ac:dyDescent="0.25">
      <c r="A15" s="10">
        <v>7</v>
      </c>
      <c r="B15" s="84" t="s">
        <v>138</v>
      </c>
      <c r="C15" s="40">
        <f>SUM(C9:C14)</f>
        <v>2607726</v>
      </c>
      <c r="D15" s="42">
        <f t="shared" ref="D15" si="0">SUM(D9:D14)</f>
        <v>2497747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671211</v>
      </c>
      <c r="D16" s="41">
        <f>'CurrentYearIncomeStmt '!E16</f>
        <v>662116</v>
      </c>
    </row>
    <row r="17" spans="1:5" x14ac:dyDescent="0.25">
      <c r="A17" s="10">
        <v>9</v>
      </c>
      <c r="B17" s="17" t="s">
        <v>40</v>
      </c>
      <c r="C17" s="32">
        <f>PriorYearIncomeStmt!E17</f>
        <v>196418</v>
      </c>
      <c r="D17" s="41">
        <f>'CurrentYearIncomeStmt '!E17</f>
        <v>234575</v>
      </c>
    </row>
    <row r="18" spans="1:5" x14ac:dyDescent="0.25">
      <c r="A18" s="10">
        <v>10</v>
      </c>
      <c r="B18" s="17" t="s">
        <v>7</v>
      </c>
      <c r="C18" s="32">
        <f>PriorYearIncomeStmt!E18</f>
        <v>317074</v>
      </c>
      <c r="D18" s="41">
        <f>'CurrentYearIncomeStmt '!E18</f>
        <v>395231</v>
      </c>
    </row>
    <row r="19" spans="1:5" x14ac:dyDescent="0.25">
      <c r="A19" s="10">
        <v>11</v>
      </c>
      <c r="B19" s="17" t="s">
        <v>8</v>
      </c>
      <c r="C19" s="32">
        <f>PriorYearIncomeStmt!E19</f>
        <v>0</v>
      </c>
      <c r="D19" s="41">
        <f>'CurrentYearIncomeStmt '!E19</f>
        <v>0</v>
      </c>
    </row>
    <row r="20" spans="1:5" x14ac:dyDescent="0.25">
      <c r="A20" s="10">
        <v>12</v>
      </c>
      <c r="B20" s="17" t="s">
        <v>9</v>
      </c>
      <c r="C20" s="32">
        <f>PriorYearIncomeStmt!E20</f>
        <v>169502</v>
      </c>
      <c r="D20" s="41">
        <f>'CurrentYearIncomeStmt '!E20</f>
        <v>169660</v>
      </c>
    </row>
    <row r="21" spans="1:5" x14ac:dyDescent="0.25">
      <c r="A21" s="10">
        <v>13</v>
      </c>
      <c r="B21" s="17" t="s">
        <v>10</v>
      </c>
      <c r="C21" s="32">
        <f>PriorYearIncomeStmt!E21</f>
        <v>794131</v>
      </c>
      <c r="D21" s="41">
        <f>'CurrentYearIncomeStmt '!E21</f>
        <v>822012</v>
      </c>
    </row>
    <row r="22" spans="1:5" x14ac:dyDescent="0.25">
      <c r="A22" s="10">
        <v>14</v>
      </c>
      <c r="B22" s="84" t="s">
        <v>260</v>
      </c>
      <c r="C22" s="40">
        <f>C16+C17+C18+C19+C20+C21</f>
        <v>2148336</v>
      </c>
      <c r="D22" s="42">
        <f>D16+D17+D18+D19+D20+D21</f>
        <v>2283594</v>
      </c>
      <c r="E22" s="1"/>
    </row>
    <row r="23" spans="1:5" x14ac:dyDescent="0.25">
      <c r="A23" s="10">
        <v>15</v>
      </c>
      <c r="B23" s="17" t="s">
        <v>14</v>
      </c>
      <c r="C23" s="32">
        <f>C15-C22</f>
        <v>459390</v>
      </c>
      <c r="D23" s="41">
        <f>D15-D22</f>
        <v>214153</v>
      </c>
    </row>
    <row r="24" spans="1:5" x14ac:dyDescent="0.25">
      <c r="A24" s="10">
        <v>16</v>
      </c>
      <c r="B24" s="17" t="s">
        <v>140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0</v>
      </c>
      <c r="D25" s="41">
        <f>'CurrentYearIncomeStmt '!E25</f>
        <v>0</v>
      </c>
    </row>
    <row r="26" spans="1:5" x14ac:dyDescent="0.25">
      <c r="A26" s="10">
        <v>18</v>
      </c>
      <c r="B26" s="17" t="s">
        <v>188</v>
      </c>
      <c r="C26" s="32">
        <f>PriorYearIncomeStmt!E26</f>
        <v>121889</v>
      </c>
      <c r="D26" s="41">
        <f>'CurrentYearIncomeStmt '!E26</f>
        <v>37182</v>
      </c>
    </row>
    <row r="27" spans="1:5" x14ac:dyDescent="0.25">
      <c r="A27" s="10">
        <v>19</v>
      </c>
      <c r="B27" s="17" t="s">
        <v>13</v>
      </c>
      <c r="C27" s="32">
        <f>PriorYearIncomeStmt!E27</f>
        <v>52511</v>
      </c>
      <c r="D27" s="41">
        <f>'CurrentYearIncomeStmt '!E27</f>
        <v>56430</v>
      </c>
    </row>
    <row r="28" spans="1:5" x14ac:dyDescent="0.25">
      <c r="A28" s="10">
        <v>20</v>
      </c>
      <c r="B28" s="84" t="s">
        <v>12</v>
      </c>
      <c r="C28" s="37">
        <f>SUM(C25:C27)</f>
        <v>174400</v>
      </c>
      <c r="D28" s="43">
        <f t="shared" ref="D28" si="1">SUM(D25:D27)</f>
        <v>93612</v>
      </c>
    </row>
    <row r="29" spans="1:5" x14ac:dyDescent="0.25">
      <c r="A29" s="10">
        <v>21</v>
      </c>
      <c r="B29" s="84" t="s">
        <v>23</v>
      </c>
      <c r="C29" s="37">
        <f>C23+C24-C28</f>
        <v>284990</v>
      </c>
      <c r="D29" s="43">
        <f>D23+D24-D28</f>
        <v>120541</v>
      </c>
    </row>
    <row r="30" spans="1:5" x14ac:dyDescent="0.25">
      <c r="A30" s="10">
        <v>22</v>
      </c>
      <c r="B30" s="17" t="s">
        <v>15</v>
      </c>
      <c r="C30" s="32">
        <f>PriorYearIncomeStmt!E30</f>
        <v>41158</v>
      </c>
      <c r="D30" s="41">
        <f>'CurrentYearIncomeStmt '!E30</f>
        <v>41798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0</v>
      </c>
    </row>
    <row r="33" spans="1:4" x14ac:dyDescent="0.25">
      <c r="A33" s="10">
        <v>25</v>
      </c>
      <c r="B33" s="17" t="s">
        <v>79</v>
      </c>
      <c r="C33" s="32">
        <f>PriorYearIncomeStmt!E33</f>
        <v>-2362</v>
      </c>
      <c r="D33" s="41">
        <f>'CurrentYearIncomeStmt '!E33</f>
        <v>-6688</v>
      </c>
    </row>
    <row r="34" spans="1:4" x14ac:dyDescent="0.25">
      <c r="A34" s="10">
        <v>26</v>
      </c>
      <c r="B34" s="84" t="s">
        <v>18</v>
      </c>
      <c r="C34" s="37">
        <f>SUM(C30:C33)</f>
        <v>38796</v>
      </c>
      <c r="D34" s="43">
        <f t="shared" ref="D34" si="2">SUM(D30:D33)</f>
        <v>35110</v>
      </c>
    </row>
    <row r="35" spans="1:4" x14ac:dyDescent="0.25">
      <c r="A35" s="10">
        <v>27</v>
      </c>
      <c r="B35" s="17" t="s">
        <v>19</v>
      </c>
      <c r="C35" s="32">
        <f>PriorYearIncomeStmt!E35</f>
        <v>-7224</v>
      </c>
      <c r="D35" s="41">
        <f>'CurrentYearIncomeStmt '!E35</f>
        <v>3436</v>
      </c>
    </row>
    <row r="36" spans="1:4" x14ac:dyDescent="0.25">
      <c r="A36" s="10">
        <v>28</v>
      </c>
      <c r="B36" s="17" t="s">
        <v>20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80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21</v>
      </c>
      <c r="C38" s="32">
        <f>PriorYearIncomeStmt!E38</f>
        <v>35924</v>
      </c>
      <c r="D38" s="41">
        <f>'CurrentYearIncomeStmt '!E38</f>
        <v>52966</v>
      </c>
    </row>
    <row r="39" spans="1:4" x14ac:dyDescent="0.25">
      <c r="A39" s="10">
        <v>31</v>
      </c>
      <c r="B39" s="84" t="s">
        <v>22</v>
      </c>
      <c r="C39" s="37">
        <f>C29-C34+C35+C36+C37+C38</f>
        <v>274894</v>
      </c>
      <c r="D39" s="43">
        <f t="shared" ref="D39" si="3">D29-D34+D35+D36+D37+D38</f>
        <v>141833</v>
      </c>
    </row>
    <row r="40" spans="1:4" x14ac:dyDescent="0.25">
      <c r="A40" s="10">
        <v>32</v>
      </c>
      <c r="B40" s="17" t="s">
        <v>24</v>
      </c>
      <c r="C40" s="44"/>
      <c r="D40" s="70"/>
    </row>
    <row r="41" spans="1:4" x14ac:dyDescent="0.25">
      <c r="A41" s="10">
        <v>33</v>
      </c>
      <c r="B41" s="17" t="s">
        <v>25</v>
      </c>
      <c r="C41" s="32">
        <f>PriorYearIncomeStmt!E41</f>
        <v>-311576</v>
      </c>
      <c r="D41" s="41">
        <f>'CurrentYearIncomeStmt '!E41</f>
        <v>-199719</v>
      </c>
    </row>
    <row r="42" spans="1:4" x14ac:dyDescent="0.25">
      <c r="A42" s="10">
        <v>34</v>
      </c>
      <c r="B42" s="17" t="s">
        <v>26</v>
      </c>
      <c r="C42" s="32">
        <f>PriorYearIncomeStmt!E42</f>
        <v>0</v>
      </c>
      <c r="D42" s="41">
        <f>'CurrentYearIncomeStmt '!E42</f>
        <v>0</v>
      </c>
    </row>
    <row r="43" spans="1:4" x14ac:dyDescent="0.25">
      <c r="A43" s="10">
        <v>35</v>
      </c>
      <c r="B43" s="17" t="s">
        <v>27</v>
      </c>
      <c r="C43" s="32">
        <f>PriorYearIncomeStmt!E43</f>
        <v>179311</v>
      </c>
      <c r="D43" s="41">
        <f>'CurrentYearIncomeStmt '!E43</f>
        <v>250007</v>
      </c>
    </row>
    <row r="44" spans="1:4" x14ac:dyDescent="0.25">
      <c r="A44" s="10">
        <v>36</v>
      </c>
      <c r="B44" s="17" t="s">
        <v>28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29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30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4" t="s">
        <v>31</v>
      </c>
      <c r="C47" s="37">
        <f>(C39+C41+C42)-(C43+C44+C45+C46)</f>
        <v>-215993</v>
      </c>
      <c r="D47" s="43">
        <f t="shared" ref="D47" si="4">(D39+D41+D42)-(D43+D44+D45+D46)</f>
        <v>-307893</v>
      </c>
    </row>
    <row r="48" spans="1:4" x14ac:dyDescent="0.25">
      <c r="A48" s="10">
        <v>40</v>
      </c>
      <c r="B48" s="17" t="s">
        <v>32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30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33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4" t="s">
        <v>34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35</v>
      </c>
      <c r="C52" s="32">
        <f>PriorYearIncomeStmt!E52</f>
        <v>99774</v>
      </c>
      <c r="D52" s="41">
        <f>'CurrentYearIncomeStmt '!E52</f>
        <v>131852</v>
      </c>
    </row>
    <row r="53" spans="1:8" x14ac:dyDescent="0.25">
      <c r="A53" s="10">
        <v>45</v>
      </c>
      <c r="B53" s="17" t="s">
        <v>36</v>
      </c>
      <c r="C53" s="49">
        <f>((C22+C28-C18-C19)/C15)</f>
        <v>0.76912298301278581</v>
      </c>
      <c r="D53" s="49">
        <f>((D22+D28-D18-D19)/D15)</f>
        <v>0.79350510680225017</v>
      </c>
    </row>
    <row r="54" spans="1:8" x14ac:dyDescent="0.25">
      <c r="A54" s="10">
        <v>46</v>
      </c>
      <c r="B54" s="17" t="s">
        <v>37</v>
      </c>
      <c r="C54" s="49">
        <f>((C22+C28+C34)/C15)</f>
        <v>0.90559054133754846</v>
      </c>
      <c r="D54" s="49">
        <f>((D22+D28+D34)/D15)</f>
        <v>0.96579677605458036</v>
      </c>
    </row>
    <row r="55" spans="1:8" x14ac:dyDescent="0.25">
      <c r="A55" s="10">
        <v>47</v>
      </c>
      <c r="B55" s="17" t="s">
        <v>38</v>
      </c>
      <c r="C55" s="49">
        <f>((C39+C34)/C34)</f>
        <v>8.0856273842664184</v>
      </c>
      <c r="D55" s="49">
        <f t="shared" ref="D55" si="6">((D39+D34)/D34)</f>
        <v>5.039675306180575</v>
      </c>
    </row>
    <row r="56" spans="1:8" x14ac:dyDescent="0.25">
      <c r="A56" s="10">
        <v>48</v>
      </c>
      <c r="B56" s="17" t="s">
        <v>39</v>
      </c>
      <c r="C56" s="45">
        <f>(C39+C34+C18+C19)/C52</f>
        <v>6.3219275562771866</v>
      </c>
      <c r="D56" s="49">
        <f>(D39+D34+D18+D19)/D52</f>
        <v>4.3395170342505232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189</v>
      </c>
      <c r="C59" s="48" t="s">
        <v>220</v>
      </c>
      <c r="D59" s="48" t="s">
        <v>256</v>
      </c>
    </row>
    <row r="60" spans="1:8" x14ac:dyDescent="0.25">
      <c r="A60" s="47" t="s">
        <v>164</v>
      </c>
      <c r="B60" t="s">
        <v>156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190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191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192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AwL+aTkCr2xoQMUiiYfeeYhbQ1XBEz9yWqv3PUncXeP/wkdGowRwAIJ7IxzgDDiZfs2SHOjxn+NVE/3Z+pK1/w==" saltValue="7YxR2G1nkWJt9Ni/pab13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2017-07-31T07:00:00+00:00</OpenedDate>
    <Date1 xmlns="dc463f71-b30c-4ab2-9473-d307f9d35888">2017-07-31T07:00:00+00:00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Pend Oreille Telephone Company</CaseCompanyNames>
    <Nickname xmlns="http://schemas.microsoft.com/sharepoint/v3" xsi:nil="true"/>
    <DocketNumber xmlns="dc463f71-b30c-4ab2-9473-d307f9d35888">170859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7D2FA25C26584083F0A66E55AC6AF8" ma:contentTypeVersion="104" ma:contentTypeDescription="" ma:contentTypeScope="" ma:versionID="4426a6bb6f7b0f65f2db389680fc4dd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F754BA-9A5E-4E67-B3E0-A099E60F640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2DAD1AA-8825-4BCA-AAB1-1AAE24224E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BAE893-1A05-4345-AC29-FEE28FCA12F2}"/>
</file>

<file path=customXml/itemProps4.xml><?xml version="1.0" encoding="utf-8"?>
<ds:datastoreItem xmlns:ds="http://schemas.openxmlformats.org/officeDocument/2006/customXml" ds:itemID="{B614A6F7-0B11-4101-B6FF-25484DBBF0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Huey, Lorilyn (UTC)</cp:lastModifiedBy>
  <cp:lastPrinted>2017-05-11T21:23:33Z</cp:lastPrinted>
  <dcterms:created xsi:type="dcterms:W3CDTF">2014-05-21T17:51:51Z</dcterms:created>
  <dcterms:modified xsi:type="dcterms:W3CDTF">2017-07-31T23:52:05Z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WA PUC</vt:lpwstr>
  </property>
  <property fmtid="{D5CDD505-2E9C-101B-9397-08002B2CF9AE}" pid="4" name="tabIndex">
    <vt:lpwstr>11</vt:lpwstr>
  </property>
  <property fmtid="{D5CDD505-2E9C-101B-9397-08002B2CF9AE}" pid="5" name="workpaperIndex">
    <vt:lpwstr/>
  </property>
  <property fmtid="{D5CDD505-2E9C-101B-9397-08002B2CF9AE}" pid="6" name="ContentTypeId">
    <vt:lpwstr>0x0101006E56B4D1795A2E4DB2F0B01679ED314A00617D2FA25C26584083F0A66E55AC6AF8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