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comments1.xml" ContentType="application/vnd.openxmlformats-officedocument.spreadsheetml.comments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6\Final Files for Report\"/>
    </mc:Choice>
  </mc:AlternateContent>
  <bookViews>
    <workbookView xWindow="0" yWindow="0" windowWidth="19200" windowHeight="7900" tabRatio="694"/>
  </bookViews>
  <sheets>
    <sheet name="TOTAL FIRST YEAR" sheetId="1" r:id="rId1"/>
    <sheet name="Rates&amp;NEB" sheetId="2" r:id="rId2"/>
    <sheet name="APP 2885" sheetId="3" r:id="rId3"/>
  </sheets>
  <externalReferences>
    <externalReference r:id="rId4"/>
  </externalReferences>
  <definedNames>
    <definedName name="_xlnm._FilterDatabase" localSheetId="1" hidden="1">[1]Sheet4!$A$1:$G$57</definedName>
    <definedName name="_xlnm._FilterDatabase" localSheetId="0" hidden="1">'TOTAL FIRST YEAR'!$B$4:$S$60</definedName>
    <definedName name="AC">'APP 2885'!$B$10:$G$54</definedName>
    <definedName name="Admin_Costs">#REF!</definedName>
    <definedName name="ByMeasure">#REF!</definedName>
    <definedName name="Inflation">'Rates&amp;NEB'!$B$7</definedName>
    <definedName name="LTdiscount">'Rates&amp;NEB'!$B$9</definedName>
    <definedName name="NEPercentage">'Rates&amp;NEB'!$B$11</definedName>
    <definedName name="NomInt">'Rates&amp;NEB'!$B$5</definedName>
    <definedName name="OffsetAnchor">#REF!</definedName>
    <definedName name="_xlnm.Print_Area" localSheetId="0">'TOTAL FIRST YEAR'!$B$1:$AB$65</definedName>
    <definedName name="TotalAnnualThermSavings">'TOTAL FIRST YEAR'!$H$60</definedName>
    <definedName name="Z_2071E27A_5EFB_4FE2_B87C_64D436A2C10C_.wvu.Cols" localSheetId="0" hidden="1">'TOTAL FIRST YEAR'!$A:$A</definedName>
    <definedName name="Z_2071E27A_5EFB_4FE2_B87C_64D436A2C10C_.wvu.FilterData" localSheetId="0" hidden="1">'TOTAL FIRST YEAR'!$B$4:$S$60</definedName>
    <definedName name="Z_2071E27A_5EFB_4FE2_B87C_64D436A2C10C_.wvu.PrintArea" localSheetId="0" hidden="1">'TOTAL FIRST YEAR'!$B$1:$AB$65</definedName>
    <definedName name="Z_53FDAFFF_3D96_4F28_89A0_59B371010818_.wvu.Cols" localSheetId="0" hidden="1">'TOTAL FIRST YEAR'!$A:$A</definedName>
    <definedName name="Z_53FDAFFF_3D96_4F28_89A0_59B371010818_.wvu.FilterData" localSheetId="0" hidden="1">'TOTAL FIRST YEAR'!$B$4:$S$60</definedName>
    <definedName name="Z_53FDAFFF_3D96_4F28_89A0_59B371010818_.wvu.PrintArea" localSheetId="0" hidden="1">'TOTAL FIRST YEAR'!$B$1:$AB$65</definedName>
    <definedName name="Z_C923932C_96B5_464D_9E0A_3FBBD9F9862F_.wvu.Cols" localSheetId="0" hidden="1">'TOTAL FIRST YEAR'!$A:$A</definedName>
    <definedName name="Z_C923932C_96B5_464D_9E0A_3FBBD9F9862F_.wvu.FilterData" localSheetId="0" hidden="1">'TOTAL FIRST YEAR'!$B$4:$S$60</definedName>
    <definedName name="Z_C923932C_96B5_464D_9E0A_3FBBD9F9862F_.wvu.PrintArea" localSheetId="0" hidden="1">'TOTAL FIRST YEAR'!$B$1:$AB$65</definedName>
  </definedNames>
  <calcPr calcId="152511"/>
  <customWorkbookViews>
    <customWorkbookView name="Cascade Natural Gas - Personal View" guid="{C923932C-96B5-464D-9E0A-3FBBD9F9862F}" mergeInterval="0" personalView="1" maximized="1" xWindow="1909" yWindow="-11" windowWidth="1942" windowHeight="1102" tabRatio="694" activeSheetId="1"/>
    <customWorkbookView name="Monica Cowlishaw - Personal View" guid="{2071E27A-5EFB-4FE2-B87C-64D436A2C10C}" mergeInterval="0" personalView="1" maximized="1" windowWidth="1244" windowHeight="732" tabRatio="694" activeSheetId="1" showComments="commIndAndComment"/>
    <customWorkbookView name="Damle, Vaishali - Personal View" guid="{53FDAFFF-3D96-4F28-89A0-59B371010818}" mergeInterval="0" personalView="1" maximized="1" windowWidth="1920" windowHeight="854" tabRatio="694" activeSheetId="1"/>
  </customWorkbookViews>
</workbook>
</file>

<file path=xl/calcChain.xml><?xml version="1.0" encoding="utf-8"?>
<calcChain xmlns="http://schemas.openxmlformats.org/spreadsheetml/2006/main">
  <c r="K12" i="1" l="1"/>
  <c r="K58" i="1"/>
  <c r="J8" i="1"/>
  <c r="J9" i="1"/>
  <c r="J10" i="1"/>
  <c r="J12" i="1"/>
  <c r="J13" i="1"/>
  <c r="J14" i="1"/>
  <c r="J16" i="1"/>
  <c r="J17" i="1"/>
  <c r="J18" i="1"/>
  <c r="J20" i="1"/>
  <c r="J21" i="1"/>
  <c r="J22" i="1"/>
  <c r="J24" i="1"/>
  <c r="J25" i="1"/>
  <c r="J26" i="1"/>
  <c r="J28" i="1"/>
  <c r="J30" i="1"/>
  <c r="J31" i="1"/>
  <c r="J32" i="1"/>
  <c r="J34" i="1"/>
  <c r="J35" i="1"/>
  <c r="J36" i="1"/>
  <c r="J38" i="1"/>
  <c r="J39" i="1"/>
  <c r="J41" i="1"/>
  <c r="J42" i="1"/>
  <c r="J43" i="1"/>
  <c r="J45" i="1"/>
  <c r="J46" i="1"/>
  <c r="J47" i="1"/>
  <c r="J49" i="1"/>
  <c r="J51" i="1"/>
  <c r="J52" i="1"/>
  <c r="J54" i="1"/>
  <c r="J55" i="1"/>
  <c r="J56" i="1"/>
  <c r="J58" i="1"/>
  <c r="J6" i="1" l="1"/>
  <c r="K39" i="1"/>
  <c r="K38" i="1"/>
  <c r="F30" i="1" l="1"/>
  <c r="K24" i="1" l="1"/>
  <c r="K25" i="1"/>
  <c r="K26" i="1"/>
  <c r="K21" i="1"/>
  <c r="K22" i="1"/>
  <c r="K20" i="1"/>
  <c r="K10" i="1"/>
  <c r="K9" i="1"/>
  <c r="K8" i="1"/>
  <c r="K32" i="1"/>
  <c r="K31" i="1"/>
  <c r="K30" i="1"/>
  <c r="K55" i="1"/>
  <c r="K54" i="1"/>
  <c r="K56" i="1"/>
  <c r="K18" i="1"/>
  <c r="K17" i="1"/>
  <c r="K16" i="1"/>
  <c r="H38" i="1" l="1"/>
  <c r="P38" i="1" s="1"/>
  <c r="L38" i="1"/>
  <c r="S38" i="1"/>
  <c r="H39" i="1"/>
  <c r="P39" i="1" s="1"/>
  <c r="L39" i="1"/>
  <c r="S39" i="1"/>
  <c r="H52" i="1"/>
  <c r="P52" i="1" s="1"/>
  <c r="K52" i="1"/>
  <c r="L52" i="1"/>
  <c r="S52" i="1"/>
  <c r="S6" i="1"/>
  <c r="O38" i="1" l="1"/>
  <c r="O52" i="1"/>
  <c r="U52" i="1"/>
  <c r="M52" i="1"/>
  <c r="O39" i="1"/>
  <c r="M38" i="1"/>
  <c r="U38" i="1"/>
  <c r="U39" i="1"/>
  <c r="M39" i="1"/>
  <c r="S36" i="1"/>
  <c r="L36" i="1"/>
  <c r="K36" i="1"/>
  <c r="H36" i="1"/>
  <c r="P36" i="1" s="1"/>
  <c r="U36" i="1" l="1"/>
  <c r="Y38" i="1"/>
  <c r="Y39" i="1"/>
  <c r="Y52" i="1"/>
  <c r="O36" i="1"/>
  <c r="M36" i="1"/>
  <c r="F60" i="1"/>
  <c r="S28" i="1"/>
  <c r="S8" i="1"/>
  <c r="S9" i="1"/>
  <c r="S10" i="1"/>
  <c r="S12" i="1"/>
  <c r="S13" i="1"/>
  <c r="S14" i="1"/>
  <c r="S16" i="1"/>
  <c r="S17" i="1"/>
  <c r="S18" i="1"/>
  <c r="S20" i="1"/>
  <c r="S21" i="1"/>
  <c r="S22" i="1"/>
  <c r="S24" i="1"/>
  <c r="S25" i="1"/>
  <c r="S26" i="1"/>
  <c r="S30" i="1"/>
  <c r="S31" i="1"/>
  <c r="S32" i="1"/>
  <c r="S34" i="1"/>
  <c r="S35" i="1"/>
  <c r="S41" i="1"/>
  <c r="S42" i="1"/>
  <c r="S43" i="1"/>
  <c r="S45" i="1"/>
  <c r="S46" i="1"/>
  <c r="S47" i="1"/>
  <c r="S49" i="1"/>
  <c r="S51" i="1"/>
  <c r="S54" i="1"/>
  <c r="S55" i="1"/>
  <c r="S56" i="1"/>
  <c r="S58" i="1"/>
  <c r="H6" i="1"/>
  <c r="H8" i="1"/>
  <c r="P8" i="1" s="1"/>
  <c r="H9" i="1"/>
  <c r="O9" i="1" s="1"/>
  <c r="H10" i="1"/>
  <c r="H12" i="1"/>
  <c r="P12" i="1" s="1"/>
  <c r="H13" i="1"/>
  <c r="P13" i="1" s="1"/>
  <c r="H14" i="1"/>
  <c r="H16" i="1"/>
  <c r="P16" i="1" s="1"/>
  <c r="H17" i="1"/>
  <c r="P17" i="1" s="1"/>
  <c r="H18" i="1"/>
  <c r="O18" i="1" s="1"/>
  <c r="H20" i="1"/>
  <c r="H21" i="1"/>
  <c r="O21" i="1" s="1"/>
  <c r="H22" i="1"/>
  <c r="H24" i="1"/>
  <c r="P24" i="1" s="1"/>
  <c r="H25" i="1"/>
  <c r="P25" i="1" s="1"/>
  <c r="H26" i="1"/>
  <c r="H28" i="1"/>
  <c r="O28" i="1" s="1"/>
  <c r="H30" i="1"/>
  <c r="O30" i="1" s="1"/>
  <c r="H31" i="1"/>
  <c r="O31" i="1" s="1"/>
  <c r="H32" i="1"/>
  <c r="P32" i="1" s="1"/>
  <c r="H34" i="1"/>
  <c r="H35" i="1"/>
  <c r="H41" i="1"/>
  <c r="O41" i="1" s="1"/>
  <c r="H42" i="1"/>
  <c r="P42" i="1" s="1"/>
  <c r="H43" i="1"/>
  <c r="O43" i="1" s="1"/>
  <c r="H45" i="1"/>
  <c r="P45" i="1" s="1"/>
  <c r="H46" i="1"/>
  <c r="P46" i="1" s="1"/>
  <c r="H47" i="1"/>
  <c r="P47" i="1" s="1"/>
  <c r="H49" i="1"/>
  <c r="H51" i="1"/>
  <c r="P51" i="1" s="1"/>
  <c r="H54" i="1"/>
  <c r="H55" i="1"/>
  <c r="P55" i="1" s="1"/>
  <c r="H56" i="1"/>
  <c r="P56" i="1" s="1"/>
  <c r="H58" i="1"/>
  <c r="O58" i="1" s="1"/>
  <c r="K6" i="1"/>
  <c r="L6" i="1"/>
  <c r="L8" i="1"/>
  <c r="L9" i="1"/>
  <c r="L10" i="1"/>
  <c r="L12" i="1"/>
  <c r="K13" i="1"/>
  <c r="L13" i="1"/>
  <c r="K14" i="1"/>
  <c r="L14" i="1"/>
  <c r="L16" i="1"/>
  <c r="L17" i="1"/>
  <c r="L18" i="1"/>
  <c r="L20" i="1"/>
  <c r="L21" i="1"/>
  <c r="L22" i="1"/>
  <c r="L24" i="1"/>
  <c r="L25" i="1"/>
  <c r="L26" i="1"/>
  <c r="K28" i="1"/>
  <c r="L28" i="1"/>
  <c r="L30" i="1"/>
  <c r="L31" i="1"/>
  <c r="L32" i="1"/>
  <c r="K34" i="1"/>
  <c r="L34" i="1"/>
  <c r="K35" i="1"/>
  <c r="L35" i="1"/>
  <c r="K41" i="1"/>
  <c r="L41" i="1"/>
  <c r="K42" i="1"/>
  <c r="L42" i="1"/>
  <c r="K43" i="1"/>
  <c r="L43" i="1"/>
  <c r="K45" i="1"/>
  <c r="L45" i="1"/>
  <c r="K46" i="1"/>
  <c r="L46" i="1"/>
  <c r="K47" i="1"/>
  <c r="L47" i="1"/>
  <c r="K49" i="1"/>
  <c r="L49" i="1"/>
  <c r="K51" i="1"/>
  <c r="L51" i="1"/>
  <c r="L54" i="1"/>
  <c r="L55" i="1"/>
  <c r="L56" i="1"/>
  <c r="L58" i="1"/>
  <c r="K60" i="1" l="1"/>
  <c r="J60" i="1"/>
  <c r="S60" i="1"/>
  <c r="M31" i="1"/>
  <c r="M10" i="1"/>
  <c r="M8" i="1"/>
  <c r="M55" i="1"/>
  <c r="M32" i="1"/>
  <c r="M30" i="1"/>
  <c r="M56" i="1"/>
  <c r="M54" i="1"/>
  <c r="M9" i="1"/>
  <c r="P10" i="1"/>
  <c r="U10" i="1" s="1"/>
  <c r="H60" i="1"/>
  <c r="U45" i="1"/>
  <c r="Y36" i="1"/>
  <c r="U25" i="1"/>
  <c r="U56" i="1"/>
  <c r="U16" i="1"/>
  <c r="U24" i="1"/>
  <c r="U12" i="1"/>
  <c r="N60" i="1"/>
  <c r="L60" i="1"/>
  <c r="O24" i="1"/>
  <c r="O47" i="1"/>
  <c r="P30" i="1"/>
  <c r="U30" i="1" s="1"/>
  <c r="P58" i="1"/>
  <c r="U58" i="1" s="1"/>
  <c r="O51" i="1"/>
  <c r="P28" i="1"/>
  <c r="U28" i="1" s="1"/>
  <c r="O12" i="1"/>
  <c r="O55" i="1"/>
  <c r="P21" i="1"/>
  <c r="U21" i="1" s="1"/>
  <c r="O56" i="1"/>
  <c r="U55" i="1"/>
  <c r="O54" i="1"/>
  <c r="P54" i="1"/>
  <c r="U54" i="1" s="1"/>
  <c r="U51" i="1"/>
  <c r="P49" i="1"/>
  <c r="U49" i="1" s="1"/>
  <c r="O49" i="1"/>
  <c r="U47" i="1"/>
  <c r="U46" i="1"/>
  <c r="O45" i="1"/>
  <c r="O46" i="1"/>
  <c r="U42" i="1"/>
  <c r="P43" i="1"/>
  <c r="U43" i="1" s="1"/>
  <c r="O42" i="1"/>
  <c r="M42" i="1"/>
  <c r="P41" i="1"/>
  <c r="U41" i="1" s="1"/>
  <c r="P35" i="1"/>
  <c r="U35" i="1" s="1"/>
  <c r="O35" i="1"/>
  <c r="O34" i="1"/>
  <c r="P34" i="1"/>
  <c r="U34" i="1" s="1"/>
  <c r="U32" i="1"/>
  <c r="O32" i="1"/>
  <c r="P31" i="1"/>
  <c r="U31" i="1" s="1"/>
  <c r="O26" i="1"/>
  <c r="P26" i="1"/>
  <c r="U26" i="1" s="1"/>
  <c r="O25" i="1"/>
  <c r="P22" i="1"/>
  <c r="U22" i="1" s="1"/>
  <c r="O22" i="1"/>
  <c r="O20" i="1"/>
  <c r="P20" i="1"/>
  <c r="U20" i="1" s="1"/>
  <c r="U17" i="1"/>
  <c r="M18" i="1"/>
  <c r="P18" i="1"/>
  <c r="U18" i="1" s="1"/>
  <c r="O17" i="1"/>
  <c r="O16" i="1"/>
  <c r="U13" i="1"/>
  <c r="P14" i="1"/>
  <c r="U14" i="1" s="1"/>
  <c r="O14" i="1"/>
  <c r="O13" i="1"/>
  <c r="M13" i="1"/>
  <c r="O10" i="1"/>
  <c r="P9" i="1"/>
  <c r="U9" i="1" s="1"/>
  <c r="U8" i="1"/>
  <c r="O8" i="1"/>
  <c r="O6" i="1"/>
  <c r="P6" i="1"/>
  <c r="U6" i="1" s="1"/>
  <c r="M51" i="1"/>
  <c r="M47" i="1"/>
  <c r="M43" i="1"/>
  <c r="M14" i="1"/>
  <c r="M6" i="1"/>
  <c r="M58" i="1"/>
  <c r="M45" i="1"/>
  <c r="M34" i="1"/>
  <c r="M16" i="1"/>
  <c r="M49" i="1"/>
  <c r="M46" i="1"/>
  <c r="M41" i="1"/>
  <c r="M35" i="1"/>
  <c r="M28" i="1"/>
  <c r="M17" i="1"/>
  <c r="M12" i="1"/>
  <c r="M60" i="1" l="1"/>
  <c r="O60" i="1"/>
  <c r="Y28" i="1"/>
  <c r="Y58" i="1"/>
  <c r="Y56" i="1"/>
  <c r="Y55" i="1"/>
  <c r="Y54" i="1"/>
  <c r="Y51" i="1"/>
  <c r="Y49" i="1"/>
  <c r="Y47" i="1"/>
  <c r="Y46" i="1"/>
  <c r="Y45" i="1"/>
  <c r="Y43" i="1"/>
  <c r="Y42" i="1"/>
  <c r="Y41" i="1"/>
  <c r="Y35" i="1"/>
  <c r="Y34" i="1"/>
  <c r="Y32" i="1"/>
  <c r="Y31" i="1"/>
  <c r="Y30" i="1"/>
  <c r="Y25" i="1"/>
  <c r="Y26" i="1"/>
  <c r="Y24" i="1"/>
  <c r="Y22" i="1"/>
  <c r="Y21" i="1"/>
  <c r="Y20" i="1"/>
  <c r="Y18" i="1"/>
  <c r="Y17" i="1"/>
  <c r="Y16" i="1"/>
  <c r="Y14" i="1"/>
  <c r="Y13" i="1"/>
  <c r="Y12" i="1"/>
  <c r="Y10" i="1"/>
  <c r="Y9" i="1"/>
  <c r="Y8" i="1"/>
  <c r="Y6" i="1"/>
  <c r="Q60" i="1" l="1"/>
  <c r="Q36" i="1" l="1"/>
  <c r="Z36" i="1" s="1"/>
  <c r="Q52" i="1"/>
  <c r="Q39" i="1"/>
  <c r="Q38" i="1"/>
  <c r="L59" i="1"/>
  <c r="M59" i="1" s="1"/>
  <c r="AA36" i="1" l="1"/>
  <c r="V36" i="1"/>
  <c r="W36" i="1"/>
  <c r="W38" i="1"/>
  <c r="V38" i="1"/>
  <c r="AA38" i="1"/>
  <c r="Z38" i="1"/>
  <c r="V39" i="1"/>
  <c r="Z39" i="1"/>
  <c r="AA39" i="1"/>
  <c r="W39" i="1"/>
  <c r="Z52" i="1"/>
  <c r="AA52" i="1"/>
  <c r="V52" i="1"/>
  <c r="W52" i="1"/>
  <c r="Q58" i="1"/>
  <c r="Z58" i="1" s="1"/>
  <c r="Q54" i="1"/>
  <c r="Q13" i="1"/>
  <c r="Q22" i="1"/>
  <c r="Q56" i="1"/>
  <c r="Q18" i="1"/>
  <c r="Q41" i="1"/>
  <c r="Q6" i="1"/>
  <c r="Q55" i="1"/>
  <c r="Q35" i="1"/>
  <c r="Q10" i="1"/>
  <c r="Q12" i="1"/>
  <c r="Q9" i="1"/>
  <c r="Q21" i="1"/>
  <c r="Q8" i="1"/>
  <c r="Q24" i="1"/>
  <c r="Q34" i="1"/>
  <c r="Q17" i="1"/>
  <c r="Q30" i="1"/>
  <c r="Q31" i="1"/>
  <c r="Q46" i="1"/>
  <c r="Q32" i="1"/>
  <c r="Q28" i="1"/>
  <c r="Q45" i="1"/>
  <c r="Q47" i="1"/>
  <c r="Q25" i="1"/>
  <c r="Q51" i="1"/>
  <c r="Q26" i="1"/>
  <c r="Q42" i="1"/>
  <c r="Q43" i="1"/>
  <c r="Q20" i="1"/>
  <c r="Q16" i="1"/>
  <c r="Q14" i="1"/>
  <c r="Q49" i="1"/>
  <c r="P60" i="1"/>
  <c r="W51" i="1" l="1"/>
  <c r="V51" i="1"/>
  <c r="AA51" i="1"/>
  <c r="Z51" i="1"/>
  <c r="W46" i="1"/>
  <c r="AA46" i="1"/>
  <c r="V46" i="1"/>
  <c r="Z46" i="1"/>
  <c r="V55" i="1"/>
  <c r="Z55" i="1"/>
  <c r="AA55" i="1"/>
  <c r="W55" i="1"/>
  <c r="V31" i="1"/>
  <c r="AA31" i="1"/>
  <c r="W31" i="1"/>
  <c r="Z31" i="1"/>
  <c r="W9" i="1"/>
  <c r="AA9" i="1"/>
  <c r="Z9" i="1"/>
  <c r="V9" i="1"/>
  <c r="AA56" i="1"/>
  <c r="Z56" i="1"/>
  <c r="W56" i="1"/>
  <c r="V56" i="1"/>
  <c r="AA49" i="1"/>
  <c r="W49" i="1"/>
  <c r="Z49" i="1"/>
  <c r="V49" i="1"/>
  <c r="AA42" i="1"/>
  <c r="W42" i="1"/>
  <c r="Z42" i="1"/>
  <c r="V42" i="1"/>
  <c r="Z25" i="1"/>
  <c r="V25" i="1"/>
  <c r="W25" i="1"/>
  <c r="AA25" i="1"/>
  <c r="V45" i="1"/>
  <c r="W45" i="1"/>
  <c r="Z45" i="1"/>
  <c r="AA45" i="1"/>
  <c r="Z28" i="1"/>
  <c r="AA28" i="1"/>
  <c r="W28" i="1"/>
  <c r="V28" i="1"/>
  <c r="W30" i="1"/>
  <c r="V30" i="1"/>
  <c r="Z30" i="1"/>
  <c r="AA30" i="1"/>
  <c r="W34" i="1"/>
  <c r="AA34" i="1"/>
  <c r="V34" i="1"/>
  <c r="Z34" i="1"/>
  <c r="V8" i="1"/>
  <c r="W8" i="1"/>
  <c r="AA8" i="1"/>
  <c r="Z8" i="1"/>
  <c r="AA10" i="1"/>
  <c r="Z10" i="1"/>
  <c r="V10" i="1"/>
  <c r="W10" i="1"/>
  <c r="V6" i="1"/>
  <c r="AA6" i="1"/>
  <c r="Z6" i="1"/>
  <c r="W6" i="1"/>
  <c r="Z22" i="1"/>
  <c r="V22" i="1"/>
  <c r="AA22" i="1"/>
  <c r="W22" i="1"/>
  <c r="W20" i="1"/>
  <c r="V20" i="1"/>
  <c r="AA20" i="1"/>
  <c r="Z20" i="1"/>
  <c r="Z43" i="1"/>
  <c r="W43" i="1"/>
  <c r="V43" i="1"/>
  <c r="AA43" i="1"/>
  <c r="Z47" i="1"/>
  <c r="V47" i="1"/>
  <c r="AA47" i="1"/>
  <c r="W47" i="1"/>
  <c r="V17" i="1"/>
  <c r="AA17" i="1"/>
  <c r="W17" i="1"/>
  <c r="Z17" i="1"/>
  <c r="Z12" i="1"/>
  <c r="AA12" i="1"/>
  <c r="W12" i="1"/>
  <c r="V12" i="1"/>
  <c r="V41" i="1"/>
  <c r="Z41" i="1"/>
  <c r="AA41" i="1"/>
  <c r="W41" i="1"/>
  <c r="AA54" i="1"/>
  <c r="V54" i="1"/>
  <c r="Z54" i="1"/>
  <c r="W54" i="1"/>
  <c r="W16" i="1"/>
  <c r="AA16" i="1"/>
  <c r="V16" i="1"/>
  <c r="Z16" i="1"/>
  <c r="AA14" i="1"/>
  <c r="V14" i="1"/>
  <c r="W14" i="1"/>
  <c r="Z14" i="1"/>
  <c r="Z26" i="1"/>
  <c r="W26" i="1"/>
  <c r="AA26" i="1"/>
  <c r="V26" i="1"/>
  <c r="AA32" i="1"/>
  <c r="Z32" i="1"/>
  <c r="V32" i="1"/>
  <c r="W32" i="1"/>
  <c r="V24" i="1"/>
  <c r="W24" i="1"/>
  <c r="Z24" i="1"/>
  <c r="AA24" i="1"/>
  <c r="W21" i="1"/>
  <c r="Z21" i="1"/>
  <c r="V21" i="1"/>
  <c r="AA21" i="1"/>
  <c r="Z35" i="1"/>
  <c r="AA35" i="1"/>
  <c r="W35" i="1"/>
  <c r="V35" i="1"/>
  <c r="V18" i="1"/>
  <c r="AA18" i="1"/>
  <c r="Z18" i="1"/>
  <c r="W18" i="1"/>
  <c r="AA13" i="1"/>
  <c r="Z13" i="1"/>
  <c r="V13" i="1"/>
  <c r="W13" i="1"/>
  <c r="W58" i="1"/>
  <c r="V58" i="1"/>
  <c r="AA58" i="1"/>
  <c r="AA60" i="1"/>
  <c r="L63" i="1"/>
  <c r="V60" i="1"/>
  <c r="U60" i="1"/>
  <c r="Z60" i="1"/>
  <c r="Y60" i="1"/>
  <c r="W60" i="1" l="1"/>
</calcChain>
</file>

<file path=xl/comments1.xml><?xml version="1.0" encoding="utf-8"?>
<comments xmlns="http://schemas.openxmlformats.org/spreadsheetml/2006/main">
  <authors>
    <author>Robert Cuti</author>
  </authors>
  <commentList>
    <comment ref="J4" authorId="0" guid="{771E9AA3-F26B-4F2D-A089-D2DFA5BCFE7A}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Societal Benefits
1) Economic Development - 50% of Retail Value 1st year therm savings
2) Carbon Offset- Pvalue of $20/ton annual carbon offset due to gas savings
</t>
        </r>
      </text>
    </comment>
    <comment ref="K4" authorId="0" guid="{40FCFFC0-C5E2-432E-9CB2-8A43CBEBCE74}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 Participant Benefits
1) Prop Value Adder - 10% of Inc Cost
2) Reduced Maintnenance- PV of Annual Maintenance benefit valued at 5% of first cost
3) Any water/sewer savings (if applicable) based on PV of Annual Water/Sewer savings benefit valued at $2/1000 gal
</t>
        </r>
      </text>
    </comment>
  </commentList>
</comments>
</file>

<file path=xl/sharedStrings.xml><?xml version="1.0" encoding="utf-8"?>
<sst xmlns="http://schemas.openxmlformats.org/spreadsheetml/2006/main" count="189" uniqueCount="104">
  <si>
    <t>CASCADE NATURAL GAS CORPORATION</t>
  </si>
  <si>
    <t>Nominal interest rate (post tax cost of cap.)</t>
  </si>
  <si>
    <t>Inflation rate</t>
  </si>
  <si>
    <t>Long term real discount rate</t>
  </si>
  <si>
    <t>MEASURE</t>
  </si>
  <si>
    <t>ZONE</t>
  </si>
  <si>
    <t>EFFICIENCY RATING</t>
  </si>
  <si>
    <t>THERM</t>
  </si>
  <si>
    <t>TOTAL</t>
  </si>
  <si>
    <t>RESOURCE</t>
  </si>
  <si>
    <t>PARTICIPANTS</t>
  </si>
  <si>
    <t>95% AFUE Rating</t>
  </si>
  <si>
    <t>Equal to or Greater than R-11 to fill cavity</t>
  </si>
  <si>
    <t>Equal to or Greater than R-38</t>
  </si>
  <si>
    <t>Equal to or Greater than R-30 or to fill cavity</t>
  </si>
  <si>
    <t>Low Flow Showerhead plus Aerators</t>
  </si>
  <si>
    <t>TOTAL PROGRAM</t>
  </si>
  <si>
    <t xml:space="preserve">PROGRAM PARTICIPATION </t>
  </si>
  <si>
    <t>COST EFFECTIVENESS ESTIMATES</t>
  </si>
  <si>
    <t>RATES &amp; NON-ENERGY BENEFIT TOGGLES</t>
  </si>
  <si>
    <t>ANNUAL THERM SAVINGS</t>
  </si>
  <si>
    <t>TRC</t>
  </si>
  <si>
    <t>UC</t>
  </si>
  <si>
    <t>BENEFIT</t>
  </si>
  <si>
    <t>Non-Energy Benefits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</si>
  <si>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</si>
  <si>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</si>
  <si>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</si>
  <si>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</si>
  <si>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</si>
  <si>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</si>
  <si>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</si>
  <si>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</si>
  <si>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</si>
  <si>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</si>
  <si>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</si>
  <si>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</si>
  <si>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</si>
  <si>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</si>
  <si>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</si>
  <si>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</si>
  <si>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</si>
  <si>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</si>
  <si>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</si>
  <si>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(EIA Inflation Rate)</t>
  </si>
  <si>
    <t>90% Eff Condensing Tankless Combo w/ WH</t>
  </si>
  <si>
    <t>TOTAL ANNUAL THERM SAVINGS</t>
  </si>
  <si>
    <t>MEASURE LIFE</t>
  </si>
  <si>
    <t>PROGRAM DELIVERY &amp; ADMIN</t>
  </si>
  <si>
    <t>PROGRAM REBATE</t>
  </si>
  <si>
    <t>TOTAL REBATES COST</t>
  </si>
  <si>
    <t>UTILITY COST</t>
  </si>
  <si>
    <t>MEASURES INSTALLED</t>
  </si>
  <si>
    <t>RESIDENTIAL Program Participant Cost Effectiveness</t>
  </si>
  <si>
    <t/>
  </si>
  <si>
    <t>Program Year:</t>
  </si>
  <si>
    <t>0.91 Energy Factor or Greater</t>
  </si>
  <si>
    <t>TRC DISCOUNTED THERM SAVINGS</t>
  </si>
  <si>
    <t>MEASURE INCREMENTAL COST</t>
  </si>
  <si>
    <t xml:space="preserve">NON </t>
  </si>
  <si>
    <t xml:space="preserve">ENERGY </t>
  </si>
  <si>
    <t>WITH</t>
  </si>
  <si>
    <t xml:space="preserve">TOTAL INCREMENTAL COST </t>
  </si>
  <si>
    <t>TOTAL NET INCREMENTAL COST WITH NEBS</t>
  </si>
  <si>
    <t>UCT DISCOUNTED THERM SAVINGS</t>
  </si>
  <si>
    <t>LOADED UTILITY BENEFIT TO COST RATIO</t>
  </si>
  <si>
    <t>LOADED SOCIETAL BENEFIT TO COST RATIO</t>
  </si>
  <si>
    <t>70 % FE Rating</t>
  </si>
  <si>
    <t>95% AFUE New Gas Furnace (New &amp; Existing)</t>
  </si>
  <si>
    <t>HERS 75</t>
  </si>
  <si>
    <t>Built Green Certified Home</t>
  </si>
  <si>
    <t>Built Green Certified</t>
  </si>
  <si>
    <t>Residential Air Sealing</t>
  </si>
  <si>
    <t>Ceiling Insulation</t>
  </si>
  <si>
    <t>0.67 Energy Factor or Greater</t>
  </si>
  <si>
    <t>IRP Discount Rate</t>
  </si>
  <si>
    <t>Inflation Rate</t>
  </si>
  <si>
    <t>Zone 3</t>
  </si>
  <si>
    <t>Zone 1</t>
  </si>
  <si>
    <t>Zone 2</t>
  </si>
  <si>
    <t>Energy Savings Kit 1</t>
  </si>
  <si>
    <t>Energy Savings Kit 2</t>
  </si>
  <si>
    <t>95% AFUE Gas Furn Upgrade E*</t>
  </si>
  <si>
    <t>2016</t>
  </si>
  <si>
    <t>Comprehensive shell air sealing / infiltration control: to achieve CFM of 1250</t>
  </si>
  <si>
    <t>80 % AFUE Rating</t>
  </si>
  <si>
    <t>Door U-Factor &lt;0.21 Energy Star Door</t>
  </si>
  <si>
    <t xml:space="preserve">Total Non-Energy Benefits = </t>
  </si>
  <si>
    <t>.91 Tankless Hot Water Heater</t>
  </si>
  <si>
    <t>.67 Water Heater</t>
  </si>
  <si>
    <t>Floor Insulation</t>
  </si>
  <si>
    <t xml:space="preserve">Floor Insulation </t>
  </si>
  <si>
    <t>High Efficiency Combination Radiant Heat</t>
  </si>
  <si>
    <t>70% FE Hearth  - Hearth Tier 1</t>
  </si>
  <si>
    <t>80% AFUE Hearth  - Hearth Tier 2</t>
  </si>
  <si>
    <t>Wall Insulation</t>
  </si>
  <si>
    <t>ENERGY STAR Certified Home</t>
  </si>
  <si>
    <t>Total Expenditures</t>
  </si>
  <si>
    <t>Long-term Discount Rate</t>
  </si>
  <si>
    <t>SOCIETAL NEBS</t>
  </si>
  <si>
    <t>PARTICIPANT NEBS</t>
  </si>
  <si>
    <t>Revised Discount Rate=</t>
  </si>
  <si>
    <t>High Efficiency Entryway Door</t>
  </si>
  <si>
    <t>2014 INTEGRATED RESOURCE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</si>
</sst>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#,##0.000_);\(#,##0.000\)"/>
    <numFmt numFmtId="167" formatCode="_(&quot;$&quot;* #,##0.00_);_(&quot;$&quot;* \(#,##0.00\);_(&quot;$&quot;* &quot;-&quot;_);_(@_)"/>
    <numFmt numFmtId="168" formatCode="&quot;$&quot;#,##0.0000_);[Red]\(&quot;$&quot;#,##0.0000\)"/>
    <numFmt numFmtId="169" formatCode="0.0%"/>
    <numFmt numFmtId="170" formatCode="_(* #,##0_);_(* \(#,##0\);_(* &quot;-&quot;??_);_(@_)"/>
    <numFmt numFmtId="171" formatCode="_(&quot;$&quot;* #,##0.0000_);_(&quot;$&quot;* \(#,##0.0000\);_(&quot;$&quot;* &quot;-&quot;??_);_(@_)"/>
  </numFmts>
  <fonts count="65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64"/>
      <name val="Arial"/>
      <family val="2"/>
    </font>
    <font>
      <sz val="10"/>
      <color theme="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BFFAB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6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2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3" fillId="0" borderId="0"/>
    <xf numFmtId="0" fontId="22" fillId="0" borderId="0"/>
    <xf numFmtId="0" fontId="13" fillId="0" borderId="0"/>
    <xf numFmtId="0" fontId="22" fillId="0" borderId="0"/>
    <xf numFmtId="0" fontId="24" fillId="0" borderId="0"/>
    <xf numFmtId="0" fontId="13" fillId="0" borderId="0"/>
    <xf numFmtId="0" fontId="12" fillId="0" borderId="0"/>
    <xf numFmtId="44" fontId="1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44" fontId="12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1" applyNumberFormat="0" applyAlignment="0" applyProtection="0"/>
    <xf numFmtId="0" fontId="34" fillId="9" borderId="12" applyNumberFormat="0" applyAlignment="0" applyProtection="0"/>
    <xf numFmtId="0" fontId="35" fillId="9" borderId="11" applyNumberFormat="0" applyAlignment="0" applyProtection="0"/>
    <xf numFmtId="0" fontId="36" fillId="0" borderId="13" applyNumberFormat="0" applyFill="0" applyAlignment="0" applyProtection="0"/>
    <xf numFmtId="0" fontId="37" fillId="10" borderId="1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4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41" fillId="35" borderId="0" applyNumberFormat="0" applyBorder="0" applyAlignment="0" applyProtection="0"/>
    <xf numFmtId="0" fontId="11" fillId="0" borderId="0"/>
    <xf numFmtId="0" fontId="42" fillId="0" borderId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43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11" borderId="15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11" fillId="0" borderId="0"/>
    <xf numFmtId="0" fontId="22" fillId="0" borderId="0"/>
    <xf numFmtId="0" fontId="22" fillId="0" borderId="0"/>
    <xf numFmtId="0" fontId="24" fillId="0" borderId="0"/>
    <xf numFmtId="0" fontId="19" fillId="0" borderId="0"/>
    <xf numFmtId="0" fontId="22" fillId="0" borderId="0"/>
    <xf numFmtId="44" fontId="42" fillId="0" borderId="0" applyFont="0" applyFill="0" applyBorder="0" applyAlignment="0" applyProtection="0"/>
    <xf numFmtId="0" fontId="22" fillId="0" borderId="0"/>
    <xf numFmtId="0" fontId="43" fillId="0" borderId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39" borderId="0" applyNumberFormat="0" applyBorder="0" applyAlignment="0" applyProtection="0"/>
    <xf numFmtId="0" fontId="60" fillId="42" borderId="0" applyNumberFormat="0" applyBorder="0" applyAlignment="0" applyProtection="0"/>
    <xf numFmtId="0" fontId="60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53" borderId="0" applyNumberFormat="0" applyBorder="0" applyAlignment="0" applyProtection="0"/>
    <xf numFmtId="0" fontId="49" fillId="37" borderId="0" applyNumberFormat="0" applyBorder="0" applyAlignment="0" applyProtection="0"/>
    <xf numFmtId="0" fontId="53" fillId="54" borderId="17" applyNumberFormat="0" applyAlignment="0" applyProtection="0"/>
    <xf numFmtId="0" fontId="55" fillId="55" borderId="18" applyNumberFormat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8" fillId="38" borderId="0" applyNumberFormat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51" fillId="41" borderId="17" applyNumberFormat="0" applyAlignment="0" applyProtection="0"/>
    <xf numFmtId="0" fontId="54" fillId="0" borderId="22" applyNumberFormat="0" applyFill="0" applyAlignment="0" applyProtection="0"/>
    <xf numFmtId="0" fontId="50" fillId="56" borderId="0" applyNumberFormat="0" applyBorder="0" applyAlignment="0" applyProtection="0"/>
    <xf numFmtId="0" fontId="10" fillId="0" borderId="0"/>
    <xf numFmtId="0" fontId="15" fillId="0" borderId="0"/>
    <xf numFmtId="0" fontId="60" fillId="57" borderId="23" applyNumberFormat="0" applyFont="0" applyAlignment="0" applyProtection="0"/>
    <xf numFmtId="0" fontId="52" fillId="54" borderId="24" applyNumberFormat="0" applyAlignment="0" applyProtection="0"/>
    <xf numFmtId="0" fontId="44" fillId="0" borderId="0" applyNumberFormat="0" applyFill="0" applyBorder="0" applyAlignment="0" applyProtection="0"/>
    <xf numFmtId="0" fontId="58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11" borderId="15" applyNumberFormat="0" applyFont="0" applyAlignment="0" applyProtection="0"/>
    <xf numFmtId="0" fontId="8" fillId="0" borderId="0"/>
    <xf numFmtId="0" fontId="8" fillId="0" borderId="0"/>
    <xf numFmtId="0" fontId="19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1" borderId="15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11" borderId="15" applyNumberFormat="0" applyFont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11" borderId="15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15" fillId="0" borderId="0"/>
    <xf numFmtId="44" fontId="1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15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5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/>
    <xf numFmtId="0" fontId="16" fillId="0" borderId="0" xfId="0" applyFont="1" applyBorder="1" applyAlignment="1"/>
    <xf numFmtId="10" fontId="16" fillId="0" borderId="3" xfId="0" applyNumberFormat="1" applyFont="1" applyBorder="1" applyAlignment="1">
      <alignment horizontal="center"/>
    </xf>
    <xf numFmtId="10" fontId="16" fillId="0" borderId="0" xfId="0" applyNumberFormat="1" applyFont="1" applyBorder="1" applyAlignment="1">
      <alignment horizontal="center"/>
    </xf>
    <xf numFmtId="0" fontId="17" fillId="0" borderId="4" xfId="0" applyFont="1" applyBorder="1" applyAlignment="1"/>
    <xf numFmtId="0" fontId="17" fillId="0" borderId="0" xfId="0" applyFont="1" applyFill="1" applyBorder="1" applyAlignment="1"/>
    <xf numFmtId="0" fontId="17" fillId="2" borderId="5" xfId="0" applyFont="1" applyFill="1" applyBorder="1" applyAlignment="1"/>
    <xf numFmtId="0" fontId="17" fillId="3" borderId="6" xfId="0" applyFont="1" applyFill="1" applyBorder="1" applyAlignment="1">
      <alignment horizontal="left"/>
    </xf>
    <xf numFmtId="10" fontId="19" fillId="0" borderId="0" xfId="4" applyNumberFormat="1" applyFont="1"/>
    <xf numFmtId="0" fontId="21" fillId="0" borderId="0" xfId="3" applyFont="1" applyAlignment="1">
      <alignment horizontal="center"/>
    </xf>
    <xf numFmtId="0" fontId="19" fillId="0" borderId="0" xfId="3" applyAlignment="1">
      <alignment horizontal="center"/>
    </xf>
    <xf numFmtId="0" fontId="19" fillId="0" borderId="2" xfId="3" applyBorder="1" applyAlignment="1">
      <alignment horizontal="center"/>
    </xf>
    <xf numFmtId="0" fontId="19" fillId="0" borderId="0" xfId="3"/>
    <xf numFmtId="0" fontId="21" fillId="0" borderId="0" xfId="3" applyFont="1"/>
    <xf numFmtId="164" fontId="19" fillId="0" borderId="0" xfId="4" applyNumberFormat="1" applyFont="1"/>
    <xf numFmtId="44" fontId="19" fillId="0" borderId="0" xfId="15" applyNumberFormat="1" applyFont="1" applyFill="1"/>
    <xf numFmtId="0" fontId="19" fillId="0" borderId="0" xfId="275" applyFont="1" applyFill="1"/>
    <xf numFmtId="168" fontId="19" fillId="0" borderId="0" xfId="275" applyNumberFormat="1" applyFont="1" applyFill="1" applyAlignment="1">
      <alignment horizontal="center"/>
    </xf>
    <xf numFmtId="44" fontId="19" fillId="0" borderId="0" xfId="275" applyNumberFormat="1" applyFont="1" applyFill="1"/>
    <xf numFmtId="44" fontId="19" fillId="0" borderId="0" xfId="3" applyNumberFormat="1" applyAlignment="1">
      <alignment horizontal="center"/>
    </xf>
    <xf numFmtId="44" fontId="19" fillId="0" borderId="0" xfId="2" applyFont="1" applyAlignment="1">
      <alignment horizontal="center"/>
    </xf>
    <xf numFmtId="8" fontId="19" fillId="0" borderId="0" xfId="3" applyNumberFormat="1" applyAlignment="1">
      <alignment horizontal="center"/>
    </xf>
    <xf numFmtId="168" fontId="19" fillId="0" borderId="0" xfId="3" applyNumberFormat="1" applyAlignment="1">
      <alignment horizontal="center"/>
    </xf>
    <xf numFmtId="9" fontId="19" fillId="0" borderId="0" xfId="4" applyFont="1" applyAlignment="1">
      <alignment horizontal="center"/>
    </xf>
    <xf numFmtId="169" fontId="19" fillId="0" borderId="0" xfId="4" applyNumberFormat="1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4" xfId="0" applyFont="1" applyFill="1" applyBorder="1"/>
    <xf numFmtId="0" fontId="21" fillId="0" borderId="0" xfId="3" applyFont="1" applyAlignment="1">
      <alignment horizontal="center"/>
    </xf>
    <xf numFmtId="0" fontId="14" fillId="0" borderId="26" xfId="6" applyFill="1" applyBorder="1"/>
    <xf numFmtId="0" fontId="21" fillId="0" borderId="26" xfId="6" applyFont="1" applyFill="1" applyBorder="1"/>
    <xf numFmtId="171" fontId="15" fillId="0" borderId="0" xfId="14" applyNumberFormat="1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7" xfId="0" applyFont="1" applyFill="1" applyBorder="1"/>
    <xf numFmtId="0" fontId="15" fillId="0" borderId="1" xfId="0" applyFont="1" applyFill="1" applyBorder="1"/>
    <xf numFmtId="0" fontId="17" fillId="0" borderId="1" xfId="0" applyFont="1" applyFill="1" applyBorder="1" applyAlignment="1"/>
    <xf numFmtId="1" fontId="15" fillId="0" borderId="0" xfId="0" applyNumberFormat="1" applyFont="1" applyFill="1" applyBorder="1"/>
    <xf numFmtId="0" fontId="17" fillId="0" borderId="0" xfId="0" applyFont="1" applyFill="1" applyBorder="1"/>
    <xf numFmtId="169" fontId="15" fillId="0" borderId="0" xfId="4" applyNumberFormat="1" applyFont="1" applyFill="1" applyBorder="1"/>
    <xf numFmtId="4" fontId="15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4" fontId="15" fillId="0" borderId="0" xfId="0" applyNumberFormat="1" applyFont="1" applyFill="1" applyBorder="1"/>
    <xf numFmtId="10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/>
    <xf numFmtId="37" fontId="15" fillId="0" borderId="0" xfId="0" applyNumberFormat="1" applyFont="1" applyFill="1" applyBorder="1" applyAlignment="1">
      <alignment horizontal="center"/>
    </xf>
    <xf numFmtId="43" fontId="15" fillId="0" borderId="0" xfId="1" applyFont="1" applyFill="1" applyBorder="1"/>
    <xf numFmtId="3" fontId="17" fillId="0" borderId="0" xfId="0" applyNumberFormat="1" applyFont="1" applyFill="1" applyBorder="1"/>
    <xf numFmtId="0" fontId="17" fillId="0" borderId="28" xfId="0" applyFont="1" applyFill="1" applyBorder="1"/>
    <xf numFmtId="0" fontId="17" fillId="0" borderId="27" xfId="0" applyFont="1" applyFill="1" applyBorder="1"/>
    <xf numFmtId="0" fontId="15" fillId="0" borderId="4" xfId="0" applyFont="1" applyFill="1" applyBorder="1" applyAlignment="1">
      <alignment vertical="center"/>
    </xf>
    <xf numFmtId="0" fontId="15" fillId="0" borderId="33" xfId="0" applyFont="1" applyFill="1" applyBorder="1" applyAlignment="1">
      <alignment horizontal="center" vertical="center"/>
    </xf>
    <xf numFmtId="3" fontId="15" fillId="0" borderId="36" xfId="1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3" fontId="15" fillId="0" borderId="33" xfId="1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" fontId="17" fillId="0" borderId="35" xfId="0" applyNumberFormat="1" applyFont="1" applyFill="1" applyBorder="1" applyAlignment="1">
      <alignment horizontal="center" vertical="center" wrapText="1"/>
    </xf>
    <xf numFmtId="1" fontId="15" fillId="0" borderId="36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170" fontId="17" fillId="0" borderId="3" xfId="1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15" fillId="0" borderId="35" xfId="0" applyNumberFormat="1" applyFont="1" applyFill="1" applyBorder="1" applyAlignment="1">
      <alignment horizontal="center" vertical="center"/>
    </xf>
    <xf numFmtId="0" fontId="64" fillId="0" borderId="36" xfId="706" applyFont="1" applyFill="1" applyBorder="1" applyAlignment="1">
      <alignment horizontal="center" vertical="center" wrapText="1"/>
    </xf>
    <xf numFmtId="0" fontId="64" fillId="0" borderId="36" xfId="706" applyFont="1" applyFill="1" applyBorder="1" applyAlignment="1">
      <alignment horizontal="center" vertical="center"/>
    </xf>
    <xf numFmtId="0" fontId="64" fillId="0" borderId="36" xfId="802" applyFont="1" applyFill="1" applyBorder="1" applyAlignment="1">
      <alignment horizontal="center" vertical="center"/>
    </xf>
    <xf numFmtId="170" fontId="64" fillId="0" borderId="36" xfId="802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58" borderId="35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 vertical="center" wrapText="1"/>
    </xf>
    <xf numFmtId="167" fontId="17" fillId="0" borderId="0" xfId="0" applyNumberFormat="1" applyFont="1" applyFill="1" applyBorder="1" applyAlignment="1">
      <alignment horizontal="center"/>
    </xf>
    <xf numFmtId="167" fontId="15" fillId="0" borderId="36" xfId="2" applyNumberFormat="1" applyFont="1" applyFill="1" applyBorder="1" applyAlignment="1">
      <alignment horizontal="center" vertical="center"/>
    </xf>
    <xf numFmtId="167" fontId="15" fillId="0" borderId="33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64" fillId="0" borderId="36" xfId="511" applyFont="1" applyFill="1" applyBorder="1" applyAlignment="1">
      <alignment horizontal="center" vertical="center" wrapText="1"/>
    </xf>
    <xf numFmtId="3" fontId="15" fillId="0" borderId="34" xfId="1" applyNumberFormat="1" applyFont="1" applyFill="1" applyBorder="1" applyAlignment="1">
      <alignment horizontal="center" vertical="center"/>
    </xf>
    <xf numFmtId="42" fontId="15" fillId="0" borderId="36" xfId="2" applyNumberFormat="1" applyFont="1" applyFill="1" applyBorder="1" applyAlignment="1">
      <alignment horizontal="center" vertical="center"/>
    </xf>
    <xf numFmtId="42" fontId="15" fillId="0" borderId="34" xfId="0" applyNumberFormat="1" applyFont="1" applyFill="1" applyBorder="1" applyAlignment="1">
      <alignment horizontal="center" vertical="center"/>
    </xf>
    <xf numFmtId="42" fontId="15" fillId="0" borderId="36" xfId="0" applyNumberFormat="1" applyFont="1" applyFill="1" applyBorder="1" applyAlignment="1">
      <alignment horizontal="center" vertical="center"/>
    </xf>
    <xf numFmtId="165" fontId="15" fillId="4" borderId="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1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/>
    </xf>
    <xf numFmtId="42" fontId="17" fillId="0" borderId="3" xfId="0" applyNumberFormat="1" applyFont="1" applyFill="1" applyBorder="1" applyAlignment="1">
      <alignment horizontal="center" vertical="center"/>
    </xf>
    <xf numFmtId="42" fontId="17" fillId="0" borderId="3" xfId="2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2" fontId="17" fillId="0" borderId="31" xfId="0" applyNumberFormat="1" applyFont="1" applyFill="1" applyBorder="1" applyAlignment="1">
      <alignment horizontal="center" vertical="center"/>
    </xf>
    <xf numFmtId="42" fontId="17" fillId="58" borderId="3" xfId="0" applyNumberFormat="1" applyFont="1" applyFill="1" applyBorder="1" applyAlignment="1">
      <alignment horizontal="center" vertical="center"/>
    </xf>
    <xf numFmtId="165" fontId="17" fillId="4" borderId="3" xfId="0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42" fontId="15" fillId="4" borderId="0" xfId="0" applyNumberFormat="1" applyFont="1" applyFill="1" applyBorder="1" applyAlignment="1">
      <alignment horizontal="center" vertical="center"/>
    </xf>
    <xf numFmtId="167" fontId="17" fillId="4" borderId="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indent="2"/>
    </xf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27" xfId="0" applyFont="1" applyFill="1" applyBorder="1"/>
    <xf numFmtId="0" fontId="64" fillId="0" borderId="36" xfId="511" applyFont="1" applyFill="1" applyBorder="1" applyAlignment="1">
      <alignment horizontal="center" vertical="center"/>
    </xf>
    <xf numFmtId="0" fontId="64" fillId="0" borderId="36" xfId="802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5" fillId="59" borderId="28" xfId="0" applyFont="1" applyFill="1" applyBorder="1" applyAlignment="1">
      <alignment horizontal="center" vertical="center"/>
    </xf>
    <xf numFmtId="0" fontId="15" fillId="59" borderId="35" xfId="0" applyFont="1" applyFill="1" applyBorder="1" applyAlignment="1">
      <alignment horizontal="center" vertical="center"/>
    </xf>
    <xf numFmtId="165" fontId="15" fillId="59" borderId="29" xfId="0" applyNumberFormat="1" applyFont="1" applyFill="1" applyBorder="1" applyAlignment="1">
      <alignment horizontal="center" vertical="center"/>
    </xf>
    <xf numFmtId="165" fontId="15" fillId="59" borderId="36" xfId="0" applyNumberFormat="1" applyFont="1" applyFill="1" applyBorder="1" applyAlignment="1">
      <alignment horizontal="center" vertical="center"/>
    </xf>
    <xf numFmtId="166" fontId="15" fillId="59" borderId="36" xfId="0" applyNumberFormat="1" applyFont="1" applyFill="1" applyBorder="1" applyAlignment="1">
      <alignment horizontal="center" vertical="center"/>
    </xf>
    <xf numFmtId="165" fontId="15" fillId="59" borderId="30" xfId="0" applyNumberFormat="1" applyFont="1" applyFill="1" applyBorder="1" applyAlignment="1">
      <alignment horizontal="center" vertical="center"/>
    </xf>
    <xf numFmtId="165" fontId="15" fillId="59" borderId="37" xfId="0" applyNumberFormat="1" applyFont="1" applyFill="1" applyBorder="1" applyAlignment="1">
      <alignment horizontal="center" vertical="center"/>
    </xf>
    <xf numFmtId="0" fontId="17" fillId="60" borderId="28" xfId="0" applyFont="1" applyFill="1" applyBorder="1" applyAlignment="1">
      <alignment horizontal="center" vertical="center" wrapText="1"/>
    </xf>
    <xf numFmtId="0" fontId="17" fillId="60" borderId="35" xfId="0" applyFont="1" applyFill="1" applyBorder="1" applyAlignment="1">
      <alignment horizontal="center" vertical="center"/>
    </xf>
    <xf numFmtId="0" fontId="17" fillId="60" borderId="35" xfId="0" applyFont="1" applyFill="1" applyBorder="1" applyAlignment="1">
      <alignment horizontal="center" vertical="center" wrapText="1"/>
    </xf>
    <xf numFmtId="165" fontId="17" fillId="60" borderId="31" xfId="0" applyNumberFormat="1" applyFont="1" applyFill="1" applyBorder="1" applyAlignment="1">
      <alignment horizontal="center" vertical="center"/>
    </xf>
    <xf numFmtId="165" fontId="17" fillId="60" borderId="3" xfId="0" applyNumberFormat="1" applyFont="1" applyFill="1" applyBorder="1" applyAlignment="1">
      <alignment horizontal="center" vertical="center"/>
    </xf>
    <xf numFmtId="166" fontId="17" fillId="60" borderId="3" xfId="0" applyNumberFormat="1" applyFont="1" applyFill="1" applyBorder="1" applyAlignment="1">
      <alignment horizontal="center" vertical="center"/>
    </xf>
    <xf numFmtId="0" fontId="15" fillId="61" borderId="28" xfId="0" applyFont="1" applyFill="1" applyBorder="1" applyAlignment="1">
      <alignment horizontal="center" vertical="center"/>
    </xf>
    <xf numFmtId="0" fontId="15" fillId="61" borderId="35" xfId="0" applyFont="1" applyFill="1" applyBorder="1" applyAlignment="1">
      <alignment horizontal="center" vertical="center"/>
    </xf>
    <xf numFmtId="165" fontId="15" fillId="61" borderId="29" xfId="0" applyNumberFormat="1" applyFont="1" applyFill="1" applyBorder="1" applyAlignment="1">
      <alignment horizontal="center" vertical="center"/>
    </xf>
    <xf numFmtId="165" fontId="15" fillId="61" borderId="36" xfId="0" applyNumberFormat="1" applyFont="1" applyFill="1" applyBorder="1" applyAlignment="1">
      <alignment horizontal="center" vertical="center"/>
    </xf>
    <xf numFmtId="166" fontId="15" fillId="61" borderId="36" xfId="0" applyNumberFormat="1" applyFont="1" applyFill="1" applyBorder="1" applyAlignment="1">
      <alignment horizontal="center" vertical="center"/>
    </xf>
    <xf numFmtId="165" fontId="15" fillId="61" borderId="30" xfId="0" applyNumberFormat="1" applyFont="1" applyFill="1" applyBorder="1" applyAlignment="1">
      <alignment horizontal="center" vertical="center"/>
    </xf>
    <xf numFmtId="165" fontId="15" fillId="61" borderId="37" xfId="0" applyNumberFormat="1" applyFont="1" applyFill="1" applyBorder="1" applyAlignment="1">
      <alignment horizontal="center" vertical="center"/>
    </xf>
    <xf numFmtId="0" fontId="17" fillId="62" borderId="28" xfId="0" applyFont="1" applyFill="1" applyBorder="1" applyAlignment="1">
      <alignment horizontal="center" vertical="center"/>
    </xf>
    <xf numFmtId="0" fontId="17" fillId="62" borderId="35" xfId="0" applyFont="1" applyFill="1" applyBorder="1" applyAlignment="1">
      <alignment horizontal="center" vertical="center"/>
    </xf>
    <xf numFmtId="0" fontId="17" fillId="62" borderId="35" xfId="0" applyFont="1" applyFill="1" applyBorder="1" applyAlignment="1">
      <alignment horizontal="center" vertical="center" wrapText="1"/>
    </xf>
    <xf numFmtId="165" fontId="17" fillId="62" borderId="31" xfId="0" applyNumberFormat="1" applyFont="1" applyFill="1" applyBorder="1" applyAlignment="1">
      <alignment horizontal="center" vertical="center"/>
    </xf>
    <xf numFmtId="165" fontId="17" fillId="62" borderId="3" xfId="0" applyNumberFormat="1" applyFont="1" applyFill="1" applyBorder="1" applyAlignment="1">
      <alignment horizontal="center" vertical="center"/>
    </xf>
    <xf numFmtId="166" fontId="17" fillId="62" borderId="3" xfId="0" applyNumberFormat="1" applyFont="1" applyFill="1" applyBorder="1" applyAlignment="1">
      <alignment horizontal="center" vertical="center"/>
    </xf>
    <xf numFmtId="167" fontId="15" fillId="63" borderId="36" xfId="0" applyNumberFormat="1" applyFont="1" applyFill="1" applyBorder="1" applyAlignment="1">
      <alignment horizontal="center" vertical="center"/>
    </xf>
    <xf numFmtId="42" fontId="15" fillId="63" borderId="36" xfId="0" applyNumberFormat="1" applyFont="1" applyFill="1" applyBorder="1" applyAlignment="1">
      <alignment horizontal="center" vertical="center"/>
    </xf>
    <xf numFmtId="0" fontId="15" fillId="63" borderId="35" xfId="0" applyFont="1" applyFill="1" applyBorder="1" applyAlignment="1">
      <alignment horizontal="center" vertical="center"/>
    </xf>
    <xf numFmtId="10" fontId="15" fillId="0" borderId="0" xfId="0" applyNumberFormat="1" applyFont="1" applyFill="1" applyAlignment="1" applyProtection="1">
      <alignment horizontal="center"/>
    </xf>
    <xf numFmtId="164" fontId="19" fillId="0" borderId="0" xfId="15" applyNumberFormat="1" applyFont="1"/>
    <xf numFmtId="164" fontId="19" fillId="0" borderId="0" xfId="275" applyNumberFormat="1"/>
    <xf numFmtId="10" fontId="19" fillId="0" borderId="0" xfId="275" applyNumberFormat="1"/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indent="2"/>
    </xf>
    <xf numFmtId="0" fontId="17" fillId="0" borderId="0" xfId="0" applyFont="1" applyAlignment="1">
      <alignment horizontal="center"/>
    </xf>
    <xf numFmtId="0" fontId="0" fillId="0" borderId="0" xfId="0" applyAlignment="1"/>
    <xf numFmtId="0" fontId="21" fillId="0" borderId="0" xfId="3" applyFont="1" applyAlignment="1">
      <alignment horizontal="center"/>
    </xf>
  </cellXfs>
  <cellStyles count="816">
    <cellStyle name="20% - Accent1" xfId="50" builtinId="30" customBuiltin="1"/>
    <cellStyle name="20% - Accent1 2" xfId="225"/>
    <cellStyle name="20% - Accent1 3" xfId="300"/>
    <cellStyle name="20% - Accent1 3 2" xfId="427"/>
    <cellStyle name="20% - Accent1 3 2 2" xfId="718"/>
    <cellStyle name="20% - Accent1 3 3" xfId="592"/>
    <cellStyle name="20% - Accent1 4" xfId="364"/>
    <cellStyle name="20% - Accent1 4 2" xfId="655"/>
    <cellStyle name="20% - Accent1 5" xfId="513"/>
    <cellStyle name="20% - Accent1 6" xfId="804"/>
    <cellStyle name="20% - Accent2" xfId="54" builtinId="34" customBuiltin="1"/>
    <cellStyle name="20% - Accent2 2" xfId="226"/>
    <cellStyle name="20% - Accent2 3" xfId="302"/>
    <cellStyle name="20% - Accent2 3 2" xfId="429"/>
    <cellStyle name="20% - Accent2 3 2 2" xfId="720"/>
    <cellStyle name="20% - Accent2 3 3" xfId="594"/>
    <cellStyle name="20% - Accent2 4" xfId="366"/>
    <cellStyle name="20% - Accent2 4 2" xfId="657"/>
    <cellStyle name="20% - Accent2 5" xfId="515"/>
    <cellStyle name="20% - Accent2 6" xfId="806"/>
    <cellStyle name="20% - Accent3" xfId="58" builtinId="38" customBuiltin="1"/>
    <cellStyle name="20% - Accent3 2" xfId="227"/>
    <cellStyle name="20% - Accent3 3" xfId="304"/>
    <cellStyle name="20% - Accent3 3 2" xfId="431"/>
    <cellStyle name="20% - Accent3 3 2 2" xfId="722"/>
    <cellStyle name="20% - Accent3 3 3" xfId="596"/>
    <cellStyle name="20% - Accent3 4" xfId="368"/>
    <cellStyle name="20% - Accent3 4 2" xfId="659"/>
    <cellStyle name="20% - Accent3 5" xfId="517"/>
    <cellStyle name="20% - Accent3 6" xfId="808"/>
    <cellStyle name="20% - Accent4" xfId="62" builtinId="42" customBuiltin="1"/>
    <cellStyle name="20% - Accent4 2" xfId="228"/>
    <cellStyle name="20% - Accent4 3" xfId="306"/>
    <cellStyle name="20% - Accent4 3 2" xfId="433"/>
    <cellStyle name="20% - Accent4 3 2 2" xfId="724"/>
    <cellStyle name="20% - Accent4 3 3" xfId="598"/>
    <cellStyle name="20% - Accent4 4" xfId="370"/>
    <cellStyle name="20% - Accent4 4 2" xfId="661"/>
    <cellStyle name="20% - Accent4 5" xfId="519"/>
    <cellStyle name="20% - Accent4 6" xfId="810"/>
    <cellStyle name="20% - Accent5" xfId="66" builtinId="46" customBuiltin="1"/>
    <cellStyle name="20% - Accent5 2" xfId="229"/>
    <cellStyle name="20% - Accent5 3" xfId="308"/>
    <cellStyle name="20% - Accent5 3 2" xfId="435"/>
    <cellStyle name="20% - Accent5 3 2 2" xfId="726"/>
    <cellStyle name="20% - Accent5 3 3" xfId="600"/>
    <cellStyle name="20% - Accent5 4" xfId="372"/>
    <cellStyle name="20% - Accent5 4 2" xfId="663"/>
    <cellStyle name="20% - Accent5 5" xfId="521"/>
    <cellStyle name="20% - Accent5 6" xfId="812"/>
    <cellStyle name="20% - Accent6" xfId="70" builtinId="50" customBuiltin="1"/>
    <cellStyle name="20% - Accent6 2" xfId="230"/>
    <cellStyle name="20% - Accent6 3" xfId="310"/>
    <cellStyle name="20% - Accent6 3 2" xfId="437"/>
    <cellStyle name="20% - Accent6 3 2 2" xfId="728"/>
    <cellStyle name="20% - Accent6 3 3" xfId="602"/>
    <cellStyle name="20% - Accent6 4" xfId="374"/>
    <cellStyle name="20% - Accent6 4 2" xfId="665"/>
    <cellStyle name="20% - Accent6 5" xfId="523"/>
    <cellStyle name="20% - Accent6 6" xfId="814"/>
    <cellStyle name="40% - Accent1" xfId="51" builtinId="31" customBuiltin="1"/>
    <cellStyle name="40% - Accent1 2" xfId="231"/>
    <cellStyle name="40% - Accent1 3" xfId="301"/>
    <cellStyle name="40% - Accent1 3 2" xfId="428"/>
    <cellStyle name="40% - Accent1 3 2 2" xfId="719"/>
    <cellStyle name="40% - Accent1 3 3" xfId="593"/>
    <cellStyle name="40% - Accent1 4" xfId="365"/>
    <cellStyle name="40% - Accent1 4 2" xfId="656"/>
    <cellStyle name="40% - Accent1 5" xfId="514"/>
    <cellStyle name="40% - Accent1 6" xfId="805"/>
    <cellStyle name="40% - Accent2" xfId="55" builtinId="35" customBuiltin="1"/>
    <cellStyle name="40% - Accent2 2" xfId="232"/>
    <cellStyle name="40% - Accent2 3" xfId="303"/>
    <cellStyle name="40% - Accent2 3 2" xfId="430"/>
    <cellStyle name="40% - Accent2 3 2 2" xfId="721"/>
    <cellStyle name="40% - Accent2 3 3" xfId="595"/>
    <cellStyle name="40% - Accent2 4" xfId="367"/>
    <cellStyle name="40% - Accent2 4 2" xfId="658"/>
    <cellStyle name="40% - Accent2 5" xfId="516"/>
    <cellStyle name="40% - Accent2 6" xfId="807"/>
    <cellStyle name="40% - Accent3" xfId="59" builtinId="39" customBuiltin="1"/>
    <cellStyle name="40% - Accent3 2" xfId="233"/>
    <cellStyle name="40% - Accent3 3" xfId="305"/>
    <cellStyle name="40% - Accent3 3 2" xfId="432"/>
    <cellStyle name="40% - Accent3 3 2 2" xfId="723"/>
    <cellStyle name="40% - Accent3 3 3" xfId="597"/>
    <cellStyle name="40% - Accent3 4" xfId="369"/>
    <cellStyle name="40% - Accent3 4 2" xfId="660"/>
    <cellStyle name="40% - Accent3 5" xfId="518"/>
    <cellStyle name="40% - Accent3 6" xfId="809"/>
    <cellStyle name="40% - Accent4" xfId="63" builtinId="43" customBuiltin="1"/>
    <cellStyle name="40% - Accent4 2" xfId="234"/>
    <cellStyle name="40% - Accent4 3" xfId="307"/>
    <cellStyle name="40% - Accent4 3 2" xfId="434"/>
    <cellStyle name="40% - Accent4 3 2 2" xfId="725"/>
    <cellStyle name="40% - Accent4 3 3" xfId="599"/>
    <cellStyle name="40% - Accent4 4" xfId="371"/>
    <cellStyle name="40% - Accent4 4 2" xfId="662"/>
    <cellStyle name="40% - Accent4 5" xfId="520"/>
    <cellStyle name="40% - Accent4 6" xfId="811"/>
    <cellStyle name="40% - Accent5" xfId="67" builtinId="47" customBuiltin="1"/>
    <cellStyle name="40% - Accent5 2" xfId="235"/>
    <cellStyle name="40% - Accent5 3" xfId="309"/>
    <cellStyle name="40% - Accent5 3 2" xfId="436"/>
    <cellStyle name="40% - Accent5 3 2 2" xfId="727"/>
    <cellStyle name="40% - Accent5 3 3" xfId="601"/>
    <cellStyle name="40% - Accent5 4" xfId="373"/>
    <cellStyle name="40% - Accent5 4 2" xfId="664"/>
    <cellStyle name="40% - Accent5 5" xfId="522"/>
    <cellStyle name="40% - Accent5 6" xfId="813"/>
    <cellStyle name="40% - Accent6" xfId="71" builtinId="51" customBuiltin="1"/>
    <cellStyle name="40% - Accent6 2" xfId="236"/>
    <cellStyle name="40% - Accent6 3" xfId="311"/>
    <cellStyle name="40% - Accent6 3 2" xfId="438"/>
    <cellStyle name="40% - Accent6 3 2 2" xfId="729"/>
    <cellStyle name="40% - Accent6 3 3" xfId="603"/>
    <cellStyle name="40% - Accent6 4" xfId="375"/>
    <cellStyle name="40% - Accent6 4 2" xfId="666"/>
    <cellStyle name="40% - Accent6 5" xfId="524"/>
    <cellStyle name="40% - Accent6 6" xfId="815"/>
    <cellStyle name="60% - Accent1" xfId="52" builtinId="32" customBuiltin="1"/>
    <cellStyle name="60% - Accent1 2" xfId="237"/>
    <cellStyle name="60% - Accent2" xfId="56" builtinId="36" customBuiltin="1"/>
    <cellStyle name="60% - Accent2 2" xfId="238"/>
    <cellStyle name="60% - Accent3" xfId="60" builtinId="40" customBuiltin="1"/>
    <cellStyle name="60% - Accent3 2" xfId="239"/>
    <cellStyle name="60% - Accent4" xfId="64" builtinId="44" customBuiltin="1"/>
    <cellStyle name="60% - Accent4 2" xfId="240"/>
    <cellStyle name="60% - Accent5" xfId="68" builtinId="48" customBuiltin="1"/>
    <cellStyle name="60% - Accent5 2" xfId="241"/>
    <cellStyle name="60% - Accent6" xfId="72" builtinId="52" customBuiltin="1"/>
    <cellStyle name="60% - Accent6 2" xfId="242"/>
    <cellStyle name="Accent1" xfId="49" builtinId="29" customBuiltin="1"/>
    <cellStyle name="Accent1 2" xfId="243"/>
    <cellStyle name="Accent2" xfId="53" builtinId="33" customBuiltin="1"/>
    <cellStyle name="Accent2 2" xfId="244"/>
    <cellStyle name="Accent3" xfId="57" builtinId="37" customBuiltin="1"/>
    <cellStyle name="Accent3 2" xfId="245"/>
    <cellStyle name="Accent4" xfId="61" builtinId="41" customBuiltin="1"/>
    <cellStyle name="Accent4 2" xfId="246"/>
    <cellStyle name="Accent5" xfId="65" builtinId="45" customBuiltin="1"/>
    <cellStyle name="Accent5 2" xfId="247"/>
    <cellStyle name="Accent6" xfId="69" builtinId="49" customBuiltin="1"/>
    <cellStyle name="Accent6 2" xfId="248"/>
    <cellStyle name="Bad" xfId="39" builtinId="27" customBuiltin="1"/>
    <cellStyle name="Bad 2" xfId="249"/>
    <cellStyle name="Calculation" xfId="43" builtinId="22" customBuiltin="1"/>
    <cellStyle name="Calculation 2" xfId="250"/>
    <cellStyle name="Check Cell" xfId="45" builtinId="23" customBuiltin="1"/>
    <cellStyle name="Check Cell 2" xfId="251"/>
    <cellStyle name="Comma" xfId="1" builtinId="3"/>
    <cellStyle name="Comma 2" xfId="7"/>
    <cellStyle name="Comma 2 10" xfId="485"/>
    <cellStyle name="Comma 2 10 2" xfId="776"/>
    <cellStyle name="Comma 2 11" xfId="497"/>
    <cellStyle name="Comma 2 11 2" xfId="788"/>
    <cellStyle name="Comma 2 12" xfId="526"/>
    <cellStyle name="Comma 2 2" xfId="32"/>
    <cellStyle name="Comma 2 3" xfId="113"/>
    <cellStyle name="Comma 2 4" xfId="80"/>
    <cellStyle name="Comma 2 4 2" xfId="314"/>
    <cellStyle name="Comma 2 4 2 2" xfId="441"/>
    <cellStyle name="Comma 2 4 2 2 2" xfId="732"/>
    <cellStyle name="Comma 2 4 2 3" xfId="606"/>
    <cellStyle name="Comma 2 4 3" xfId="378"/>
    <cellStyle name="Comma 2 4 3 2" xfId="669"/>
    <cellStyle name="Comma 2 4 4" xfId="543"/>
    <cellStyle name="Comma 2 5" xfId="252"/>
    <cellStyle name="Comma 2 5 2" xfId="334"/>
    <cellStyle name="Comma 2 5 2 2" xfId="460"/>
    <cellStyle name="Comma 2 5 2 2 2" xfId="751"/>
    <cellStyle name="Comma 2 5 2 3" xfId="625"/>
    <cellStyle name="Comma 2 5 3" xfId="397"/>
    <cellStyle name="Comma 2 5 3 2" xfId="688"/>
    <cellStyle name="Comma 2 5 4" xfId="562"/>
    <cellStyle name="Comma 2 6" xfId="276"/>
    <cellStyle name="Comma 2 6 2" xfId="340"/>
    <cellStyle name="Comma 2 6 2 2" xfId="466"/>
    <cellStyle name="Comma 2 6 2 2 2" xfId="757"/>
    <cellStyle name="Comma 2 6 2 3" xfId="631"/>
    <cellStyle name="Comma 2 6 3" xfId="403"/>
    <cellStyle name="Comma 2 6 3 2" xfId="694"/>
    <cellStyle name="Comma 2 6 4" xfId="568"/>
    <cellStyle name="Comma 2 7" xfId="289"/>
    <cellStyle name="Comma 2 7 2" xfId="416"/>
    <cellStyle name="Comma 2 7 2 2" xfId="707"/>
    <cellStyle name="Comma 2 7 3" xfId="581"/>
    <cellStyle name="Comma 2 8" xfId="353"/>
    <cellStyle name="Comma 2 8 2" xfId="644"/>
    <cellStyle name="Comma 2 9" xfId="479"/>
    <cellStyle name="Comma 2 9 2" xfId="770"/>
    <cellStyle name="Comma 3" xfId="11"/>
    <cellStyle name="Comma 3 2" xfId="83"/>
    <cellStyle name="Comma 3 2 2" xfId="273"/>
    <cellStyle name="Comma 3 2 2 2" xfId="338"/>
    <cellStyle name="Comma 3 2 2 2 2" xfId="464"/>
    <cellStyle name="Comma 3 2 2 2 2 2" xfId="755"/>
    <cellStyle name="Comma 3 2 2 2 3" xfId="629"/>
    <cellStyle name="Comma 3 2 2 3" xfId="401"/>
    <cellStyle name="Comma 3 2 2 3 2" xfId="692"/>
    <cellStyle name="Comma 3 2 2 4" xfId="566"/>
    <cellStyle name="Comma 3 2 3" xfId="317"/>
    <cellStyle name="Comma 3 2 3 2" xfId="444"/>
    <cellStyle name="Comma 3 2 3 2 2" xfId="735"/>
    <cellStyle name="Comma 3 2 3 3" xfId="609"/>
    <cellStyle name="Comma 3 2 4" xfId="381"/>
    <cellStyle name="Comma 3 2 4 2" xfId="672"/>
    <cellStyle name="Comma 3 2 5" xfId="480"/>
    <cellStyle name="Comma 3 2 5 2" xfId="771"/>
    <cellStyle name="Comma 3 2 6" xfId="546"/>
    <cellStyle name="Comma 3 3" xfId="253"/>
    <cellStyle name="Comma 3 4" xfId="277"/>
    <cellStyle name="Comma 3 4 2" xfId="341"/>
    <cellStyle name="Comma 3 4 2 2" xfId="467"/>
    <cellStyle name="Comma 3 4 2 2 2" xfId="758"/>
    <cellStyle name="Comma 3 4 2 3" xfId="632"/>
    <cellStyle name="Comma 3 4 3" xfId="404"/>
    <cellStyle name="Comma 3 4 3 2" xfId="695"/>
    <cellStyle name="Comma 3 4 4" xfId="569"/>
    <cellStyle name="Comma 3 5" xfId="292"/>
    <cellStyle name="Comma 3 5 2" xfId="419"/>
    <cellStyle name="Comma 3 5 2 2" xfId="710"/>
    <cellStyle name="Comma 3 5 3" xfId="584"/>
    <cellStyle name="Comma 3 6" xfId="356"/>
    <cellStyle name="Comma 3 6 2" xfId="647"/>
    <cellStyle name="Comma 3 7" xfId="486"/>
    <cellStyle name="Comma 3 7 2" xfId="777"/>
    <cellStyle name="Comma 3 8" xfId="498"/>
    <cellStyle name="Comma 3 8 2" xfId="789"/>
    <cellStyle name="Comma 3 9" xfId="530"/>
    <cellStyle name="Comma 4" xfId="13"/>
    <cellStyle name="Comma 5" xfId="76"/>
    <cellStyle name="Comma 6" xfId="528"/>
    <cellStyle name="Currency" xfId="2" builtinId="4"/>
    <cellStyle name="Currency 2" xfId="8"/>
    <cellStyle name="Currency 2 10" xfId="487"/>
    <cellStyle name="Currency 2 10 2" xfId="778"/>
    <cellStyle name="Currency 2 11" xfId="499"/>
    <cellStyle name="Currency 2 11 2" xfId="790"/>
    <cellStyle name="Currency 2 12" xfId="527"/>
    <cellStyle name="Currency 2 2" xfId="29"/>
    <cellStyle name="Currency 2 2 2" xfId="90"/>
    <cellStyle name="Currency 2 2 2 2" xfId="324"/>
    <cellStyle name="Currency 2 2 2 2 2" xfId="451"/>
    <cellStyle name="Currency 2 2 2 2 2 2" xfId="742"/>
    <cellStyle name="Currency 2 2 2 2 3" xfId="616"/>
    <cellStyle name="Currency 2 2 2 3" xfId="388"/>
    <cellStyle name="Currency 2 2 2 3 2" xfId="679"/>
    <cellStyle name="Currency 2 2 2 4" xfId="553"/>
    <cellStyle name="Currency 2 2 3" xfId="279"/>
    <cellStyle name="Currency 2 2 3 2" xfId="343"/>
    <cellStyle name="Currency 2 2 3 2 2" xfId="469"/>
    <cellStyle name="Currency 2 2 3 2 2 2" xfId="760"/>
    <cellStyle name="Currency 2 2 3 2 3" xfId="634"/>
    <cellStyle name="Currency 2 2 3 3" xfId="406"/>
    <cellStyle name="Currency 2 2 3 3 2" xfId="697"/>
    <cellStyle name="Currency 2 2 3 4" xfId="571"/>
    <cellStyle name="Currency 2 2 4" xfId="299"/>
    <cellStyle name="Currency 2 2 4 2" xfId="426"/>
    <cellStyle name="Currency 2 2 4 2 2" xfId="717"/>
    <cellStyle name="Currency 2 2 4 3" xfId="591"/>
    <cellStyle name="Currency 2 2 5" xfId="363"/>
    <cellStyle name="Currency 2 2 5 2" xfId="654"/>
    <cellStyle name="Currency 2 2 6" xfId="488"/>
    <cellStyle name="Currency 2 2 6 2" xfId="779"/>
    <cellStyle name="Currency 2 2 7" xfId="500"/>
    <cellStyle name="Currency 2 2 7 2" xfId="791"/>
    <cellStyle name="Currency 2 2 8" xfId="536"/>
    <cellStyle name="Currency 2 3" xfId="95"/>
    <cellStyle name="Currency 2 3 2" xfId="329"/>
    <cellStyle name="Currency 2 3 2 2" xfId="456"/>
    <cellStyle name="Currency 2 3 2 2 2" xfId="747"/>
    <cellStyle name="Currency 2 3 2 3" xfId="621"/>
    <cellStyle name="Currency 2 3 3" xfId="393"/>
    <cellStyle name="Currency 2 3 3 2" xfId="684"/>
    <cellStyle name="Currency 2 3 4" xfId="558"/>
    <cellStyle name="Currency 2 4" xfId="81"/>
    <cellStyle name="Currency 2 4 2" xfId="315"/>
    <cellStyle name="Currency 2 4 2 2" xfId="442"/>
    <cellStyle name="Currency 2 4 2 2 2" xfId="733"/>
    <cellStyle name="Currency 2 4 2 3" xfId="607"/>
    <cellStyle name="Currency 2 4 3" xfId="379"/>
    <cellStyle name="Currency 2 4 3 2" xfId="670"/>
    <cellStyle name="Currency 2 4 4" xfId="544"/>
    <cellStyle name="Currency 2 5" xfId="254"/>
    <cellStyle name="Currency 2 5 2" xfId="335"/>
    <cellStyle name="Currency 2 5 2 2" xfId="461"/>
    <cellStyle name="Currency 2 5 2 2 2" xfId="752"/>
    <cellStyle name="Currency 2 5 2 3" xfId="626"/>
    <cellStyle name="Currency 2 5 3" xfId="398"/>
    <cellStyle name="Currency 2 5 3 2" xfId="689"/>
    <cellStyle name="Currency 2 5 4" xfId="563"/>
    <cellStyle name="Currency 2 6" xfId="278"/>
    <cellStyle name="Currency 2 6 2" xfId="342"/>
    <cellStyle name="Currency 2 6 2 2" xfId="468"/>
    <cellStyle name="Currency 2 6 2 2 2" xfId="759"/>
    <cellStyle name="Currency 2 6 2 3" xfId="633"/>
    <cellStyle name="Currency 2 6 3" xfId="405"/>
    <cellStyle name="Currency 2 6 3 2" xfId="696"/>
    <cellStyle name="Currency 2 6 4" xfId="570"/>
    <cellStyle name="Currency 2 7" xfId="290"/>
    <cellStyle name="Currency 2 7 2" xfId="417"/>
    <cellStyle name="Currency 2 7 2 2" xfId="708"/>
    <cellStyle name="Currency 2 7 3" xfId="582"/>
    <cellStyle name="Currency 2 8" xfId="354"/>
    <cellStyle name="Currency 2 8 2" xfId="645"/>
    <cellStyle name="Currency 2 9" xfId="481"/>
    <cellStyle name="Currency 2 9 2" xfId="772"/>
    <cellStyle name="Currency 3" xfId="12"/>
    <cellStyle name="Currency 3 10" xfId="525"/>
    <cellStyle name="Currency 3 2" xfId="30"/>
    <cellStyle name="Currency 3 2 2" xfId="274"/>
    <cellStyle name="Currency 3 2 2 2" xfId="339"/>
    <cellStyle name="Currency 3 2 2 2 2" xfId="465"/>
    <cellStyle name="Currency 3 2 2 2 2 2" xfId="756"/>
    <cellStyle name="Currency 3 2 2 2 3" xfId="630"/>
    <cellStyle name="Currency 3 2 2 3" xfId="402"/>
    <cellStyle name="Currency 3 2 2 3 2" xfId="693"/>
    <cellStyle name="Currency 3 2 2 4" xfId="567"/>
    <cellStyle name="Currency 3 2 3" xfId="482"/>
    <cellStyle name="Currency 3 2 3 2" xfId="773"/>
    <cellStyle name="Currency 3 3" xfId="84"/>
    <cellStyle name="Currency 3 3 2" xfId="318"/>
    <cellStyle name="Currency 3 3 2 2" xfId="445"/>
    <cellStyle name="Currency 3 3 2 2 2" xfId="736"/>
    <cellStyle name="Currency 3 3 2 3" xfId="610"/>
    <cellStyle name="Currency 3 3 3" xfId="382"/>
    <cellStyle name="Currency 3 3 3 2" xfId="673"/>
    <cellStyle name="Currency 3 3 4" xfId="547"/>
    <cellStyle name="Currency 3 4" xfId="255"/>
    <cellStyle name="Currency 3 5" xfId="280"/>
    <cellStyle name="Currency 3 5 2" xfId="344"/>
    <cellStyle name="Currency 3 5 2 2" xfId="470"/>
    <cellStyle name="Currency 3 5 2 2 2" xfId="761"/>
    <cellStyle name="Currency 3 5 2 3" xfId="635"/>
    <cellStyle name="Currency 3 5 3" xfId="407"/>
    <cellStyle name="Currency 3 5 3 2" xfId="698"/>
    <cellStyle name="Currency 3 5 4" xfId="572"/>
    <cellStyle name="Currency 3 6" xfId="293"/>
    <cellStyle name="Currency 3 6 2" xfId="420"/>
    <cellStyle name="Currency 3 6 2 2" xfId="711"/>
    <cellStyle name="Currency 3 6 3" xfId="585"/>
    <cellStyle name="Currency 3 7" xfId="357"/>
    <cellStyle name="Currency 3 7 2" xfId="648"/>
    <cellStyle name="Currency 3 8" xfId="489"/>
    <cellStyle name="Currency 3 8 2" xfId="780"/>
    <cellStyle name="Currency 3 9" xfId="501"/>
    <cellStyle name="Currency 3 9 2" xfId="792"/>
    <cellStyle name="Currency 4" xfId="14"/>
    <cellStyle name="Currency 4 2" xfId="23"/>
    <cellStyle name="Currency 4 2 2" xfId="88"/>
    <cellStyle name="Currency 4 2 2 2" xfId="322"/>
    <cellStyle name="Currency 4 2 2 2 2" xfId="449"/>
    <cellStyle name="Currency 4 2 2 2 2 2" xfId="740"/>
    <cellStyle name="Currency 4 2 2 2 3" xfId="614"/>
    <cellStyle name="Currency 4 2 2 3" xfId="386"/>
    <cellStyle name="Currency 4 2 2 3 2" xfId="677"/>
    <cellStyle name="Currency 4 2 2 4" xfId="551"/>
    <cellStyle name="Currency 4 2 3" xfId="281"/>
    <cellStyle name="Currency 4 2 3 2" xfId="345"/>
    <cellStyle name="Currency 4 2 3 2 2" xfId="471"/>
    <cellStyle name="Currency 4 2 3 2 2 2" xfId="762"/>
    <cellStyle name="Currency 4 2 3 2 3" xfId="636"/>
    <cellStyle name="Currency 4 2 3 3" xfId="408"/>
    <cellStyle name="Currency 4 2 3 3 2" xfId="699"/>
    <cellStyle name="Currency 4 2 3 4" xfId="573"/>
    <cellStyle name="Currency 4 2 4" xfId="297"/>
    <cellStyle name="Currency 4 2 4 2" xfId="424"/>
    <cellStyle name="Currency 4 2 4 2 2" xfId="715"/>
    <cellStyle name="Currency 4 2 4 3" xfId="589"/>
    <cellStyle name="Currency 4 2 5" xfId="361"/>
    <cellStyle name="Currency 4 2 5 2" xfId="652"/>
    <cellStyle name="Currency 4 2 6" xfId="490"/>
    <cellStyle name="Currency 4 2 6 2" xfId="781"/>
    <cellStyle name="Currency 4 2 7" xfId="502"/>
    <cellStyle name="Currency 4 2 7 2" xfId="793"/>
    <cellStyle name="Currency 4 2 8" xfId="540"/>
    <cellStyle name="Currency 4 3" xfId="222"/>
    <cellStyle name="Currency 5" xfId="92"/>
    <cellStyle name="Currency 5 2" xfId="326"/>
    <cellStyle name="Currency 5 2 2" xfId="453"/>
    <cellStyle name="Currency 5 2 2 2" xfId="744"/>
    <cellStyle name="Currency 5 2 3" xfId="618"/>
    <cellStyle name="Currency 5 3" xfId="390"/>
    <cellStyle name="Currency 5 3 2" xfId="681"/>
    <cellStyle name="Currency 5 4" xfId="555"/>
    <cellStyle name="Currency 6" xfId="77"/>
    <cellStyle name="Currency 7" xfId="510"/>
    <cellStyle name="Currency 7 2" xfId="801"/>
    <cellStyle name="Currency 8" xfId="534"/>
    <cellStyle name="Explanatory Text" xfId="47" builtinId="53" customBuiltin="1"/>
    <cellStyle name="Explanatory Text 2" xfId="256"/>
    <cellStyle name="Good" xfId="38" builtinId="26" customBuiltin="1"/>
    <cellStyle name="Good 2" xfId="257"/>
    <cellStyle name="Heading 1" xfId="34" builtinId="16" customBuiltin="1"/>
    <cellStyle name="Heading 1 2" xfId="258"/>
    <cellStyle name="Heading 2" xfId="35" builtinId="17" customBuiltin="1"/>
    <cellStyle name="Heading 2 2" xfId="259"/>
    <cellStyle name="Heading 3" xfId="36" builtinId="18" customBuiltin="1"/>
    <cellStyle name="Heading 3 2" xfId="260"/>
    <cellStyle name="Heading 4" xfId="37" builtinId="19" customBuiltin="1"/>
    <cellStyle name="Heading 4 2" xfId="261"/>
    <cellStyle name="Input" xfId="41" builtinId="20" customBuiltin="1"/>
    <cellStyle name="Input 2" xfId="262"/>
    <cellStyle name="Linked Cell" xfId="44" builtinId="24" customBuiltin="1"/>
    <cellStyle name="Linked Cell 2" xfId="263"/>
    <cellStyle name="Neutral" xfId="40" builtinId="28" customBuiltin="1"/>
    <cellStyle name="Neutral 2" xfId="264"/>
    <cellStyle name="Normal" xfId="0" builtinId="0"/>
    <cellStyle name="Normal 10" xfId="97"/>
    <cellStyle name="Normal 10 2" xfId="114"/>
    <cellStyle name="Normal 10 3" xfId="218"/>
    <cellStyle name="Normal 11" xfId="104"/>
    <cellStyle name="Normal 11 2" xfId="115"/>
    <cellStyle name="Normal 11 3" xfId="217"/>
    <cellStyle name="Normal 12" xfId="17"/>
    <cellStyle name="Normal 12 2" xfId="116"/>
    <cellStyle name="Normal 12 3" xfId="135"/>
    <cellStyle name="Normal 13" xfId="105"/>
    <cellStyle name="Normal 13 2" xfId="117"/>
    <cellStyle name="Normal 13 3" xfId="136"/>
    <cellStyle name="Normal 14" xfId="106"/>
    <cellStyle name="Normal 14 2" xfId="118"/>
    <cellStyle name="Normal 15" xfId="107"/>
    <cellStyle name="Normal 15 2" xfId="119"/>
    <cellStyle name="Normal 15 3" xfId="137"/>
    <cellStyle name="Normal 16" xfId="108"/>
    <cellStyle name="Normal 16 2" xfId="138"/>
    <cellStyle name="Normal 17" xfId="109"/>
    <cellStyle name="Normal 17 2" xfId="120"/>
    <cellStyle name="Normal 17 3" xfId="139"/>
    <cellStyle name="Normal 18" xfId="110"/>
    <cellStyle name="Normal 18 2" xfId="121"/>
    <cellStyle name="Normal 19" xfId="111"/>
    <cellStyle name="Normal 19 2" xfId="122"/>
    <cellStyle name="Normal 19 3" xfId="140"/>
    <cellStyle name="Normal 2" xfId="9"/>
    <cellStyle name="Normal 2 2" xfId="16"/>
    <cellStyle name="Normal 2 2 2" xfId="24"/>
    <cellStyle name="Normal 2 3" xfId="112"/>
    <cellStyle name="Normal 2 3 2" xfId="181"/>
    <cellStyle name="Normal 2 3 3" xfId="180"/>
    <cellStyle name="Normal 2 3 4" xfId="220"/>
    <cellStyle name="Normal 2 4" xfId="182"/>
    <cellStyle name="Normal 2 4 2" xfId="183"/>
    <cellStyle name="Normal 2 5" xfId="221"/>
    <cellStyle name="Normal 20" xfId="126"/>
    <cellStyle name="Normal 20 2" xfId="142"/>
    <cellStyle name="Normal 20 3" xfId="141"/>
    <cellStyle name="Normal 21" xfId="127"/>
    <cellStyle name="Normal 21 2" xfId="144"/>
    <cellStyle name="Normal 21 3" xfId="143"/>
    <cellStyle name="Normal 22" xfId="128"/>
    <cellStyle name="Normal 22 2" xfId="146"/>
    <cellStyle name="Normal 22 3" xfId="145"/>
    <cellStyle name="Normal 23" xfId="129"/>
    <cellStyle name="Normal 23 2" xfId="148"/>
    <cellStyle name="Normal 23 3" xfId="147"/>
    <cellStyle name="Normal 24" xfId="130"/>
    <cellStyle name="Normal 24 2" xfId="150"/>
    <cellStyle name="Normal 24 3" xfId="149"/>
    <cellStyle name="Normal 25" xfId="131"/>
    <cellStyle name="Normal 25 2" xfId="152"/>
    <cellStyle name="Normal 25 3" xfId="151"/>
    <cellStyle name="Normal 26" xfId="132"/>
    <cellStyle name="Normal 26 2" xfId="154"/>
    <cellStyle name="Normal 26 3" xfId="153"/>
    <cellStyle name="Normal 27" xfId="133"/>
    <cellStyle name="Normal 27 2" xfId="156"/>
    <cellStyle name="Normal 27 3" xfId="157"/>
    <cellStyle name="Normal 27 3 2" xfId="158"/>
    <cellStyle name="Normal 27 3 3" xfId="184"/>
    <cellStyle name="Normal 27 3 4" xfId="185"/>
    <cellStyle name="Normal 27 3 4 2" xfId="186"/>
    <cellStyle name="Normal 27 3 5" xfId="187"/>
    <cellStyle name="Normal 27 3 6" xfId="188"/>
    <cellStyle name="Normal 27 3 6 2" xfId="189"/>
    <cellStyle name="Normal 27 3 7" xfId="190"/>
    <cellStyle name="Normal 27 4" xfId="155"/>
    <cellStyle name="Normal 28" xfId="134"/>
    <cellStyle name="Normal 28 2" xfId="160"/>
    <cellStyle name="Normal 28 3" xfId="159"/>
    <cellStyle name="Normal 29" xfId="161"/>
    <cellStyle name="Normal 29 2" xfId="162"/>
    <cellStyle name="Normal 3" xfId="6"/>
    <cellStyle name="Normal 3 10" xfId="288"/>
    <cellStyle name="Normal 3 10 2" xfId="415"/>
    <cellStyle name="Normal 3 10 2 2" xfId="706"/>
    <cellStyle name="Normal 3 10 3" xfId="580"/>
    <cellStyle name="Normal 3 11" xfId="352"/>
    <cellStyle name="Normal 3 11 2" xfId="643"/>
    <cellStyle name="Normal 3 12" xfId="483"/>
    <cellStyle name="Normal 3 12 2" xfId="774"/>
    <cellStyle name="Normal 3 13" xfId="491"/>
    <cellStyle name="Normal 3 13 2" xfId="782"/>
    <cellStyle name="Normal 3 14" xfId="503"/>
    <cellStyle name="Normal 3 14 2" xfId="794"/>
    <cellStyle name="Normal 3 15" xfId="529"/>
    <cellStyle name="Normal 3 2" xfId="25"/>
    <cellStyle name="Normal 3 2 2" xfId="164"/>
    <cellStyle name="Normal 3 3" xfId="165"/>
    <cellStyle name="Normal 3 4" xfId="166"/>
    <cellStyle name="Normal 3 5" xfId="167"/>
    <cellStyle name="Normal 3 5 2" xfId="331"/>
    <cellStyle name="Normal 3 5 2 2" xfId="458"/>
    <cellStyle name="Normal 3 5 2 2 2" xfId="749"/>
    <cellStyle name="Normal 3 5 2 3" xfId="623"/>
    <cellStyle name="Normal 3 5 3" xfId="395"/>
    <cellStyle name="Normal 3 5 3 2" xfId="686"/>
    <cellStyle name="Normal 3 5 4" xfId="560"/>
    <cellStyle name="Normal 3 6" xfId="163"/>
    <cellStyle name="Normal 3 7" xfId="79"/>
    <cellStyle name="Normal 3 7 2" xfId="313"/>
    <cellStyle name="Normal 3 7 2 2" xfId="440"/>
    <cellStyle name="Normal 3 7 2 2 2" xfId="731"/>
    <cellStyle name="Normal 3 7 2 3" xfId="605"/>
    <cellStyle name="Normal 3 7 3" xfId="377"/>
    <cellStyle name="Normal 3 7 3 2" xfId="668"/>
    <cellStyle name="Normal 3 7 4" xfId="542"/>
    <cellStyle name="Normal 3 8" xfId="265"/>
    <cellStyle name="Normal 3 8 2" xfId="336"/>
    <cellStyle name="Normal 3 8 2 2" xfId="462"/>
    <cellStyle name="Normal 3 8 2 2 2" xfId="753"/>
    <cellStyle name="Normal 3 8 2 3" xfId="627"/>
    <cellStyle name="Normal 3 8 3" xfId="399"/>
    <cellStyle name="Normal 3 8 3 2" xfId="690"/>
    <cellStyle name="Normal 3 8 4" xfId="564"/>
    <cellStyle name="Normal 3 9" xfId="282"/>
    <cellStyle name="Normal 3 9 2" xfId="346"/>
    <cellStyle name="Normal 3 9 2 2" xfId="472"/>
    <cellStyle name="Normal 3 9 2 2 2" xfId="763"/>
    <cellStyle name="Normal 3 9 2 3" xfId="637"/>
    <cellStyle name="Normal 3 9 3" xfId="409"/>
    <cellStyle name="Normal 3 9 3 2" xfId="700"/>
    <cellStyle name="Normal 3 9 4" xfId="574"/>
    <cellStyle name="Normal 30" xfId="168"/>
    <cellStyle name="Normal 30 10" xfId="191"/>
    <cellStyle name="Normal 30 10 2" xfId="192"/>
    <cellStyle name="Normal 30 11" xfId="193"/>
    <cellStyle name="Normal 30 12" xfId="194"/>
    <cellStyle name="Normal 30 2" xfId="169"/>
    <cellStyle name="Normal 30 3" xfId="195"/>
    <cellStyle name="Normal 30 4" xfId="196"/>
    <cellStyle name="Normal 30 4 2" xfId="197"/>
    <cellStyle name="Normal 30 5" xfId="198"/>
    <cellStyle name="Normal 30 6" xfId="199"/>
    <cellStyle name="Normal 30 7" xfId="200"/>
    <cellStyle name="Normal 30 8" xfId="201"/>
    <cellStyle name="Normal 30 9" xfId="202"/>
    <cellStyle name="Normal 31" xfId="176"/>
    <cellStyle name="Normal 31 2" xfId="178"/>
    <cellStyle name="Normal 31 2 2" xfId="203"/>
    <cellStyle name="Normal 32" xfId="177"/>
    <cellStyle name="Normal 32 2" xfId="179"/>
    <cellStyle name="Normal 32 2 2" xfId="205"/>
    <cellStyle name="Normal 32 2 3" xfId="214"/>
    <cellStyle name="Normal 32 3" xfId="206"/>
    <cellStyle name="Normal 32 3 2" xfId="207"/>
    <cellStyle name="Normal 32 4" xfId="204"/>
    <cellStyle name="Normal 32 5" xfId="223"/>
    <cellStyle name="Normal 33" xfId="208"/>
    <cellStyle name="Normal 33 2" xfId="209"/>
    <cellStyle name="Normal 34" xfId="215"/>
    <cellStyle name="Normal 34 2" xfId="216"/>
    <cellStyle name="Normal 34 2 2" xfId="332"/>
    <cellStyle name="Normal 34 2 2 2" xfId="459"/>
    <cellStyle name="Normal 34 2 2 2 2" xfId="750"/>
    <cellStyle name="Normal 34 2 2 3" xfId="624"/>
    <cellStyle name="Normal 34 2 3" xfId="396"/>
    <cellStyle name="Normal 34 2 3 2" xfId="687"/>
    <cellStyle name="Normal 34 2 4" xfId="561"/>
    <cellStyle name="Normal 35" xfId="91"/>
    <cellStyle name="Normal 35 2" xfId="74"/>
    <cellStyle name="Normal 35 3" xfId="325"/>
    <cellStyle name="Normal 35 3 2" xfId="452"/>
    <cellStyle name="Normal 35 3 2 2" xfId="743"/>
    <cellStyle name="Normal 35 3 3" xfId="617"/>
    <cellStyle name="Normal 35 4" xfId="389"/>
    <cellStyle name="Normal 35 4 2" xfId="680"/>
    <cellStyle name="Normal 35 5" xfId="554"/>
    <cellStyle name="Normal 36" xfId="75"/>
    <cellStyle name="Normal 37" xfId="73"/>
    <cellStyle name="Normal 37 2" xfId="312"/>
    <cellStyle name="Normal 37 2 2" xfId="439"/>
    <cellStyle name="Normal 37 2 2 2" xfId="730"/>
    <cellStyle name="Normal 37 2 3" xfId="604"/>
    <cellStyle name="Normal 37 3" xfId="376"/>
    <cellStyle name="Normal 37 3 2" xfId="667"/>
    <cellStyle name="Normal 37 4" xfId="541"/>
    <cellStyle name="Normal 38" xfId="224"/>
    <cellStyle name="Normal 38 2" xfId="333"/>
    <cellStyle name="Normal 39" xfId="478"/>
    <cellStyle name="Normal 39 2" xfId="769"/>
    <cellStyle name="Normal 4" xfId="10"/>
    <cellStyle name="Normal 4 10" xfId="283"/>
    <cellStyle name="Normal 4 10 2" xfId="347"/>
    <cellStyle name="Normal 4 10 2 2" xfId="473"/>
    <cellStyle name="Normal 4 10 2 2 2" xfId="764"/>
    <cellStyle name="Normal 4 10 2 3" xfId="638"/>
    <cellStyle name="Normal 4 10 3" xfId="410"/>
    <cellStyle name="Normal 4 10 3 2" xfId="701"/>
    <cellStyle name="Normal 4 10 4" xfId="575"/>
    <cellStyle name="Normal 4 11" xfId="291"/>
    <cellStyle name="Normal 4 11 2" xfId="418"/>
    <cellStyle name="Normal 4 11 2 2" xfId="709"/>
    <cellStyle name="Normal 4 11 3" xfId="583"/>
    <cellStyle name="Normal 4 12" xfId="355"/>
    <cellStyle name="Normal 4 12 2" xfId="646"/>
    <cellStyle name="Normal 4 13" xfId="492"/>
    <cellStyle name="Normal 4 13 2" xfId="783"/>
    <cellStyle name="Normal 4 14" xfId="504"/>
    <cellStyle name="Normal 4 14 2" xfId="795"/>
    <cellStyle name="Normal 4 15" xfId="532"/>
    <cellStyle name="Normal 4 2" xfId="26"/>
    <cellStyle name="Normal 4 2 2" xfId="272"/>
    <cellStyle name="Normal 4 2 2 2" xfId="337"/>
    <cellStyle name="Normal 4 2 2 2 2" xfId="463"/>
    <cellStyle name="Normal 4 2 2 2 2 2" xfId="754"/>
    <cellStyle name="Normal 4 2 2 2 3" xfId="628"/>
    <cellStyle name="Normal 4 2 2 3" xfId="400"/>
    <cellStyle name="Normal 4 2 2 3 2" xfId="691"/>
    <cellStyle name="Normal 4 2 2 4" xfId="565"/>
    <cellStyle name="Normal 4 2 3" xfId="484"/>
    <cellStyle name="Normal 4 2 3 2" xfId="775"/>
    <cellStyle name="Normal 4 3" xfId="98"/>
    <cellStyle name="Normal 4 4" xfId="171"/>
    <cellStyle name="Normal 4 5" xfId="170"/>
    <cellStyle name="Normal 4 6" xfId="210"/>
    <cellStyle name="Normal 4 6 2" xfId="211"/>
    <cellStyle name="Normal 4 7" xfId="212"/>
    <cellStyle name="Normal 4 7 2" xfId="213"/>
    <cellStyle name="Normal 4 8" xfId="82"/>
    <cellStyle name="Normal 4 8 2" xfId="316"/>
    <cellStyle name="Normal 4 8 2 2" xfId="443"/>
    <cellStyle name="Normal 4 8 2 2 2" xfId="734"/>
    <cellStyle name="Normal 4 8 2 3" xfId="608"/>
    <cellStyle name="Normal 4 8 3" xfId="380"/>
    <cellStyle name="Normal 4 8 3 2" xfId="671"/>
    <cellStyle name="Normal 4 8 4" xfId="545"/>
    <cellStyle name="Normal 4 9" xfId="266"/>
    <cellStyle name="Normal 40" xfId="509"/>
    <cellStyle name="Normal 40 2" xfId="800"/>
    <cellStyle name="Normal 41" xfId="533"/>
    <cellStyle name="Normal 42" xfId="511"/>
    <cellStyle name="Normal 43" xfId="802"/>
    <cellStyle name="Normal 5" xfId="5"/>
    <cellStyle name="Normal 5 2" xfId="27"/>
    <cellStyle name="Normal 5 3" xfId="99"/>
    <cellStyle name="Normal 6" xfId="18"/>
    <cellStyle name="Normal 6 10" xfId="493"/>
    <cellStyle name="Normal 6 10 2" xfId="784"/>
    <cellStyle name="Normal 6 11" xfId="505"/>
    <cellStyle name="Normal 6 11 2" xfId="796"/>
    <cellStyle name="Normal 6 12" xfId="537"/>
    <cellStyle name="Normal 6 2" xfId="28"/>
    <cellStyle name="Normal 6 2 2" xfId="173"/>
    <cellStyle name="Normal 6 2 3" xfId="89"/>
    <cellStyle name="Normal 6 2 3 2" xfId="323"/>
    <cellStyle name="Normal 6 2 3 2 2" xfId="450"/>
    <cellStyle name="Normal 6 2 3 2 2 2" xfId="741"/>
    <cellStyle name="Normal 6 2 3 2 3" xfId="615"/>
    <cellStyle name="Normal 6 2 3 3" xfId="387"/>
    <cellStyle name="Normal 6 2 3 3 2" xfId="678"/>
    <cellStyle name="Normal 6 2 3 4" xfId="552"/>
    <cellStyle name="Normal 6 2 4" xfId="285"/>
    <cellStyle name="Normal 6 2 4 2" xfId="349"/>
    <cellStyle name="Normal 6 2 4 2 2" xfId="475"/>
    <cellStyle name="Normal 6 2 4 2 2 2" xfId="766"/>
    <cellStyle name="Normal 6 2 4 2 3" xfId="640"/>
    <cellStyle name="Normal 6 2 4 3" xfId="412"/>
    <cellStyle name="Normal 6 2 4 3 2" xfId="703"/>
    <cellStyle name="Normal 6 2 4 4" xfId="577"/>
    <cellStyle name="Normal 6 2 5" xfId="298"/>
    <cellStyle name="Normal 6 2 5 2" xfId="425"/>
    <cellStyle name="Normal 6 2 5 2 2" xfId="716"/>
    <cellStyle name="Normal 6 2 5 3" xfId="590"/>
    <cellStyle name="Normal 6 2 6" xfId="362"/>
    <cellStyle name="Normal 6 2 6 2" xfId="653"/>
    <cellStyle name="Normal 6 2 7" xfId="494"/>
    <cellStyle name="Normal 6 2 7 2" xfId="785"/>
    <cellStyle name="Normal 6 2 8" xfId="506"/>
    <cellStyle name="Normal 6 2 8 2" xfId="797"/>
    <cellStyle name="Normal 6 2 9" xfId="539"/>
    <cellStyle name="Normal 6 3" xfId="172"/>
    <cellStyle name="Normal 6 4" xfId="124"/>
    <cellStyle name="Normal 6 5" xfId="94"/>
    <cellStyle name="Normal 6 5 2" xfId="328"/>
    <cellStyle name="Normal 6 5 2 2" xfId="455"/>
    <cellStyle name="Normal 6 5 2 2 2" xfId="746"/>
    <cellStyle name="Normal 6 5 2 3" xfId="620"/>
    <cellStyle name="Normal 6 5 3" xfId="392"/>
    <cellStyle name="Normal 6 5 3 2" xfId="683"/>
    <cellStyle name="Normal 6 5 4" xfId="557"/>
    <cellStyle name="Normal 6 6" xfId="85"/>
    <cellStyle name="Normal 6 6 2" xfId="319"/>
    <cellStyle name="Normal 6 6 2 2" xfId="446"/>
    <cellStyle name="Normal 6 6 2 2 2" xfId="737"/>
    <cellStyle name="Normal 6 6 2 3" xfId="611"/>
    <cellStyle name="Normal 6 6 3" xfId="383"/>
    <cellStyle name="Normal 6 6 3 2" xfId="674"/>
    <cellStyle name="Normal 6 6 4" xfId="548"/>
    <cellStyle name="Normal 6 7" xfId="284"/>
    <cellStyle name="Normal 6 7 2" xfId="348"/>
    <cellStyle name="Normal 6 7 2 2" xfId="474"/>
    <cellStyle name="Normal 6 7 2 2 2" xfId="765"/>
    <cellStyle name="Normal 6 7 2 3" xfId="639"/>
    <cellStyle name="Normal 6 7 3" xfId="411"/>
    <cellStyle name="Normal 6 7 3 2" xfId="702"/>
    <cellStyle name="Normal 6 7 4" xfId="576"/>
    <cellStyle name="Normal 6 8" xfId="294"/>
    <cellStyle name="Normal 6 8 2" xfId="421"/>
    <cellStyle name="Normal 6 8 2 2" xfId="712"/>
    <cellStyle name="Normal 6 8 3" xfId="586"/>
    <cellStyle name="Normal 6 9" xfId="358"/>
    <cellStyle name="Normal 6 9 2" xfId="649"/>
    <cellStyle name="Normal 7" xfId="19"/>
    <cellStyle name="Normal 7 2" xfId="102"/>
    <cellStyle name="Normal 7 3" xfId="100"/>
    <cellStyle name="Normal 8" xfId="20"/>
    <cellStyle name="Normal 8 2" xfId="175"/>
    <cellStyle name="Normal 8 3" xfId="174"/>
    <cellStyle name="Normal 8 4" xfId="125"/>
    <cellStyle name="Normal 8 5" xfId="219"/>
    <cellStyle name="Normal 9" xfId="21"/>
    <cellStyle name="Normal 9 10" xfId="507"/>
    <cellStyle name="Normal 9 10 2" xfId="798"/>
    <cellStyle name="Normal 9 11" xfId="538"/>
    <cellStyle name="Normal 9 2" xfId="22"/>
    <cellStyle name="Normal 9 2 2" xfId="103"/>
    <cellStyle name="Normal 9 2 3" xfId="87"/>
    <cellStyle name="Normal 9 2 3 2" xfId="321"/>
    <cellStyle name="Normal 9 2 3 2 2" xfId="448"/>
    <cellStyle name="Normal 9 2 3 2 2 2" xfId="739"/>
    <cellStyle name="Normal 9 2 3 2 3" xfId="613"/>
    <cellStyle name="Normal 9 2 3 3" xfId="385"/>
    <cellStyle name="Normal 9 2 3 3 2" xfId="676"/>
    <cellStyle name="Normal 9 2 3 4" xfId="550"/>
    <cellStyle name="Normal 9 2 4" xfId="287"/>
    <cellStyle name="Normal 9 2 4 2" xfId="351"/>
    <cellStyle name="Normal 9 2 4 2 2" xfId="477"/>
    <cellStyle name="Normal 9 2 4 2 2 2" xfId="768"/>
    <cellStyle name="Normal 9 2 4 2 3" xfId="642"/>
    <cellStyle name="Normal 9 2 4 3" xfId="414"/>
    <cellStyle name="Normal 9 2 4 3 2" xfId="705"/>
    <cellStyle name="Normal 9 2 4 4" xfId="579"/>
    <cellStyle name="Normal 9 2 5" xfId="296"/>
    <cellStyle name="Normal 9 2 5 2" xfId="423"/>
    <cellStyle name="Normal 9 2 5 2 2" xfId="714"/>
    <cellStyle name="Normal 9 2 5 3" xfId="588"/>
    <cellStyle name="Normal 9 2 6" xfId="360"/>
    <cellStyle name="Normal 9 2 6 2" xfId="651"/>
    <cellStyle name="Normal 9 2 7" xfId="496"/>
    <cellStyle name="Normal 9 2 7 2" xfId="787"/>
    <cellStyle name="Normal 9 2 8" xfId="508"/>
    <cellStyle name="Normal 9 2 8 2" xfId="799"/>
    <cellStyle name="Normal 9 2 9" xfId="535"/>
    <cellStyle name="Normal 9 3" xfId="101"/>
    <cellStyle name="Normal 9 4" xfId="96"/>
    <cellStyle name="Normal 9 5" xfId="86"/>
    <cellStyle name="Normal 9 5 2" xfId="320"/>
    <cellStyle name="Normal 9 5 2 2" xfId="447"/>
    <cellStyle name="Normal 9 5 2 2 2" xfId="738"/>
    <cellStyle name="Normal 9 5 2 3" xfId="612"/>
    <cellStyle name="Normal 9 5 3" xfId="384"/>
    <cellStyle name="Normal 9 5 3 2" xfId="675"/>
    <cellStyle name="Normal 9 5 4" xfId="549"/>
    <cellStyle name="Normal 9 6" xfId="286"/>
    <cellStyle name="Normal 9 6 2" xfId="350"/>
    <cellStyle name="Normal 9 6 2 2" xfId="476"/>
    <cellStyle name="Normal 9 6 2 2 2" xfId="767"/>
    <cellStyle name="Normal 9 6 2 3" xfId="641"/>
    <cellStyle name="Normal 9 6 3" xfId="413"/>
    <cellStyle name="Normal 9 6 3 2" xfId="704"/>
    <cellStyle name="Normal 9 6 4" xfId="578"/>
    <cellStyle name="Normal 9 7" xfId="295"/>
    <cellStyle name="Normal 9 7 2" xfId="422"/>
    <cellStyle name="Normal 9 7 2 2" xfId="713"/>
    <cellStyle name="Normal 9 7 3" xfId="587"/>
    <cellStyle name="Normal 9 8" xfId="359"/>
    <cellStyle name="Normal 9 8 2" xfId="650"/>
    <cellStyle name="Normal 9 9" xfId="495"/>
    <cellStyle name="Normal 9 9 2" xfId="786"/>
    <cellStyle name="Normal_Copy of Avoided Cost adjusted Final" xfId="3"/>
    <cellStyle name="Normal_Copy of Avoided Cost adjusted Final 2" xfId="275"/>
    <cellStyle name="Note 2" xfId="123"/>
    <cellStyle name="Note 2 2" xfId="267"/>
    <cellStyle name="Note 2 3" xfId="330"/>
    <cellStyle name="Note 2 3 2" xfId="457"/>
    <cellStyle name="Note 2 3 2 2" xfId="748"/>
    <cellStyle name="Note 2 3 3" xfId="622"/>
    <cellStyle name="Note 2 4" xfId="394"/>
    <cellStyle name="Note 2 4 2" xfId="685"/>
    <cellStyle name="Note 2 5" xfId="559"/>
    <cellStyle name="Note 3" xfId="512"/>
    <cellStyle name="Note 4" xfId="803"/>
    <cellStyle name="Output" xfId="42" builtinId="21" customBuiltin="1"/>
    <cellStyle name="Output 2" xfId="268"/>
    <cellStyle name="Percent" xfId="4" builtinId="5"/>
    <cellStyle name="Percent 2" xfId="15"/>
    <cellStyle name="Percent 2 2" xfId="31"/>
    <cellStyle name="Percent 3" xfId="93"/>
    <cellStyle name="Percent 3 2" xfId="327"/>
    <cellStyle name="Percent 3 2 2" xfId="454"/>
    <cellStyle name="Percent 3 2 2 2" xfId="745"/>
    <cellStyle name="Percent 3 2 3" xfId="619"/>
    <cellStyle name="Percent 3 3" xfId="391"/>
    <cellStyle name="Percent 3 3 2" xfId="682"/>
    <cellStyle name="Percent 3 4" xfId="556"/>
    <cellStyle name="Percent 4" xfId="78"/>
    <cellStyle name="Percent 5" xfId="531"/>
    <cellStyle name="Title" xfId="33" builtinId="15" customBuiltin="1"/>
    <cellStyle name="Title 2" xfId="269"/>
    <cellStyle name="Total" xfId="48" builtinId="25" customBuiltin="1"/>
    <cellStyle name="Total 2" xfId="270"/>
    <cellStyle name="Warning Text" xfId="46" builtinId="11" customBuiltin="1"/>
    <cellStyle name="Warning Text 2" xfId="271"/>
  </cellStyles>
  <dxfs count="0"/>
  <tableStyles count="0" defaultTableStyle="TableStyleMedium9" defaultPivotStyle="PivotStyleLight16"/>
  <colors>
    <mruColors>
      <color rgb="FFABFFAB"/>
      <color rgb="FF00FF00"/>
      <color rgb="FF8DB4E2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externalLink" Target="externalLinks/externalLink1.xml"/><Relationship Id="rId9" Type="http://schemas.openxmlformats.org/officeDocument/2006/relationships/revisionHeaders" Target="revisions/revisionHeader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ocuments%20and%20Settings\laron.tamaye\Local%20Settings\Temporary%20Internet%20Files\OLK187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1">
          <cell r="A1" t="str">
            <v>v80</v>
          </cell>
        </row>
        <row r="2">
          <cell r="D2" t="str">
            <v>MEASURE</v>
          </cell>
        </row>
        <row r="3">
          <cell r="C3" t="str">
            <v>ANNUAL THERM</v>
          </cell>
          <cell r="D3" t="str">
            <v>INSTALLED</v>
          </cell>
          <cell r="E3" t="str">
            <v>MEASURE</v>
          </cell>
        </row>
        <row r="4">
          <cell r="A4" t="str">
            <v>SS CODE</v>
          </cell>
          <cell r="B4" t="str">
            <v>SS MEASURE DESCRIPTION</v>
          </cell>
          <cell r="C4" t="str">
            <v>SAVINGS</v>
          </cell>
          <cell r="D4" t="str">
            <v>COST</v>
          </cell>
          <cell r="E4" t="str">
            <v>LIFE</v>
          </cell>
          <cell r="F4" t="str">
            <v>MEASURE</v>
          </cell>
          <cell r="G4" t="str">
            <v>EFFICIENCY RATING</v>
          </cell>
        </row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</sheetData>
      <sheetData sheetId="1" refreshError="1"/>
      <sheetData sheetId="2" refreshError="1"/>
      <sheetData sheetId="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5" Type="http://schemas.openxmlformats.org/officeDocument/2006/relationships/revisionLog" Target="revisionLog10.xml"/><Relationship Id="rId87" Type="http://schemas.openxmlformats.org/officeDocument/2006/relationships/revisionLog" Target="revisionLog1.xml"/><Relationship Id="rId86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8304323-C2E5-4F0A-9ADA-84E2202F817C}" diskRevisions="1" revisionId="701" version="4">
  <header guid="{7603790D-5C9C-491D-99D1-23B9CA65E414}" dateTime="2017-05-01T11:03:15" maxSheetId="4" userName="Monica Cowlishaw" r:id="rId85">
    <sheetIdMap count="3">
      <sheetId val="1"/>
      <sheetId val="2"/>
      <sheetId val="3"/>
    </sheetIdMap>
  </header>
  <header guid="{85557BB4-A353-48B6-AF0E-0E5304D0B318}" dateTime="2017-05-31T09:49:22" maxSheetId="4" userName="Cascade Natural Gas" r:id="rId86" minRId="695">
    <sheetIdMap count="3">
      <sheetId val="1"/>
      <sheetId val="2"/>
      <sheetId val="3"/>
    </sheetIdMap>
  </header>
  <header guid="{A8304323-C2E5-4F0A-9ADA-84E2202F817C}" dateTime="2017-05-31T09:51:06" maxSheetId="4" userName="Cascade Natural Gas" r:id="rId8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923932C-96B5-464D-9E0A-3FBBD9F9862F}" action="delete"/>
  <rdn rId="0" localSheetId="1" customView="1" name="Z_C923932C_96B5_464D_9E0A_3FBBD9F9862F_.wvu.PrintArea" hidden="1" oldHidden="1">
    <formula>'TOTAL FIRST YEAR'!$B$1:$AB$65</formula>
    <oldFormula>'TOTAL FIRST YEAR'!$B$1:$AB$65</oldFormula>
  </rdn>
  <rdn rId="0" localSheetId="1" customView="1" name="Z_C923932C_96B5_464D_9E0A_3FBBD9F9862F_.wvu.Cols" hidden="1" oldHidden="1">
    <formula>'TOTAL FIRST YEAR'!$A:$A</formula>
    <oldFormula>'TOTAL FIRST YEAR'!$A:$A</oldFormula>
  </rdn>
  <rdn rId="0" localSheetId="1" customView="1" name="Z_C923932C_96B5_464D_9E0A_3FBBD9F9862F_.wvu.FilterData" hidden="1" oldHidden="1">
    <formula>'TOTAL FIRST YEAR'!$B$4:$S$60</formula>
    <oldFormula>'TOTAL FIRST YEAR'!$B$4:$S$60</oldFormula>
  </rdn>
  <rcv guid="{C923932C-96B5-464D-9E0A-3FBBD9F9862F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071E27A-5EFB-4FE2-B87C-64D436A2C10C}" action="delete"/>
  <rdn rId="0" localSheetId="1" customView="1" name="Z_2071E27A_5EFB_4FE2_B87C_64D436A2C10C_.wvu.PrintArea" hidden="1" oldHidden="1">
    <formula>'TOTAL FIRST YEAR'!$B$1:$AB$65</formula>
    <oldFormula>'TOTAL FIRST YEAR'!$B$1:$AB$65</oldFormula>
  </rdn>
  <rdn rId="0" localSheetId="1" customView="1" name="Z_2071E27A_5EFB_4FE2_B87C_64D436A2C10C_.wvu.Cols" hidden="1" oldHidden="1">
    <formula>'TOTAL FIRST YEAR'!$A:$A</formula>
    <oldFormula>'TOTAL FIRST YEAR'!$A:$A</oldFormula>
  </rdn>
  <rdn rId="0" localSheetId="1" customView="1" name="Z_2071E27A_5EFB_4FE2_B87C_64D436A2C10C_.wvu.FilterData" hidden="1" oldHidden="1">
    <formula>'TOTAL FIRST YEAR'!$B$4:$S$60</formula>
    <oldFormula>'TOTAL FIRST YEAR'!$B$4:$S$60</oldFormula>
  </rdn>
  <rcv guid="{2071E27A-5EFB-4FE2-B87C-64D436A2C10C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5" sId="3">
    <oc r="A2" t="inlineStr">
      <is>
        <t>INTEGRATED RESOURCE PLAN</t>
      </is>
    </oc>
    <nc r="A2" t="inlineStr">
      <is>
        <t>2014 INTEGRATED RESOURCE PLAN</t>
      </is>
    </nc>
  </rcc>
  <rcv guid="{C923932C-96B5-464D-9E0A-3FBBD9F9862F}" action="delete"/>
  <rdn rId="0" localSheetId="1" customView="1" name="Z_C923932C_96B5_464D_9E0A_3FBBD9F9862F_.wvu.PrintArea" hidden="1" oldHidden="1">
    <formula>'TOTAL FIRST YEAR'!$B$1:$AB$65</formula>
    <oldFormula>'TOTAL FIRST YEAR'!$B$1:$AB$65</oldFormula>
  </rdn>
  <rdn rId="0" localSheetId="1" customView="1" name="Z_C923932C_96B5_464D_9E0A_3FBBD9F9862F_.wvu.Cols" hidden="1" oldHidden="1">
    <formula>'TOTAL FIRST YEAR'!$A:$A</formula>
    <oldFormula>'TOTAL FIRST YEAR'!$A:$A</oldFormula>
  </rdn>
  <rdn rId="0" localSheetId="1" customView="1" name="Z_C923932C_96B5_464D_9E0A_3FBBD9F9862F_.wvu.FilterData" hidden="1" oldHidden="1">
    <formula>'TOTAL FIRST YEAR'!$B$4:$S$60</formula>
    <oldFormula>'TOTAL FIRST YEAR'!$B$4:$S$60</oldFormula>
  </rdn>
  <rcv guid="{C923932C-96B5-464D-9E0A-3FBBD9F9862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603790D-5C9C-491D-99D1-23B9CA65E414}" name="Cascade Natural Gas" id="-1602419128" dateTime="2017-05-31T09:43:0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41"/>
    <pageSetUpPr fitToPage="1"/>
  </sheetPr>
  <dimension ref="A1:AE80"/>
  <sheetViews>
    <sheetView tabSelected="1" topLeftCell="B1" zoomScale="85" zoomScaleNormal="85" zoomScaleSheetLayoutView="80" workbookViewId="0">
      <pane ySplit="4" topLeftCell="A5" activePane="bottomLeft" state="frozen"/>
      <selection activeCell="B1" sqref="B1"/>
      <selection pane="bottomLeft" activeCell="F68" sqref="F68"/>
    </sheetView>
  </sheetViews>
  <sheetFormatPr defaultColWidth="9.296875" defaultRowHeight="13" outlineLevelCol="1" x14ac:dyDescent="0.3"/>
  <cols>
    <col min="1" max="1" width="27.796875" style="32" hidden="1" customWidth="1" outlineLevel="1"/>
    <col min="2" max="2" width="24.19921875" style="37" customWidth="1" collapsed="1"/>
    <col min="3" max="3" width="15.19921875" style="37" customWidth="1"/>
    <col min="4" max="4" width="43.19921875" style="37" customWidth="1"/>
    <col min="5" max="5" width="17.5" style="67" customWidth="1"/>
    <col min="6" max="6" width="16" style="67" customWidth="1"/>
    <col min="7" max="7" width="17.796875" style="37" customWidth="1"/>
    <col min="8" max="8" width="16.296875" style="37" customWidth="1"/>
    <col min="9" max="9" width="17" style="38" customWidth="1"/>
    <col min="10" max="10" width="12.296875" style="38" customWidth="1"/>
    <col min="11" max="11" width="16" style="38" customWidth="1"/>
    <col min="12" max="12" width="19" style="38" customWidth="1"/>
    <col min="13" max="13" width="16.69921875" style="38" customWidth="1"/>
    <col min="14" max="14" width="10.796875" style="37" customWidth="1"/>
    <col min="15" max="15" width="15.796875" style="37" customWidth="1"/>
    <col min="16" max="16" width="15.19921875" style="37" customWidth="1"/>
    <col min="17" max="17" width="26" style="38" customWidth="1"/>
    <col min="18" max="18" width="12.796875" style="37" customWidth="1"/>
    <col min="19" max="19" width="21.69921875" style="38" bestFit="1" customWidth="1"/>
    <col min="20" max="20" width="5.796875" style="38" customWidth="1"/>
    <col min="21" max="21" width="12.296875" style="38" customWidth="1"/>
    <col min="22" max="22" width="16" style="38" customWidth="1"/>
    <col min="23" max="23" width="14.296875" style="38" customWidth="1"/>
    <col min="24" max="24" width="5.796875" style="38" customWidth="1"/>
    <col min="25" max="25" width="14.296875" style="38" customWidth="1"/>
    <col min="26" max="26" width="16" style="38" customWidth="1"/>
    <col min="27" max="27" width="14.296875" style="38" customWidth="1"/>
    <col min="28" max="28" width="9.296875" style="38"/>
    <col min="29" max="29" width="16" style="38" bestFit="1" customWidth="1"/>
    <col min="30" max="16384" width="9.296875" style="38"/>
  </cols>
  <sheetData>
    <row r="1" spans="1:31" s="40" customFormat="1" x14ac:dyDescent="0.3">
      <c r="A1" s="39"/>
      <c r="B1" s="106" t="s">
        <v>55</v>
      </c>
      <c r="C1" s="145" t="s">
        <v>0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41"/>
      <c r="Y1" s="41"/>
      <c r="Z1" s="41"/>
      <c r="AA1" s="41"/>
      <c r="AD1" s="41"/>
      <c r="AE1" s="41"/>
    </row>
    <row r="2" spans="1:31" x14ac:dyDescent="0.3">
      <c r="B2" s="78" t="s">
        <v>83</v>
      </c>
      <c r="C2" s="146" t="s">
        <v>53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1"/>
      <c r="Y2" s="11"/>
      <c r="Z2" s="11"/>
      <c r="AA2" s="11"/>
      <c r="AD2" s="11"/>
      <c r="AE2" s="11"/>
    </row>
    <row r="3" spans="1:31" ht="13.5" thickBot="1" x14ac:dyDescent="0.35">
      <c r="B3" s="79"/>
      <c r="I3" s="37"/>
      <c r="J3" s="37"/>
      <c r="K3" s="37"/>
      <c r="L3" s="37"/>
      <c r="N3" s="38"/>
      <c r="R3" s="38"/>
      <c r="S3" s="37"/>
      <c r="T3" s="37"/>
      <c r="U3" s="37"/>
      <c r="V3" s="37"/>
      <c r="W3" s="37"/>
      <c r="Y3" s="37"/>
      <c r="Z3" s="37"/>
      <c r="AA3" s="37"/>
      <c r="AD3" s="37"/>
    </row>
    <row r="4" spans="1:31" s="55" customFormat="1" ht="62.25" customHeight="1" thickBot="1" x14ac:dyDescent="0.35">
      <c r="A4" s="54"/>
      <c r="B4" s="75" t="s">
        <v>4</v>
      </c>
      <c r="C4" s="75" t="s">
        <v>5</v>
      </c>
      <c r="D4" s="75" t="s">
        <v>6</v>
      </c>
      <c r="E4" s="63" t="s">
        <v>10</v>
      </c>
      <c r="F4" s="63" t="s">
        <v>52</v>
      </c>
      <c r="G4" s="74" t="s">
        <v>20</v>
      </c>
      <c r="H4" s="75" t="s">
        <v>46</v>
      </c>
      <c r="I4" s="75" t="s">
        <v>58</v>
      </c>
      <c r="J4" s="75" t="s">
        <v>99</v>
      </c>
      <c r="K4" s="75" t="s">
        <v>100</v>
      </c>
      <c r="L4" s="75" t="s">
        <v>62</v>
      </c>
      <c r="M4" s="75" t="s">
        <v>63</v>
      </c>
      <c r="N4" s="75" t="s">
        <v>47</v>
      </c>
      <c r="O4" s="74" t="s">
        <v>57</v>
      </c>
      <c r="P4" s="75" t="s">
        <v>64</v>
      </c>
      <c r="Q4" s="74" t="s">
        <v>48</v>
      </c>
      <c r="R4" s="75" t="s">
        <v>49</v>
      </c>
      <c r="S4" s="76" t="s">
        <v>50</v>
      </c>
      <c r="T4" s="102"/>
      <c r="U4" s="119" t="s">
        <v>51</v>
      </c>
      <c r="V4" s="120" t="s">
        <v>22</v>
      </c>
      <c r="W4" s="121" t="s">
        <v>65</v>
      </c>
      <c r="X4" s="77"/>
      <c r="Y4" s="132" t="s">
        <v>8</v>
      </c>
      <c r="Z4" s="133" t="s">
        <v>21</v>
      </c>
      <c r="AA4" s="134" t="s">
        <v>66</v>
      </c>
      <c r="AB4" s="108"/>
      <c r="AC4" s="108"/>
    </row>
    <row r="5" spans="1:31" x14ac:dyDescent="0.3">
      <c r="B5" s="84"/>
      <c r="C5" s="84"/>
      <c r="D5" s="84"/>
      <c r="E5" s="68"/>
      <c r="F5" s="68"/>
      <c r="G5" s="85"/>
      <c r="H5" s="84"/>
      <c r="I5" s="84"/>
      <c r="J5" s="84"/>
      <c r="K5" s="84"/>
      <c r="L5" s="84"/>
      <c r="M5" s="84"/>
      <c r="N5" s="84"/>
      <c r="O5" s="85"/>
      <c r="P5" s="84"/>
      <c r="Q5" s="85"/>
      <c r="R5" s="84"/>
      <c r="S5" s="140"/>
      <c r="T5" s="86"/>
      <c r="U5" s="112"/>
      <c r="V5" s="113"/>
      <c r="W5" s="113"/>
      <c r="X5" s="86"/>
      <c r="Y5" s="125"/>
      <c r="Z5" s="126"/>
      <c r="AA5" s="126"/>
    </row>
    <row r="6" spans="1:31" x14ac:dyDescent="0.3">
      <c r="B6" s="87" t="s">
        <v>70</v>
      </c>
      <c r="C6" s="87" t="s">
        <v>77</v>
      </c>
      <c r="D6" s="59" t="s">
        <v>71</v>
      </c>
      <c r="E6" s="69">
        <v>38</v>
      </c>
      <c r="F6" s="69">
        <v>38</v>
      </c>
      <c r="G6" s="57">
        <v>210</v>
      </c>
      <c r="H6" s="58">
        <f t="shared" ref="H6:H43" si="0">IF(ISNUMBER(F6),G6*F6,"")</f>
        <v>7980</v>
      </c>
      <c r="I6" s="82">
        <v>1142</v>
      </c>
      <c r="J6" s="82">
        <f>0.5*0.95*$G6+PV($C$64,$N6,-(0.117*$G6))</f>
        <v>515.98130810750013</v>
      </c>
      <c r="K6" s="82">
        <f>0.1*$I6+PV($C$64,$N6,(-0.05*0.95*$G6))+PV($C$64,$N6,-15)</f>
        <v>537.29226373564563</v>
      </c>
      <c r="L6" s="82">
        <f t="shared" ref="L6:L43" si="1">IF(ISNUMBER(I6),I6*F6,"")</f>
        <v>43396</v>
      </c>
      <c r="M6" s="82">
        <f t="shared" ref="M6:M43" si="2">L6-F6*(J6+K6)</f>
        <v>3371.6042699604586</v>
      </c>
      <c r="N6" s="59">
        <v>30</v>
      </c>
      <c r="O6" s="60">
        <f>PV($C$64,$N6,-$H6)</f>
        <v>135186.23682123935</v>
      </c>
      <c r="P6" s="58">
        <f>PV($C$64,$N6,-$H6)</f>
        <v>135186.23682123935</v>
      </c>
      <c r="Q6" s="83">
        <f>(H6/$H$60)*$Q$60</f>
        <v>24162.045024998726</v>
      </c>
      <c r="R6" s="59">
        <v>600</v>
      </c>
      <c r="S6" s="138">
        <f>IF(ISNUMBER(R6),R6*F6,"")</f>
        <v>22800</v>
      </c>
      <c r="T6" s="61"/>
      <c r="U6" s="114">
        <f t="shared" ref="U6:U43" si="3">IF(ISERROR(S6/P6),0,S6/P6)</f>
        <v>0.16865622223177273</v>
      </c>
      <c r="V6" s="115">
        <f t="shared" ref="V6:V43" si="4">IF(ISERROR((Q6+S6)/P6),0,(Q6+S6)/P6)</f>
        <v>0.34738776764011847</v>
      </c>
      <c r="W6" s="116">
        <f>IF($S6=0,"-",(VLOOKUP($N6,AC,6)*$H6)/($S6+$Q6))</f>
        <v>1.2574409817239769</v>
      </c>
      <c r="X6" s="61"/>
      <c r="Y6" s="127">
        <f t="shared" ref="Y6:Y43" si="5">IF(ISERROR(M6/O6),0,M6/O6)</f>
        <v>2.4940440308423024E-2</v>
      </c>
      <c r="Z6" s="128">
        <f t="shared" ref="Z6:Z43" si="6">IF(ISERROR(M6/O6),0,(M6+Q6)/O6)</f>
        <v>0.20367198571676881</v>
      </c>
      <c r="AA6" s="129">
        <f>IF($S6=0,"-",(VLOOKUP($N6,AC,4)*$H6)/($M6+$Q6))</f>
        <v>1.8259112499556709</v>
      </c>
    </row>
    <row r="7" spans="1:31" x14ac:dyDescent="0.3">
      <c r="B7" s="109"/>
      <c r="C7" s="109"/>
      <c r="D7" s="59"/>
      <c r="E7" s="70"/>
      <c r="F7" s="70"/>
      <c r="G7" s="57"/>
      <c r="H7" s="58"/>
      <c r="I7" s="82"/>
      <c r="J7" s="82"/>
      <c r="K7" s="82"/>
      <c r="L7" s="82"/>
      <c r="M7" s="82"/>
      <c r="N7" s="59"/>
      <c r="O7" s="60"/>
      <c r="P7" s="58"/>
      <c r="Q7" s="83"/>
      <c r="R7" s="59"/>
      <c r="S7" s="138"/>
      <c r="T7" s="61"/>
      <c r="U7" s="114"/>
      <c r="V7" s="115"/>
      <c r="W7" s="116"/>
      <c r="X7" s="61"/>
      <c r="Y7" s="127"/>
      <c r="Z7" s="128"/>
      <c r="AA7" s="129"/>
    </row>
    <row r="8" spans="1:31" x14ac:dyDescent="0.3">
      <c r="B8" s="87" t="s">
        <v>73</v>
      </c>
      <c r="C8" s="87" t="s">
        <v>78</v>
      </c>
      <c r="D8" s="59" t="s">
        <v>13</v>
      </c>
      <c r="E8" s="69">
        <v>91</v>
      </c>
      <c r="F8" s="71">
        <v>100843</v>
      </c>
      <c r="G8" s="57">
        <v>6.2E-2</v>
      </c>
      <c r="H8" s="58">
        <f t="shared" si="0"/>
        <v>6252.2659999999996</v>
      </c>
      <c r="I8" s="82">
        <v>0.67</v>
      </c>
      <c r="J8" s="82">
        <f t="shared" ref="J8:J58" si="7">0.5*0.95*$G8+PV($C$64,$N8,-(0.117*$G8))</f>
        <v>0.17573604130878681</v>
      </c>
      <c r="K8" s="82">
        <f>0.1*$I8+PV($C$64,$N8,(-0.05*0.95*$G8))</f>
        <v>0.12638963215527668</v>
      </c>
      <c r="L8" s="82">
        <f t="shared" si="1"/>
        <v>67564.81</v>
      </c>
      <c r="M8" s="82">
        <f>L8-E8*(J8+K8)</f>
        <v>67537.316563714761</v>
      </c>
      <c r="N8" s="59">
        <v>45</v>
      </c>
      <c r="O8" s="60">
        <f t="shared" ref="O8:P10" si="8">PV($C$64,$N8,-$H8)</f>
        <v>126084.81421967509</v>
      </c>
      <c r="P8" s="58">
        <f t="shared" si="8"/>
        <v>126084.81421967509</v>
      </c>
      <c r="Q8" s="83">
        <f>(H8/$H$60)*$Q$60</f>
        <v>18930.768496274271</v>
      </c>
      <c r="R8" s="59">
        <v>0.3</v>
      </c>
      <c r="S8" s="138">
        <f t="shared" ref="S8:S43" si="9">IF(ISNUMBER(R8),R8*F8,"")</f>
        <v>30252.899999999998</v>
      </c>
      <c r="T8" s="61"/>
      <c r="U8" s="114">
        <f t="shared" si="3"/>
        <v>0.23994086985995766</v>
      </c>
      <c r="V8" s="115">
        <f t="shared" si="4"/>
        <v>0.39008399862161464</v>
      </c>
      <c r="W8" s="116">
        <f>IF($S8=0,"-",(VLOOKUP($N8,AC,6)*$H8)/($S8+$Q8))</f>
        <v>1.057644838427221</v>
      </c>
      <c r="X8" s="61"/>
      <c r="Y8" s="127">
        <f t="shared" si="5"/>
        <v>0.53564988759110854</v>
      </c>
      <c r="Z8" s="128">
        <f t="shared" si="6"/>
        <v>0.68579301635276557</v>
      </c>
      <c r="AA8" s="129">
        <f>IF($S8=0,"-",(VLOOKUP($N8,AC,4)*$H8)/($M8+$Q8))</f>
        <v>0.50108896652377755</v>
      </c>
    </row>
    <row r="9" spans="1:31" x14ac:dyDescent="0.3">
      <c r="B9" s="87" t="s">
        <v>73</v>
      </c>
      <c r="C9" s="87" t="s">
        <v>79</v>
      </c>
      <c r="D9" s="59" t="s">
        <v>13</v>
      </c>
      <c r="E9" s="69">
        <v>26</v>
      </c>
      <c r="F9" s="71">
        <v>30988</v>
      </c>
      <c r="G9" s="57">
        <v>5.7000000000000002E-2</v>
      </c>
      <c r="H9" s="58">
        <f t="shared" si="0"/>
        <v>1766.316</v>
      </c>
      <c r="I9" s="82">
        <v>0.67</v>
      </c>
      <c r="J9" s="82">
        <f t="shared" si="7"/>
        <v>0.1615637799129169</v>
      </c>
      <c r="K9" s="82">
        <f>0.1*$I9+PV($C$64,$N9,(-0.05*0.95*$G9))</f>
        <v>0.12160014569114148</v>
      </c>
      <c r="L9" s="82">
        <f t="shared" si="1"/>
        <v>20761.960000000003</v>
      </c>
      <c r="M9" s="82">
        <f t="shared" ref="M9:M10" si="10">L9-E9*(J9+K9)</f>
        <v>20754.597737934298</v>
      </c>
      <c r="N9" s="59">
        <v>45</v>
      </c>
      <c r="O9" s="60">
        <f t="shared" si="8"/>
        <v>35619.9855721493</v>
      </c>
      <c r="P9" s="58">
        <f t="shared" si="8"/>
        <v>35619.9855721493</v>
      </c>
      <c r="Q9" s="83">
        <f>(H9/$H$60)*$Q$60</f>
        <v>5348.0960802475756</v>
      </c>
      <c r="R9" s="59">
        <v>0.3</v>
      </c>
      <c r="S9" s="138">
        <f t="shared" si="9"/>
        <v>9296.4</v>
      </c>
      <c r="T9" s="61"/>
      <c r="U9" s="114">
        <f t="shared" si="3"/>
        <v>0.26098831458451532</v>
      </c>
      <c r="V9" s="115">
        <f t="shared" si="4"/>
        <v>0.41113144334617235</v>
      </c>
      <c r="W9" s="116">
        <f>IF($S9=0,"-",(VLOOKUP($N9,AC,6)*$H9)/($S9+$Q9))</f>
        <v>1.0034998158674475</v>
      </c>
      <c r="X9" s="61"/>
      <c r="Y9" s="127">
        <f t="shared" si="5"/>
        <v>0.58266721349157391</v>
      </c>
      <c r="Z9" s="128">
        <f t="shared" si="6"/>
        <v>0.73281034225323083</v>
      </c>
      <c r="AA9" s="129">
        <f>IF($S9=0,"-",(VLOOKUP($N9,AC,4)*$H9)/($M9+$Q9))</f>
        <v>0.46893895186686863</v>
      </c>
    </row>
    <row r="10" spans="1:31" x14ac:dyDescent="0.3">
      <c r="B10" s="87" t="s">
        <v>73</v>
      </c>
      <c r="C10" s="87" t="s">
        <v>77</v>
      </c>
      <c r="D10" s="59" t="s">
        <v>13</v>
      </c>
      <c r="E10" s="69">
        <v>48</v>
      </c>
      <c r="F10" s="71">
        <v>61897</v>
      </c>
      <c r="G10" s="57">
        <v>6.7000000000000004E-2</v>
      </c>
      <c r="H10" s="58">
        <f t="shared" si="0"/>
        <v>4147.0990000000002</v>
      </c>
      <c r="I10" s="82">
        <v>0.67</v>
      </c>
      <c r="J10" s="82">
        <f t="shared" si="7"/>
        <v>0.1899083027046567</v>
      </c>
      <c r="K10" s="82">
        <f>0.1*$I10+PV($C$64,$N10,(-0.05*0.95*$G10))</f>
        <v>0.13117911861941192</v>
      </c>
      <c r="L10" s="82">
        <f t="shared" si="1"/>
        <v>41470.990000000005</v>
      </c>
      <c r="M10" s="82">
        <f t="shared" si="10"/>
        <v>41455.577803776447</v>
      </c>
      <c r="N10" s="59">
        <v>45</v>
      </c>
      <c r="O10" s="60">
        <f t="shared" si="8"/>
        <v>83631.471688120815</v>
      </c>
      <c r="P10" s="58">
        <f t="shared" si="8"/>
        <v>83631.471688120815</v>
      </c>
      <c r="Q10" s="83">
        <f>(H10/$H$60)*$Q$60</f>
        <v>12556.690822196391</v>
      </c>
      <c r="R10" s="59">
        <v>0.3</v>
      </c>
      <c r="S10" s="138">
        <f t="shared" si="9"/>
        <v>18569.099999999999</v>
      </c>
      <c r="T10" s="61"/>
      <c r="U10" s="114">
        <f t="shared" si="3"/>
        <v>0.22203483479578168</v>
      </c>
      <c r="V10" s="115">
        <f t="shared" si="4"/>
        <v>0.3721779635574386</v>
      </c>
      <c r="W10" s="116">
        <f>IF($S10=0,"-",(VLOOKUP($N10,AC,6)*$H10)/($S10+$Q10))</f>
        <v>1.1085297037784707</v>
      </c>
      <c r="X10" s="61"/>
      <c r="Y10" s="127">
        <f t="shared" si="5"/>
        <v>0.49569351067230927</v>
      </c>
      <c r="Z10" s="128">
        <f t="shared" si="6"/>
        <v>0.64583663943396619</v>
      </c>
      <c r="AA10" s="129">
        <f>IF($S10=0,"-",(VLOOKUP($N10,AC,4)*$H10)/($M10+$Q10))</f>
        <v>0.5320901491662231</v>
      </c>
    </row>
    <row r="11" spans="1:31" x14ac:dyDescent="0.3">
      <c r="B11" s="109"/>
      <c r="C11" s="109"/>
      <c r="D11" s="59"/>
      <c r="E11" s="70"/>
      <c r="F11" s="70"/>
      <c r="G11" s="57"/>
      <c r="H11" s="58"/>
      <c r="I11" s="82"/>
      <c r="J11" s="82"/>
      <c r="K11" s="82"/>
      <c r="L11" s="82"/>
      <c r="M11" s="82"/>
      <c r="N11" s="59"/>
      <c r="O11" s="60"/>
      <c r="P11" s="58"/>
      <c r="Q11" s="83"/>
      <c r="R11" s="59"/>
      <c r="S11" s="138"/>
      <c r="T11" s="61"/>
      <c r="U11" s="114"/>
      <c r="V11" s="115"/>
      <c r="W11" s="116"/>
      <c r="X11" s="61"/>
      <c r="Y11" s="127"/>
      <c r="Z11" s="128"/>
      <c r="AA11" s="129"/>
    </row>
    <row r="12" spans="1:31" ht="26" x14ac:dyDescent="0.3">
      <c r="B12" s="87" t="s">
        <v>88</v>
      </c>
      <c r="C12" s="87" t="s">
        <v>78</v>
      </c>
      <c r="D12" s="59" t="s">
        <v>56</v>
      </c>
      <c r="E12" s="69">
        <v>103</v>
      </c>
      <c r="F12" s="69">
        <v>103</v>
      </c>
      <c r="G12" s="57">
        <v>54</v>
      </c>
      <c r="H12" s="58">
        <f t="shared" si="0"/>
        <v>5562</v>
      </c>
      <c r="I12" s="82">
        <v>1171</v>
      </c>
      <c r="J12" s="82">
        <f t="shared" si="7"/>
        <v>104.53755284774996</v>
      </c>
      <c r="K12" s="82">
        <f>0.1*$I12+PV($C$64,$N12,(-0.05*0.95*$G12))+PV($C$64,$N12,-15)</f>
        <v>336.4193836294283</v>
      </c>
      <c r="L12" s="82">
        <f t="shared" si="1"/>
        <v>120613</v>
      </c>
      <c r="M12" s="82">
        <f t="shared" si="2"/>
        <v>75194.435542850639</v>
      </c>
      <c r="N12" s="59">
        <v>18</v>
      </c>
      <c r="O12" s="60">
        <f t="shared" ref="O12:P14" si="11">PV($C$64,$N12,-$H12)</f>
        <v>69448.016609557657</v>
      </c>
      <c r="P12" s="58">
        <f t="shared" si="11"/>
        <v>69448.016609557657</v>
      </c>
      <c r="Q12" s="83">
        <f>(H12/$H$60)*$Q$60</f>
        <v>16840.763712912645</v>
      </c>
      <c r="R12" s="59">
        <v>150</v>
      </c>
      <c r="S12" s="138">
        <f t="shared" si="9"/>
        <v>15450</v>
      </c>
      <c r="T12" s="61"/>
      <c r="U12" s="114">
        <f t="shared" si="3"/>
        <v>0.22246855640041016</v>
      </c>
      <c r="V12" s="115">
        <f t="shared" si="4"/>
        <v>0.4649630801474709</v>
      </c>
      <c r="W12" s="116">
        <f>IF($S12=0,"-",(VLOOKUP($N12,AC,6)*$H12)/($S12+$Q12))</f>
        <v>0.99042253333918595</v>
      </c>
      <c r="X12" s="61"/>
      <c r="Y12" s="127">
        <f t="shared" si="5"/>
        <v>1.082744176347034</v>
      </c>
      <c r="Z12" s="128">
        <f t="shared" si="6"/>
        <v>1.3252387000940948</v>
      </c>
      <c r="AA12" s="129">
        <f>IF($S12=0,"-",(VLOOKUP($N12,AC,4)*$H12)/($M12+$Q12))</f>
        <v>0.30881467340573193</v>
      </c>
    </row>
    <row r="13" spans="1:31" ht="26" x14ac:dyDescent="0.3">
      <c r="B13" s="87" t="s">
        <v>88</v>
      </c>
      <c r="C13" s="87" t="s">
        <v>79</v>
      </c>
      <c r="D13" s="59" t="s">
        <v>56</v>
      </c>
      <c r="E13" s="69">
        <v>27</v>
      </c>
      <c r="F13" s="69">
        <v>28</v>
      </c>
      <c r="G13" s="57">
        <v>54</v>
      </c>
      <c r="H13" s="58">
        <f t="shared" si="0"/>
        <v>1512</v>
      </c>
      <c r="I13" s="82">
        <v>1171</v>
      </c>
      <c r="J13" s="82">
        <f t="shared" si="7"/>
        <v>104.53755284774996</v>
      </c>
      <c r="K13" s="82">
        <f>0.1*$I13+PV($C$64,$N13,(-0.05*0.95*$G13))+PV($C$64,$N13,-15)</f>
        <v>336.4193836294283</v>
      </c>
      <c r="L13" s="82">
        <f t="shared" si="1"/>
        <v>32788</v>
      </c>
      <c r="M13" s="82">
        <f t="shared" si="2"/>
        <v>20441.205778639007</v>
      </c>
      <c r="N13" s="59">
        <v>18</v>
      </c>
      <c r="O13" s="60">
        <f t="shared" si="11"/>
        <v>18879.072476384601</v>
      </c>
      <c r="P13" s="58">
        <f t="shared" si="11"/>
        <v>18879.072476384601</v>
      </c>
      <c r="Q13" s="83">
        <f>(H13/$H$60)*$Q$60</f>
        <v>4578.0716889471269</v>
      </c>
      <c r="R13" s="59">
        <v>150</v>
      </c>
      <c r="S13" s="138">
        <f t="shared" si="9"/>
        <v>4200</v>
      </c>
      <c r="T13" s="61"/>
      <c r="U13" s="114">
        <f t="shared" si="3"/>
        <v>0.22246855640041022</v>
      </c>
      <c r="V13" s="115">
        <f t="shared" si="4"/>
        <v>0.46496308014747095</v>
      </c>
      <c r="W13" s="116">
        <f>IF($S13=0,"-",(VLOOKUP($N13,AC,6)*$H13)/($S13+$Q13))</f>
        <v>0.99042253333918606</v>
      </c>
      <c r="X13" s="61"/>
      <c r="Y13" s="127">
        <f t="shared" si="5"/>
        <v>1.0827441763470342</v>
      </c>
      <c r="Z13" s="128">
        <f t="shared" si="6"/>
        <v>1.3252387000940948</v>
      </c>
      <c r="AA13" s="129">
        <f>IF($S13=0,"-",(VLOOKUP($N13,AC,4)*$H13)/($M13+$Q13))</f>
        <v>0.30881467340573199</v>
      </c>
    </row>
    <row r="14" spans="1:31" ht="26" x14ac:dyDescent="0.3">
      <c r="B14" s="87" t="s">
        <v>88</v>
      </c>
      <c r="C14" s="87" t="s">
        <v>77</v>
      </c>
      <c r="D14" s="59" t="s">
        <v>56</v>
      </c>
      <c r="E14" s="69">
        <v>19</v>
      </c>
      <c r="F14" s="69">
        <v>19</v>
      </c>
      <c r="G14" s="57">
        <v>54</v>
      </c>
      <c r="H14" s="58">
        <f t="shared" si="0"/>
        <v>1026</v>
      </c>
      <c r="I14" s="82">
        <v>1171</v>
      </c>
      <c r="J14" s="82">
        <f t="shared" si="7"/>
        <v>104.53755284774996</v>
      </c>
      <c r="K14" s="82">
        <f>0.1*$I14+PV($C$64,$N14,(-0.05*0.95*$G14))+PV($C$64,$N14,-15)</f>
        <v>336.4193836294283</v>
      </c>
      <c r="L14" s="82">
        <f t="shared" si="1"/>
        <v>22249</v>
      </c>
      <c r="M14" s="82">
        <f t="shared" si="2"/>
        <v>13870.818206933613</v>
      </c>
      <c r="N14" s="59">
        <v>18</v>
      </c>
      <c r="O14" s="60">
        <f t="shared" si="11"/>
        <v>12810.799180403839</v>
      </c>
      <c r="P14" s="58">
        <f t="shared" si="11"/>
        <v>12810.799180403839</v>
      </c>
      <c r="Q14" s="83">
        <f>(H14/$H$60)*$Q$60</f>
        <v>3106.548646071265</v>
      </c>
      <c r="R14" s="59">
        <v>150</v>
      </c>
      <c r="S14" s="138">
        <f t="shared" si="9"/>
        <v>2850</v>
      </c>
      <c r="T14" s="61"/>
      <c r="U14" s="114">
        <f t="shared" si="3"/>
        <v>0.22246855640041019</v>
      </c>
      <c r="V14" s="115">
        <f t="shared" si="4"/>
        <v>0.46496308014747095</v>
      </c>
      <c r="W14" s="116">
        <f>IF($S14=0,"-",(VLOOKUP($N14,AC,6)*$H14)/($S14+$Q14))</f>
        <v>0.99042253333918584</v>
      </c>
      <c r="X14" s="61"/>
      <c r="Y14" s="127">
        <f t="shared" si="5"/>
        <v>1.082744176347034</v>
      </c>
      <c r="Z14" s="128">
        <f t="shared" si="6"/>
        <v>1.3252387000940948</v>
      </c>
      <c r="AA14" s="129">
        <f>IF($S14=0,"-",(VLOOKUP($N14,AC,4)*$H14)/($M14+$Q14))</f>
        <v>0.30881467340573193</v>
      </c>
    </row>
    <row r="15" spans="1:31" x14ac:dyDescent="0.3">
      <c r="B15" s="109"/>
      <c r="C15" s="109"/>
      <c r="D15" s="59"/>
      <c r="E15" s="70"/>
      <c r="F15" s="70"/>
      <c r="G15" s="57"/>
      <c r="H15" s="58"/>
      <c r="I15" s="82"/>
      <c r="J15" s="82"/>
      <c r="K15" s="82"/>
      <c r="L15" s="82"/>
      <c r="M15" s="82"/>
      <c r="N15" s="59"/>
      <c r="O15" s="60"/>
      <c r="P15" s="58"/>
      <c r="Q15" s="83"/>
      <c r="R15" s="59"/>
      <c r="S15" s="138"/>
      <c r="T15" s="61"/>
      <c r="U15" s="114"/>
      <c r="V15" s="115"/>
      <c r="W15" s="116"/>
      <c r="X15" s="61"/>
      <c r="Y15" s="127"/>
      <c r="Z15" s="128"/>
      <c r="AA15" s="129"/>
    </row>
    <row r="16" spans="1:31" x14ac:dyDescent="0.3">
      <c r="B16" s="87" t="s">
        <v>89</v>
      </c>
      <c r="C16" s="87" t="s">
        <v>78</v>
      </c>
      <c r="D16" s="59" t="s">
        <v>74</v>
      </c>
      <c r="E16" s="69">
        <v>11</v>
      </c>
      <c r="F16" s="69">
        <v>11</v>
      </c>
      <c r="G16" s="57">
        <v>33</v>
      </c>
      <c r="H16" s="58">
        <f t="shared" si="0"/>
        <v>363</v>
      </c>
      <c r="I16" s="82">
        <v>139</v>
      </c>
      <c r="J16" s="82">
        <f t="shared" si="7"/>
        <v>60.105522236236709</v>
      </c>
      <c r="K16" s="82">
        <f>0.1*$I16+PV($C$64,$N16,(-0.05*0.95*$G16))</f>
        <v>31.938032531805504</v>
      </c>
      <c r="L16" s="82">
        <f t="shared" si="1"/>
        <v>1529</v>
      </c>
      <c r="M16" s="82">
        <f t="shared" si="2"/>
        <v>516.52089755153565</v>
      </c>
      <c r="N16" s="59">
        <v>16</v>
      </c>
      <c r="O16" s="60">
        <f t="shared" ref="O16:P18" si="12">PV($C$64,$N16,-$H16)</f>
        <v>4177.2285863128536</v>
      </c>
      <c r="P16" s="58">
        <f t="shared" si="12"/>
        <v>4177.2285863128536</v>
      </c>
      <c r="Q16" s="83">
        <f>(H16/$H$60)*$Q$60</f>
        <v>1099.1005443702429</v>
      </c>
      <c r="R16" s="59">
        <v>45</v>
      </c>
      <c r="S16" s="138">
        <f t="shared" si="9"/>
        <v>495</v>
      </c>
      <c r="T16" s="61"/>
      <c r="U16" s="114">
        <f t="shared" si="3"/>
        <v>0.11849961996858914</v>
      </c>
      <c r="V16" s="115">
        <f t="shared" si="4"/>
        <v>0.38161678525170678</v>
      </c>
      <c r="W16" s="116">
        <f>IF($S16=0,"-",(VLOOKUP($N16,AC,6)*$H16)/($S16+$Q16))</f>
        <v>1.2342132414095965</v>
      </c>
      <c r="X16" s="61"/>
      <c r="Y16" s="127">
        <f t="shared" si="5"/>
        <v>0.12365157589028594</v>
      </c>
      <c r="Z16" s="128">
        <f t="shared" si="6"/>
        <v>0.38676874117340354</v>
      </c>
      <c r="AA16" s="129">
        <f>IF($S16=0,"-",(VLOOKUP($N16,AC,4)*$H16)/($M16+$Q16))</f>
        <v>1.0829640871309449</v>
      </c>
    </row>
    <row r="17" spans="2:27" x14ac:dyDescent="0.3">
      <c r="B17" s="87" t="s">
        <v>89</v>
      </c>
      <c r="C17" s="87" t="s">
        <v>79</v>
      </c>
      <c r="D17" s="59" t="s">
        <v>74</v>
      </c>
      <c r="E17" s="69">
        <v>4</v>
      </c>
      <c r="F17" s="69">
        <v>4</v>
      </c>
      <c r="G17" s="57">
        <v>33</v>
      </c>
      <c r="H17" s="58">
        <f t="shared" si="0"/>
        <v>132</v>
      </c>
      <c r="I17" s="82">
        <v>139</v>
      </c>
      <c r="J17" s="82">
        <f t="shared" si="7"/>
        <v>60.105522236236709</v>
      </c>
      <c r="K17" s="82">
        <f>0.1*$I17+PV($C$64,$N17,(-0.05*0.95*$G17))</f>
        <v>31.938032531805504</v>
      </c>
      <c r="L17" s="82">
        <f t="shared" si="1"/>
        <v>556</v>
      </c>
      <c r="M17" s="82">
        <f t="shared" si="2"/>
        <v>187.82578092783115</v>
      </c>
      <c r="N17" s="59">
        <v>16</v>
      </c>
      <c r="O17" s="60">
        <f t="shared" si="12"/>
        <v>1518.992213204674</v>
      </c>
      <c r="P17" s="58">
        <f t="shared" si="12"/>
        <v>1518.992213204674</v>
      </c>
      <c r="Q17" s="83">
        <f>(H17/$H$60)*$Q$60</f>
        <v>399.67292522554283</v>
      </c>
      <c r="R17" s="59">
        <v>45</v>
      </c>
      <c r="S17" s="138">
        <f t="shared" si="9"/>
        <v>180</v>
      </c>
      <c r="T17" s="61"/>
      <c r="U17" s="114">
        <f t="shared" si="3"/>
        <v>0.11849961996858914</v>
      </c>
      <c r="V17" s="115">
        <f t="shared" si="4"/>
        <v>0.38161678525170672</v>
      </c>
      <c r="W17" s="116">
        <f>IF($S17=0,"-",(VLOOKUP($N17,AC,6)*$H17)/($S17+$Q17))</f>
        <v>1.2342132414095965</v>
      </c>
      <c r="X17" s="61"/>
      <c r="Y17" s="127">
        <f t="shared" si="5"/>
        <v>0.12365157589028594</v>
      </c>
      <c r="Z17" s="128">
        <f t="shared" si="6"/>
        <v>0.38676874117340354</v>
      </c>
      <c r="AA17" s="129">
        <f>IF($S17=0,"-",(VLOOKUP($N17,AC,4)*$H17)/($M17+$Q17))</f>
        <v>1.0829640871309452</v>
      </c>
    </row>
    <row r="18" spans="2:27" x14ac:dyDescent="0.3">
      <c r="B18" s="87" t="s">
        <v>89</v>
      </c>
      <c r="C18" s="87" t="s">
        <v>77</v>
      </c>
      <c r="D18" s="59" t="s">
        <v>74</v>
      </c>
      <c r="E18" s="69">
        <v>4</v>
      </c>
      <c r="F18" s="69">
        <v>4</v>
      </c>
      <c r="G18" s="57">
        <v>33</v>
      </c>
      <c r="H18" s="58">
        <f t="shared" si="0"/>
        <v>132</v>
      </c>
      <c r="I18" s="82">
        <v>139</v>
      </c>
      <c r="J18" s="82">
        <f t="shared" si="7"/>
        <v>60.105522236236709</v>
      </c>
      <c r="K18" s="82">
        <f>0.1*$I18+PV($C$64,$N18,(-0.05*0.95*$G18))</f>
        <v>31.938032531805504</v>
      </c>
      <c r="L18" s="82">
        <f t="shared" si="1"/>
        <v>556</v>
      </c>
      <c r="M18" s="82">
        <f t="shared" si="2"/>
        <v>187.82578092783115</v>
      </c>
      <c r="N18" s="59">
        <v>16</v>
      </c>
      <c r="O18" s="60">
        <f t="shared" si="12"/>
        <v>1518.992213204674</v>
      </c>
      <c r="P18" s="58">
        <f t="shared" si="12"/>
        <v>1518.992213204674</v>
      </c>
      <c r="Q18" s="83">
        <f>(H18/$H$60)*$Q$60</f>
        <v>399.67292522554283</v>
      </c>
      <c r="R18" s="59">
        <v>45</v>
      </c>
      <c r="S18" s="138">
        <f t="shared" si="9"/>
        <v>180</v>
      </c>
      <c r="T18" s="61"/>
      <c r="U18" s="114">
        <f t="shared" si="3"/>
        <v>0.11849961996858914</v>
      </c>
      <c r="V18" s="115">
        <f t="shared" si="4"/>
        <v>0.38161678525170672</v>
      </c>
      <c r="W18" s="116">
        <f>IF($S18=0,"-",(VLOOKUP($N18,AC,6)*$H18)/($S18+$Q18))</f>
        <v>1.2342132414095965</v>
      </c>
      <c r="X18" s="61"/>
      <c r="Y18" s="127">
        <f t="shared" si="5"/>
        <v>0.12365157589028594</v>
      </c>
      <c r="Z18" s="128">
        <f t="shared" si="6"/>
        <v>0.38676874117340354</v>
      </c>
      <c r="AA18" s="129">
        <f>IF($S18=0,"-",(VLOOKUP($N18,AC,4)*$H18)/($M18+$Q18))</f>
        <v>1.0829640871309452</v>
      </c>
    </row>
    <row r="19" spans="2:27" x14ac:dyDescent="0.3">
      <c r="B19" s="109"/>
      <c r="C19" s="109"/>
      <c r="D19" s="59"/>
      <c r="E19" s="70"/>
      <c r="F19" s="70"/>
      <c r="G19" s="57"/>
      <c r="H19" s="58"/>
      <c r="I19" s="82"/>
      <c r="J19" s="82"/>
      <c r="K19" s="82"/>
      <c r="L19" s="82"/>
      <c r="M19" s="82"/>
      <c r="N19" s="59"/>
      <c r="O19" s="60"/>
      <c r="P19" s="58"/>
      <c r="Q19" s="83"/>
      <c r="R19" s="59"/>
      <c r="S19" s="138"/>
      <c r="T19" s="61"/>
      <c r="U19" s="114"/>
      <c r="V19" s="115"/>
      <c r="W19" s="116"/>
      <c r="X19" s="61"/>
      <c r="Y19" s="127"/>
      <c r="Z19" s="128"/>
      <c r="AA19" s="129"/>
    </row>
    <row r="20" spans="2:27" x14ac:dyDescent="0.3">
      <c r="B20" s="87" t="s">
        <v>80</v>
      </c>
      <c r="C20" s="87" t="s">
        <v>78</v>
      </c>
      <c r="D20" s="59" t="s">
        <v>15</v>
      </c>
      <c r="E20" s="69">
        <v>14</v>
      </c>
      <c r="F20" s="69">
        <v>14</v>
      </c>
      <c r="G20" s="57">
        <v>17</v>
      </c>
      <c r="H20" s="58">
        <f t="shared" si="0"/>
        <v>238</v>
      </c>
      <c r="I20" s="82">
        <v>10</v>
      </c>
      <c r="J20" s="82">
        <f t="shared" si="7"/>
        <v>24.071905640856627</v>
      </c>
      <c r="K20" s="82">
        <f>PV($C$64, $N20,-8.6)</f>
        <v>69.167113379269466</v>
      </c>
      <c r="L20" s="82">
        <f t="shared" si="1"/>
        <v>140</v>
      </c>
      <c r="M20" s="82">
        <v>0</v>
      </c>
      <c r="N20" s="59">
        <v>10</v>
      </c>
      <c r="O20" s="60">
        <f t="shared" ref="O20:P22" si="13">PV($C$64,$N20,-$H20)</f>
        <v>1914.1596493332715</v>
      </c>
      <c r="P20" s="58">
        <f t="shared" si="13"/>
        <v>1914.1596493332715</v>
      </c>
      <c r="Q20" s="83">
        <f>(H20/$H$60)*$Q$60</f>
        <v>720.62239548241814</v>
      </c>
      <c r="R20" s="59">
        <v>10</v>
      </c>
      <c r="S20" s="138">
        <f t="shared" si="9"/>
        <v>140</v>
      </c>
      <c r="T20" s="61"/>
      <c r="U20" s="114">
        <f t="shared" si="3"/>
        <v>7.3139144923864599E-2</v>
      </c>
      <c r="V20" s="115">
        <f t="shared" si="4"/>
        <v>0.44960847219937217</v>
      </c>
      <c r="W20" s="116">
        <f>IF($S20=0,"-",(VLOOKUP($N20,AC,6)*$H20)/($S20+$Q20))</f>
        <v>1.0757563419913512</v>
      </c>
      <c r="X20" s="61"/>
      <c r="Y20" s="127">
        <f t="shared" si="5"/>
        <v>0</v>
      </c>
      <c r="Z20" s="128">
        <f t="shared" si="6"/>
        <v>0.37646932727550753</v>
      </c>
      <c r="AA20" s="129">
        <f>IF($S20=0,"-",(VLOOKUP($N20,AC,4)*$H20)/($M20+$Q20))</f>
        <v>1.1691560035904489</v>
      </c>
    </row>
    <row r="21" spans="2:27" x14ac:dyDescent="0.3">
      <c r="B21" s="87" t="s">
        <v>80</v>
      </c>
      <c r="C21" s="87" t="s">
        <v>79</v>
      </c>
      <c r="D21" s="59" t="s">
        <v>15</v>
      </c>
      <c r="E21" s="69">
        <v>2</v>
      </c>
      <c r="F21" s="69">
        <v>2</v>
      </c>
      <c r="G21" s="57">
        <v>17</v>
      </c>
      <c r="H21" s="58">
        <f t="shared" si="0"/>
        <v>34</v>
      </c>
      <c r="I21" s="82">
        <v>10</v>
      </c>
      <c r="J21" s="82">
        <f t="shared" si="7"/>
        <v>24.071905640856627</v>
      </c>
      <c r="K21" s="82">
        <f>PV($C$64, $N21,-8.6)</f>
        <v>69.167113379269466</v>
      </c>
      <c r="L21" s="82">
        <f t="shared" si="1"/>
        <v>20</v>
      </c>
      <c r="M21" s="82">
        <v>0</v>
      </c>
      <c r="N21" s="59">
        <v>10</v>
      </c>
      <c r="O21" s="60">
        <f t="shared" si="13"/>
        <v>273.45137847618167</v>
      </c>
      <c r="P21" s="58">
        <f t="shared" si="13"/>
        <v>273.45137847618167</v>
      </c>
      <c r="Q21" s="83">
        <f>(H21/$H$60)*$Q$60</f>
        <v>102.9460564974883</v>
      </c>
      <c r="R21" s="59">
        <v>10</v>
      </c>
      <c r="S21" s="138">
        <f t="shared" si="9"/>
        <v>20</v>
      </c>
      <c r="T21" s="61"/>
      <c r="U21" s="114">
        <f t="shared" si="3"/>
        <v>7.3139144923864599E-2</v>
      </c>
      <c r="V21" s="115">
        <f t="shared" si="4"/>
        <v>0.44960847219937206</v>
      </c>
      <c r="W21" s="116">
        <f>IF($S21=0,"-",(VLOOKUP($N21,AC,6)*$H21)/($S21+$Q21))</f>
        <v>1.075756341991351</v>
      </c>
      <c r="X21" s="61"/>
      <c r="Y21" s="127">
        <f t="shared" si="5"/>
        <v>0</v>
      </c>
      <c r="Z21" s="128">
        <f t="shared" si="6"/>
        <v>0.37646932727550747</v>
      </c>
      <c r="AA21" s="129">
        <f>IF($S21=0,"-",(VLOOKUP($N21,AC,4)*$H21)/($M21+$Q21))</f>
        <v>1.1691560035904491</v>
      </c>
    </row>
    <row r="22" spans="2:27" x14ac:dyDescent="0.3">
      <c r="B22" s="87" t="s">
        <v>80</v>
      </c>
      <c r="C22" s="87" t="s">
        <v>77</v>
      </c>
      <c r="D22" s="59" t="s">
        <v>15</v>
      </c>
      <c r="E22" s="69">
        <v>2</v>
      </c>
      <c r="F22" s="69">
        <v>2</v>
      </c>
      <c r="G22" s="57">
        <v>17</v>
      </c>
      <c r="H22" s="58">
        <f t="shared" si="0"/>
        <v>34</v>
      </c>
      <c r="I22" s="82">
        <v>10</v>
      </c>
      <c r="J22" s="82">
        <f t="shared" si="7"/>
        <v>24.071905640856627</v>
      </c>
      <c r="K22" s="82">
        <f>PV($C$64, $N22,-8.6)</f>
        <v>69.167113379269466</v>
      </c>
      <c r="L22" s="82">
        <f t="shared" si="1"/>
        <v>20</v>
      </c>
      <c r="M22" s="82">
        <v>0</v>
      </c>
      <c r="N22" s="59">
        <v>10</v>
      </c>
      <c r="O22" s="60">
        <f t="shared" si="13"/>
        <v>273.45137847618167</v>
      </c>
      <c r="P22" s="58">
        <f t="shared" si="13"/>
        <v>273.45137847618167</v>
      </c>
      <c r="Q22" s="83">
        <f>(H22/$H$60)*$Q$60</f>
        <v>102.9460564974883</v>
      </c>
      <c r="R22" s="59">
        <v>10</v>
      </c>
      <c r="S22" s="138">
        <f t="shared" si="9"/>
        <v>20</v>
      </c>
      <c r="T22" s="61"/>
      <c r="U22" s="114">
        <f t="shared" si="3"/>
        <v>7.3139144923864599E-2</v>
      </c>
      <c r="V22" s="115">
        <f t="shared" si="4"/>
        <v>0.44960847219937206</v>
      </c>
      <c r="W22" s="116">
        <f>IF($S22=0,"-",(VLOOKUP($N22,AC,6)*$H22)/($S22+$Q22))</f>
        <v>1.075756341991351</v>
      </c>
      <c r="X22" s="61"/>
      <c r="Y22" s="127">
        <f t="shared" si="5"/>
        <v>0</v>
      </c>
      <c r="Z22" s="128">
        <f t="shared" si="6"/>
        <v>0.37646932727550747</v>
      </c>
      <c r="AA22" s="129">
        <f>IF($S22=0,"-",(VLOOKUP($N22,AC,4)*$H22)/($M22+$Q22))</f>
        <v>1.1691560035904491</v>
      </c>
    </row>
    <row r="23" spans="2:27" x14ac:dyDescent="0.3">
      <c r="B23" s="87"/>
      <c r="C23" s="87"/>
      <c r="D23" s="59"/>
      <c r="E23" s="69"/>
      <c r="F23" s="69"/>
      <c r="G23" s="57"/>
      <c r="H23" s="58"/>
      <c r="I23" s="82"/>
      <c r="J23" s="82"/>
      <c r="K23" s="82"/>
      <c r="L23" s="82"/>
      <c r="M23" s="82"/>
      <c r="N23" s="59"/>
      <c r="O23" s="60"/>
      <c r="P23" s="58"/>
      <c r="Q23" s="83"/>
      <c r="R23" s="59"/>
      <c r="S23" s="138"/>
      <c r="T23" s="61"/>
      <c r="U23" s="114"/>
      <c r="V23" s="115"/>
      <c r="W23" s="116"/>
      <c r="X23" s="61"/>
      <c r="Y23" s="127"/>
      <c r="Z23" s="128"/>
      <c r="AA23" s="129"/>
    </row>
    <row r="24" spans="2:27" x14ac:dyDescent="0.3">
      <c r="B24" s="87" t="s">
        <v>81</v>
      </c>
      <c r="C24" s="87" t="s">
        <v>78</v>
      </c>
      <c r="D24" s="59" t="s">
        <v>15</v>
      </c>
      <c r="E24" s="69">
        <v>23</v>
      </c>
      <c r="F24" s="69">
        <v>23</v>
      </c>
      <c r="G24" s="57">
        <v>31</v>
      </c>
      <c r="H24" s="58">
        <f t="shared" si="0"/>
        <v>713</v>
      </c>
      <c r="I24" s="82">
        <v>16</v>
      </c>
      <c r="J24" s="82">
        <f t="shared" si="7"/>
        <v>43.895827933326792</v>
      </c>
      <c r="K24" s="82">
        <f>PV($C$64, $N24,-8.6)</f>
        <v>69.167113379269466</v>
      </c>
      <c r="L24" s="82">
        <f t="shared" si="1"/>
        <v>368</v>
      </c>
      <c r="M24" s="82">
        <v>0</v>
      </c>
      <c r="N24" s="59">
        <v>10</v>
      </c>
      <c r="O24" s="60">
        <f t="shared" ref="O24:P26" si="14">PV($C$64,$N24,-$H24)</f>
        <v>5734.4362603975742</v>
      </c>
      <c r="P24" s="58">
        <f t="shared" si="14"/>
        <v>5734.4362603975742</v>
      </c>
      <c r="Q24" s="83">
        <f>(H24/$H$60)*$Q$60</f>
        <v>2158.8393612561522</v>
      </c>
      <c r="R24" s="59">
        <v>16</v>
      </c>
      <c r="S24" s="138">
        <f t="shared" si="9"/>
        <v>368</v>
      </c>
      <c r="T24" s="61"/>
      <c r="U24" s="114">
        <f t="shared" si="3"/>
        <v>6.4173701352552168E-2</v>
      </c>
      <c r="V24" s="115">
        <f t="shared" si="4"/>
        <v>0.44064302862805976</v>
      </c>
      <c r="W24" s="116">
        <f>IF($S24=0,"-",(VLOOKUP($N24,AC,6)*$H24)/($S24+$Q24))</f>
        <v>1.0976439747326052</v>
      </c>
      <c r="X24" s="61"/>
      <c r="Y24" s="127">
        <f t="shared" si="5"/>
        <v>0</v>
      </c>
      <c r="Z24" s="128">
        <f t="shared" si="6"/>
        <v>0.37646932727550758</v>
      </c>
      <c r="AA24" s="129">
        <f>IF($S24=0,"-",(VLOOKUP($N24,AC,4)*$H24)/($M24+$Q24))</f>
        <v>1.1691560035904487</v>
      </c>
    </row>
    <row r="25" spans="2:27" x14ac:dyDescent="0.3">
      <c r="B25" s="87" t="s">
        <v>81</v>
      </c>
      <c r="C25" s="87" t="s">
        <v>79</v>
      </c>
      <c r="D25" s="59" t="s">
        <v>15</v>
      </c>
      <c r="E25" s="69">
        <v>16</v>
      </c>
      <c r="F25" s="69">
        <v>16</v>
      </c>
      <c r="G25" s="57">
        <v>31</v>
      </c>
      <c r="H25" s="58">
        <f t="shared" si="0"/>
        <v>496</v>
      </c>
      <c r="I25" s="82">
        <v>16</v>
      </c>
      <c r="J25" s="82">
        <f t="shared" si="7"/>
        <v>43.895827933326792</v>
      </c>
      <c r="K25" s="82">
        <f>PV($C$64, $N25,-8.6)</f>
        <v>69.167113379269466</v>
      </c>
      <c r="L25" s="82">
        <f t="shared" si="1"/>
        <v>256</v>
      </c>
      <c r="M25" s="82">
        <v>0</v>
      </c>
      <c r="N25" s="59">
        <v>10</v>
      </c>
      <c r="O25" s="60">
        <f t="shared" si="14"/>
        <v>3989.1730507113562</v>
      </c>
      <c r="P25" s="58">
        <f t="shared" si="14"/>
        <v>3989.1730507113562</v>
      </c>
      <c r="Q25" s="83">
        <f>(H25/$H$60)*$Q$60</f>
        <v>1501.8012947868883</v>
      </c>
      <c r="R25" s="59">
        <v>16</v>
      </c>
      <c r="S25" s="138">
        <f t="shared" si="9"/>
        <v>256</v>
      </c>
      <c r="T25" s="61"/>
      <c r="U25" s="114">
        <f t="shared" si="3"/>
        <v>6.4173701352552168E-2</v>
      </c>
      <c r="V25" s="115">
        <f t="shared" si="4"/>
        <v>0.44064302862805971</v>
      </c>
      <c r="W25" s="116">
        <f>IF($S25=0,"-",(VLOOKUP($N25,AC,6)*$H25)/($S25+$Q25))</f>
        <v>1.0976439747326052</v>
      </c>
      <c r="X25" s="61"/>
      <c r="Y25" s="127">
        <f t="shared" si="5"/>
        <v>0</v>
      </c>
      <c r="Z25" s="128">
        <f t="shared" si="6"/>
        <v>0.37646932727550753</v>
      </c>
      <c r="AA25" s="129">
        <f>IF($S25=0,"-",(VLOOKUP($N25,AC,4)*$H25)/($M25+$Q25))</f>
        <v>1.1691560035904489</v>
      </c>
    </row>
    <row r="26" spans="2:27" x14ac:dyDescent="0.3">
      <c r="B26" s="87" t="s">
        <v>81</v>
      </c>
      <c r="C26" s="87" t="s">
        <v>77</v>
      </c>
      <c r="D26" s="59" t="s">
        <v>15</v>
      </c>
      <c r="E26" s="69">
        <v>24</v>
      </c>
      <c r="F26" s="69">
        <v>24</v>
      </c>
      <c r="G26" s="57">
        <v>31</v>
      </c>
      <c r="H26" s="58">
        <f t="shared" si="0"/>
        <v>744</v>
      </c>
      <c r="I26" s="82">
        <v>16</v>
      </c>
      <c r="J26" s="82">
        <f t="shared" si="7"/>
        <v>43.895827933326792</v>
      </c>
      <c r="K26" s="82">
        <f>PV($C$64, $N26,-8.6)</f>
        <v>69.167113379269466</v>
      </c>
      <c r="L26" s="82">
        <f t="shared" si="1"/>
        <v>384</v>
      </c>
      <c r="M26" s="82">
        <v>0</v>
      </c>
      <c r="N26" s="59">
        <v>10</v>
      </c>
      <c r="O26" s="60">
        <f t="shared" si="14"/>
        <v>5983.7595760670338</v>
      </c>
      <c r="P26" s="58">
        <f t="shared" si="14"/>
        <v>5983.7595760670338</v>
      </c>
      <c r="Q26" s="83">
        <f>(H26/$H$60)*$Q$60</f>
        <v>2252.701942180332</v>
      </c>
      <c r="R26" s="59">
        <v>16</v>
      </c>
      <c r="S26" s="138">
        <f t="shared" si="9"/>
        <v>384</v>
      </c>
      <c r="T26" s="61"/>
      <c r="U26" s="114">
        <f t="shared" si="3"/>
        <v>6.4173701352552168E-2</v>
      </c>
      <c r="V26" s="115">
        <f t="shared" si="4"/>
        <v>0.44064302862805965</v>
      </c>
      <c r="W26" s="116">
        <f>IF($S26=0,"-",(VLOOKUP($N26,AC,6)*$H26)/($S26+$Q26))</f>
        <v>1.0976439747326054</v>
      </c>
      <c r="X26" s="61"/>
      <c r="Y26" s="127">
        <f t="shared" si="5"/>
        <v>0</v>
      </c>
      <c r="Z26" s="128">
        <f t="shared" si="6"/>
        <v>0.37646932727550747</v>
      </c>
      <c r="AA26" s="129">
        <f>IF($S26=0,"-",(VLOOKUP($N26,AC,4)*$H26)/($M26+$Q26))</f>
        <v>1.1691560035904491</v>
      </c>
    </row>
    <row r="27" spans="2:27" x14ac:dyDescent="0.3">
      <c r="B27" s="109"/>
      <c r="C27" s="109"/>
      <c r="D27" s="59"/>
      <c r="E27" s="70"/>
      <c r="F27" s="70"/>
      <c r="G27" s="57"/>
      <c r="H27" s="58"/>
      <c r="I27" s="82"/>
      <c r="J27" s="82"/>
      <c r="K27" s="82"/>
      <c r="L27" s="82"/>
      <c r="M27" s="82"/>
      <c r="N27" s="59"/>
      <c r="O27" s="60"/>
      <c r="P27" s="58"/>
      <c r="Q27" s="83"/>
      <c r="R27" s="59"/>
      <c r="S27" s="138"/>
      <c r="T27" s="61"/>
      <c r="U27" s="114"/>
      <c r="V27" s="115"/>
      <c r="W27" s="116"/>
      <c r="X27" s="61"/>
      <c r="Y27" s="127"/>
      <c r="Z27" s="128"/>
      <c r="AA27" s="129"/>
    </row>
    <row r="28" spans="2:27" ht="26" x14ac:dyDescent="0.3">
      <c r="B28" s="87" t="s">
        <v>96</v>
      </c>
      <c r="C28" s="87" t="s">
        <v>77</v>
      </c>
      <c r="D28" s="59" t="s">
        <v>69</v>
      </c>
      <c r="E28" s="69">
        <v>2</v>
      </c>
      <c r="F28" s="69">
        <v>2</v>
      </c>
      <c r="G28" s="57">
        <v>207</v>
      </c>
      <c r="H28" s="58">
        <f t="shared" si="0"/>
        <v>414</v>
      </c>
      <c r="I28" s="82">
        <v>1142</v>
      </c>
      <c r="J28" s="82">
        <f t="shared" si="7"/>
        <v>508.61014656310726</v>
      </c>
      <c r="K28" s="82">
        <f>0.1*$I28+PV($C$64,$N28,(-0.05*0.95*$G28))+PV($C$64,$N28,-15)</f>
        <v>534.87822379240924</v>
      </c>
      <c r="L28" s="82">
        <f t="shared" si="1"/>
        <v>2284</v>
      </c>
      <c r="M28" s="82">
        <f t="shared" si="2"/>
        <v>197.02325928896698</v>
      </c>
      <c r="N28" s="59">
        <v>30</v>
      </c>
      <c r="O28" s="60">
        <f>PV($C$64,$N28,-$H28)</f>
        <v>7013.4213087710641</v>
      </c>
      <c r="P28" s="58">
        <f>PV($C$64,$N28,-$H28)</f>
        <v>7013.4213087710641</v>
      </c>
      <c r="Q28" s="83">
        <f>(H28/$H$60)*$Q$60</f>
        <v>1253.5196291164752</v>
      </c>
      <c r="R28" s="59">
        <v>600</v>
      </c>
      <c r="S28" s="138">
        <f t="shared" si="9"/>
        <v>1200</v>
      </c>
      <c r="T28" s="61"/>
      <c r="U28" s="114">
        <f t="shared" si="3"/>
        <v>0.17110051530759551</v>
      </c>
      <c r="V28" s="115">
        <f t="shared" si="4"/>
        <v>0.34983206071594125</v>
      </c>
      <c r="W28" s="116">
        <f>IF($S28=0,"-",(VLOOKUP($N28,AC,6)*$H28)/($S28+$Q28))</f>
        <v>1.2486551823933107</v>
      </c>
      <c r="X28" s="61"/>
      <c r="Y28" s="127">
        <f t="shared" si="5"/>
        <v>2.8092317659936878E-2</v>
      </c>
      <c r="Z28" s="128">
        <f t="shared" si="6"/>
        <v>0.20682386306828265</v>
      </c>
      <c r="AA28" s="129">
        <f>IF($S28=0,"-",(VLOOKUP($N28,AC,4)*$H28)/($M28+$Q28))</f>
        <v>1.7980854070899972</v>
      </c>
    </row>
    <row r="29" spans="2:27" x14ac:dyDescent="0.3">
      <c r="B29" s="87"/>
      <c r="C29" s="87"/>
      <c r="D29" s="59"/>
      <c r="E29" s="69"/>
      <c r="F29" s="69"/>
      <c r="G29" s="57"/>
      <c r="H29" s="58"/>
      <c r="I29" s="82"/>
      <c r="J29" s="82"/>
      <c r="K29" s="82"/>
      <c r="L29" s="82"/>
      <c r="M29" s="82"/>
      <c r="N29" s="59"/>
      <c r="O29" s="60"/>
      <c r="P29" s="58"/>
      <c r="Q29" s="83"/>
      <c r="R29" s="59"/>
      <c r="S29" s="138"/>
      <c r="T29" s="61"/>
      <c r="U29" s="114"/>
      <c r="V29" s="115"/>
      <c r="W29" s="116"/>
      <c r="X29" s="61"/>
      <c r="Y29" s="127"/>
      <c r="Z29" s="128"/>
      <c r="AA29" s="129"/>
    </row>
    <row r="30" spans="2:27" x14ac:dyDescent="0.3">
      <c r="B30" s="87" t="s">
        <v>90</v>
      </c>
      <c r="C30" s="87" t="s">
        <v>78</v>
      </c>
      <c r="D30" s="59" t="s">
        <v>14</v>
      </c>
      <c r="E30" s="69">
        <v>116</v>
      </c>
      <c r="F30" s="72">
        <f>132658-3979+910</f>
        <v>129589</v>
      </c>
      <c r="G30" s="57">
        <v>5.6000000000000001E-2</v>
      </c>
      <c r="H30" s="58">
        <f t="shared" si="0"/>
        <v>7256.9840000000004</v>
      </c>
      <c r="I30" s="82">
        <v>1.08</v>
      </c>
      <c r="J30" s="82">
        <f t="shared" si="7"/>
        <v>0.15872932763374292</v>
      </c>
      <c r="K30" s="82">
        <f>0.1*$I30+PV($C$64,$N30,(-0.05*0.95*$G30))</f>
        <v>0.16164224839831445</v>
      </c>
      <c r="L30" s="82">
        <f t="shared" si="1"/>
        <v>139956.12</v>
      </c>
      <c r="M30" s="82">
        <f>L30-E30*(J30+K30)</f>
        <v>139918.95689718027</v>
      </c>
      <c r="N30" s="59">
        <v>45</v>
      </c>
      <c r="O30" s="60">
        <f t="shared" ref="O30:P32" si="15">PV($C$64,$N30,-$H30)</f>
        <v>146346.21742503514</v>
      </c>
      <c r="P30" s="58">
        <f t="shared" si="15"/>
        <v>146346.21742503514</v>
      </c>
      <c r="Q30" s="83">
        <f>(H30/$H$60)*$Q$60</f>
        <v>21972.87896662849</v>
      </c>
      <c r="R30" s="59">
        <v>0.3</v>
      </c>
      <c r="S30" s="138">
        <f t="shared" si="9"/>
        <v>38876.699999999997</v>
      </c>
      <c r="T30" s="61"/>
      <c r="U30" s="114">
        <f t="shared" si="3"/>
        <v>0.2656488202020959</v>
      </c>
      <c r="V30" s="115">
        <f t="shared" si="4"/>
        <v>0.41579194896375282</v>
      </c>
      <c r="W30" s="116">
        <f>IF($S30=0,"-",(VLOOKUP($N30,AC,6)*$H30)/($S30+$Q30))</f>
        <v>0.99225184307541314</v>
      </c>
      <c r="X30" s="61"/>
      <c r="Y30" s="127">
        <f t="shared" si="5"/>
        <v>0.95608181310769313</v>
      </c>
      <c r="Z30" s="128">
        <f t="shared" si="6"/>
        <v>1.1062249418693499</v>
      </c>
      <c r="AA30" s="129">
        <f>IF($S30=0,"-",(VLOOKUP($N30,AC,4)*$H30)/($M30+$Q30))</f>
        <v>0.31064506033712003</v>
      </c>
    </row>
    <row r="31" spans="2:27" x14ac:dyDescent="0.3">
      <c r="B31" s="87" t="s">
        <v>91</v>
      </c>
      <c r="C31" s="87" t="s">
        <v>79</v>
      </c>
      <c r="D31" s="59" t="s">
        <v>14</v>
      </c>
      <c r="E31" s="69">
        <v>22</v>
      </c>
      <c r="F31" s="72">
        <v>23621</v>
      </c>
      <c r="G31" s="57">
        <v>5.3999999999999999E-2</v>
      </c>
      <c r="H31" s="58">
        <f t="shared" si="0"/>
        <v>1275.5339999999999</v>
      </c>
      <c r="I31" s="82">
        <v>1.08</v>
      </c>
      <c r="J31" s="82">
        <f t="shared" si="7"/>
        <v>0.15306042307539497</v>
      </c>
      <c r="K31" s="82">
        <f>0.1*$I31+PV($C$64,$N31,(-0.05*0.95*$G31))</f>
        <v>0.15972645381266035</v>
      </c>
      <c r="L31" s="82">
        <f t="shared" si="1"/>
        <v>25510.68</v>
      </c>
      <c r="M31" s="82">
        <f t="shared" ref="M31:M32" si="16">L31-E31*(J31+K31)</f>
        <v>25503.798688708463</v>
      </c>
      <c r="N31" s="59">
        <v>45</v>
      </c>
      <c r="O31" s="60">
        <f t="shared" si="15"/>
        <v>25722.748747554731</v>
      </c>
      <c r="P31" s="58">
        <f t="shared" si="15"/>
        <v>25722.748747554731</v>
      </c>
      <c r="Q31" s="83">
        <f>(H31/$H$60)*$Q$60</f>
        <v>3862.0939773078599</v>
      </c>
      <c r="R31" s="59">
        <v>0.3</v>
      </c>
      <c r="S31" s="138">
        <f t="shared" si="9"/>
        <v>7086.3</v>
      </c>
      <c r="T31" s="61"/>
      <c r="U31" s="114">
        <f t="shared" si="3"/>
        <v>0.27548766539476621</v>
      </c>
      <c r="V31" s="115">
        <f t="shared" si="4"/>
        <v>0.42563079415642319</v>
      </c>
      <c r="W31" s="116">
        <f>IF($S31=0,"-",(VLOOKUP($N31,AC,6)*$H31)/($S31+$Q31))</f>
        <v>0.96931503396715823</v>
      </c>
      <c r="X31" s="61"/>
      <c r="Y31" s="127">
        <f t="shared" si="5"/>
        <v>0.99148807691607677</v>
      </c>
      <c r="Z31" s="128">
        <f t="shared" si="6"/>
        <v>1.1416312056777338</v>
      </c>
      <c r="AA31" s="129">
        <f>IF($S31=0,"-",(VLOOKUP($N31,AC,4)*$H31)/($M31+$Q31))</f>
        <v>0.3010107923682992</v>
      </c>
    </row>
    <row r="32" spans="2:27" x14ac:dyDescent="0.3">
      <c r="B32" s="87" t="s">
        <v>90</v>
      </c>
      <c r="C32" s="87" t="s">
        <v>77</v>
      </c>
      <c r="D32" s="59" t="s">
        <v>14</v>
      </c>
      <c r="E32" s="69">
        <v>25</v>
      </c>
      <c r="F32" s="72">
        <v>20808</v>
      </c>
      <c r="G32" s="57">
        <v>5.8999999999999997E-2</v>
      </c>
      <c r="H32" s="58">
        <f t="shared" si="0"/>
        <v>1227.672</v>
      </c>
      <c r="I32" s="82">
        <v>1.08</v>
      </c>
      <c r="J32" s="82">
        <f t="shared" si="7"/>
        <v>0.16723268447126485</v>
      </c>
      <c r="K32" s="82">
        <f>0.1*$I32+PV($C$64,$N32,(-0.05*0.95*$G32))</f>
        <v>0.16451594027679556</v>
      </c>
      <c r="L32" s="82">
        <f t="shared" si="1"/>
        <v>22472.640000000003</v>
      </c>
      <c r="M32" s="82">
        <f t="shared" si="16"/>
        <v>22464.346284381303</v>
      </c>
      <c r="N32" s="59">
        <v>45</v>
      </c>
      <c r="O32" s="60">
        <f t="shared" si="15"/>
        <v>24757.551269043408</v>
      </c>
      <c r="P32" s="58">
        <f t="shared" si="15"/>
        <v>24757.551269043408</v>
      </c>
      <c r="Q32" s="83">
        <f>(H32/$H$60)*$Q$60</f>
        <v>3717.1762080113076</v>
      </c>
      <c r="R32" s="59">
        <v>0.3</v>
      </c>
      <c r="S32" s="138">
        <f t="shared" si="9"/>
        <v>6242.4</v>
      </c>
      <c r="T32" s="61"/>
      <c r="U32" s="114">
        <f t="shared" si="3"/>
        <v>0.25214125307317586</v>
      </c>
      <c r="V32" s="115">
        <f t="shared" si="4"/>
        <v>0.40228438183483278</v>
      </c>
      <c r="W32" s="116">
        <f>IF($S32=0,"-",(VLOOKUP($N32,AC,6)*$H32)/($S32+$Q32))</f>
        <v>1.0255688421545339</v>
      </c>
      <c r="X32" s="61"/>
      <c r="Y32" s="127">
        <f t="shared" si="5"/>
        <v>0.90737351365078234</v>
      </c>
      <c r="Z32" s="128">
        <f t="shared" si="6"/>
        <v>1.0575166424124394</v>
      </c>
      <c r="AA32" s="129">
        <f>IF($S32=0,"-",(VLOOKUP($N32,AC,4)*$H32)/($M32+$Q32))</f>
        <v>0.32495310242068787</v>
      </c>
    </row>
    <row r="33" spans="2:27" x14ac:dyDescent="0.3">
      <c r="B33" s="59"/>
      <c r="C33" s="59"/>
      <c r="D33" s="59"/>
      <c r="E33" s="64"/>
      <c r="F33" s="64"/>
      <c r="G33" s="57"/>
      <c r="H33" s="58"/>
      <c r="I33" s="82"/>
      <c r="J33" s="82"/>
      <c r="K33" s="82"/>
      <c r="L33" s="82"/>
      <c r="M33" s="82"/>
      <c r="N33" s="59"/>
      <c r="O33" s="60"/>
      <c r="P33" s="58"/>
      <c r="Q33" s="83"/>
      <c r="R33" s="59"/>
      <c r="S33" s="138"/>
      <c r="T33" s="61"/>
      <c r="U33" s="114"/>
      <c r="V33" s="115"/>
      <c r="W33" s="116"/>
      <c r="X33" s="61"/>
      <c r="Y33" s="127"/>
      <c r="Z33" s="128"/>
      <c r="AA33" s="129"/>
    </row>
    <row r="34" spans="2:27" ht="26" x14ac:dyDescent="0.3">
      <c r="B34" s="87" t="s">
        <v>92</v>
      </c>
      <c r="C34" s="87" t="s">
        <v>78</v>
      </c>
      <c r="D34" s="59" t="s">
        <v>45</v>
      </c>
      <c r="E34" s="69">
        <v>24</v>
      </c>
      <c r="F34" s="69">
        <v>24</v>
      </c>
      <c r="G34" s="57">
        <v>475</v>
      </c>
      <c r="H34" s="58">
        <f t="shared" si="0"/>
        <v>11400</v>
      </c>
      <c r="I34" s="82">
        <v>2500</v>
      </c>
      <c r="J34" s="82">
        <f t="shared" si="7"/>
        <v>993.22997560263627</v>
      </c>
      <c r="K34" s="82">
        <f>0.1*$I34+PV($C$64,$N34,(-0.05*0.95*$G34))+PV($C$64,$N34,-15)</f>
        <v>768.8153287642649</v>
      </c>
      <c r="L34" s="82">
        <f t="shared" si="1"/>
        <v>60000</v>
      </c>
      <c r="M34" s="82">
        <f t="shared" si="2"/>
        <v>17710.912695194369</v>
      </c>
      <c r="N34" s="59">
        <v>21</v>
      </c>
      <c r="O34" s="60">
        <f t="shared" ref="O34:P36" si="17">PV($C$64,$N34,-$H34)</f>
        <v>157457.43089284847</v>
      </c>
      <c r="P34" s="58">
        <f t="shared" si="17"/>
        <v>157457.43089284847</v>
      </c>
      <c r="Q34" s="83">
        <f>(H34/$H$60)*$Q$60</f>
        <v>34517.207178569603</v>
      </c>
      <c r="R34" s="59">
        <v>825</v>
      </c>
      <c r="S34" s="138">
        <f t="shared" si="9"/>
        <v>19800</v>
      </c>
      <c r="T34" s="61"/>
      <c r="U34" s="114">
        <f t="shared" si="3"/>
        <v>0.125748272963212</v>
      </c>
      <c r="V34" s="115">
        <f t="shared" si="4"/>
        <v>0.34496439368131865</v>
      </c>
      <c r="W34" s="116">
        <f>IF($S34=0,"-",(VLOOKUP($N34,AC,6)*$H34)/($S34+$Q34))</f>
        <v>1.3285292773386719</v>
      </c>
      <c r="X34" s="61"/>
      <c r="Y34" s="127">
        <f t="shared" si="5"/>
        <v>0.1124806406072181</v>
      </c>
      <c r="Z34" s="128">
        <f t="shared" si="6"/>
        <v>0.33169676132532472</v>
      </c>
      <c r="AA34" s="129">
        <f>IF($S34=0,"-",(VLOOKUP($N34,AC,4)*$H34)/($M34+$Q34))</f>
        <v>1.2005027205947045</v>
      </c>
    </row>
    <row r="35" spans="2:27" ht="26" x14ac:dyDescent="0.3">
      <c r="B35" s="87" t="s">
        <v>92</v>
      </c>
      <c r="C35" s="87" t="s">
        <v>79</v>
      </c>
      <c r="D35" s="59" t="s">
        <v>45</v>
      </c>
      <c r="E35" s="69">
        <v>4</v>
      </c>
      <c r="F35" s="69">
        <v>4</v>
      </c>
      <c r="G35" s="57">
        <v>468</v>
      </c>
      <c r="H35" s="58">
        <f t="shared" si="0"/>
        <v>1872</v>
      </c>
      <c r="I35" s="82">
        <v>2500</v>
      </c>
      <c r="J35" s="82">
        <f t="shared" si="7"/>
        <v>978.59290227796578</v>
      </c>
      <c r="K35" s="82">
        <f>0.1*$I35+PV($C$64,$N35,(-0.05*0.95*$G35))+PV($C$64,$N35,-15)</f>
        <v>764.22282036322349</v>
      </c>
      <c r="L35" s="82">
        <f t="shared" si="1"/>
        <v>10000</v>
      </c>
      <c r="M35" s="82">
        <f t="shared" si="2"/>
        <v>3028.7371094352429</v>
      </c>
      <c r="N35" s="59">
        <v>21</v>
      </c>
      <c r="O35" s="60">
        <f t="shared" si="17"/>
        <v>25856.167599246692</v>
      </c>
      <c r="P35" s="58">
        <f t="shared" si="17"/>
        <v>25856.167599246692</v>
      </c>
      <c r="Q35" s="83">
        <f>(H35/$H$60)*$Q$60</f>
        <v>5668.0887577440617</v>
      </c>
      <c r="R35" s="59">
        <v>825</v>
      </c>
      <c r="S35" s="138">
        <f t="shared" si="9"/>
        <v>3300</v>
      </c>
      <c r="T35" s="61"/>
      <c r="U35" s="114">
        <f t="shared" si="3"/>
        <v>0.12762912319984127</v>
      </c>
      <c r="V35" s="115">
        <f t="shared" si="4"/>
        <v>0.34684524391794802</v>
      </c>
      <c r="W35" s="116">
        <f>IF($S35=0,"-",(VLOOKUP($N35,AC,6)*$H35)/($S35+$Q35))</f>
        <v>1.3213250136231733</v>
      </c>
      <c r="X35" s="61"/>
      <c r="Y35" s="127">
        <f t="shared" si="5"/>
        <v>0.11713789747880053</v>
      </c>
      <c r="Z35" s="128">
        <f t="shared" si="6"/>
        <v>0.33635401819690725</v>
      </c>
      <c r="AA35" s="129">
        <f>IF($S35=0,"-",(VLOOKUP($N35,AC,4)*$H35)/($M35+$Q35))</f>
        <v>1.1838802060940155</v>
      </c>
    </row>
    <row r="36" spans="2:27" ht="26" x14ac:dyDescent="0.3">
      <c r="B36" s="87" t="s">
        <v>92</v>
      </c>
      <c r="C36" s="87" t="s">
        <v>77</v>
      </c>
      <c r="D36" s="59" t="s">
        <v>45</v>
      </c>
      <c r="E36" s="69">
        <v>1</v>
      </c>
      <c r="F36" s="69">
        <v>1</v>
      </c>
      <c r="G36" s="57">
        <v>476</v>
      </c>
      <c r="H36" s="58">
        <f t="shared" si="0"/>
        <v>476</v>
      </c>
      <c r="I36" s="82">
        <v>2500</v>
      </c>
      <c r="J36" s="82">
        <f t="shared" si="7"/>
        <v>995.32098607758905</v>
      </c>
      <c r="K36" s="82">
        <f>0.1*$I36+PV($C$64,$N36,(-0.05*0.95*$G36))+PV($C$64,$N36,-15)</f>
        <v>769.47140139298517</v>
      </c>
      <c r="L36" s="82">
        <f t="shared" ref="L36" si="18">IF(ISNUMBER(I36),I36*F36,"")</f>
        <v>2500</v>
      </c>
      <c r="M36" s="82">
        <f t="shared" ref="M36" si="19">L36-F36*(J36+K36)</f>
        <v>735.20761252942566</v>
      </c>
      <c r="N36" s="59">
        <v>21</v>
      </c>
      <c r="O36" s="60">
        <f t="shared" si="17"/>
        <v>6574.5383425434966</v>
      </c>
      <c r="P36" s="58">
        <f t="shared" si="17"/>
        <v>6574.5383425434966</v>
      </c>
      <c r="Q36" s="83">
        <f>(H36/$H$60)*$Q$60</f>
        <v>1441.2447909648363</v>
      </c>
      <c r="R36" s="59">
        <v>825</v>
      </c>
      <c r="S36" s="138">
        <f t="shared" si="9"/>
        <v>825</v>
      </c>
      <c r="T36" s="61"/>
      <c r="U36" s="114">
        <f t="shared" si="3"/>
        <v>0.12548409591917167</v>
      </c>
      <c r="V36" s="115">
        <f t="shared" si="4"/>
        <v>0.34470021663727834</v>
      </c>
      <c r="W36" s="116">
        <f>IF($S36=0,"-",(VLOOKUP($N36,AC,6)*$H36)/($S36+$Q36))</f>
        <v>1.3295474575441624</v>
      </c>
      <c r="X36" s="61"/>
      <c r="Y36" s="127">
        <f t="shared" ref="Y36" si="20">IF(ISERROR(M36/O36),0,M36/O36)</f>
        <v>0.11182650008623957</v>
      </c>
      <c r="Z36" s="128">
        <f t="shared" ref="Z36" si="21">IF(ISERROR(M36/O36),0,(M36+Q36)/O36)</f>
        <v>0.33104262080434627</v>
      </c>
      <c r="AA36" s="129">
        <f>IF($S36=0,"-",(VLOOKUP($N36,AC,4)*$H36)/($M36+$Q36))</f>
        <v>1.2028749150667573</v>
      </c>
    </row>
    <row r="37" spans="2:27" x14ac:dyDescent="0.3">
      <c r="B37" s="87"/>
      <c r="C37" s="87"/>
      <c r="D37" s="59"/>
      <c r="E37" s="69"/>
      <c r="F37" s="69"/>
      <c r="G37" s="57"/>
      <c r="H37" s="58"/>
      <c r="I37" s="82"/>
      <c r="J37" s="82"/>
      <c r="K37" s="82"/>
      <c r="L37" s="82"/>
      <c r="M37" s="82"/>
      <c r="N37" s="59"/>
      <c r="O37" s="60"/>
      <c r="P37" s="58"/>
      <c r="Q37" s="83"/>
      <c r="R37" s="59"/>
      <c r="S37" s="138"/>
      <c r="T37" s="61"/>
      <c r="U37" s="114"/>
      <c r="V37" s="115"/>
      <c r="W37" s="116"/>
      <c r="X37" s="61"/>
      <c r="Y37" s="127"/>
      <c r="Z37" s="128"/>
      <c r="AA37" s="129"/>
    </row>
    <row r="38" spans="2:27" ht="26" x14ac:dyDescent="0.3">
      <c r="B38" s="87" t="s">
        <v>102</v>
      </c>
      <c r="C38" s="87" t="s">
        <v>78</v>
      </c>
      <c r="D38" s="59" t="s">
        <v>86</v>
      </c>
      <c r="E38" s="69">
        <v>5</v>
      </c>
      <c r="F38" s="69">
        <v>5</v>
      </c>
      <c r="G38" s="57">
        <v>13</v>
      </c>
      <c r="H38" s="58">
        <f t="shared" ref="H38:H39" si="22">IF(ISNUMBER(F38),G38*F38,"")</f>
        <v>65</v>
      </c>
      <c r="I38" s="82">
        <v>200</v>
      </c>
      <c r="J38" s="82">
        <f t="shared" si="7"/>
        <v>29.514926666853082</v>
      </c>
      <c r="K38" s="82">
        <f>0.1*$I38+PV($C$64,$N38,(-0.05*0.95*$G38))</f>
        <v>29.475611253636934</v>
      </c>
      <c r="L38" s="82">
        <f t="shared" ref="L38:L39" si="23">IF(ISNUMBER(I38),I38*F38,"")</f>
        <v>1000</v>
      </c>
      <c r="M38" s="82">
        <f t="shared" ref="M38:M39" si="24">L38-F38*(J38+K38)</f>
        <v>705.04731039754995</v>
      </c>
      <c r="N38" s="59">
        <v>25</v>
      </c>
      <c r="O38" s="60">
        <f>PV($C$64,$N38,-$H38)</f>
        <v>997.43276354072975</v>
      </c>
      <c r="P38" s="58">
        <f>PV($C$64,$N38,-$H38)</f>
        <v>997.43276354072975</v>
      </c>
      <c r="Q38" s="83">
        <f>(H38/$H$60)*$Q$60</f>
        <v>196.80863742166881</v>
      </c>
      <c r="R38" s="59">
        <v>50</v>
      </c>
      <c r="S38" s="138">
        <f t="shared" ref="S38:S39" si="25">IF(ISNUMBER(R38),R38*F38,"")</f>
        <v>250</v>
      </c>
      <c r="T38" s="61"/>
      <c r="U38" s="114">
        <f t="shared" ref="U38:U39" si="26">IF(ISERROR(S38/P38),0,S38/P38)</f>
        <v>0.25064346103143759</v>
      </c>
      <c r="V38" s="115">
        <f t="shared" ref="V38:V39" si="27">IF(ISERROR((Q38+S38)/P38),0,(Q38+S38)/P38)</f>
        <v>0.44795865320843103</v>
      </c>
      <c r="W38" s="116">
        <f>IF($S38=0,"-",(VLOOKUP($N38,AC,6)*$H38)/($S38+$Q38))</f>
        <v>0.98923781453864179</v>
      </c>
      <c r="X38" s="61"/>
      <c r="Y38" s="127">
        <f t="shared" ref="Y38:Y39" si="28">IF(ISERROR(M38/O38),0,M38/O38)</f>
        <v>0.70686199227579272</v>
      </c>
      <c r="Z38" s="128">
        <f t="shared" ref="Z38:Z39" si="29">IF(ISERROR(M38/O38),0,(M38+Q38)/O38)</f>
        <v>0.90417718445278628</v>
      </c>
      <c r="AA38" s="129">
        <f>IF($S38=0,"-",(VLOOKUP($N38,AC,4)*$H38)/($M38+$Q38))</f>
        <v>0.42595494427786901</v>
      </c>
    </row>
    <row r="39" spans="2:27" ht="26" x14ac:dyDescent="0.3">
      <c r="B39" s="87" t="s">
        <v>102</v>
      </c>
      <c r="C39" s="87" t="s">
        <v>77</v>
      </c>
      <c r="D39" s="59" t="s">
        <v>86</v>
      </c>
      <c r="E39" s="69">
        <v>2</v>
      </c>
      <c r="F39" s="69">
        <v>2</v>
      </c>
      <c r="G39" s="57">
        <v>13</v>
      </c>
      <c r="H39" s="58">
        <f t="shared" si="22"/>
        <v>26</v>
      </c>
      <c r="I39" s="82">
        <v>200</v>
      </c>
      <c r="J39" s="82">
        <f t="shared" si="7"/>
        <v>29.514926666853082</v>
      </c>
      <c r="K39" s="82">
        <f>0.1*$I39+PV($C$64,$N39,(-0.05*0.95*$G39))</f>
        <v>29.475611253636934</v>
      </c>
      <c r="L39" s="82">
        <f t="shared" si="23"/>
        <v>400</v>
      </c>
      <c r="M39" s="82">
        <f t="shared" si="24"/>
        <v>282.01892415902</v>
      </c>
      <c r="N39" s="59">
        <v>25</v>
      </c>
      <c r="O39" s="60">
        <f>PV($C$64,$N39,-$H39)</f>
        <v>398.9731054162919</v>
      </c>
      <c r="P39" s="58">
        <f>PV($C$64,$N39,-$H39)</f>
        <v>398.9731054162919</v>
      </c>
      <c r="Q39" s="83">
        <f>(H39/$H$60)*$Q$60</f>
        <v>78.723454968667525</v>
      </c>
      <c r="R39" s="59">
        <v>50</v>
      </c>
      <c r="S39" s="138">
        <f t="shared" si="25"/>
        <v>100</v>
      </c>
      <c r="T39" s="61"/>
      <c r="U39" s="114">
        <f t="shared" si="26"/>
        <v>0.25064346103143759</v>
      </c>
      <c r="V39" s="115">
        <f t="shared" si="27"/>
        <v>0.44795865320843103</v>
      </c>
      <c r="W39" s="116">
        <f>IF($S39=0,"-",(VLOOKUP($N39,AC,6)*$H39)/($S39+$Q39))</f>
        <v>0.98923781453864168</v>
      </c>
      <c r="X39" s="61"/>
      <c r="Y39" s="127">
        <f t="shared" si="28"/>
        <v>0.70686199227579283</v>
      </c>
      <c r="Z39" s="128">
        <f t="shared" si="29"/>
        <v>0.90417718445278628</v>
      </c>
      <c r="AA39" s="129">
        <f>IF($S39=0,"-",(VLOOKUP($N39,AC,4)*$H39)/($M39+$Q39))</f>
        <v>0.4259549442778689</v>
      </c>
    </row>
    <row r="40" spans="2:27" x14ac:dyDescent="0.3">
      <c r="B40" s="59"/>
      <c r="C40" s="59"/>
      <c r="D40" s="59"/>
      <c r="E40" s="64"/>
      <c r="F40" s="64"/>
      <c r="G40" s="57"/>
      <c r="H40" s="58"/>
      <c r="I40" s="82"/>
      <c r="J40" s="82"/>
      <c r="K40" s="82"/>
      <c r="L40" s="82"/>
      <c r="M40" s="82"/>
      <c r="N40" s="59"/>
      <c r="O40" s="60"/>
      <c r="P40" s="58"/>
      <c r="Q40" s="83"/>
      <c r="R40" s="59"/>
      <c r="S40" s="138"/>
      <c r="T40" s="61"/>
      <c r="U40" s="114"/>
      <c r="V40" s="115"/>
      <c r="W40" s="116"/>
      <c r="X40" s="61"/>
      <c r="Y40" s="127"/>
      <c r="Z40" s="128"/>
      <c r="AA40" s="129"/>
    </row>
    <row r="41" spans="2:27" ht="26" x14ac:dyDescent="0.3">
      <c r="B41" s="87" t="s">
        <v>68</v>
      </c>
      <c r="C41" s="87" t="s">
        <v>78</v>
      </c>
      <c r="D41" s="59" t="s">
        <v>11</v>
      </c>
      <c r="E41" s="69">
        <v>539</v>
      </c>
      <c r="F41" s="69">
        <v>539</v>
      </c>
      <c r="G41" s="57">
        <v>111</v>
      </c>
      <c r="H41" s="58">
        <f t="shared" si="0"/>
        <v>59829</v>
      </c>
      <c r="I41" s="82">
        <v>1024</v>
      </c>
      <c r="J41" s="82">
        <f t="shared" si="7"/>
        <v>214.88274752037489</v>
      </c>
      <c r="K41" s="82">
        <f>0.1*$I41+PV($C$64,$N41,(-0.05*0.95*$G41))+PV($C$64,$N41,-15)</f>
        <v>355.52565924438284</v>
      </c>
      <c r="L41" s="82">
        <f t="shared" si="1"/>
        <v>551936</v>
      </c>
      <c r="M41" s="82">
        <f t="shared" si="2"/>
        <v>244485.86875379557</v>
      </c>
      <c r="N41" s="59">
        <v>18</v>
      </c>
      <c r="O41" s="60">
        <f t="shared" ref="O41:P43" si="30">PV($C$64,$N41,-$H41)</f>
        <v>747034.40951694082</v>
      </c>
      <c r="P41" s="58">
        <f t="shared" si="30"/>
        <v>747034.40951694082</v>
      </c>
      <c r="Q41" s="83">
        <f>(H41/$H$60)*$Q$60</f>
        <v>181151.75335847729</v>
      </c>
      <c r="R41" s="59">
        <v>250</v>
      </c>
      <c r="S41" s="138">
        <f t="shared" si="9"/>
        <v>134750</v>
      </c>
      <c r="T41" s="61"/>
      <c r="U41" s="114">
        <f>IF(ISERROR(S41/P41),0,S41/P41)</f>
        <v>0.18037991059492717</v>
      </c>
      <c r="V41" s="115">
        <f>IF(ISERROR((Q41+S41)/P41),0,(Q41+S41)/P41)</f>
        <v>0.42287443434198785</v>
      </c>
      <c r="W41" s="116">
        <f>IF($S41=0,"-",(VLOOKUP($N41,AC,6)*$H41)/($S41+$Q41))</f>
        <v>1.0889991788352582</v>
      </c>
      <c r="X41" s="61"/>
      <c r="Y41" s="127">
        <f t="shared" si="5"/>
        <v>0.32727524413753428</v>
      </c>
      <c r="Z41" s="128">
        <f t="shared" si="6"/>
        <v>0.56976976788459499</v>
      </c>
      <c r="AA41" s="129">
        <f>IF($S41=0,"-",(VLOOKUP($N41,AC,4)*$H41)/($M41+$Q41))</f>
        <v>0.71827811762221727</v>
      </c>
    </row>
    <row r="42" spans="2:27" ht="26" x14ac:dyDescent="0.3">
      <c r="B42" s="87" t="s">
        <v>68</v>
      </c>
      <c r="C42" s="87" t="s">
        <v>79</v>
      </c>
      <c r="D42" s="59" t="s">
        <v>11</v>
      </c>
      <c r="E42" s="69">
        <v>108</v>
      </c>
      <c r="F42" s="69">
        <v>110</v>
      </c>
      <c r="G42" s="57">
        <v>110</v>
      </c>
      <c r="H42" s="58">
        <f t="shared" si="0"/>
        <v>12100</v>
      </c>
      <c r="I42" s="82">
        <v>1024</v>
      </c>
      <c r="J42" s="82">
        <f t="shared" si="7"/>
        <v>212.94686691208324</v>
      </c>
      <c r="K42" s="82">
        <f>0.1*$I42+PV($C$64,$N42,(-0.05*0.95*$G42))+PV($C$64,$N42,-15)</f>
        <v>354.93256668973459</v>
      </c>
      <c r="L42" s="82">
        <f t="shared" si="1"/>
        <v>112640</v>
      </c>
      <c r="M42" s="82">
        <f t="shared" si="2"/>
        <v>50173.262303800038</v>
      </c>
      <c r="N42" s="59">
        <v>18</v>
      </c>
      <c r="O42" s="60">
        <f t="shared" si="30"/>
        <v>151082.52444725775</v>
      </c>
      <c r="P42" s="58">
        <f t="shared" si="30"/>
        <v>151082.52444725775</v>
      </c>
      <c r="Q42" s="83">
        <f>(H42/$H$60)*$Q$60</f>
        <v>36636.684812341424</v>
      </c>
      <c r="R42" s="59">
        <v>250</v>
      </c>
      <c r="S42" s="138">
        <f t="shared" si="9"/>
        <v>27500</v>
      </c>
      <c r="T42" s="61"/>
      <c r="U42" s="114">
        <f t="shared" si="3"/>
        <v>0.18201972796397198</v>
      </c>
      <c r="V42" s="115">
        <f t="shared" si="4"/>
        <v>0.42451425171103269</v>
      </c>
      <c r="W42" s="116">
        <f>IF($S42=0,"-",(VLOOKUP($N42,AC,6)*$H42)/($S42+$Q42))</f>
        <v>1.084792583270723</v>
      </c>
      <c r="X42" s="61"/>
      <c r="Y42" s="127">
        <f t="shared" si="5"/>
        <v>0.33209176565827975</v>
      </c>
      <c r="Z42" s="128">
        <f t="shared" si="6"/>
        <v>0.57458628940534051</v>
      </c>
      <c r="AA42" s="129">
        <f>IF($S42=0,"-",(VLOOKUP($N42,AC,4)*$H42)/($M42+$Q42))</f>
        <v>0.71225708635990093</v>
      </c>
    </row>
    <row r="43" spans="2:27" ht="26" x14ac:dyDescent="0.3">
      <c r="B43" s="87" t="s">
        <v>68</v>
      </c>
      <c r="C43" s="87" t="s">
        <v>77</v>
      </c>
      <c r="D43" s="59" t="s">
        <v>11</v>
      </c>
      <c r="E43" s="69">
        <v>321</v>
      </c>
      <c r="F43" s="69">
        <v>324</v>
      </c>
      <c r="G43" s="57">
        <v>111</v>
      </c>
      <c r="H43" s="58">
        <f t="shared" si="0"/>
        <v>35964</v>
      </c>
      <c r="I43" s="82">
        <v>1024</v>
      </c>
      <c r="J43" s="82">
        <f t="shared" si="7"/>
        <v>214.88274752037489</v>
      </c>
      <c r="K43" s="82">
        <f>0.1*$I43+PV($C$64,$N43,(-0.05*0.95*$G43))+PV($C$64,$N43,-15)</f>
        <v>355.52565924438284</v>
      </c>
      <c r="L43" s="82">
        <f t="shared" si="1"/>
        <v>331776</v>
      </c>
      <c r="M43" s="82">
        <f t="shared" si="2"/>
        <v>146963.6762082185</v>
      </c>
      <c r="N43" s="59">
        <v>18</v>
      </c>
      <c r="O43" s="60">
        <f t="shared" si="30"/>
        <v>449052.22390257666</v>
      </c>
      <c r="P43" s="58">
        <f t="shared" si="30"/>
        <v>449052.22390257666</v>
      </c>
      <c r="Q43" s="83">
        <f>(H43/$H$60)*$Q$60</f>
        <v>108892.7051728138</v>
      </c>
      <c r="R43" s="59">
        <v>250</v>
      </c>
      <c r="S43" s="138">
        <f t="shared" si="9"/>
        <v>81000</v>
      </c>
      <c r="T43" s="61"/>
      <c r="U43" s="114">
        <f t="shared" si="3"/>
        <v>0.18037991059492717</v>
      </c>
      <c r="V43" s="115">
        <f t="shared" si="4"/>
        <v>0.42287443434198785</v>
      </c>
      <c r="W43" s="116">
        <f>IF($S43=0,"-",(VLOOKUP($N43,AC,6)*$H43)/($S43+$Q43))</f>
        <v>1.0889991788352582</v>
      </c>
      <c r="X43" s="61"/>
      <c r="Y43" s="127">
        <f t="shared" si="5"/>
        <v>0.32727524413753434</v>
      </c>
      <c r="Z43" s="128">
        <f t="shared" si="6"/>
        <v>0.56976976788459499</v>
      </c>
      <c r="AA43" s="129">
        <f>IF($S43=0,"-",(VLOOKUP($N43,AC,4)*$H43)/($M43+$Q43))</f>
        <v>0.71827811762221738</v>
      </c>
    </row>
    <row r="44" spans="2:27" x14ac:dyDescent="0.3">
      <c r="B44" s="59"/>
      <c r="C44" s="59"/>
      <c r="D44" s="59"/>
      <c r="E44" s="64"/>
      <c r="F44" s="64"/>
      <c r="G44" s="57"/>
      <c r="H44" s="58"/>
      <c r="I44" s="82"/>
      <c r="J44" s="82"/>
      <c r="K44" s="82"/>
      <c r="L44" s="82"/>
      <c r="M44" s="82"/>
      <c r="N44" s="59"/>
      <c r="O44" s="60"/>
      <c r="P44" s="58"/>
      <c r="Q44" s="83"/>
      <c r="R44" s="59"/>
      <c r="S44" s="138"/>
      <c r="T44" s="61"/>
      <c r="U44" s="114"/>
      <c r="V44" s="115"/>
      <c r="W44" s="116"/>
      <c r="X44" s="61"/>
      <c r="Y44" s="127"/>
      <c r="Z44" s="128"/>
      <c r="AA44" s="129"/>
    </row>
    <row r="45" spans="2:27" ht="26" x14ac:dyDescent="0.3">
      <c r="B45" s="110" t="s">
        <v>93</v>
      </c>
      <c r="C45" s="71" t="s">
        <v>78</v>
      </c>
      <c r="D45" s="59" t="s">
        <v>67</v>
      </c>
      <c r="E45" s="71">
        <v>34</v>
      </c>
      <c r="F45" s="71">
        <v>34</v>
      </c>
      <c r="G45" s="57">
        <v>56</v>
      </c>
      <c r="H45" s="58">
        <f t="shared" ref="H45:H58" si="31">IF(ISNUMBER(F45),G45*F45,"")</f>
        <v>1904</v>
      </c>
      <c r="I45" s="82">
        <v>425</v>
      </c>
      <c r="J45" s="82">
        <f t="shared" si="7"/>
        <v>114.31829425847349</v>
      </c>
      <c r="K45" s="82">
        <f>0.1*$I45+PV($C$64,$N45,(-0.05*0.95*$G45))+PV($C$64,$N45,-15)</f>
        <v>278.9323987491822</v>
      </c>
      <c r="L45" s="82">
        <f t="shared" ref="L45:L58" si="32">IF(ISNUMBER(I45),I45*F45,"")</f>
        <v>14450</v>
      </c>
      <c r="M45" s="82">
        <f t="shared" ref="M45:M58" si="33">L45-F45*(J45+K45)</f>
        <v>1079.4764377397059</v>
      </c>
      <c r="N45" s="59">
        <v>20</v>
      </c>
      <c r="O45" s="60">
        <f t="shared" ref="O45:P47" si="34">PV($C$64,$N45,-$H45)</f>
        <v>25490.786365710243</v>
      </c>
      <c r="P45" s="58">
        <f t="shared" si="34"/>
        <v>25490.786365710243</v>
      </c>
      <c r="Q45" s="83">
        <f>(H45/$H$60)*$Q$60</f>
        <v>5764.9791638593451</v>
      </c>
      <c r="R45" s="59">
        <v>150</v>
      </c>
      <c r="S45" s="138">
        <f t="shared" ref="S45:S58" si="35">IF(ISNUMBER(R45),R45*F45,"")</f>
        <v>5100</v>
      </c>
      <c r="T45" s="61"/>
      <c r="U45" s="114">
        <f t="shared" ref="U45:U58" si="36">IF(ISERROR(S45/P45),0,S45/P45)</f>
        <v>0.20007228991807136</v>
      </c>
      <c r="V45" s="115">
        <f t="shared" ref="V45:V58" si="37">IF(ISERROR((Q45+S45)/P45),0,(Q45+S45)/P45)</f>
        <v>0.42623161984813163</v>
      </c>
      <c r="W45" s="116">
        <f t="shared" ref="W45:W49" si="38">IF($S45=0,"-",(VLOOKUP($N45,AC,6)*$H45)/($S45+$Q45))</f>
        <v>1.0602137221134134</v>
      </c>
      <c r="X45" s="61"/>
      <c r="Y45" s="127">
        <f t="shared" ref="Y45:Y58" si="39">IF(ISERROR(M45/O45),0,M45/O45)</f>
        <v>4.2347710355134384E-2</v>
      </c>
      <c r="Z45" s="128">
        <f t="shared" ref="Z45:Z58" si="40">IF(ISERROR(M45/O45),0,(M45+Q45)/O45)</f>
        <v>0.26850704028519468</v>
      </c>
      <c r="AA45" s="129">
        <f t="shared" ref="AA45:AA49" si="41">IF($S45=0,"-",(VLOOKUP($N45,AC,4)*$H45)/($M45+$Q45))</f>
        <v>1.496615742179237</v>
      </c>
    </row>
    <row r="46" spans="2:27" ht="26" x14ac:dyDescent="0.3">
      <c r="B46" s="110" t="s">
        <v>93</v>
      </c>
      <c r="C46" s="71" t="s">
        <v>79</v>
      </c>
      <c r="D46" s="59" t="s">
        <v>67</v>
      </c>
      <c r="E46" s="71">
        <v>19</v>
      </c>
      <c r="F46" s="71">
        <v>20</v>
      </c>
      <c r="G46" s="57">
        <v>56</v>
      </c>
      <c r="H46" s="58">
        <f t="shared" si="31"/>
        <v>1120</v>
      </c>
      <c r="I46" s="82">
        <v>425</v>
      </c>
      <c r="J46" s="82">
        <f t="shared" si="7"/>
        <v>114.31829425847349</v>
      </c>
      <c r="K46" s="82">
        <f>0.1*$I46+PV($C$64,$N46,(-0.05*0.95*$G46))+PV($C$64,$N46,-15)</f>
        <v>278.9323987491822</v>
      </c>
      <c r="L46" s="82">
        <f t="shared" si="32"/>
        <v>8500</v>
      </c>
      <c r="M46" s="82">
        <f t="shared" si="33"/>
        <v>634.98613984688654</v>
      </c>
      <c r="N46" s="59">
        <v>20</v>
      </c>
      <c r="O46" s="60">
        <f t="shared" si="34"/>
        <v>14994.580215123671</v>
      </c>
      <c r="P46" s="58">
        <f t="shared" si="34"/>
        <v>14994.580215123671</v>
      </c>
      <c r="Q46" s="83">
        <f>(H46/$H$60)*$Q$60</f>
        <v>3391.164214034909</v>
      </c>
      <c r="R46" s="59">
        <v>150</v>
      </c>
      <c r="S46" s="138">
        <f t="shared" si="35"/>
        <v>3000</v>
      </c>
      <c r="T46" s="61"/>
      <c r="U46" s="114">
        <f t="shared" si="36"/>
        <v>0.20007228991807136</v>
      </c>
      <c r="V46" s="115">
        <f t="shared" si="37"/>
        <v>0.42623161984813163</v>
      </c>
      <c r="W46" s="116">
        <f t="shared" si="38"/>
        <v>1.0602137221134136</v>
      </c>
      <c r="X46" s="61"/>
      <c r="Y46" s="127">
        <f t="shared" si="39"/>
        <v>4.2347710355134432E-2</v>
      </c>
      <c r="Z46" s="128">
        <f t="shared" si="40"/>
        <v>0.26850704028519473</v>
      </c>
      <c r="AA46" s="129">
        <f t="shared" si="41"/>
        <v>1.4966157421792365</v>
      </c>
    </row>
    <row r="47" spans="2:27" ht="26" x14ac:dyDescent="0.3">
      <c r="B47" s="110" t="s">
        <v>93</v>
      </c>
      <c r="C47" s="71" t="s">
        <v>77</v>
      </c>
      <c r="D47" s="59" t="s">
        <v>67</v>
      </c>
      <c r="E47" s="71">
        <v>11</v>
      </c>
      <c r="F47" s="71">
        <v>12</v>
      </c>
      <c r="G47" s="57">
        <v>56</v>
      </c>
      <c r="H47" s="58">
        <f t="shared" si="31"/>
        <v>672</v>
      </c>
      <c r="I47" s="82">
        <v>425</v>
      </c>
      <c r="J47" s="82">
        <f t="shared" si="7"/>
        <v>114.31829425847349</v>
      </c>
      <c r="K47" s="82">
        <f>0.1*$I47+PV($C$64,$N47,(-0.05*0.95*$G47))+PV($C$64,$N47,-15)</f>
        <v>278.9323987491822</v>
      </c>
      <c r="L47" s="82">
        <f t="shared" si="32"/>
        <v>5100</v>
      </c>
      <c r="M47" s="82">
        <f t="shared" si="33"/>
        <v>380.99168390813156</v>
      </c>
      <c r="N47" s="59">
        <v>20</v>
      </c>
      <c r="O47" s="60">
        <f t="shared" si="34"/>
        <v>8996.7481290742035</v>
      </c>
      <c r="P47" s="58">
        <f t="shared" si="34"/>
        <v>8996.7481290742035</v>
      </c>
      <c r="Q47" s="83">
        <f>(H47/$H$60)*$Q$60</f>
        <v>2034.6985284209454</v>
      </c>
      <c r="R47" s="59">
        <v>150</v>
      </c>
      <c r="S47" s="138">
        <f t="shared" si="35"/>
        <v>1800</v>
      </c>
      <c r="T47" s="61"/>
      <c r="U47" s="114">
        <f t="shared" si="36"/>
        <v>0.20007228991807136</v>
      </c>
      <c r="V47" s="115">
        <f t="shared" si="37"/>
        <v>0.42623161984813163</v>
      </c>
      <c r="W47" s="116">
        <f t="shared" si="38"/>
        <v>1.0602137221134136</v>
      </c>
      <c r="X47" s="61"/>
      <c r="Y47" s="127">
        <f t="shared" si="39"/>
        <v>4.2347710355134384E-2</v>
      </c>
      <c r="Z47" s="128">
        <f t="shared" si="40"/>
        <v>0.26850704028519468</v>
      </c>
      <c r="AA47" s="129">
        <f t="shared" si="41"/>
        <v>1.496615742179237</v>
      </c>
    </row>
    <row r="48" spans="2:27" x14ac:dyDescent="0.3">
      <c r="B48" s="110"/>
      <c r="C48" s="71"/>
      <c r="D48" s="59"/>
      <c r="E48" s="71"/>
      <c r="F48" s="71"/>
      <c r="G48" s="57"/>
      <c r="H48" s="58"/>
      <c r="I48" s="82"/>
      <c r="J48" s="82"/>
      <c r="K48" s="82"/>
      <c r="L48" s="82"/>
      <c r="M48" s="82"/>
      <c r="N48" s="59"/>
      <c r="O48" s="60"/>
      <c r="P48" s="58"/>
      <c r="Q48" s="83"/>
      <c r="R48" s="59"/>
      <c r="S48" s="138"/>
      <c r="T48" s="61"/>
      <c r="U48" s="114"/>
      <c r="V48" s="115"/>
      <c r="W48" s="116"/>
      <c r="X48" s="61"/>
      <c r="Y48" s="127"/>
      <c r="Z48" s="128"/>
      <c r="AA48" s="129"/>
    </row>
    <row r="49" spans="1:30" ht="26" x14ac:dyDescent="0.3">
      <c r="B49" s="110" t="s">
        <v>94</v>
      </c>
      <c r="C49" s="71" t="s">
        <v>78</v>
      </c>
      <c r="D49" s="59" t="s">
        <v>85</v>
      </c>
      <c r="E49" s="71">
        <v>2</v>
      </c>
      <c r="F49" s="71">
        <v>2</v>
      </c>
      <c r="G49" s="57">
        <v>75</v>
      </c>
      <c r="H49" s="58">
        <f t="shared" si="31"/>
        <v>150</v>
      </c>
      <c r="I49" s="82">
        <v>600</v>
      </c>
      <c r="J49" s="82">
        <f t="shared" si="7"/>
        <v>153.10485838188413</v>
      </c>
      <c r="K49" s="82">
        <f>0.1*$I49+PV($C$64,$N49,(-0.05*0.95*$G49))+PV($C$64,$N49,-15)</f>
        <v>308.51508503860106</v>
      </c>
      <c r="L49" s="82">
        <f t="shared" si="32"/>
        <v>1200</v>
      </c>
      <c r="M49" s="82">
        <f t="shared" si="33"/>
        <v>276.76011315902963</v>
      </c>
      <c r="N49" s="59">
        <v>20</v>
      </c>
      <c r="O49" s="60">
        <f>PV($C$64,$N49,-$H49)</f>
        <v>2008.2027073826346</v>
      </c>
      <c r="P49" s="58">
        <f>PV($C$64,$N49,-$H49)</f>
        <v>2008.2027073826346</v>
      </c>
      <c r="Q49" s="83">
        <f>(H49/$H$60)*$Q$60</f>
        <v>454.17377866538959</v>
      </c>
      <c r="R49" s="59">
        <v>250</v>
      </c>
      <c r="S49" s="138">
        <f t="shared" si="35"/>
        <v>500</v>
      </c>
      <c r="T49" s="61"/>
      <c r="U49" s="114">
        <f t="shared" si="36"/>
        <v>0.24897884967582212</v>
      </c>
      <c r="V49" s="115">
        <f t="shared" si="37"/>
        <v>0.47513817960588245</v>
      </c>
      <c r="W49" s="116">
        <f t="shared" si="38"/>
        <v>0.95108461403050437</v>
      </c>
      <c r="X49" s="61"/>
      <c r="Y49" s="127">
        <f t="shared" si="39"/>
        <v>0.13781482922097113</v>
      </c>
      <c r="Z49" s="128">
        <f t="shared" si="40"/>
        <v>0.36397415915103143</v>
      </c>
      <c r="AA49" s="129">
        <f t="shared" si="41"/>
        <v>1.1040670148509859</v>
      </c>
    </row>
    <row r="50" spans="1:30" x14ac:dyDescent="0.3">
      <c r="B50" s="59"/>
      <c r="C50" s="59"/>
      <c r="D50" s="59"/>
      <c r="E50" s="64"/>
      <c r="F50" s="64"/>
      <c r="G50" s="57"/>
      <c r="H50" s="58"/>
      <c r="I50" s="82"/>
      <c r="J50" s="82"/>
      <c r="K50" s="82"/>
      <c r="L50" s="82"/>
      <c r="M50" s="82"/>
      <c r="N50" s="59"/>
      <c r="O50" s="60"/>
      <c r="P50" s="58"/>
      <c r="Q50" s="83"/>
      <c r="R50" s="59"/>
      <c r="S50" s="138"/>
      <c r="T50" s="61"/>
      <c r="U50" s="114"/>
      <c r="V50" s="115"/>
      <c r="W50" s="116"/>
      <c r="X50" s="61"/>
      <c r="Y50" s="127"/>
      <c r="Z50" s="128"/>
      <c r="AA50" s="129"/>
    </row>
    <row r="51" spans="1:30" ht="26" x14ac:dyDescent="0.3">
      <c r="B51" s="87" t="s">
        <v>82</v>
      </c>
      <c r="C51" s="87" t="s">
        <v>79</v>
      </c>
      <c r="D51" s="59" t="s">
        <v>11</v>
      </c>
      <c r="E51" s="69">
        <v>1</v>
      </c>
      <c r="F51" s="69">
        <v>1</v>
      </c>
      <c r="G51" s="57">
        <v>110</v>
      </c>
      <c r="H51" s="58">
        <f t="shared" si="31"/>
        <v>110</v>
      </c>
      <c r="I51" s="82">
        <v>1024</v>
      </c>
      <c r="J51" s="82">
        <f t="shared" si="7"/>
        <v>212.94686691208324</v>
      </c>
      <c r="K51" s="82">
        <f>0.1*$I51+PV($C$64,$N51,(-0.05*0.95*$G51))+PV($C$64,$N51,-15)</f>
        <v>354.93256668973459</v>
      </c>
      <c r="L51" s="82">
        <f t="shared" si="32"/>
        <v>1024</v>
      </c>
      <c r="M51" s="82">
        <f t="shared" si="33"/>
        <v>456.12056639818218</v>
      </c>
      <c r="N51" s="59">
        <v>18</v>
      </c>
      <c r="O51" s="60">
        <f>PV($C$64,$N51,-$H51)</f>
        <v>1373.4774949750704</v>
      </c>
      <c r="P51" s="58">
        <f>PV($C$64,$N51,-$H51)</f>
        <v>1373.4774949750704</v>
      </c>
      <c r="Q51" s="83">
        <f>(H51/$H$60)*$Q$60</f>
        <v>333.06077102128569</v>
      </c>
      <c r="R51" s="59">
        <v>250</v>
      </c>
      <c r="S51" s="138">
        <f t="shared" si="35"/>
        <v>250</v>
      </c>
      <c r="T51" s="61"/>
      <c r="U51" s="114">
        <f t="shared" si="36"/>
        <v>0.18201972796397198</v>
      </c>
      <c r="V51" s="115">
        <f t="shared" si="37"/>
        <v>0.42451425171103274</v>
      </c>
      <c r="W51" s="116">
        <f>IF($S51=0,"-",(VLOOKUP($N51,AC,6)*$H51)/($S51+$Q51))</f>
        <v>1.0847925832707228</v>
      </c>
      <c r="X51" s="61"/>
      <c r="Y51" s="127">
        <f t="shared" si="39"/>
        <v>0.33209176565827975</v>
      </c>
      <c r="Z51" s="128">
        <f t="shared" si="40"/>
        <v>0.5745862894053404</v>
      </c>
      <c r="AA51" s="129">
        <f>IF($S51=0,"-",(VLOOKUP($N51,AC,4)*$H51)/($M51+$Q51))</f>
        <v>0.71225708635990093</v>
      </c>
    </row>
    <row r="52" spans="1:30" ht="26" x14ac:dyDescent="0.3">
      <c r="B52" s="87" t="s">
        <v>82</v>
      </c>
      <c r="C52" s="87" t="s">
        <v>77</v>
      </c>
      <c r="D52" s="59" t="s">
        <v>11</v>
      </c>
      <c r="E52" s="69">
        <v>2</v>
      </c>
      <c r="F52" s="69">
        <v>2</v>
      </c>
      <c r="G52" s="57">
        <v>111</v>
      </c>
      <c r="H52" s="58">
        <f t="shared" ref="H52" si="42">IF(ISNUMBER(F52),G52*F52,"")</f>
        <v>222</v>
      </c>
      <c r="I52" s="82">
        <v>1024</v>
      </c>
      <c r="J52" s="82">
        <f t="shared" si="7"/>
        <v>214.88274752037489</v>
      </c>
      <c r="K52" s="82">
        <f>0.1*$I52+PV($C$64,$N52,(-0.05*0.95*$G52))+PV($C$64,$N52,-15)</f>
        <v>355.52565924438284</v>
      </c>
      <c r="L52" s="82">
        <f t="shared" ref="L52" si="43">IF(ISNUMBER(I52),I52*F52,"")</f>
        <v>2048</v>
      </c>
      <c r="M52" s="82">
        <f t="shared" ref="M52" si="44">L52-F52*(J52+K52)</f>
        <v>907.18318647048454</v>
      </c>
      <c r="N52" s="59">
        <v>18</v>
      </c>
      <c r="O52" s="60">
        <f>PV($C$64,$N52,-$H52)</f>
        <v>2771.9273080405969</v>
      </c>
      <c r="P52" s="58">
        <f>PV($C$64,$N52,-$H52)</f>
        <v>2771.9273080405969</v>
      </c>
      <c r="Q52" s="83">
        <f>(H52/$H$60)*$Q$60</f>
        <v>672.17719242477654</v>
      </c>
      <c r="R52" s="59">
        <v>250</v>
      </c>
      <c r="S52" s="138">
        <f t="shared" ref="S52" si="45">IF(ISNUMBER(R52),R52*F52,"")</f>
        <v>500</v>
      </c>
      <c r="T52" s="61"/>
      <c r="U52" s="114">
        <f t="shared" ref="U52" si="46">IF(ISERROR(S52/P52),0,S52/P52)</f>
        <v>0.18037991059492717</v>
      </c>
      <c r="V52" s="115">
        <f t="shared" ref="V52" si="47">IF(ISERROR((Q52+S52)/P52),0,(Q52+S52)/P52)</f>
        <v>0.42287443434198779</v>
      </c>
      <c r="W52" s="116">
        <f>IF($S52=0,"-",(VLOOKUP($N52,AC,6)*$H52)/($S52+$Q52))</f>
        <v>1.0889991788352582</v>
      </c>
      <c r="X52" s="61"/>
      <c r="Y52" s="127">
        <f t="shared" ref="Y52" si="48">IF(ISERROR(M52/O52),0,M52/O52)</f>
        <v>0.32727524413753428</v>
      </c>
      <c r="Z52" s="128">
        <f t="shared" ref="Z52" si="49">IF(ISERROR(M52/O52),0,(M52+Q52)/O52)</f>
        <v>0.56976976788459488</v>
      </c>
      <c r="AA52" s="129">
        <f>IF($S52=0,"-",(VLOOKUP($N52,AC,4)*$H52)/($M52+$Q52))</f>
        <v>0.71827811762221738</v>
      </c>
    </row>
    <row r="53" spans="1:30" x14ac:dyDescent="0.3">
      <c r="B53" s="87"/>
      <c r="C53" s="87"/>
      <c r="D53" s="59"/>
      <c r="E53" s="69"/>
      <c r="F53" s="69"/>
      <c r="G53" s="57"/>
      <c r="H53" s="58"/>
      <c r="I53" s="82"/>
      <c r="J53" s="82"/>
      <c r="K53" s="82"/>
      <c r="L53" s="82"/>
      <c r="M53" s="82"/>
      <c r="N53" s="59"/>
      <c r="O53" s="60"/>
      <c r="P53" s="58"/>
      <c r="Q53" s="83"/>
      <c r="R53" s="59"/>
      <c r="S53" s="138"/>
      <c r="T53" s="61"/>
      <c r="U53" s="114"/>
      <c r="V53" s="115"/>
      <c r="W53" s="116"/>
      <c r="X53" s="61"/>
      <c r="Y53" s="127"/>
      <c r="Z53" s="128"/>
      <c r="AA53" s="129"/>
    </row>
    <row r="54" spans="1:30" x14ac:dyDescent="0.3">
      <c r="B54" s="87" t="s">
        <v>95</v>
      </c>
      <c r="C54" s="87" t="s">
        <v>78</v>
      </c>
      <c r="D54" s="59" t="s">
        <v>12</v>
      </c>
      <c r="E54" s="69">
        <v>38</v>
      </c>
      <c r="F54" s="71">
        <v>30863</v>
      </c>
      <c r="G54" s="57">
        <v>7.0999999999999994E-2</v>
      </c>
      <c r="H54" s="58">
        <f t="shared" si="31"/>
        <v>2191.2729999999997</v>
      </c>
      <c r="I54" s="82">
        <v>1.18</v>
      </c>
      <c r="J54" s="82">
        <f t="shared" si="7"/>
        <v>0.20124611182135263</v>
      </c>
      <c r="K54" s="82">
        <f>0.1*$I54+PV($C$64,$N54,(-0.05*0.95*$G54))</f>
        <v>0.18601070779072007</v>
      </c>
      <c r="L54" s="82">
        <f t="shared" si="32"/>
        <v>36418.339999999997</v>
      </c>
      <c r="M54" s="82">
        <f>L54-E54*(J54+K54)</f>
        <v>36403.62424085474</v>
      </c>
      <c r="N54" s="59">
        <v>45</v>
      </c>
      <c r="O54" s="60">
        <f t="shared" ref="O54:P56" si="50">PV($C$64,$N54,-$H54)</f>
        <v>44189.778411473548</v>
      </c>
      <c r="P54" s="58">
        <f t="shared" si="50"/>
        <v>44189.778411473548</v>
      </c>
      <c r="Q54" s="83">
        <f>(H54/$H$60)*$Q$60</f>
        <v>6634.7915899829604</v>
      </c>
      <c r="R54" s="59">
        <v>0.35</v>
      </c>
      <c r="S54" s="138">
        <f t="shared" si="35"/>
        <v>10802.05</v>
      </c>
      <c r="T54" s="61"/>
      <c r="U54" s="114">
        <f t="shared" si="36"/>
        <v>0.24444680168831368</v>
      </c>
      <c r="V54" s="115">
        <f t="shared" si="37"/>
        <v>0.39458993044997059</v>
      </c>
      <c r="W54" s="116">
        <f>IF($S54=0,"-",(VLOOKUP($N54,AC,6)*$H54)/($S54+$Q54))</f>
        <v>1.0455672987517124</v>
      </c>
      <c r="X54" s="61"/>
      <c r="Y54" s="127">
        <f t="shared" si="39"/>
        <v>0.82380191866730001</v>
      </c>
      <c r="Z54" s="128">
        <f t="shared" si="40"/>
        <v>0.97394504742895693</v>
      </c>
      <c r="AA54" s="129">
        <f>IF($S54=0,"-",(VLOOKUP($N54,AC,4)*$H54)/($M54+$Q54))</f>
        <v>0.35283645080447712</v>
      </c>
    </row>
    <row r="55" spans="1:30" x14ac:dyDescent="0.3">
      <c r="B55" s="87" t="s">
        <v>95</v>
      </c>
      <c r="C55" s="87" t="s">
        <v>79</v>
      </c>
      <c r="D55" s="59" t="s">
        <v>12</v>
      </c>
      <c r="E55" s="69">
        <v>6</v>
      </c>
      <c r="F55" s="71">
        <v>9682</v>
      </c>
      <c r="G55" s="57">
        <v>6.5000000000000002E-2</v>
      </c>
      <c r="H55" s="58">
        <f t="shared" si="31"/>
        <v>629.33000000000004</v>
      </c>
      <c r="I55" s="82">
        <v>1.18</v>
      </c>
      <c r="J55" s="82">
        <f t="shared" si="7"/>
        <v>0.18423939814630874</v>
      </c>
      <c r="K55" s="82">
        <f>0.1*$I55+PV($C$64,$N55,(-0.05*0.95*$G55))</f>
        <v>0.18026332403375783</v>
      </c>
      <c r="L55" s="82">
        <f t="shared" si="32"/>
        <v>11424.76</v>
      </c>
      <c r="M55" s="82">
        <f t="shared" ref="M55:M56" si="51">L55-E55*(J55+K55)</f>
        <v>11422.57298366692</v>
      </c>
      <c r="N55" s="59">
        <v>45</v>
      </c>
      <c r="O55" s="60">
        <f t="shared" si="50"/>
        <v>12691.231648312491</v>
      </c>
      <c r="P55" s="58">
        <f t="shared" si="50"/>
        <v>12691.231648312491</v>
      </c>
      <c r="Q55" s="83">
        <f>(H55/$H$60)*$Q$60</f>
        <v>1905.5012275165975</v>
      </c>
      <c r="R55" s="59">
        <v>0.35</v>
      </c>
      <c r="S55" s="138">
        <f t="shared" si="35"/>
        <v>3388.7</v>
      </c>
      <c r="T55" s="61"/>
      <c r="U55" s="114">
        <f t="shared" si="36"/>
        <v>0.26701112184415793</v>
      </c>
      <c r="V55" s="115">
        <f t="shared" si="37"/>
        <v>0.41715425060581485</v>
      </c>
      <c r="W55" s="116">
        <f>IF($S55=0,"-",(VLOOKUP($N55,AC,6)*$H55)/($S55+$Q55))</f>
        <v>0.98901144383892536</v>
      </c>
      <c r="X55" s="61"/>
      <c r="Y55" s="127">
        <f t="shared" si="39"/>
        <v>0.90003660008725317</v>
      </c>
      <c r="Z55" s="128">
        <f t="shared" si="40"/>
        <v>1.0501797288489101</v>
      </c>
      <c r="AA55" s="129">
        <f>IF($S55=0,"-",(VLOOKUP($N55,AC,4)*$H55)/($M55+$Q55))</f>
        <v>0.32722333556189931</v>
      </c>
    </row>
    <row r="56" spans="1:30" x14ac:dyDescent="0.3">
      <c r="B56" s="87" t="s">
        <v>95</v>
      </c>
      <c r="C56" s="87" t="s">
        <v>77</v>
      </c>
      <c r="D56" s="59" t="s">
        <v>12</v>
      </c>
      <c r="E56" s="69">
        <v>18</v>
      </c>
      <c r="F56" s="71">
        <v>17870</v>
      </c>
      <c r="G56" s="57">
        <v>7.5999999999999998E-2</v>
      </c>
      <c r="H56" s="58">
        <f t="shared" si="31"/>
        <v>1358.12</v>
      </c>
      <c r="I56" s="82">
        <v>1.18</v>
      </c>
      <c r="J56" s="82">
        <f t="shared" si="7"/>
        <v>0.21541837321722254</v>
      </c>
      <c r="K56" s="82">
        <f>0.1*$I56+PV($C$64,$N56,(-0.05*0.95*$G56))</f>
        <v>0.19080019425485528</v>
      </c>
      <c r="L56" s="82">
        <f t="shared" si="32"/>
        <v>21086.6</v>
      </c>
      <c r="M56" s="82">
        <f t="shared" si="51"/>
        <v>21079.288065785502</v>
      </c>
      <c r="N56" s="59">
        <v>45</v>
      </c>
      <c r="O56" s="60">
        <f t="shared" si="50"/>
        <v>27388.199396510819</v>
      </c>
      <c r="P56" s="58">
        <f t="shared" si="50"/>
        <v>27388.199396510819</v>
      </c>
      <c r="Q56" s="83">
        <f>(H56/$H$60)*$Q$60</f>
        <v>4112.1499485402583</v>
      </c>
      <c r="R56" s="59">
        <v>0.35</v>
      </c>
      <c r="S56" s="138">
        <f t="shared" si="35"/>
        <v>6254.5</v>
      </c>
      <c r="T56" s="61"/>
      <c r="U56" s="114">
        <f t="shared" si="36"/>
        <v>0.22836477526145096</v>
      </c>
      <c r="V56" s="115">
        <f t="shared" si="37"/>
        <v>0.37850790402310786</v>
      </c>
      <c r="W56" s="116">
        <f>IF($S56=0,"-",(VLOOKUP($N56,AC,6)*$H56)/($S56+$Q56))</f>
        <v>1.0899913140783832</v>
      </c>
      <c r="X56" s="61"/>
      <c r="Y56" s="127">
        <f t="shared" si="39"/>
        <v>0.76964855413134403</v>
      </c>
      <c r="Z56" s="128">
        <f t="shared" si="40"/>
        <v>0.91979168289300095</v>
      </c>
      <c r="AA56" s="129">
        <f>IF($S56=0,"-",(VLOOKUP($N56,AC,4)*$H56)/($M56+$Q56))</f>
        <v>0.37360993821185406</v>
      </c>
    </row>
    <row r="57" spans="1:30" x14ac:dyDescent="0.3">
      <c r="B57" s="59"/>
      <c r="C57" s="59"/>
      <c r="D57" s="59"/>
      <c r="E57" s="64"/>
      <c r="F57" s="64"/>
      <c r="G57" s="57"/>
      <c r="H57" s="58"/>
      <c r="I57" s="82"/>
      <c r="J57" s="82"/>
      <c r="K57" s="82"/>
      <c r="L57" s="82"/>
      <c r="M57" s="82"/>
      <c r="N57" s="59"/>
      <c r="O57" s="60"/>
      <c r="P57" s="58"/>
      <c r="Q57" s="83"/>
      <c r="R57" s="59"/>
      <c r="S57" s="138"/>
      <c r="T57" s="61"/>
      <c r="U57" s="114"/>
      <c r="V57" s="115"/>
      <c r="W57" s="116"/>
      <c r="X57" s="61"/>
      <c r="Y57" s="127"/>
      <c r="Z57" s="128"/>
      <c r="AA57" s="129"/>
    </row>
    <row r="58" spans="1:30" s="62" customFormat="1" ht="37.5" customHeight="1" x14ac:dyDescent="0.3">
      <c r="A58" s="56"/>
      <c r="B58" s="87" t="s">
        <v>72</v>
      </c>
      <c r="C58" s="87" t="s">
        <v>78</v>
      </c>
      <c r="D58" s="80" t="s">
        <v>84</v>
      </c>
      <c r="E58" s="69">
        <v>3</v>
      </c>
      <c r="F58" s="69">
        <v>3</v>
      </c>
      <c r="G58" s="57">
        <v>75</v>
      </c>
      <c r="H58" s="58">
        <f t="shared" si="31"/>
        <v>225</v>
      </c>
      <c r="I58" s="82">
        <v>750</v>
      </c>
      <c r="J58" s="82">
        <f t="shared" si="7"/>
        <v>122.33194708957018</v>
      </c>
      <c r="K58" s="82">
        <f>0.1*$I58+PV($C$64,$N58,(-0.05*0.95*$G58))</f>
        <v>110.20153834832976</v>
      </c>
      <c r="L58" s="82">
        <f t="shared" si="32"/>
        <v>2250</v>
      </c>
      <c r="M58" s="82">
        <f t="shared" si="33"/>
        <v>1552.3995436863001</v>
      </c>
      <c r="N58" s="59">
        <v>13</v>
      </c>
      <c r="O58" s="60">
        <f>PV($C$64,$N58,-$H58)</f>
        <v>2223.2550535787223</v>
      </c>
      <c r="P58" s="58">
        <f>PV($C$64,$N58,-$H58)</f>
        <v>2223.2550535787223</v>
      </c>
      <c r="Q58" s="83">
        <f>(H58/$H$60)*$Q$60</f>
        <v>681.26066799808439</v>
      </c>
      <c r="R58" s="59">
        <v>100</v>
      </c>
      <c r="S58" s="138">
        <f t="shared" si="35"/>
        <v>300</v>
      </c>
      <c r="T58" s="61"/>
      <c r="U58" s="114">
        <f t="shared" si="36"/>
        <v>0.13493728464356661</v>
      </c>
      <c r="V58" s="115">
        <f t="shared" si="37"/>
        <v>0.44136216689064611</v>
      </c>
      <c r="W58" s="116">
        <f>IF($S58=0,"-",(VLOOKUP($N58,AC,6)*$H58)/($S58+$Q58))</f>
        <v>1.0708163837277653</v>
      </c>
      <c r="X58" s="61"/>
      <c r="Y58" s="127">
        <f t="shared" si="39"/>
        <v>0.69825526368980406</v>
      </c>
      <c r="Z58" s="128">
        <f t="shared" si="40"/>
        <v>1.0046801459368837</v>
      </c>
      <c r="AA58" s="129">
        <f>IF($S58=0,"-",(VLOOKUP($N58,AC,4)*$H58)/($M58+$Q58))</f>
        <v>0.42710166703493208</v>
      </c>
    </row>
    <row r="59" spans="1:30" ht="13.5" thickBot="1" x14ac:dyDescent="0.35">
      <c r="B59" s="59" t="s">
        <v>54</v>
      </c>
      <c r="C59" s="59"/>
      <c r="D59" s="59"/>
      <c r="E59" s="64"/>
      <c r="F59" s="64"/>
      <c r="G59" s="88" t="s">
        <v>54</v>
      </c>
      <c r="H59" s="58"/>
      <c r="I59" s="89"/>
      <c r="J59" s="89"/>
      <c r="K59" s="89"/>
      <c r="L59" s="82" t="str">
        <f>IF(ISNUMBER(I59),I59*F59,"")</f>
        <v/>
      </c>
      <c r="M59" s="82" t="str">
        <f>IF(ISNUMBER(L59),NEPercentage*L59,"")</f>
        <v/>
      </c>
      <c r="N59" s="59" t="s">
        <v>54</v>
      </c>
      <c r="O59" s="88"/>
      <c r="P59" s="58"/>
      <c r="Q59" s="90"/>
      <c r="R59" s="91"/>
      <c r="S59" s="139"/>
      <c r="T59" s="103"/>
      <c r="U59" s="117"/>
      <c r="V59" s="118"/>
      <c r="W59" s="118"/>
      <c r="X59" s="92"/>
      <c r="Y59" s="130"/>
      <c r="Z59" s="131"/>
      <c r="AA59" s="131"/>
    </row>
    <row r="60" spans="1:30" ht="13.5" thickBot="1" x14ac:dyDescent="0.35">
      <c r="B60" s="93" t="s">
        <v>16</v>
      </c>
      <c r="C60" s="93"/>
      <c r="D60" s="93"/>
      <c r="E60" s="65">
        <v>1552</v>
      </c>
      <c r="F60" s="66">
        <f>SUM(F6:F58)</f>
        <v>427534</v>
      </c>
      <c r="G60" s="94"/>
      <c r="H60" s="95">
        <f>SUM(H6:H58)</f>
        <v>171619.59399999995</v>
      </c>
      <c r="I60" s="95"/>
      <c r="J60" s="95">
        <f>SUM(J6:J58)</f>
        <v>6439.138397011473</v>
      </c>
      <c r="K60" s="95">
        <f>SUM(K6:K58)</f>
        <v>7987.0842478272507</v>
      </c>
      <c r="L60" s="96">
        <f>SUM(L6:L58)</f>
        <v>1716649.9000000001</v>
      </c>
      <c r="M60" s="97">
        <f>SUM(M6:M58)</f>
        <v>969879.98737182107</v>
      </c>
      <c r="N60" s="98">
        <f>SUMPRODUCT(N6:N58,H6:H58)/SUM(H6:H58)</f>
        <v>22.863512484477742</v>
      </c>
      <c r="O60" s="94">
        <f>SUM(O6:O58)</f>
        <v>2391465.8669246715</v>
      </c>
      <c r="P60" s="95">
        <f>O60</f>
        <v>2391465.8669246715</v>
      </c>
      <c r="Q60" s="99">
        <f>C65</f>
        <v>519634.13</v>
      </c>
      <c r="R60" s="96"/>
      <c r="S60" s="100">
        <f>SUM(S6:S58)</f>
        <v>458287.04999999993</v>
      </c>
      <c r="T60" s="104"/>
      <c r="U60" s="122">
        <f>IF(ISERROR(S60/P60),0,S60/P60)</f>
        <v>0.19163436799929684</v>
      </c>
      <c r="V60" s="123">
        <f t="shared" ref="V60" si="52">IF(ISERROR((Q60+S60)/P60),0,(Q60+S60)/P60)</f>
        <v>0.40892123677164044</v>
      </c>
      <c r="W60" s="124">
        <f>IF(VALUE(LEFT($S60,11))=0,"-",(VLOOKUP($N60,AC,6)*VALUE(LEFT($H60,7)))/(VALUE(LEFT($S60,11))+$Q60))</f>
        <v>1.1336892611324769</v>
      </c>
      <c r="X60" s="101"/>
      <c r="Y60" s="135">
        <f t="shared" ref="Y60" si="53">IF(ISERROR(M60/O60),0,M60/O60)</f>
        <v>0.40555878333277134</v>
      </c>
      <c r="Z60" s="136">
        <f>IF(ISERROR(M60/O60),0,(M60+Q60)/O60)</f>
        <v>0.622845652105115</v>
      </c>
      <c r="AA60" s="137">
        <f>IF($S60=0,"-",(VLOOKUP($N60,AC,4)*$H60)/($M60+$Q60))</f>
        <v>0.64637582894399892</v>
      </c>
      <c r="AD60" s="44"/>
    </row>
    <row r="61" spans="1:30" x14ac:dyDescent="0.3">
      <c r="I61" s="37"/>
      <c r="J61" s="37"/>
      <c r="K61" s="37"/>
      <c r="L61" s="37"/>
      <c r="M61" s="37"/>
    </row>
    <row r="62" spans="1:30" x14ac:dyDescent="0.3">
      <c r="B62" s="31" t="s">
        <v>75</v>
      </c>
      <c r="C62" s="141">
        <v>8.7599999999999997E-2</v>
      </c>
      <c r="H62" s="45"/>
      <c r="Q62" s="42"/>
      <c r="R62" s="46"/>
      <c r="S62" s="47"/>
      <c r="T62" s="47"/>
    </row>
    <row r="63" spans="1:30" x14ac:dyDescent="0.3">
      <c r="B63" s="31" t="s">
        <v>76</v>
      </c>
      <c r="C63" s="141">
        <v>0.02</v>
      </c>
      <c r="G63" s="48"/>
      <c r="H63" s="49"/>
      <c r="I63" s="50"/>
      <c r="J63" s="50"/>
      <c r="K63" s="111" t="s">
        <v>87</v>
      </c>
      <c r="L63" s="50">
        <f>L60-M60</f>
        <v>746769.91262817907</v>
      </c>
      <c r="S63" s="47"/>
      <c r="T63" s="47"/>
    </row>
    <row r="64" spans="1:30" x14ac:dyDescent="0.3">
      <c r="B64" s="31" t="s">
        <v>98</v>
      </c>
      <c r="C64" s="141">
        <v>4.1700000000000001E-2</v>
      </c>
      <c r="G64" s="48"/>
      <c r="H64" s="51"/>
      <c r="S64" s="47"/>
      <c r="T64" s="47"/>
    </row>
    <row r="65" spans="1:19" x14ac:dyDescent="0.3">
      <c r="B65" s="31" t="s">
        <v>97</v>
      </c>
      <c r="C65" s="81">
        <v>519634.13</v>
      </c>
      <c r="L65" s="50"/>
      <c r="M65" s="50"/>
    </row>
    <row r="66" spans="1:19" x14ac:dyDescent="0.3">
      <c r="A66" s="38"/>
      <c r="B66" s="107"/>
      <c r="C66" s="107"/>
      <c r="D66" s="107"/>
      <c r="E66" s="73"/>
      <c r="F66" s="73"/>
      <c r="G66" s="11"/>
      <c r="H66" s="11"/>
      <c r="I66" s="11"/>
      <c r="J66" s="11"/>
      <c r="K66" s="11"/>
      <c r="S66" s="52"/>
    </row>
    <row r="67" spans="1:19" x14ac:dyDescent="0.3">
      <c r="A67" s="38"/>
      <c r="B67" s="107"/>
      <c r="C67" s="107"/>
      <c r="D67" s="107"/>
      <c r="E67" s="73"/>
      <c r="F67" s="73"/>
      <c r="G67" s="11"/>
      <c r="H67" s="11"/>
      <c r="I67" s="11"/>
      <c r="J67" s="11"/>
      <c r="K67" s="11"/>
    </row>
    <row r="68" spans="1:19" x14ac:dyDescent="0.3">
      <c r="A68" s="38"/>
      <c r="B68" s="107"/>
      <c r="C68" s="107"/>
      <c r="D68" s="107"/>
      <c r="E68" s="73"/>
      <c r="F68" s="73"/>
      <c r="G68" s="11"/>
      <c r="H68" s="11"/>
      <c r="I68" s="11"/>
      <c r="J68" s="11"/>
      <c r="K68" s="11"/>
      <c r="L68" s="53"/>
      <c r="M68" s="43"/>
    </row>
    <row r="69" spans="1:19" x14ac:dyDescent="0.3">
      <c r="A69" s="38"/>
      <c r="B69" s="147"/>
      <c r="C69" s="147"/>
      <c r="D69" s="147"/>
      <c r="E69" s="147"/>
      <c r="F69" s="147"/>
      <c r="G69" s="147"/>
      <c r="H69" s="147"/>
      <c r="I69" s="147"/>
      <c r="J69" s="105"/>
      <c r="K69" s="105"/>
      <c r="L69" s="50"/>
      <c r="M69" s="50"/>
      <c r="O69" s="49"/>
      <c r="P69" s="49"/>
      <c r="Q69" s="50"/>
    </row>
    <row r="70" spans="1:19" x14ac:dyDescent="0.3">
      <c r="A70" s="38"/>
      <c r="L70" s="50"/>
    </row>
    <row r="71" spans="1:19" x14ac:dyDescent="0.3">
      <c r="A71" s="38"/>
    </row>
    <row r="72" spans="1:19" x14ac:dyDescent="0.3">
      <c r="A72" s="38"/>
      <c r="M72" s="50"/>
    </row>
    <row r="73" spans="1:19" x14ac:dyDescent="0.3">
      <c r="A73" s="38"/>
      <c r="M73" s="50"/>
    </row>
    <row r="74" spans="1:19" x14ac:dyDescent="0.3">
      <c r="A74" s="38"/>
      <c r="M74" s="50"/>
    </row>
    <row r="75" spans="1:19" x14ac:dyDescent="0.3">
      <c r="A75" s="38"/>
    </row>
    <row r="76" spans="1:19" x14ac:dyDescent="0.3">
      <c r="A76" s="38"/>
      <c r="M76" s="50"/>
    </row>
    <row r="77" spans="1:19" x14ac:dyDescent="0.3">
      <c r="A77" s="38"/>
      <c r="M77" s="50"/>
    </row>
    <row r="78" spans="1:19" x14ac:dyDescent="0.3">
      <c r="A78" s="38"/>
      <c r="M78" s="50"/>
    </row>
    <row r="79" spans="1:19" x14ac:dyDescent="0.3">
      <c r="A79" s="38"/>
    </row>
    <row r="80" spans="1:19" x14ac:dyDescent="0.3">
      <c r="A80" s="38"/>
    </row>
  </sheetData>
  <autoFilter ref="B4:S60"/>
  <customSheetViews>
    <customSheetView guid="{C923932C-96B5-464D-9E0A-3FBBD9F9862F}" scale="85" showPageBreaks="1" fitToPage="1" printArea="1" showAutoFilter="1" hiddenColumns="1" topLeftCell="B1">
      <pane ySplit="4" topLeftCell="A5" activePane="bottomLeft" state="frozen"/>
      <selection pane="bottomLeft" activeCell="F68" sqref="F68"/>
      <pageMargins left="0.25" right="0.25" top="0.75" bottom="0.75" header="0.3" footer="0.3"/>
      <printOptions horizontalCentered="1" verticalCentered="1"/>
      <pageSetup paperSize="17" scale="53" orientation="landscape" r:id="rId1"/>
      <headerFooter alignWithMargins="0">
        <oddFooter>&amp;C&amp;14Appendix A&amp;R&amp;14Page 2 of 4</oddFooter>
      </headerFooter>
      <autoFilter ref="B4:S60"/>
    </customSheetView>
    <customSheetView guid="{2071E27A-5EFB-4FE2-B87C-64D436A2C10C}" scale="85" showPageBreaks="1" fitToPage="1" printArea="1" showAutoFilter="1" hiddenColumns="1" topLeftCell="B1">
      <pane ySplit="6" topLeftCell="A49" activePane="bottomLeft" state="frozen"/>
      <selection pane="bottomLeft" activeCell="G74" sqref="G74"/>
      <pageMargins left="0.25" right="0.25" top="0.75" bottom="0.75" header="0.3" footer="0.3"/>
      <printOptions horizontalCentered="1" verticalCentered="1"/>
      <pageSetup paperSize="17" scale="53" orientation="landscape" r:id="rId2"/>
      <headerFooter alignWithMargins="0">
        <oddFooter>&amp;C&amp;14Appendix A&amp;R&amp;14Page 2 of 4</oddFooter>
      </headerFooter>
      <autoFilter ref="B4:S60"/>
    </customSheetView>
    <customSheetView guid="{53FDAFFF-3D96-4F28-89A0-59B371010818}" scale="85" fitToPage="1" showAutoFilter="1" hiddenColumns="1" topLeftCell="B1">
      <pane ySplit="6" topLeftCell="A48" activePane="bottomLeft" state="frozen"/>
      <selection pane="bottomLeft" activeCell="J65" sqref="J65"/>
      <pageMargins left="0.25" right="0.25" top="0.75" bottom="0.75" header="0.3" footer="0.3"/>
      <printOptions horizontalCentered="1" verticalCentered="1"/>
      <pageSetup paperSize="17" scale="41" orientation="landscape" r:id="rId3"/>
      <headerFooter alignWithMargins="0">
        <oddFooter>&amp;C&amp;14Appendix A&amp;R&amp;14Page 2 of 4</oddFooter>
      </headerFooter>
      <autoFilter ref="B4:S62"/>
    </customSheetView>
  </customSheetViews>
  <mergeCells count="3">
    <mergeCell ref="C1:W1"/>
    <mergeCell ref="C2:W2"/>
    <mergeCell ref="B69:I69"/>
  </mergeCells>
  <phoneticPr fontId="0" type="noConversion"/>
  <printOptions horizontalCentered="1" verticalCentered="1"/>
  <pageMargins left="0.25" right="0.25" top="0.75" bottom="0.75" header="0.3" footer="0.3"/>
  <pageSetup paperSize="17" scale="53" orientation="landscape" r:id="rId4"/>
  <headerFooter alignWithMargins="0">
    <oddFooter>&amp;C&amp;14Appendix A&amp;R&amp;14Page 2 of 4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="80" workbookViewId="0">
      <selection activeCell="D6" sqref="D6"/>
    </sheetView>
  </sheetViews>
  <sheetFormatPr defaultRowHeight="13" x14ac:dyDescent="0.3"/>
  <cols>
    <col min="1" max="1" width="49.296875" bestFit="1" customWidth="1"/>
    <col min="2" max="2" width="12" style="3" bestFit="1" customWidth="1"/>
    <col min="3" max="3" width="20.19921875" style="4" bestFit="1" customWidth="1"/>
    <col min="4" max="4" width="44.5" style="5" bestFit="1" customWidth="1"/>
    <col min="5" max="5" width="12.5" style="4" bestFit="1" customWidth="1"/>
    <col min="6" max="6" width="41.69921875" bestFit="1" customWidth="1"/>
    <col min="7" max="7" width="46.796875" style="3" bestFit="1" customWidth="1"/>
    <col min="10" max="10" width="15.19921875" bestFit="1" customWidth="1"/>
  </cols>
  <sheetData>
    <row r="1" spans="1:9" x14ac:dyDescent="0.3">
      <c r="A1" s="148" t="s">
        <v>17</v>
      </c>
      <c r="B1" s="149"/>
      <c r="C1" s="2"/>
      <c r="D1" s="2"/>
      <c r="E1" s="2"/>
      <c r="F1" s="2"/>
      <c r="G1" s="2"/>
      <c r="H1" s="3"/>
      <c r="I1" s="3"/>
    </row>
    <row r="2" spans="1:9" x14ac:dyDescent="0.3">
      <c r="A2" s="148" t="s">
        <v>18</v>
      </c>
      <c r="B2" s="149"/>
      <c r="C2" s="2"/>
      <c r="D2" s="2"/>
      <c r="E2" s="2"/>
      <c r="F2" s="2"/>
      <c r="G2" s="2"/>
      <c r="H2" s="3"/>
      <c r="I2" s="3"/>
    </row>
    <row r="3" spans="1:9" x14ac:dyDescent="0.3">
      <c r="A3" s="148" t="s">
        <v>19</v>
      </c>
      <c r="B3" s="149"/>
      <c r="C3" s="2"/>
      <c r="D3" s="2"/>
      <c r="E3" s="2"/>
      <c r="F3" s="2"/>
      <c r="G3" s="2"/>
      <c r="H3" s="3"/>
      <c r="I3" s="3"/>
    </row>
    <row r="4" spans="1:9" ht="13.5" thickBot="1" x14ac:dyDescent="0.35">
      <c r="C4"/>
      <c r="D4"/>
      <c r="E4"/>
      <c r="G4"/>
    </row>
    <row r="5" spans="1:9" ht="13.5" thickBot="1" x14ac:dyDescent="0.35">
      <c r="A5" s="12" t="s">
        <v>1</v>
      </c>
      <c r="B5" s="8">
        <v>8.6699999999999999E-2</v>
      </c>
      <c r="D5"/>
      <c r="E5"/>
      <c r="G5"/>
    </row>
    <row r="6" spans="1:9" ht="13.5" thickBot="1" x14ac:dyDescent="0.35">
      <c r="A6" s="10"/>
      <c r="B6" s="9"/>
      <c r="D6"/>
      <c r="E6"/>
      <c r="G6"/>
    </row>
    <row r="7" spans="1:9" ht="13.5" thickBot="1" x14ac:dyDescent="0.35">
      <c r="A7" s="12" t="s">
        <v>2</v>
      </c>
      <c r="B7" s="8">
        <v>0.02</v>
      </c>
      <c r="D7"/>
      <c r="E7"/>
      <c r="G7"/>
    </row>
    <row r="8" spans="1:9" ht="13.5" thickBot="1" x14ac:dyDescent="0.35">
      <c r="A8" s="10"/>
      <c r="B8" s="9"/>
      <c r="D8"/>
      <c r="E8"/>
      <c r="G8"/>
    </row>
    <row r="9" spans="1:9" ht="13.5" thickBot="1" x14ac:dyDescent="0.35">
      <c r="A9" s="12" t="s">
        <v>3</v>
      </c>
      <c r="B9" s="8">
        <v>4.1700000000000001E-2</v>
      </c>
      <c r="D9"/>
      <c r="E9"/>
      <c r="G9"/>
    </row>
    <row r="10" spans="1:9" ht="13.5" thickBot="1" x14ac:dyDescent="0.35">
      <c r="A10" s="6"/>
      <c r="B10" s="1"/>
      <c r="C10" s="7"/>
      <c r="D10"/>
      <c r="E10"/>
      <c r="G10"/>
    </row>
    <row r="11" spans="1:9" ht="13.5" thickBot="1" x14ac:dyDescent="0.35">
      <c r="A11" s="13" t="s">
        <v>24</v>
      </c>
      <c r="B11" s="8">
        <v>0.1</v>
      </c>
      <c r="C11" s="7"/>
      <c r="D11"/>
      <c r="E11"/>
      <c r="G11"/>
    </row>
    <row r="12" spans="1:9" x14ac:dyDescent="0.3">
      <c r="A12" s="6"/>
      <c r="B12" s="1"/>
      <c r="C12" s="7"/>
      <c r="D12"/>
      <c r="E12"/>
      <c r="G12"/>
    </row>
    <row r="13" spans="1:9" x14ac:dyDescent="0.3">
      <c r="C13"/>
      <c r="D13"/>
      <c r="E13"/>
      <c r="G13"/>
    </row>
    <row r="17" spans="2:2" x14ac:dyDescent="0.3">
      <c r="B17" s="5"/>
    </row>
    <row r="18" spans="2:2" x14ac:dyDescent="0.3">
      <c r="B18" s="5"/>
    </row>
    <row r="19" spans="2:2" x14ac:dyDescent="0.3">
      <c r="B19" s="5"/>
    </row>
    <row r="20" spans="2:2" x14ac:dyDescent="0.3">
      <c r="B20" s="5"/>
    </row>
    <row r="21" spans="2:2" x14ac:dyDescent="0.3">
      <c r="B21" s="5"/>
    </row>
    <row r="22" spans="2:2" x14ac:dyDescent="0.3">
      <c r="B22" s="5"/>
    </row>
    <row r="23" spans="2:2" x14ac:dyDescent="0.3">
      <c r="B23" s="5"/>
    </row>
    <row r="24" spans="2:2" x14ac:dyDescent="0.3">
      <c r="B24" s="5"/>
    </row>
    <row r="25" spans="2:2" x14ac:dyDescent="0.3">
      <c r="B25" s="5"/>
    </row>
  </sheetData>
  <customSheetViews>
    <customSheetView guid="{C923932C-96B5-464D-9E0A-3FBBD9F9862F}" scale="80">
      <selection activeCell="D6" sqref="D6"/>
      <pageMargins left="0.75" right="0.75" top="1" bottom="1" header="0.5" footer="0.5"/>
      <headerFooter alignWithMargins="0"/>
    </customSheetView>
    <customSheetView guid="{2071E27A-5EFB-4FE2-B87C-64D436A2C10C}" scale="80">
      <selection activeCell="A5" sqref="A5"/>
      <pageMargins left="0.75" right="0.75" top="1" bottom="1" header="0.5" footer="0.5"/>
      <headerFooter alignWithMargins="0"/>
    </customSheetView>
    <customSheetView guid="{53FDAFFF-3D96-4F28-89A0-59B371010818}" scale="80">
      <selection activeCell="A5" sqref="A5"/>
      <pageMargins left="0.75" right="0.75" top="1" bottom="1" header="0.5" footer="0.5"/>
      <headerFooter alignWithMargins="0"/>
    </customSheetView>
  </customSheetViews>
  <mergeCells count="3">
    <mergeCell ref="A1:B1"/>
    <mergeCell ref="A3:B3"/>
    <mergeCell ref="A2:B2"/>
  </mergeCells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9"/>
  <sheetViews>
    <sheetView zoomScale="80" zoomScaleNormal="80" workbookViewId="0">
      <selection activeCell="A3" sqref="A3:H3"/>
    </sheetView>
  </sheetViews>
  <sheetFormatPr defaultColWidth="10.69921875" defaultRowHeight="12.5" x14ac:dyDescent="0.25"/>
  <cols>
    <col min="1" max="1" width="7.296875" style="18" bestFit="1" customWidth="1"/>
    <col min="2" max="2" width="7.69921875" style="18" bestFit="1" customWidth="1"/>
    <col min="3" max="3" width="18" style="18" customWidth="1"/>
    <col min="4" max="4" width="12.296875" style="18" bestFit="1" customWidth="1"/>
    <col min="5" max="5" width="13.5" style="18" bestFit="1" customWidth="1"/>
    <col min="6" max="6" width="20.296875" style="18" bestFit="1" customWidth="1"/>
    <col min="7" max="7" width="21.796875" style="18" bestFit="1" customWidth="1"/>
    <col min="8" max="8" width="19.296875" style="18" bestFit="1" customWidth="1"/>
    <col min="9" max="16384" width="10.69921875" style="18"/>
  </cols>
  <sheetData>
    <row r="1" spans="1:9" s="15" customFormat="1" ht="13" x14ac:dyDescent="0.3">
      <c r="A1" s="150" t="s">
        <v>0</v>
      </c>
      <c r="B1" s="150"/>
      <c r="C1" s="150"/>
      <c r="D1" s="150"/>
      <c r="E1" s="150"/>
      <c r="F1" s="150"/>
      <c r="G1" s="150"/>
      <c r="H1" s="150"/>
      <c r="I1" s="33"/>
    </row>
    <row r="2" spans="1:9" s="15" customFormat="1" ht="13" x14ac:dyDescent="0.3">
      <c r="A2" s="150" t="s">
        <v>103</v>
      </c>
      <c r="B2" s="150"/>
      <c r="C2" s="150"/>
      <c r="D2" s="150"/>
      <c r="E2" s="150"/>
      <c r="F2" s="150"/>
      <c r="G2" s="150"/>
      <c r="H2" s="150"/>
      <c r="I2" s="33"/>
    </row>
    <row r="3" spans="1:9" s="15" customFormat="1" ht="13" x14ac:dyDescent="0.3">
      <c r="A3" s="150" t="s">
        <v>25</v>
      </c>
      <c r="B3" s="150"/>
      <c r="C3" s="150"/>
      <c r="D3" s="150"/>
      <c r="E3" s="150"/>
      <c r="F3" s="150"/>
      <c r="G3" s="150"/>
      <c r="H3" s="150"/>
      <c r="I3" s="33"/>
    </row>
    <row r="4" spans="1:9" s="15" customFormat="1" ht="13" x14ac:dyDescent="0.3">
      <c r="A4" s="150" t="s">
        <v>26</v>
      </c>
      <c r="B4" s="150"/>
      <c r="C4" s="150"/>
      <c r="D4" s="150"/>
      <c r="E4" s="150"/>
      <c r="F4" s="150"/>
      <c r="G4" s="150"/>
      <c r="H4" s="150"/>
      <c r="I4" s="33"/>
    </row>
    <row r="6" spans="1:9" s="16" customFormat="1" x14ac:dyDescent="0.25">
      <c r="C6" s="16" t="s">
        <v>27</v>
      </c>
      <c r="E6" s="16" t="s">
        <v>28</v>
      </c>
      <c r="F6" s="16" t="s">
        <v>59</v>
      </c>
      <c r="G6" s="16" t="s">
        <v>29</v>
      </c>
    </row>
    <row r="7" spans="1:9" s="16" customFormat="1" x14ac:dyDescent="0.25">
      <c r="C7" s="16" t="s">
        <v>30</v>
      </c>
      <c r="D7" s="16" t="s">
        <v>31</v>
      </c>
      <c r="E7" s="16" t="s">
        <v>9</v>
      </c>
      <c r="F7" s="16" t="s">
        <v>60</v>
      </c>
      <c r="G7" s="16" t="s">
        <v>61</v>
      </c>
      <c r="H7" s="16" t="s">
        <v>32</v>
      </c>
    </row>
    <row r="8" spans="1:9" s="16" customFormat="1" x14ac:dyDescent="0.25">
      <c r="C8" s="16" t="s">
        <v>33</v>
      </c>
      <c r="D8" s="16" t="s">
        <v>33</v>
      </c>
      <c r="E8" s="16" t="s">
        <v>30</v>
      </c>
      <c r="F8" s="16" t="s">
        <v>23</v>
      </c>
      <c r="G8" s="16" t="s">
        <v>34</v>
      </c>
      <c r="H8" s="16" t="s">
        <v>35</v>
      </c>
    </row>
    <row r="9" spans="1:9" s="16" customFormat="1" x14ac:dyDescent="0.25">
      <c r="B9" s="17" t="s">
        <v>36</v>
      </c>
      <c r="C9" s="17" t="s">
        <v>37</v>
      </c>
      <c r="D9" s="17" t="s">
        <v>7</v>
      </c>
      <c r="E9" s="17" t="s">
        <v>38</v>
      </c>
      <c r="F9" s="17"/>
      <c r="G9" s="17" t="s">
        <v>39</v>
      </c>
      <c r="H9" s="17" t="s">
        <v>40</v>
      </c>
    </row>
    <row r="10" spans="1:9" ht="14.5" x14ac:dyDescent="0.35">
      <c r="A10" s="34">
        <v>2015</v>
      </c>
      <c r="B10" s="22">
        <v>1</v>
      </c>
      <c r="C10" s="26">
        <v>0.42</v>
      </c>
      <c r="D10" s="25">
        <v>0.46</v>
      </c>
      <c r="E10" s="27">
        <v>0.42</v>
      </c>
      <c r="F10" s="29">
        <v>0.05</v>
      </c>
      <c r="G10" s="36">
        <v>0.45</v>
      </c>
      <c r="H10" s="23">
        <v>0.46350000000000002</v>
      </c>
      <c r="I10" s="24"/>
    </row>
    <row r="11" spans="1:9" ht="14.5" x14ac:dyDescent="0.35">
      <c r="A11" s="34">
        <v>2016</v>
      </c>
      <c r="B11" s="22">
        <v>2</v>
      </c>
      <c r="C11" s="26">
        <v>0.42</v>
      </c>
      <c r="D11" s="25">
        <v>0.5</v>
      </c>
      <c r="E11" s="27">
        <v>0.84</v>
      </c>
      <c r="F11" s="29">
        <v>0.05</v>
      </c>
      <c r="G11" s="36">
        <v>0.88</v>
      </c>
      <c r="H11" s="23">
        <v>0.4703</v>
      </c>
      <c r="I11" s="21">
        <v>0</v>
      </c>
    </row>
    <row r="12" spans="1:9" ht="14.5" x14ac:dyDescent="0.35">
      <c r="A12" s="34">
        <v>2017</v>
      </c>
      <c r="B12" s="22">
        <v>3</v>
      </c>
      <c r="C12" s="26">
        <v>0.41</v>
      </c>
      <c r="D12" s="25">
        <v>0.53</v>
      </c>
      <c r="E12" s="27">
        <v>1.25</v>
      </c>
      <c r="F12" s="29">
        <v>0.05</v>
      </c>
      <c r="G12" s="36">
        <v>1.32</v>
      </c>
      <c r="H12" s="23">
        <v>0.47549999999999998</v>
      </c>
      <c r="I12" s="21">
        <v>0</v>
      </c>
    </row>
    <row r="13" spans="1:9" ht="14.5" x14ac:dyDescent="0.35">
      <c r="A13" s="34">
        <v>2018</v>
      </c>
      <c r="B13" s="22">
        <v>4</v>
      </c>
      <c r="C13" s="26">
        <v>0.38</v>
      </c>
      <c r="D13" s="25">
        <v>0.53</v>
      </c>
      <c r="E13" s="27">
        <v>1.63</v>
      </c>
      <c r="F13" s="29">
        <v>0.05</v>
      </c>
      <c r="G13" s="36">
        <v>1.72</v>
      </c>
      <c r="H13" s="23">
        <v>0.47460000000000002</v>
      </c>
      <c r="I13" s="21">
        <v>0</v>
      </c>
    </row>
    <row r="14" spans="1:9" ht="13" x14ac:dyDescent="0.3">
      <c r="A14" s="35">
        <v>2019</v>
      </c>
      <c r="B14" s="22">
        <v>5</v>
      </c>
      <c r="C14" s="26">
        <v>0.37</v>
      </c>
      <c r="D14" s="25">
        <v>0.56000000000000005</v>
      </c>
      <c r="E14" s="27">
        <v>2</v>
      </c>
      <c r="F14" s="30">
        <v>7.4999999999999997E-2</v>
      </c>
      <c r="G14" s="36">
        <v>2.15</v>
      </c>
      <c r="H14" s="23">
        <v>0.48570000000000002</v>
      </c>
      <c r="I14" s="21">
        <v>0</v>
      </c>
    </row>
    <row r="15" spans="1:9" ht="14.5" x14ac:dyDescent="0.35">
      <c r="A15" s="34">
        <v>2020</v>
      </c>
      <c r="B15" s="22">
        <v>6</v>
      </c>
      <c r="C15" s="26">
        <v>0.34</v>
      </c>
      <c r="D15" s="25">
        <v>0.56000000000000005</v>
      </c>
      <c r="E15" s="27">
        <v>2.34</v>
      </c>
      <c r="F15" s="30">
        <v>7.4999999999999997E-2</v>
      </c>
      <c r="G15" s="36">
        <v>2.52</v>
      </c>
      <c r="H15" s="23">
        <v>0.48309999999999997</v>
      </c>
      <c r="I15" s="21">
        <v>0</v>
      </c>
    </row>
    <row r="16" spans="1:9" ht="14.5" x14ac:dyDescent="0.35">
      <c r="A16" s="34">
        <v>2021</v>
      </c>
      <c r="B16" s="22">
        <v>7</v>
      </c>
      <c r="C16" s="26">
        <v>0.31</v>
      </c>
      <c r="D16" s="25">
        <v>0.56999999999999995</v>
      </c>
      <c r="E16" s="27">
        <v>2.66</v>
      </c>
      <c r="F16" s="30">
        <v>7.4999999999999997E-2</v>
      </c>
      <c r="G16" s="36">
        <v>2.86</v>
      </c>
      <c r="H16" s="23">
        <v>0.47889999999999999</v>
      </c>
      <c r="I16" s="21">
        <v>0</v>
      </c>
    </row>
    <row r="17" spans="1:9" ht="14.5" x14ac:dyDescent="0.35">
      <c r="A17" s="34">
        <v>2022</v>
      </c>
      <c r="B17" s="22">
        <v>8</v>
      </c>
      <c r="C17" s="26">
        <v>0.31</v>
      </c>
      <c r="D17" s="25">
        <v>0.61</v>
      </c>
      <c r="E17" s="27">
        <v>2.97</v>
      </c>
      <c r="F17" s="30">
        <v>7.4999999999999997E-2</v>
      </c>
      <c r="G17" s="36">
        <v>3.19</v>
      </c>
      <c r="H17" s="23">
        <v>0.47749999999999998</v>
      </c>
      <c r="I17" s="21">
        <v>0</v>
      </c>
    </row>
    <row r="18" spans="1:9" ht="14.5" x14ac:dyDescent="0.35">
      <c r="A18" s="34">
        <v>2023</v>
      </c>
      <c r="B18" s="22">
        <v>9</v>
      </c>
      <c r="C18" s="26">
        <v>0.28999999999999998</v>
      </c>
      <c r="D18" s="25">
        <v>0.63</v>
      </c>
      <c r="E18" s="27">
        <v>3.26</v>
      </c>
      <c r="F18" s="30">
        <v>7.4999999999999997E-2</v>
      </c>
      <c r="G18" s="36">
        <v>3.51</v>
      </c>
      <c r="H18" s="23">
        <v>0.47549999999999998</v>
      </c>
      <c r="I18" s="21">
        <v>0</v>
      </c>
    </row>
    <row r="19" spans="1:9" ht="13" x14ac:dyDescent="0.3">
      <c r="A19" s="35">
        <v>2024</v>
      </c>
      <c r="B19" s="22">
        <v>10</v>
      </c>
      <c r="C19" s="26">
        <v>0.27</v>
      </c>
      <c r="D19" s="25">
        <v>0.63</v>
      </c>
      <c r="E19" s="27">
        <v>3.54</v>
      </c>
      <c r="F19" s="29">
        <v>0.1</v>
      </c>
      <c r="G19" s="36">
        <v>3.89</v>
      </c>
      <c r="H19" s="28">
        <v>0.48359999999999997</v>
      </c>
      <c r="I19" s="21">
        <v>0</v>
      </c>
    </row>
    <row r="20" spans="1:9" ht="14.5" x14ac:dyDescent="0.35">
      <c r="A20" s="34">
        <v>2025</v>
      </c>
      <c r="B20" s="22">
        <v>11</v>
      </c>
      <c r="C20" s="26">
        <v>0.24</v>
      </c>
      <c r="D20" s="25">
        <v>0.61</v>
      </c>
      <c r="E20" s="27">
        <v>3.78</v>
      </c>
      <c r="F20" s="29">
        <v>0.1</v>
      </c>
      <c r="G20" s="36">
        <v>4.16</v>
      </c>
      <c r="H20" s="23">
        <v>0.47889999999999999</v>
      </c>
      <c r="I20" s="21">
        <v>0</v>
      </c>
    </row>
    <row r="21" spans="1:9" ht="14.5" x14ac:dyDescent="0.35">
      <c r="A21" s="34">
        <v>2026</v>
      </c>
      <c r="B21" s="22">
        <v>12</v>
      </c>
      <c r="C21" s="26">
        <v>0.24</v>
      </c>
      <c r="D21" s="25">
        <v>0.65</v>
      </c>
      <c r="E21" s="27">
        <v>4.0199999999999996</v>
      </c>
      <c r="F21" s="29">
        <v>0.1</v>
      </c>
      <c r="G21" s="36">
        <v>4.42</v>
      </c>
      <c r="H21" s="23">
        <v>0.47549999999999998</v>
      </c>
      <c r="I21" s="21">
        <v>0</v>
      </c>
    </row>
    <row r="22" spans="1:9" ht="14.5" x14ac:dyDescent="0.35">
      <c r="A22" s="34">
        <v>2027</v>
      </c>
      <c r="B22" s="22">
        <v>13</v>
      </c>
      <c r="C22" s="26">
        <v>0.23</v>
      </c>
      <c r="D22" s="25">
        <v>0.67</v>
      </c>
      <c r="E22" s="27">
        <v>4.24</v>
      </c>
      <c r="F22" s="29">
        <v>0.1</v>
      </c>
      <c r="G22" s="36">
        <v>4.67</v>
      </c>
      <c r="H22" s="23">
        <v>0.4723</v>
      </c>
      <c r="I22" s="21">
        <v>0</v>
      </c>
    </row>
    <row r="23" spans="1:9" ht="14.5" x14ac:dyDescent="0.35">
      <c r="A23" s="34">
        <v>2028</v>
      </c>
      <c r="B23" s="22">
        <v>14</v>
      </c>
      <c r="C23" s="26">
        <v>0.21</v>
      </c>
      <c r="D23" s="25">
        <v>0.67</v>
      </c>
      <c r="E23" s="27">
        <v>4.45</v>
      </c>
      <c r="F23" s="29">
        <v>0.1</v>
      </c>
      <c r="G23" s="36">
        <v>4.9000000000000004</v>
      </c>
      <c r="H23" s="23">
        <v>0.46870000000000001</v>
      </c>
      <c r="I23" s="21">
        <v>0</v>
      </c>
    </row>
    <row r="24" spans="1:9" ht="14.5" x14ac:dyDescent="0.35">
      <c r="A24" s="34">
        <v>2029</v>
      </c>
      <c r="B24" s="22">
        <v>15</v>
      </c>
      <c r="C24" s="26">
        <v>0.19</v>
      </c>
      <c r="D24" s="25">
        <v>0.66</v>
      </c>
      <c r="E24" s="27">
        <v>4.6399999999999997</v>
      </c>
      <c r="F24" s="30">
        <v>0.125</v>
      </c>
      <c r="G24" s="36">
        <v>5.22</v>
      </c>
      <c r="H24" s="23">
        <v>0.47499999999999998</v>
      </c>
      <c r="I24" s="21">
        <v>0</v>
      </c>
    </row>
    <row r="25" spans="1:9" ht="14.5" x14ac:dyDescent="0.35">
      <c r="A25" s="34">
        <v>2030</v>
      </c>
      <c r="B25" s="22">
        <v>16</v>
      </c>
      <c r="C25" s="26">
        <v>0.18</v>
      </c>
      <c r="D25" s="25">
        <v>0.67</v>
      </c>
      <c r="E25" s="27">
        <v>4.82</v>
      </c>
      <c r="F25" s="30">
        <v>0.125</v>
      </c>
      <c r="G25" s="36">
        <v>5.42</v>
      </c>
      <c r="H25" s="23">
        <v>0.47070000000000001</v>
      </c>
      <c r="I25" s="21">
        <v>0</v>
      </c>
    </row>
    <row r="26" spans="1:9" ht="14.5" x14ac:dyDescent="0.35">
      <c r="A26" s="34">
        <v>2031</v>
      </c>
      <c r="B26" s="22">
        <v>17</v>
      </c>
      <c r="C26" s="26">
        <v>0.15</v>
      </c>
      <c r="D26" s="25">
        <v>0.64</v>
      </c>
      <c r="E26" s="27">
        <v>4.97</v>
      </c>
      <c r="F26" s="30">
        <v>0.125</v>
      </c>
      <c r="G26" s="36">
        <v>5.59</v>
      </c>
      <c r="H26" s="23">
        <v>0.46560000000000001</v>
      </c>
      <c r="I26" s="21">
        <v>0</v>
      </c>
    </row>
    <row r="27" spans="1:9" ht="14.5" x14ac:dyDescent="0.35">
      <c r="A27" s="34">
        <v>2032</v>
      </c>
      <c r="B27" s="22">
        <v>18</v>
      </c>
      <c r="C27" s="26">
        <v>0.14000000000000001</v>
      </c>
      <c r="D27" s="25">
        <v>0.65</v>
      </c>
      <c r="E27" s="27">
        <v>5.1100000000000003</v>
      </c>
      <c r="F27" s="30">
        <v>0.125</v>
      </c>
      <c r="G27" s="36">
        <v>5.75</v>
      </c>
      <c r="H27" s="23">
        <v>0.46060000000000001</v>
      </c>
      <c r="I27" s="21">
        <v>0</v>
      </c>
    </row>
    <row r="28" spans="1:9" ht="14.5" x14ac:dyDescent="0.35">
      <c r="A28" s="34">
        <v>2033</v>
      </c>
      <c r="B28" s="22">
        <v>19</v>
      </c>
      <c r="C28" s="26">
        <v>0.14000000000000001</v>
      </c>
      <c r="D28" s="25">
        <v>0.69</v>
      </c>
      <c r="E28" s="27">
        <v>5.25</v>
      </c>
      <c r="F28" s="30">
        <v>0.125</v>
      </c>
      <c r="G28" s="36">
        <v>5.91</v>
      </c>
      <c r="H28" s="23">
        <v>0.45629999999999998</v>
      </c>
      <c r="I28" s="21">
        <v>0</v>
      </c>
    </row>
    <row r="29" spans="1:9" ht="13" x14ac:dyDescent="0.3">
      <c r="A29" s="35">
        <v>2034</v>
      </c>
      <c r="B29" s="22">
        <v>20</v>
      </c>
      <c r="C29" s="26">
        <v>0.13</v>
      </c>
      <c r="D29" s="25">
        <v>0.69</v>
      </c>
      <c r="E29" s="27">
        <v>5.38</v>
      </c>
      <c r="F29" s="30">
        <v>0.125</v>
      </c>
      <c r="G29" s="36">
        <v>6.05</v>
      </c>
      <c r="H29" s="28">
        <v>0.4521</v>
      </c>
      <c r="I29" s="21">
        <v>0</v>
      </c>
    </row>
    <row r="30" spans="1:9" ht="14.5" x14ac:dyDescent="0.35">
      <c r="A30" s="34">
        <v>2035</v>
      </c>
      <c r="B30" s="22">
        <v>21</v>
      </c>
      <c r="C30" s="26">
        <v>0.12</v>
      </c>
      <c r="D30" s="25">
        <v>0.71</v>
      </c>
      <c r="E30" s="27">
        <v>5.5</v>
      </c>
      <c r="F30" s="29">
        <v>0.15</v>
      </c>
      <c r="G30" s="36">
        <v>6.33</v>
      </c>
      <c r="H30" s="28">
        <v>0.46</v>
      </c>
      <c r="I30" s="21">
        <v>0</v>
      </c>
    </row>
    <row r="31" spans="1:9" ht="14.5" x14ac:dyDescent="0.35">
      <c r="A31" s="34">
        <v>2036</v>
      </c>
      <c r="B31" s="22">
        <v>22</v>
      </c>
      <c r="C31" s="26">
        <v>0.11</v>
      </c>
      <c r="D31" s="25">
        <v>0.72</v>
      </c>
      <c r="E31" s="27">
        <v>5.61</v>
      </c>
      <c r="F31" s="29">
        <v>0.15</v>
      </c>
      <c r="G31" s="36">
        <v>6.46</v>
      </c>
      <c r="H31" s="28">
        <v>0.45</v>
      </c>
      <c r="I31" s="21">
        <v>0</v>
      </c>
    </row>
    <row r="32" spans="1:9" ht="14.5" x14ac:dyDescent="0.35">
      <c r="A32" s="34">
        <v>2037</v>
      </c>
      <c r="B32" s="22">
        <v>23</v>
      </c>
      <c r="C32" s="26">
        <v>0.11</v>
      </c>
      <c r="D32" s="25">
        <v>0.73</v>
      </c>
      <c r="E32" s="27">
        <v>5.72</v>
      </c>
      <c r="F32" s="29">
        <v>0.15</v>
      </c>
      <c r="G32" s="36">
        <v>6.58</v>
      </c>
      <c r="H32" s="28">
        <v>0.45</v>
      </c>
      <c r="I32" s="21">
        <v>0</v>
      </c>
    </row>
    <row r="33" spans="1:9" ht="14.5" x14ac:dyDescent="0.35">
      <c r="A33" s="34">
        <v>2038</v>
      </c>
      <c r="B33" s="22">
        <v>24</v>
      </c>
      <c r="C33" s="26">
        <v>0.1</v>
      </c>
      <c r="D33" s="25">
        <v>0.75</v>
      </c>
      <c r="E33" s="27">
        <v>5.82</v>
      </c>
      <c r="F33" s="29">
        <v>0.15</v>
      </c>
      <c r="G33" s="36">
        <v>6.69</v>
      </c>
      <c r="H33" s="28">
        <v>0.45</v>
      </c>
      <c r="I33" s="21">
        <v>0</v>
      </c>
    </row>
    <row r="34" spans="1:9" ht="14.5" x14ac:dyDescent="0.35">
      <c r="A34" s="34">
        <v>2039</v>
      </c>
      <c r="B34" s="22">
        <v>25</v>
      </c>
      <c r="C34" s="26">
        <v>0.09</v>
      </c>
      <c r="D34" s="25">
        <v>0.76</v>
      </c>
      <c r="E34" s="27">
        <v>5.91</v>
      </c>
      <c r="F34" s="29">
        <v>0.15</v>
      </c>
      <c r="G34" s="36">
        <v>6.8</v>
      </c>
      <c r="H34" s="28">
        <v>0.44</v>
      </c>
      <c r="I34" s="21">
        <v>0</v>
      </c>
    </row>
    <row r="35" spans="1:9" ht="14.5" x14ac:dyDescent="0.35">
      <c r="A35" s="34">
        <v>2040</v>
      </c>
      <c r="B35" s="22">
        <v>26</v>
      </c>
      <c r="C35" s="26">
        <v>0.09</v>
      </c>
      <c r="D35" s="25">
        <v>0.78</v>
      </c>
      <c r="E35" s="27">
        <v>6</v>
      </c>
      <c r="F35" s="30">
        <v>0.17499999999999999</v>
      </c>
      <c r="G35" s="36">
        <v>7.05</v>
      </c>
      <c r="H35" s="28">
        <v>0.45</v>
      </c>
      <c r="I35" s="21">
        <v>0</v>
      </c>
    </row>
    <row r="36" spans="1:9" ht="14.5" x14ac:dyDescent="0.35">
      <c r="A36" s="34">
        <v>2041</v>
      </c>
      <c r="B36" s="22">
        <v>27</v>
      </c>
      <c r="C36" s="26">
        <v>0.08</v>
      </c>
      <c r="D36" s="25">
        <v>0.79</v>
      </c>
      <c r="E36" s="27">
        <v>6.08</v>
      </c>
      <c r="F36" s="30">
        <v>0.17499999999999999</v>
      </c>
      <c r="G36" s="36">
        <v>7.15</v>
      </c>
      <c r="H36" s="28">
        <v>0.45</v>
      </c>
      <c r="I36" s="21">
        <v>0</v>
      </c>
    </row>
    <row r="37" spans="1:9" ht="14.5" x14ac:dyDescent="0.35">
      <c r="A37" s="34">
        <v>2042</v>
      </c>
      <c r="B37" s="22">
        <v>28</v>
      </c>
      <c r="C37" s="26">
        <v>0.08</v>
      </c>
      <c r="D37" s="25">
        <v>0.81</v>
      </c>
      <c r="E37" s="27">
        <v>6.16</v>
      </c>
      <c r="F37" s="30">
        <v>0.17499999999999999</v>
      </c>
      <c r="G37" s="36">
        <v>7.24</v>
      </c>
      <c r="H37" s="28">
        <v>0.44</v>
      </c>
      <c r="I37" s="21">
        <v>0</v>
      </c>
    </row>
    <row r="38" spans="1:9" ht="14.5" x14ac:dyDescent="0.35">
      <c r="A38" s="34">
        <v>2043</v>
      </c>
      <c r="B38" s="22">
        <v>29</v>
      </c>
      <c r="C38" s="26">
        <v>7.0000000000000007E-2</v>
      </c>
      <c r="D38" s="25">
        <v>0.83</v>
      </c>
      <c r="E38" s="27">
        <v>6.23</v>
      </c>
      <c r="F38" s="30">
        <v>0.17499999999999999</v>
      </c>
      <c r="G38" s="36">
        <v>7.32</v>
      </c>
      <c r="H38" s="28">
        <v>0.44</v>
      </c>
      <c r="I38" s="21">
        <v>0</v>
      </c>
    </row>
    <row r="39" spans="1:9" ht="13" x14ac:dyDescent="0.3">
      <c r="A39" s="35">
        <v>2044</v>
      </c>
      <c r="B39" s="22">
        <v>30</v>
      </c>
      <c r="C39" s="26">
        <v>7.0000000000000007E-2</v>
      </c>
      <c r="D39" s="25">
        <v>0.84</v>
      </c>
      <c r="E39" s="27">
        <v>6.3</v>
      </c>
      <c r="F39" s="30">
        <v>0.17499999999999999</v>
      </c>
      <c r="G39" s="36">
        <v>7.4</v>
      </c>
      <c r="H39" s="28">
        <v>0.437</v>
      </c>
      <c r="I39" s="21">
        <v>0</v>
      </c>
    </row>
    <row r="40" spans="1:9" ht="14.5" x14ac:dyDescent="0.35">
      <c r="A40" s="34">
        <v>2045</v>
      </c>
      <c r="B40" s="22">
        <v>31</v>
      </c>
      <c r="C40" s="26">
        <v>0.06</v>
      </c>
      <c r="D40" s="25">
        <v>0.86</v>
      </c>
      <c r="E40" s="27">
        <v>6.36</v>
      </c>
      <c r="F40" s="29">
        <v>0.2</v>
      </c>
      <c r="G40" s="36">
        <v>7.64</v>
      </c>
      <c r="H40" s="28">
        <v>0.44</v>
      </c>
      <c r="I40" s="21">
        <v>0</v>
      </c>
    </row>
    <row r="41" spans="1:9" ht="14.5" x14ac:dyDescent="0.35">
      <c r="A41" s="34">
        <v>2046</v>
      </c>
      <c r="B41" s="22">
        <v>32</v>
      </c>
      <c r="C41" s="26">
        <v>0.06</v>
      </c>
      <c r="D41" s="25">
        <v>0.88</v>
      </c>
      <c r="E41" s="27">
        <v>6.42</v>
      </c>
      <c r="F41" s="29">
        <v>0.2</v>
      </c>
      <c r="G41" s="36">
        <v>7.71</v>
      </c>
      <c r="H41" s="28">
        <v>0.44</v>
      </c>
      <c r="I41" s="21">
        <v>0</v>
      </c>
    </row>
    <row r="42" spans="1:9" ht="14.5" x14ac:dyDescent="0.35">
      <c r="A42" s="34">
        <v>2047</v>
      </c>
      <c r="B42" s="22">
        <v>33</v>
      </c>
      <c r="C42" s="26">
        <v>0.06</v>
      </c>
      <c r="D42" s="25">
        <v>0.89</v>
      </c>
      <c r="E42" s="27">
        <v>6.48</v>
      </c>
      <c r="F42" s="29">
        <v>0.2</v>
      </c>
      <c r="G42" s="36">
        <v>7.78</v>
      </c>
      <c r="H42" s="28">
        <v>0.44</v>
      </c>
      <c r="I42" s="21">
        <v>0</v>
      </c>
    </row>
    <row r="43" spans="1:9" ht="14.5" x14ac:dyDescent="0.35">
      <c r="A43" s="34">
        <v>2048</v>
      </c>
      <c r="B43" s="22">
        <v>34</v>
      </c>
      <c r="C43" s="26">
        <v>0.05</v>
      </c>
      <c r="D43" s="25">
        <v>0.91</v>
      </c>
      <c r="E43" s="27">
        <v>6.53</v>
      </c>
      <c r="F43" s="29">
        <v>0.2</v>
      </c>
      <c r="G43" s="36">
        <v>7.84</v>
      </c>
      <c r="H43" s="28">
        <v>0.44</v>
      </c>
      <c r="I43" s="21">
        <v>0</v>
      </c>
    </row>
    <row r="44" spans="1:9" ht="14.5" x14ac:dyDescent="0.35">
      <c r="A44" s="34">
        <v>2049</v>
      </c>
      <c r="B44" s="22">
        <v>35</v>
      </c>
      <c r="C44" s="26">
        <v>0.05</v>
      </c>
      <c r="D44" s="25">
        <v>0.93</v>
      </c>
      <c r="E44" s="27">
        <v>6.58</v>
      </c>
      <c r="F44" s="29">
        <v>0.2</v>
      </c>
      <c r="G44" s="36">
        <v>7.9</v>
      </c>
      <c r="H44" s="28">
        <v>0.433</v>
      </c>
      <c r="I44" s="21">
        <v>0</v>
      </c>
    </row>
    <row r="45" spans="1:9" ht="14.5" x14ac:dyDescent="0.35">
      <c r="A45" s="34">
        <v>2050</v>
      </c>
      <c r="B45" s="22">
        <v>36</v>
      </c>
      <c r="C45" s="26">
        <v>0.05</v>
      </c>
      <c r="D45" s="25">
        <v>0.95</v>
      </c>
      <c r="E45" s="27">
        <v>6.63</v>
      </c>
      <c r="F45" s="29">
        <v>0.2</v>
      </c>
      <c r="G45" s="36">
        <v>7.95</v>
      </c>
      <c r="H45" s="28">
        <v>0.43</v>
      </c>
      <c r="I45" s="21">
        <v>0</v>
      </c>
    </row>
    <row r="46" spans="1:9" ht="14.5" x14ac:dyDescent="0.35">
      <c r="A46" s="34">
        <v>2051</v>
      </c>
      <c r="B46" s="22">
        <v>37</v>
      </c>
      <c r="C46" s="26">
        <v>0.04</v>
      </c>
      <c r="D46" s="25">
        <v>0.97</v>
      </c>
      <c r="E46" s="27">
        <v>6.67</v>
      </c>
      <c r="F46" s="29">
        <v>0.2</v>
      </c>
      <c r="G46" s="36">
        <v>8.01</v>
      </c>
      <c r="H46" s="28">
        <v>0.43</v>
      </c>
      <c r="I46" s="21">
        <v>0</v>
      </c>
    </row>
    <row r="47" spans="1:9" ht="14.5" x14ac:dyDescent="0.35">
      <c r="A47" s="34">
        <v>2052</v>
      </c>
      <c r="B47" s="22">
        <v>38</v>
      </c>
      <c r="C47" s="26">
        <v>0.04</v>
      </c>
      <c r="D47" s="25">
        <v>0.99</v>
      </c>
      <c r="E47" s="27">
        <v>6.71</v>
      </c>
      <c r="F47" s="29">
        <v>0.2</v>
      </c>
      <c r="G47" s="36">
        <v>8.0500000000000007</v>
      </c>
      <c r="H47" s="28">
        <v>0.43</v>
      </c>
      <c r="I47" s="21">
        <v>0</v>
      </c>
    </row>
    <row r="48" spans="1:9" ht="14.5" x14ac:dyDescent="0.35">
      <c r="A48" s="34">
        <v>2053</v>
      </c>
      <c r="B48" s="22">
        <v>39</v>
      </c>
      <c r="C48" s="26">
        <v>0.04</v>
      </c>
      <c r="D48" s="25">
        <v>1.01</v>
      </c>
      <c r="E48" s="27">
        <v>6.75</v>
      </c>
      <c r="F48" s="29">
        <v>0.2</v>
      </c>
      <c r="G48" s="36">
        <v>8.1</v>
      </c>
      <c r="H48" s="28">
        <v>0.42</v>
      </c>
      <c r="I48" s="21">
        <v>0</v>
      </c>
    </row>
    <row r="49" spans="1:9" ht="13" x14ac:dyDescent="0.3">
      <c r="A49" s="35">
        <v>2054</v>
      </c>
      <c r="B49" s="22">
        <v>40</v>
      </c>
      <c r="C49" s="26">
        <v>0.04</v>
      </c>
      <c r="D49" s="25">
        <v>1.03</v>
      </c>
      <c r="E49" s="27">
        <v>6.79</v>
      </c>
      <c r="F49" s="29">
        <v>0.2</v>
      </c>
      <c r="G49" s="36">
        <v>8.14</v>
      </c>
      <c r="H49" s="28">
        <v>0.4219</v>
      </c>
      <c r="I49" s="21">
        <v>0</v>
      </c>
    </row>
    <row r="50" spans="1:9" ht="14.5" x14ac:dyDescent="0.35">
      <c r="A50" s="34">
        <v>2055</v>
      </c>
      <c r="B50" s="22">
        <v>41</v>
      </c>
      <c r="C50" s="26">
        <v>0.03</v>
      </c>
      <c r="D50" s="25">
        <v>1.05</v>
      </c>
      <c r="E50" s="27">
        <v>6.82</v>
      </c>
      <c r="F50" s="29">
        <v>0.2</v>
      </c>
      <c r="G50" s="36">
        <v>8.18</v>
      </c>
      <c r="H50" s="28">
        <v>0.42</v>
      </c>
      <c r="I50" s="21">
        <v>0</v>
      </c>
    </row>
    <row r="51" spans="1:9" ht="14.5" x14ac:dyDescent="0.35">
      <c r="A51" s="34">
        <v>2056</v>
      </c>
      <c r="B51" s="22">
        <v>42</v>
      </c>
      <c r="C51" s="26">
        <v>0.03</v>
      </c>
      <c r="D51" s="25">
        <v>1.07</v>
      </c>
      <c r="E51" s="27">
        <v>6.85</v>
      </c>
      <c r="F51" s="29">
        <v>0.2</v>
      </c>
      <c r="G51" s="36">
        <v>8.2200000000000006</v>
      </c>
      <c r="H51" s="28">
        <v>0.42</v>
      </c>
      <c r="I51" s="21">
        <v>0</v>
      </c>
    </row>
    <row r="52" spans="1:9" ht="14.5" x14ac:dyDescent="0.35">
      <c r="A52" s="34">
        <v>2057</v>
      </c>
      <c r="B52" s="22">
        <v>43</v>
      </c>
      <c r="C52" s="26">
        <v>0.03</v>
      </c>
      <c r="D52" s="25">
        <v>1.0900000000000001</v>
      </c>
      <c r="E52" s="27">
        <v>6.88</v>
      </c>
      <c r="F52" s="29">
        <v>0.2</v>
      </c>
      <c r="G52" s="36">
        <v>8.26</v>
      </c>
      <c r="H52" s="28">
        <v>0.42</v>
      </c>
      <c r="I52" s="21">
        <v>0</v>
      </c>
    </row>
    <row r="53" spans="1:9" ht="14.5" x14ac:dyDescent="0.35">
      <c r="A53" s="34">
        <v>2058</v>
      </c>
      <c r="B53" s="22">
        <v>44</v>
      </c>
      <c r="C53" s="26">
        <v>0.03</v>
      </c>
      <c r="D53" s="25">
        <v>1.1100000000000001</v>
      </c>
      <c r="E53" s="27">
        <v>6.91</v>
      </c>
      <c r="F53" s="29">
        <v>0.2</v>
      </c>
      <c r="G53" s="36">
        <v>8.2899999999999991</v>
      </c>
      <c r="H53" s="28">
        <v>0.41</v>
      </c>
      <c r="I53" s="21">
        <v>0</v>
      </c>
    </row>
    <row r="54" spans="1:9" ht="14.5" x14ac:dyDescent="0.35">
      <c r="A54" s="34">
        <v>2059</v>
      </c>
      <c r="B54" s="22">
        <v>45</v>
      </c>
      <c r="C54" s="26">
        <v>0.03</v>
      </c>
      <c r="D54" s="25">
        <v>1.1299999999999999</v>
      </c>
      <c r="E54" s="27">
        <v>6.93</v>
      </c>
      <c r="F54" s="29">
        <v>0.2</v>
      </c>
      <c r="G54" s="36">
        <v>8.32</v>
      </c>
      <c r="H54" s="28">
        <v>0.41260000000000002</v>
      </c>
      <c r="I54" s="21">
        <v>0</v>
      </c>
    </row>
    <row r="56" spans="1:9" ht="13" x14ac:dyDescent="0.3">
      <c r="A56" s="19" t="s">
        <v>41</v>
      </c>
      <c r="E56" s="142"/>
      <c r="F56" s="20"/>
      <c r="G56" s="20"/>
    </row>
    <row r="57" spans="1:9" x14ac:dyDescent="0.25">
      <c r="C57" s="18" t="s">
        <v>42</v>
      </c>
      <c r="E57" s="142">
        <v>8.6699999999999999E-2</v>
      </c>
    </row>
    <row r="58" spans="1:9" x14ac:dyDescent="0.25">
      <c r="C58" s="18" t="s">
        <v>101</v>
      </c>
      <c r="E58" s="143">
        <v>4.1700000000000001E-2</v>
      </c>
    </row>
    <row r="59" spans="1:9" x14ac:dyDescent="0.25">
      <c r="C59" s="18" t="s">
        <v>43</v>
      </c>
      <c r="E59" s="144">
        <v>0.02</v>
      </c>
      <c r="F59" s="14" t="s">
        <v>44</v>
      </c>
      <c r="G59" s="14"/>
    </row>
  </sheetData>
  <customSheetViews>
    <customSheetView guid="{C923932C-96B5-464D-9E0A-3FBBD9F9862F}" scale="80">
      <selection activeCell="A3" sqref="A3:H3"/>
      <pageMargins left="0.75" right="0.75" top="1" bottom="1" header="0.5" footer="0.5"/>
      <pageSetup scale="86" orientation="portrait" r:id="rId1"/>
      <headerFooter alignWithMargins="0"/>
    </customSheetView>
    <customSheetView guid="{2071E27A-5EFB-4FE2-B87C-64D436A2C10C}" scale="80">
      <selection activeCell="I64" sqref="I64"/>
      <pageMargins left="0.75" right="0.75" top="1" bottom="1" header="0.5" footer="0.5"/>
      <pageSetup scale="86" orientation="portrait" r:id="rId2"/>
      <headerFooter alignWithMargins="0"/>
    </customSheetView>
    <customSheetView guid="{53FDAFFF-3D96-4F28-89A0-59B371010818}" scale="80" topLeftCell="A27">
      <selection activeCell="K49" sqref="K49"/>
      <pageMargins left="0.75" right="0.75" top="1" bottom="1" header="0.5" footer="0.5"/>
      <pageSetup scale="86" orientation="portrait" r:id="rId3"/>
      <headerFooter alignWithMargins="0"/>
    </customSheetView>
  </customSheetViews>
  <mergeCells count="4">
    <mergeCell ref="A1:H1"/>
    <mergeCell ref="A2:H2"/>
    <mergeCell ref="A3:H3"/>
    <mergeCell ref="A4:H4"/>
  </mergeCells>
  <phoneticPr fontId="20" type="noConversion"/>
  <pageMargins left="0.75" right="0.75" top="1" bottom="1" header="0.5" footer="0.5"/>
  <pageSetup scale="86" orientation="portrait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51A9C5D9FCBD4CB280088312C738F0" ma:contentTypeVersion="104" ma:contentTypeDescription="" ma:contentTypeScope="" ma:versionID="5abcd7ee7e5ad13cb3baf25263d37e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2017-06-01T07:00:00+00:00</OpenedDate>
    <Date1 xmlns="dc463f71-b30c-4ab2-9473-d307f9d35888">2017-05-31T07:00:00+00:00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170700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85A6834-0175-4824-A15A-80F0CFAFC1F0}"/>
</file>

<file path=customXml/itemProps2.xml><?xml version="1.0" encoding="utf-8"?>
<ds:datastoreItem xmlns:ds="http://schemas.openxmlformats.org/officeDocument/2006/customXml" ds:itemID="{32DBAABE-F871-41E6-AF5F-01BD35D3E22C}"/>
</file>

<file path=customXml/itemProps3.xml><?xml version="1.0" encoding="utf-8"?>
<ds:datastoreItem xmlns:ds="http://schemas.openxmlformats.org/officeDocument/2006/customXml" ds:itemID="{FBCF91BB-EE32-4C97-BFA3-95EEFC083737}"/>
</file>

<file path=customXml/itemProps4.xml><?xml version="1.0" encoding="utf-8"?>
<ds:datastoreItem xmlns:ds="http://schemas.openxmlformats.org/officeDocument/2006/customXml" ds:itemID="{05497C76-CBF6-40DF-B98D-A2BE0F087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TOTAL FIRST YEAR</vt:lpstr>
      <vt:lpstr>Rates&amp;NEB</vt:lpstr>
      <vt:lpstr>APP 2885</vt:lpstr>
      <vt:lpstr>AC</vt:lpstr>
      <vt:lpstr>Inflation</vt:lpstr>
      <vt:lpstr>LTdiscount</vt:lpstr>
      <vt:lpstr>NEPercentage</vt:lpstr>
      <vt:lpstr>NomInt</vt:lpstr>
      <vt:lpstr>'TOTAL FIRST YEAR'!Print_Area</vt:lpstr>
      <vt:lpstr>TotalAnnualThermSavings</vt:lpstr>
    </vt:vector>
  </TitlesOfParts>
  <Company>An MDU Resources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Laron Tamaye</dc:creator>
  <cp:lastModifiedBy>Cascade Natural Gas</cp:lastModifiedBy>
  <cp:lastPrinted>2016-06-29T23:01:02Z</cp:lastPrinted>
  <dcterms:created xsi:type="dcterms:W3CDTF">2009-04-22T19:18:00Z</dcterms:created>
  <dcterms:modified xsi:type="dcterms:W3CDTF">2017-05-31T16:51:06Z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ACCT04\cutir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false</vt:bool>
  </property>
  <property fmtid="{D5CDD505-2E9C-101B-9397-08002B2CF9AE}" pid="8" name="Allow Footer Overwrite">
    <vt:bool>false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  <property fmtid="{D5CDD505-2E9C-101B-9397-08002B2CF9AE}" pid="11" name="checkedProgramsCount">
    <vt:i4>0</vt:i4>
  </property>
  <property fmtid="{D5CDD505-2E9C-101B-9397-08002B2CF9AE}" pid="12" name="ContentTypeId">
    <vt:lpwstr>0x0101006E56B4D1795A2E4DB2F0B01679ED314A007851A9C5D9FCBD4CB280088312C738F0</vt:lpwstr>
  </property>
  <property fmtid="{D5CDD505-2E9C-101B-9397-08002B2CF9AE}" pid="13" name="_docset_NoMedatataSyncRequired">
    <vt:lpwstr>False</vt:lpwstr>
  </property>
  <property fmtid="{D5CDD505-2E9C-101B-9397-08002B2CF9AE}" pid="14" name="IsEFSEC">
    <vt:bool>false</vt:bool>
  </property>
</Properties>
</file>