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20" activeTab="0"/>
  </bookViews>
  <sheets>
    <sheet name="WA - Def-Amtz (current)" sheetId="1" r:id="rId1"/>
    <sheet name="Dec" sheetId="2" r:id="rId2"/>
  </sheets>
  <externalReferences>
    <externalReference r:id="rId5"/>
  </externalReferences>
  <definedNames>
    <definedName name="_xlfn.IFERROR" hidden="1">#NAME?</definedName>
    <definedName name="_xlnm.Print_Area" localSheetId="1">'Dec'!$A$1:$M$68</definedName>
    <definedName name="_xlnm.Print_Area" localSheetId="0">'WA - Def-Amtz (current)'!$A$1:$AY$84</definedName>
    <definedName name="_xlnm.Print_Titles" localSheetId="1">'Dec'!$1:$2</definedName>
  </definedNames>
  <calcPr fullCalcOnLoad="1"/>
</workbook>
</file>

<file path=xl/comments1.xml><?xml version="1.0" encoding="utf-8"?>
<comments xmlns="http://schemas.openxmlformats.org/spreadsheetml/2006/main">
  <authors>
    <author>MGG9990</author>
    <author>Berg, Jenny</author>
    <author>Christine Machado</author>
    <author>Carolyn Groome</author>
  </authors>
  <commentList>
    <comment ref="H8" authorId="0">
      <text>
        <r>
          <rPr>
            <b/>
            <sz val="8"/>
            <rFont val="Tahoma"/>
            <family val="2"/>
          </rPr>
          <t>MGG9990:</t>
        </r>
        <r>
          <rPr>
            <sz val="8"/>
            <rFont val="Tahoma"/>
            <family val="2"/>
          </rPr>
          <t xml:space="preserve">
Adjusted formula as adjustment includes interest</t>
        </r>
      </text>
    </comment>
    <comment ref="S8" authorId="0">
      <text>
        <r>
          <rPr>
            <b/>
            <sz val="9"/>
            <rFont val="Tahoma"/>
            <family val="2"/>
          </rPr>
          <t>MGG9990:</t>
        </r>
        <r>
          <rPr>
            <sz val="9"/>
            <rFont val="Tahoma"/>
            <family val="2"/>
          </rPr>
          <t xml:space="preserve">
Interest Calculation Includes Transfer in beginning balance</t>
        </r>
      </text>
    </comment>
    <comment ref="AE8" authorId="0">
      <text>
        <r>
          <rPr>
            <b/>
            <sz val="9"/>
            <rFont val="Tahoma"/>
            <family val="2"/>
          </rPr>
          <t>MGG9990:</t>
        </r>
        <r>
          <rPr>
            <sz val="9"/>
            <rFont val="Tahoma"/>
            <family val="2"/>
          </rPr>
          <t xml:space="preserve">
Interest Calculation Includes Transfer in beginning balance</t>
        </r>
      </text>
    </comment>
    <comment ref="AQ8" authorId="1">
      <text>
        <r>
          <rPr>
            <b/>
            <sz val="9"/>
            <rFont val="Tahoma"/>
            <family val="2"/>
          </rPr>
          <t xml:space="preserve">MGG9990:
</t>
        </r>
        <r>
          <rPr>
            <sz val="9"/>
            <rFont val="Tahoma"/>
            <family val="2"/>
          </rPr>
          <t>Interest Calculation Includes Transfer in beginning balance</t>
        </r>
      </text>
    </comment>
    <comment ref="G9" authorId="0">
      <text>
        <r>
          <rPr>
            <b/>
            <sz val="8"/>
            <rFont val="Tahoma"/>
            <family val="2"/>
          </rPr>
          <t>MGG9990:</t>
        </r>
        <r>
          <rPr>
            <sz val="8"/>
            <rFont val="Tahoma"/>
            <family val="2"/>
          </rPr>
          <t xml:space="preserve">
PGA TRANSFER</t>
        </r>
      </text>
    </comment>
    <comment ref="G10" authorId="0">
      <text>
        <r>
          <rPr>
            <b/>
            <sz val="8"/>
            <rFont val="Tahoma"/>
            <family val="2"/>
          </rPr>
          <t>MGG9990:</t>
        </r>
        <r>
          <rPr>
            <sz val="8"/>
            <rFont val="Tahoma"/>
            <family val="2"/>
          </rPr>
          <t xml:space="preserve">
PGA TRANSFER</t>
        </r>
      </text>
    </comment>
    <comment ref="H10" authorId="0">
      <text>
        <r>
          <rPr>
            <b/>
            <sz val="8"/>
            <rFont val="Tahoma"/>
            <family val="2"/>
          </rPr>
          <t>MGG9990:</t>
        </r>
        <r>
          <rPr>
            <sz val="8"/>
            <rFont val="Tahoma"/>
            <family val="2"/>
          </rPr>
          <t xml:space="preserve">
NSJ025</t>
        </r>
      </text>
    </comment>
    <comment ref="G11" authorId="0">
      <text>
        <r>
          <rPr>
            <b/>
            <sz val="8"/>
            <rFont val="Tahoma"/>
            <family val="2"/>
          </rPr>
          <t>MGG9990:</t>
        </r>
        <r>
          <rPr>
            <sz val="8"/>
            <rFont val="Tahoma"/>
            <family val="2"/>
          </rPr>
          <t xml:space="preserve">
PGA TRANSFER</t>
        </r>
      </text>
    </comment>
    <comment ref="H11" authorId="0">
      <text>
        <r>
          <rPr>
            <b/>
            <sz val="8"/>
            <rFont val="Tahoma"/>
            <family val="2"/>
          </rPr>
          <t>MGG9990:</t>
        </r>
        <r>
          <rPr>
            <sz val="8"/>
            <rFont val="Tahoma"/>
            <family val="2"/>
          </rPr>
          <t xml:space="preserve">
NSJ025</t>
        </r>
      </text>
    </comment>
    <comment ref="X12" authorId="2">
      <text>
        <r>
          <rPr>
            <b/>
            <sz val="9"/>
            <rFont val="Tahoma"/>
            <family val="2"/>
          </rPr>
          <t>Christine Machado:</t>
        </r>
        <r>
          <rPr>
            <sz val="9"/>
            <rFont val="Tahoma"/>
            <family val="2"/>
          </rPr>
          <t xml:space="preserve">
Correction from WA-Def-Amtz Correction 201504 tab</t>
        </r>
      </text>
    </comment>
    <comment ref="AF12" authorId="2">
      <text>
        <r>
          <rPr>
            <b/>
            <sz val="9"/>
            <rFont val="Tahoma"/>
            <family val="2"/>
          </rPr>
          <t>Christine Machado:</t>
        </r>
        <r>
          <rPr>
            <sz val="9"/>
            <rFont val="Tahoma"/>
            <family val="2"/>
          </rPr>
          <t xml:space="preserve">
201511 picking up schedule 146 unbilled in proration report</t>
        </r>
      </text>
    </comment>
    <comment ref="AQ12" authorId="1">
      <text>
        <r>
          <rPr>
            <b/>
            <sz val="9"/>
            <rFont val="Tahoma"/>
            <family val="2"/>
          </rPr>
          <t>Berg, Jenny:</t>
        </r>
        <r>
          <rPr>
            <sz val="9"/>
            <rFont val="Tahoma"/>
            <family val="2"/>
          </rPr>
          <t xml:space="preserve">
"plug" to get to Ryan's balance of $14,182,183.96</t>
        </r>
      </text>
    </comment>
    <comment ref="AL14" authorId="1">
      <text>
        <r>
          <rPr>
            <b/>
            <sz val="9"/>
            <rFont val="Tahoma"/>
            <family val="2"/>
          </rPr>
          <t>Berg, Jenny:</t>
        </r>
        <r>
          <rPr>
            <sz val="9"/>
            <rFont val="Tahoma"/>
            <family val="2"/>
          </rPr>
          <t xml:space="preserve">
Ryan's balance = 
$14,182,183.96</t>
        </r>
      </text>
    </comment>
    <comment ref="B24" authorId="1">
      <text>
        <r>
          <rPr>
            <b/>
            <sz val="9"/>
            <rFont val="Tahoma"/>
            <family val="2"/>
          </rPr>
          <t>Berg, Jenny:</t>
        </r>
        <r>
          <rPr>
            <sz val="9"/>
            <rFont val="Tahoma"/>
            <family val="2"/>
          </rPr>
          <t xml:space="preserve">
should be left blank</t>
        </r>
      </text>
    </comment>
    <comment ref="B26" authorId="1">
      <text>
        <r>
          <rPr>
            <b/>
            <sz val="9"/>
            <rFont val="Tahoma"/>
            <family val="2"/>
          </rPr>
          <t>Berg, Jenny:</t>
        </r>
        <r>
          <rPr>
            <sz val="9"/>
            <rFont val="Tahoma"/>
            <family val="2"/>
          </rPr>
          <t xml:space="preserve">
should be left blank</t>
        </r>
      </text>
    </comment>
    <comment ref="W29" authorId="3">
      <text>
        <r>
          <rPr>
            <b/>
            <sz val="9"/>
            <rFont val="Tahoma"/>
            <family val="2"/>
          </rPr>
          <t>Carolyn Groome:</t>
        </r>
        <r>
          <rPr>
            <sz val="9"/>
            <rFont val="Tahoma"/>
            <family val="2"/>
          </rPr>
          <t xml:space="preserve">
From Calendar Sales file</t>
        </r>
      </text>
    </comment>
    <comment ref="B35" authorId="1">
      <text>
        <r>
          <rPr>
            <b/>
            <sz val="9"/>
            <rFont val="Tahoma"/>
            <family val="2"/>
          </rPr>
          <t>Berg, Jenny:</t>
        </r>
        <r>
          <rPr>
            <sz val="9"/>
            <rFont val="Tahoma"/>
            <family val="2"/>
          </rPr>
          <t xml:space="preserve">
should be left blank</t>
        </r>
      </text>
    </comment>
    <comment ref="B37" authorId="1">
      <text>
        <r>
          <rPr>
            <b/>
            <sz val="9"/>
            <rFont val="Tahoma"/>
            <family val="2"/>
          </rPr>
          <t>Berg, Jenny:</t>
        </r>
        <r>
          <rPr>
            <sz val="9"/>
            <rFont val="Tahoma"/>
            <family val="2"/>
          </rPr>
          <t xml:space="preserve">
should be left blank</t>
        </r>
      </text>
    </comment>
    <comment ref="B39" authorId="1">
      <text>
        <r>
          <rPr>
            <b/>
            <sz val="9"/>
            <rFont val="Tahoma"/>
            <family val="2"/>
          </rPr>
          <t>Berg, Jenny:</t>
        </r>
        <r>
          <rPr>
            <sz val="9"/>
            <rFont val="Tahoma"/>
            <family val="2"/>
          </rPr>
          <t xml:space="preserve">
should be left blank</t>
        </r>
      </text>
    </comment>
    <comment ref="S45" authorId="0">
      <text>
        <r>
          <rPr>
            <b/>
            <sz val="9"/>
            <rFont val="Tahoma"/>
            <family val="2"/>
          </rPr>
          <t>MGG9990:</t>
        </r>
        <r>
          <rPr>
            <sz val="9"/>
            <rFont val="Tahoma"/>
            <family val="2"/>
          </rPr>
          <t xml:space="preserve">
From PGA Rate Changes Calculation workbook</t>
        </r>
      </text>
    </comment>
    <comment ref="AQ45" authorId="1">
      <text>
        <r>
          <rPr>
            <b/>
            <sz val="9"/>
            <rFont val="Tahoma"/>
            <family val="2"/>
          </rPr>
          <t>Berg, Jenny:</t>
        </r>
        <r>
          <rPr>
            <sz val="9"/>
            <rFont val="Tahoma"/>
            <family val="2"/>
          </rPr>
          <t xml:space="preserve">
Amortization of Commodity &amp; Demand…increases in '16 b/c of change in rate from .02571 to .09174</t>
        </r>
      </text>
    </comment>
    <comment ref="AR45" authorId="1">
      <text>
        <r>
          <rPr>
            <b/>
            <sz val="9"/>
            <rFont val="Tahoma"/>
            <family val="0"/>
          </rPr>
          <t>Berg, Jenny:</t>
        </r>
        <r>
          <rPr>
            <sz val="9"/>
            <rFont val="Tahoma"/>
            <family val="0"/>
          </rPr>
          <t xml:space="preserve">
Amortization of Commodity &amp; Demand</t>
        </r>
      </text>
    </comment>
    <comment ref="S46" authorId="0">
      <text>
        <r>
          <rPr>
            <b/>
            <sz val="9"/>
            <rFont val="Tahoma"/>
            <family val="2"/>
          </rPr>
          <t>MGG9990:</t>
        </r>
        <r>
          <rPr>
            <sz val="9"/>
            <rFont val="Tahoma"/>
            <family val="2"/>
          </rPr>
          <t xml:space="preserve">
Interest Calculation Includes Transfer in beginning balance</t>
        </r>
      </text>
    </comment>
    <comment ref="AQ46" authorId="1">
      <text>
        <r>
          <rPr>
            <b/>
            <sz val="9"/>
            <rFont val="Tahoma"/>
            <family val="2"/>
          </rPr>
          <t>Berg, Jenny:</t>
        </r>
        <r>
          <rPr>
            <sz val="9"/>
            <rFont val="Tahoma"/>
            <family val="2"/>
          </rPr>
          <t xml:space="preserve">
interest calculation</t>
        </r>
      </text>
    </comment>
    <comment ref="AR46" authorId="1">
      <text>
        <r>
          <rPr>
            <b/>
            <sz val="9"/>
            <rFont val="Tahoma"/>
            <family val="0"/>
          </rPr>
          <t>Berg, Jenny:</t>
        </r>
        <r>
          <rPr>
            <sz val="9"/>
            <rFont val="Tahoma"/>
            <family val="0"/>
          </rPr>
          <t xml:space="preserve">
interest calculation</t>
        </r>
      </text>
    </comment>
    <comment ref="AQ47" authorId="1">
      <text>
        <r>
          <rPr>
            <b/>
            <sz val="9"/>
            <rFont val="Tahoma"/>
            <family val="2"/>
          </rPr>
          <t>Berg, Jenny:</t>
        </r>
        <r>
          <rPr>
            <sz val="9"/>
            <rFont val="Tahoma"/>
            <family val="2"/>
          </rPr>
          <t xml:space="preserve">
Ryan's balance </t>
        </r>
      </text>
    </comment>
    <comment ref="I48" authorId="0">
      <text>
        <r>
          <rPr>
            <b/>
            <sz val="8"/>
            <rFont val="Tahoma"/>
            <family val="2"/>
          </rPr>
          <t>MGG9990:</t>
        </r>
        <r>
          <rPr>
            <sz val="8"/>
            <rFont val="Tahoma"/>
            <family val="2"/>
          </rPr>
          <t xml:space="preserve">
Large customer refund was surcharge rather than refund.</t>
        </r>
      </text>
    </comment>
    <comment ref="AQ48" authorId="1">
      <text>
        <r>
          <rPr>
            <b/>
            <sz val="9"/>
            <rFont val="Tahoma"/>
            <family val="2"/>
          </rPr>
          <t>Berg, Jenny:</t>
        </r>
        <r>
          <rPr>
            <sz val="9"/>
            <rFont val="Tahoma"/>
            <family val="2"/>
          </rPr>
          <t xml:space="preserve">
refund on "November 2016 Transfers" spreadsheet</t>
        </r>
      </text>
    </comment>
    <comment ref="S80" authorId="0">
      <text>
        <r>
          <rPr>
            <b/>
            <sz val="9"/>
            <rFont val="Tahoma"/>
            <family val="2"/>
          </rPr>
          <t>MGG9990:</t>
        </r>
        <r>
          <rPr>
            <sz val="9"/>
            <rFont val="Tahoma"/>
            <family val="2"/>
          </rPr>
          <t xml:space="preserve">
From PGA Rate Changes Calculation workbook</t>
        </r>
      </text>
    </comment>
    <comment ref="T80" authorId="0">
      <text>
        <r>
          <rPr>
            <b/>
            <sz val="9"/>
            <rFont val="Tahoma"/>
            <family val="2"/>
          </rPr>
          <t>MGG9990:</t>
        </r>
        <r>
          <rPr>
            <sz val="9"/>
            <rFont val="Tahoma"/>
            <family val="2"/>
          </rPr>
          <t xml:space="preserve">
From PGA Rate Changes Calculation workbook</t>
        </r>
      </text>
    </comment>
    <comment ref="AQ80" authorId="1">
      <text>
        <r>
          <rPr>
            <b/>
            <sz val="9"/>
            <rFont val="Tahoma"/>
            <family val="0"/>
          </rPr>
          <t>Berg, Jenny:</t>
        </r>
        <r>
          <rPr>
            <sz val="9"/>
            <rFont val="Tahoma"/>
            <family val="0"/>
          </rPr>
          <t xml:space="preserve">
JP Amortization</t>
        </r>
      </text>
    </comment>
    <comment ref="AR80" authorId="1">
      <text>
        <r>
          <rPr>
            <b/>
            <sz val="9"/>
            <rFont val="Tahoma"/>
            <family val="0"/>
          </rPr>
          <t>Berg, Jenny:</t>
        </r>
        <r>
          <rPr>
            <sz val="9"/>
            <rFont val="Tahoma"/>
            <family val="0"/>
          </rPr>
          <t xml:space="preserve">
JP Amortization</t>
        </r>
      </text>
    </comment>
    <comment ref="AF81" authorId="2">
      <text>
        <r>
          <rPr>
            <b/>
            <sz val="9"/>
            <rFont val="Tahoma"/>
            <family val="2"/>
          </rPr>
          <t>Christine Machado:</t>
        </r>
        <r>
          <rPr>
            <sz val="9"/>
            <rFont val="Tahoma"/>
            <family val="2"/>
          </rPr>
          <t xml:space="preserve">
201511 picking up schedule 146 unbilled in proration report</t>
        </r>
      </text>
    </comment>
  </commentList>
</comments>
</file>

<file path=xl/comments2.xml><?xml version="1.0" encoding="utf-8"?>
<comments xmlns="http://schemas.openxmlformats.org/spreadsheetml/2006/main">
  <authors>
    <author>MGG9990</author>
  </authors>
  <commentList>
    <comment ref="I5" authorId="0">
      <text>
        <r>
          <rPr>
            <sz val="8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sharedStrings.xml><?xml version="1.0" encoding="utf-8"?>
<sst xmlns="http://schemas.openxmlformats.org/spreadsheetml/2006/main" count="474" uniqueCount="167">
  <si>
    <t xml:space="preserve">Washington/Idaho Gas Costs </t>
  </si>
  <si>
    <t xml:space="preserve">Total </t>
  </si>
  <si>
    <t>Demand</t>
  </si>
  <si>
    <t xml:space="preserve">Commodity </t>
  </si>
  <si>
    <t>System</t>
  </si>
  <si>
    <t>Allocated to</t>
  </si>
  <si>
    <t xml:space="preserve">Allocated to </t>
  </si>
  <si>
    <r>
      <t>Demand (Transportation)</t>
    </r>
    <r>
      <rPr>
        <b/>
        <sz val="12"/>
        <color indexed="8"/>
        <rFont val="Arial"/>
        <family val="2"/>
      </rPr>
      <t xml:space="preserve"> Costs</t>
    </r>
  </si>
  <si>
    <t>Expense Calculation</t>
  </si>
  <si>
    <t>Cost</t>
  </si>
  <si>
    <t>Washington</t>
  </si>
  <si>
    <t>Idaho</t>
  </si>
  <si>
    <t xml:space="preserve">NWP Fixed </t>
  </si>
  <si>
    <t xml:space="preserve">NWP Variable </t>
  </si>
  <si>
    <t>NWP Capacity Release</t>
  </si>
  <si>
    <t>NWP Total (excluding Refund)</t>
  </si>
  <si>
    <r>
      <t xml:space="preserve">Total Current Demand Costs </t>
    </r>
    <r>
      <rPr>
        <b/>
        <sz val="12"/>
        <rFont val="Arial"/>
        <family val="2"/>
      </rPr>
      <t>(excluding refund)</t>
    </r>
  </si>
  <si>
    <t>GTN Fixed</t>
  </si>
  <si>
    <t xml:space="preserve">GTN Variable </t>
  </si>
  <si>
    <t>Total Commodity Costs to be Allocated</t>
  </si>
  <si>
    <t>GTN Capacity Release</t>
  </si>
  <si>
    <t>Imbalance Cost Washington</t>
  </si>
  <si>
    <t xml:space="preserve">  Current Month Estimate</t>
  </si>
  <si>
    <t>Imbalance Cost Idaho</t>
  </si>
  <si>
    <t>Transcanada Foothills (BC System) Fixed</t>
  </si>
  <si>
    <t>Total Commodity Costs before refund</t>
  </si>
  <si>
    <t>Transcanada Foothills (BC System) Variable</t>
  </si>
  <si>
    <t>ANG Total</t>
  </si>
  <si>
    <t>NOVA (AB System) Fixed</t>
  </si>
  <si>
    <t>check</t>
  </si>
  <si>
    <t>NOVA (AB System) Variable</t>
  </si>
  <si>
    <t>NOVA Total</t>
  </si>
  <si>
    <t>Spectra Westcoast Fixed</t>
  </si>
  <si>
    <t>WASHINGTON</t>
  </si>
  <si>
    <t>IDAHO</t>
  </si>
  <si>
    <t>Spectra Westcoast Variable</t>
  </si>
  <si>
    <t xml:space="preserve">Balance Sheet </t>
  </si>
  <si>
    <t>PGA</t>
  </si>
  <si>
    <t>WEI (Duke) Total</t>
  </si>
  <si>
    <t>Def Rev Calc</t>
  </si>
  <si>
    <t>Volumes</t>
  </si>
  <si>
    <t>Rate</t>
  </si>
  <si>
    <t>Revenue</t>
  </si>
  <si>
    <t>Questar</t>
  </si>
  <si>
    <t>DEMAND</t>
  </si>
  <si>
    <t xml:space="preserve">NOVA Fixed charges </t>
  </si>
  <si>
    <t>Schedule 101</t>
  </si>
  <si>
    <t>MAIN CALC</t>
  </si>
  <si>
    <t xml:space="preserve">Third party capacity release </t>
  </si>
  <si>
    <t>Schedule 102</t>
  </si>
  <si>
    <t>Schedule 111</t>
  </si>
  <si>
    <t>Other Pipeline Fixed charges</t>
  </si>
  <si>
    <t>Schedule 112</t>
  </si>
  <si>
    <t>Other capacity release credit</t>
  </si>
  <si>
    <t>Schedule 121</t>
  </si>
  <si>
    <t>Counterparty Invoice Total</t>
  </si>
  <si>
    <t>Schedule 122</t>
  </si>
  <si>
    <t>Thermal Transport</t>
  </si>
  <si>
    <t xml:space="preserve">Total Demand </t>
  </si>
  <si>
    <t>Intracompany Transportation Optimization</t>
  </si>
  <si>
    <t>Schedule 131</t>
  </si>
  <si>
    <r>
      <t>Total Demand</t>
    </r>
    <r>
      <rPr>
        <b/>
        <sz val="12"/>
        <color indexed="8"/>
        <rFont val="Arial"/>
        <family val="2"/>
      </rPr>
      <t xml:space="preserve"> Costs from Purchase Journals</t>
    </r>
  </si>
  <si>
    <t>Schedule 132</t>
  </si>
  <si>
    <t>WA/ID Buy/Sell Transportation Recovery</t>
  </si>
  <si>
    <t>Schedule 146</t>
  </si>
  <si>
    <t xml:space="preserve">Total Demand Costs </t>
  </si>
  <si>
    <t>804001 GD AN</t>
  </si>
  <si>
    <t>less variable costs charged to Commodity</t>
  </si>
  <si>
    <t>Total Demand Costs to be Allocated</t>
  </si>
  <si>
    <t>COMMODITY</t>
  </si>
  <si>
    <t>Commodity Purchases (Natural Gas)</t>
  </si>
  <si>
    <t>Commodity Physical</t>
  </si>
  <si>
    <t>804000 GD AN</t>
  </si>
  <si>
    <t>Misc</t>
  </si>
  <si>
    <t>Cochrane Credit</t>
  </si>
  <si>
    <t>811000 GD AN</t>
  </si>
  <si>
    <t>Financial Settlements</t>
  </si>
  <si>
    <t>804600 GD AN</t>
  </si>
  <si>
    <t>Foreign Exchange Hedge Activity</t>
  </si>
  <si>
    <t>804010 GD AN</t>
  </si>
  <si>
    <t>Interco Purchase from Thermal</t>
  </si>
  <si>
    <t>804730 GD AN</t>
  </si>
  <si>
    <t>Total Commodity Costs from Purchase Journals</t>
  </si>
  <si>
    <t>Total Commodity</t>
  </si>
  <si>
    <t>Storage (Injections)/Withdrawals</t>
  </si>
  <si>
    <t>808100/808200 GD AN</t>
  </si>
  <si>
    <t>FAFB Commodity for Anderson Elementary/Lignetics (semi-annual)</t>
  </si>
  <si>
    <t>WA/ID Gas Purchased from Interstate Asphalt (Annual)</t>
  </si>
  <si>
    <t>GST</t>
  </si>
  <si>
    <t>M Chemical Accrual</t>
  </si>
  <si>
    <t>Broker Fees</t>
  </si>
  <si>
    <t>804017 GD AN</t>
  </si>
  <si>
    <t xml:space="preserve">Idaho </t>
  </si>
  <si>
    <t>Mizuho Broker Fees</t>
  </si>
  <si>
    <t>Deferral Calculation</t>
  </si>
  <si>
    <t>Commodity</t>
  </si>
  <si>
    <t>Wells Fargo Journal DJ 473</t>
  </si>
  <si>
    <t>Totals from above</t>
  </si>
  <si>
    <t>plus variable costs from Demand</t>
  </si>
  <si>
    <t>Total Deferral Expenses from above</t>
  </si>
  <si>
    <t>WA/ID Off System Revenue</t>
  </si>
  <si>
    <t>483000/483600/483730</t>
  </si>
  <si>
    <t>PGA Deferral Revenue from above</t>
  </si>
  <si>
    <t>Deferred Exchange Revenue</t>
  </si>
  <si>
    <t>495028 GD AN</t>
  </si>
  <si>
    <t>Adjustments</t>
  </si>
  <si>
    <t>Amount to be Deferred</t>
  </si>
  <si>
    <t>WA Imbalance</t>
  </si>
  <si>
    <t>(overcollected)/undercollected</t>
  </si>
  <si>
    <t>WA Total</t>
  </si>
  <si>
    <t>ID Total</t>
  </si>
  <si>
    <t>ID Imbalance</t>
  </si>
  <si>
    <t>Total Deferred Commodity Costs:</t>
  </si>
  <si>
    <t>(rebate)/surcharge</t>
  </si>
  <si>
    <t>Deferral Check</t>
  </si>
  <si>
    <t>JET Entry</t>
  </si>
  <si>
    <t xml:space="preserve">Total Net Gas Costs </t>
  </si>
  <si>
    <t>Debits</t>
  </si>
  <si>
    <t>Credits</t>
  </si>
  <si>
    <t>From DJ 430</t>
  </si>
  <si>
    <t>Check</t>
  </si>
  <si>
    <t>Blue Text = Drag Formula to next month and copy/paste value in prior month</t>
  </si>
  <si>
    <t>Update JE date to pull current month values</t>
  </si>
  <si>
    <t>Washington Current Deferral</t>
  </si>
  <si>
    <t>Month</t>
  </si>
  <si>
    <t>YTD</t>
  </si>
  <si>
    <t>Cumulative
Balance</t>
  </si>
  <si>
    <t>Interest Rate</t>
  </si>
  <si>
    <t>Beginning Balance</t>
  </si>
  <si>
    <t>WA Deferral Interest Income</t>
  </si>
  <si>
    <t>GD</t>
  </si>
  <si>
    <t>WA</t>
  </si>
  <si>
    <t>Commodity Deferral</t>
  </si>
  <si>
    <t>WA Deferral Interest Expense</t>
  </si>
  <si>
    <t>Demand Deferral</t>
  </si>
  <si>
    <t>WA Deferral</t>
  </si>
  <si>
    <t>Interest (Rev/Expense)</t>
  </si>
  <si>
    <t>WA Deferral Expense</t>
  </si>
  <si>
    <t>Commodity Adjustment</t>
  </si>
  <si>
    <t>Tracker Transfer</t>
  </si>
  <si>
    <t>Demand Adjustment</t>
  </si>
  <si>
    <t>Interest Adjustment</t>
  </si>
  <si>
    <t>Misc Adjustment</t>
  </si>
  <si>
    <t>Ending Balance</t>
  </si>
  <si>
    <t>GLW Check</t>
  </si>
  <si>
    <t>Variance</t>
  </si>
  <si>
    <t>Washington Amortization</t>
  </si>
  <si>
    <t>Volume - Commodity &amp; Demand</t>
  </si>
  <si>
    <t>PGA YTD</t>
  </si>
  <si>
    <t>Total</t>
  </si>
  <si>
    <t>Calendar Sales Check</t>
  </si>
  <si>
    <t>Rates</t>
  </si>
  <si>
    <t>Man Calc</t>
  </si>
  <si>
    <t>Main Calc</t>
  </si>
  <si>
    <t>GL</t>
  </si>
  <si>
    <t>WA Amortization Interest Income</t>
  </si>
  <si>
    <t>WA Amortization Interest Expense</t>
  </si>
  <si>
    <t>WA Amortization</t>
  </si>
  <si>
    <t>WA Amortization Expense</t>
  </si>
  <si>
    <t>Amortization</t>
  </si>
  <si>
    <t>Large Customer Refund</t>
  </si>
  <si>
    <t>Interest</t>
  </si>
  <si>
    <t>PGA Transfer</t>
  </si>
  <si>
    <t>Volume - Demand only</t>
  </si>
  <si>
    <t>WA Amortization JP</t>
  </si>
  <si>
    <t>WA Amortization Expense JP</t>
  </si>
  <si>
    <t>*Misc Adjustments*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</si>
</sst>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0%"/>
    <numFmt numFmtId="166" formatCode="General_)"/>
    <numFmt numFmtId="167" formatCode="#,##0.0000_);[Red]\(#,##0.0000\)"/>
    <numFmt numFmtId="168" formatCode="#,##0.00000_);\(#,##0.00000\)"/>
    <numFmt numFmtId="169" formatCode="0.000%"/>
    <numFmt numFmtId="170" formatCode="_(&quot;$&quot;* #,##0.00000_);_(&quot;$&quot;* \(#,##0.00000\);_(&quot;$&quot;* &quot;-&quot;??_);_(@_)"/>
    <numFmt numFmtId="171" formatCode="&quot;$&quot;#,##0.00000_);[Red]\(&quot;$&quot;#,##0.00000\)"/>
    <numFmt numFmtId="172" formatCode="#,##0.0000_);\(#,##0.0000\)"/>
    <numFmt numFmtId="173" formatCode="&quot;$&quot;#,##0.00000_);\(&quot;$&quot;#,##0.00000\)"/>
  </numFmts>
  <fonts count="64">
    <font>
      <sz val="10"/>
      <name val="Helv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sz val="10"/>
      <name val="Geneva"/>
      <family val="0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9"/>
      <name val="Arial"/>
      <family val="2"/>
    </font>
    <font>
      <i/>
      <sz val="12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i/>
      <sz val="12"/>
      <color indexed="12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12"/>
      <color indexed="12"/>
      <name val="Helv"/>
      <family val="0"/>
    </font>
    <font>
      <b/>
      <sz val="12"/>
      <name val="Calibri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2"/>
      <color rgb="FF0000FF"/>
      <name val="Helv"/>
      <family val="0"/>
    </font>
    <font>
      <b/>
      <sz val="12"/>
      <color rgb="FF0000FF"/>
      <name val="Helv"/>
      <family val="0"/>
    </font>
    <font>
      <sz val="12"/>
      <color rgb="FF0000FF"/>
      <name val="Helv"/>
      <family val="0"/>
    </font>
    <font>
      <b/>
      <sz val="8"/>
      <name val="Helv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4">
    <xf numFmtId="39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17" fontId="3" fillId="0" borderId="11" xfId="0" applyNumberFormat="1" applyFont="1" applyBorder="1" applyAlignment="1">
      <alignment/>
    </xf>
    <xf numFmtId="0" fontId="3" fillId="0" borderId="0" xfId="0" applyNumberFormat="1" applyFont="1" applyFill="1" applyAlignment="1">
      <alignment horizontal="center"/>
    </xf>
    <xf numFmtId="39" fontId="4" fillId="33" borderId="0" xfId="0" applyFont="1" applyFill="1" applyAlignment="1">
      <alignment/>
    </xf>
    <xf numFmtId="39" fontId="4" fillId="0" borderId="0" xfId="0" applyFont="1" applyAlignment="1">
      <alignment/>
    </xf>
    <xf numFmtId="39" fontId="4" fillId="0" borderId="0" xfId="0" applyFont="1" applyFill="1" applyAlignment="1">
      <alignment/>
    </xf>
    <xf numFmtId="164" fontId="3" fillId="0" borderId="12" xfId="0" applyNumberFormat="1" applyFont="1" applyFill="1" applyBorder="1" applyAlignment="1" applyProtection="1">
      <alignment horizontal="center"/>
      <protection/>
    </xf>
    <xf numFmtId="39" fontId="3" fillId="0" borderId="12" xfId="0" applyFont="1" applyFill="1" applyBorder="1" applyAlignment="1">
      <alignment horizontal="center"/>
    </xf>
    <xf numFmtId="5" fontId="3" fillId="0" borderId="0" xfId="0" applyNumberFormat="1" applyFont="1" applyFill="1" applyAlignment="1">
      <alignment horizontal="center"/>
    </xf>
    <xf numFmtId="164" fontId="3" fillId="0" borderId="13" xfId="0" applyNumberFormat="1" applyFont="1" applyFill="1" applyBorder="1" applyAlignment="1" applyProtection="1">
      <alignment horizontal="center"/>
      <protection/>
    </xf>
    <xf numFmtId="39" fontId="3" fillId="0" borderId="13" xfId="0" applyFont="1" applyFill="1" applyBorder="1" applyAlignment="1">
      <alignment horizontal="center"/>
    </xf>
    <xf numFmtId="39" fontId="3" fillId="0" borderId="14" xfId="0" applyFont="1" applyBorder="1" applyAlignment="1">
      <alignment/>
    </xf>
    <xf numFmtId="5" fontId="4" fillId="0" borderId="0" xfId="0" applyNumberFormat="1" applyFont="1" applyFill="1" applyAlignment="1">
      <alignment/>
    </xf>
    <xf numFmtId="17" fontId="3" fillId="33" borderId="0" xfId="0" applyNumberFormat="1" applyFont="1" applyFill="1" applyAlignment="1">
      <alignment/>
    </xf>
    <xf numFmtId="39" fontId="3" fillId="0" borderId="0" xfId="0" applyFont="1" applyFill="1" applyAlignment="1">
      <alignment/>
    </xf>
    <xf numFmtId="39" fontId="3" fillId="0" borderId="15" xfId="0" applyFont="1" applyFill="1" applyBorder="1" applyAlignment="1">
      <alignment horizontal="center"/>
    </xf>
    <xf numFmtId="44" fontId="6" fillId="10" borderId="0" xfId="0" applyNumberFormat="1" applyFont="1" applyFill="1" applyBorder="1" applyAlignment="1">
      <alignment/>
    </xf>
    <xf numFmtId="5" fontId="3" fillId="33" borderId="0" xfId="0" applyNumberFormat="1" applyFont="1" applyFill="1" applyAlignment="1">
      <alignment horizontal="center"/>
    </xf>
    <xf numFmtId="39" fontId="3" fillId="0" borderId="0" xfId="0" applyFont="1" applyFill="1" applyBorder="1" applyAlignment="1">
      <alignment/>
    </xf>
    <xf numFmtId="10" fontId="3" fillId="10" borderId="0" xfId="57" applyNumberFormat="1" applyFont="1" applyFill="1" applyAlignment="1">
      <alignment horizontal="center"/>
    </xf>
    <xf numFmtId="165" fontId="3" fillId="0" borderId="0" xfId="57" applyNumberFormat="1" applyFont="1" applyFill="1" applyAlignment="1">
      <alignment horizontal="center"/>
    </xf>
    <xf numFmtId="39" fontId="4" fillId="0" borderId="14" xfId="0" applyFont="1" applyFill="1" applyBorder="1" applyAlignment="1">
      <alignment/>
    </xf>
    <xf numFmtId="44" fontId="6" fillId="10" borderId="14" xfId="0" applyNumberFormat="1" applyFont="1" applyFill="1" applyBorder="1" applyAlignment="1">
      <alignment/>
    </xf>
    <xf numFmtId="39" fontId="4" fillId="0" borderId="0" xfId="0" applyFont="1" applyFill="1" applyAlignment="1">
      <alignment horizontal="right"/>
    </xf>
    <xf numFmtId="44" fontId="4" fillId="0" borderId="0" xfId="0" applyNumberFormat="1" applyFont="1" applyFill="1" applyBorder="1" applyAlignment="1">
      <alignment/>
    </xf>
    <xf numFmtId="5" fontId="4" fillId="33" borderId="0" xfId="0" applyNumberFormat="1" applyFont="1" applyFill="1" applyAlignment="1">
      <alignment/>
    </xf>
    <xf numFmtId="166" fontId="4" fillId="0" borderId="0" xfId="0" applyNumberFormat="1" applyFont="1" applyFill="1" applyAlignment="1" applyProtection="1">
      <alignment horizontal="left"/>
      <protection/>
    </xf>
    <xf numFmtId="44" fontId="3" fillId="33" borderId="16" xfId="0" applyNumberFormat="1" applyFont="1" applyFill="1" applyBorder="1" applyAlignment="1">
      <alignment/>
    </xf>
    <xf numFmtId="44" fontId="4" fillId="0" borderId="0" xfId="0" applyNumberFormat="1" applyFont="1" applyFill="1" applyAlignment="1" applyProtection="1">
      <alignment/>
      <protection locked="0"/>
    </xf>
    <xf numFmtId="44" fontId="4" fillId="0" borderId="0" xfId="0" applyNumberFormat="1" applyFont="1" applyFill="1" applyAlignment="1">
      <alignment/>
    </xf>
    <xf numFmtId="7" fontId="4" fillId="33" borderId="0" xfId="0" applyNumberFormat="1" applyFont="1" applyFill="1" applyAlignment="1">
      <alignment/>
    </xf>
    <xf numFmtId="39" fontId="4" fillId="0" borderId="0" xfId="0" applyFont="1" applyFill="1" applyAlignment="1">
      <alignment horizontal="left"/>
    </xf>
    <xf numFmtId="44" fontId="4" fillId="0" borderId="14" xfId="0" applyNumberFormat="1" applyFont="1" applyFill="1" applyBorder="1" applyAlignment="1" applyProtection="1">
      <alignment/>
      <protection locked="0"/>
    </xf>
    <xf numFmtId="44" fontId="6" fillId="0" borderId="14" xfId="0" applyNumberFormat="1" applyFont="1" applyFill="1" applyBorder="1" applyAlignment="1">
      <alignment/>
    </xf>
    <xf numFmtId="39" fontId="8" fillId="0" borderId="0" xfId="0" applyFont="1" applyFill="1" applyAlignment="1">
      <alignment/>
    </xf>
    <xf numFmtId="39" fontId="8" fillId="0" borderId="0" xfId="0" applyFont="1" applyFill="1" applyAlignment="1">
      <alignment horizontal="right"/>
    </xf>
    <xf numFmtId="44" fontId="8" fillId="0" borderId="0" xfId="0" applyNumberFormat="1" applyFont="1" applyFill="1" applyAlignment="1" applyProtection="1">
      <alignment horizontal="center"/>
      <protection/>
    </xf>
    <xf numFmtId="44" fontId="4" fillId="0" borderId="0" xfId="0" applyNumberFormat="1" applyFont="1" applyFill="1" applyAlignment="1" applyProtection="1">
      <alignment/>
      <protection/>
    </xf>
    <xf numFmtId="7" fontId="4" fillId="33" borderId="0" xfId="0" applyNumberFormat="1" applyFont="1" applyFill="1" applyBorder="1" applyAlignment="1">
      <alignment/>
    </xf>
    <xf numFmtId="166" fontId="3" fillId="0" borderId="0" xfId="0" applyNumberFormat="1" applyFont="1" applyFill="1" applyAlignment="1" applyProtection="1">
      <alignment horizontal="left"/>
      <protection/>
    </xf>
    <xf numFmtId="44" fontId="3" fillId="0" borderId="17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/>
    </xf>
    <xf numFmtId="167" fontId="8" fillId="0" borderId="0" xfId="42" applyNumberFormat="1" applyFont="1" applyFill="1" applyAlignment="1">
      <alignment/>
    </xf>
    <xf numFmtId="7" fontId="8" fillId="0" borderId="0" xfId="0" applyNumberFormat="1" applyFont="1" applyFill="1" applyAlignment="1" applyProtection="1">
      <alignment horizontal="center"/>
      <protection/>
    </xf>
    <xf numFmtId="7" fontId="4" fillId="0" borderId="0" xfId="0" applyNumberFormat="1" applyFont="1" applyFill="1" applyAlignment="1" applyProtection="1">
      <alignment/>
      <protection/>
    </xf>
    <xf numFmtId="7" fontId="8" fillId="0" borderId="0" xfId="0" applyNumberFormat="1" applyFont="1" applyFill="1" applyBorder="1" applyAlignment="1" applyProtection="1">
      <alignment horizontal="center"/>
      <protection/>
    </xf>
    <xf numFmtId="39" fontId="4" fillId="0" borderId="14" xfId="0" applyFont="1" applyBorder="1" applyAlignment="1">
      <alignment/>
    </xf>
    <xf numFmtId="39" fontId="3" fillId="0" borderId="13" xfId="0" applyFont="1" applyFill="1" applyBorder="1" applyAlignment="1">
      <alignment/>
    </xf>
    <xf numFmtId="39" fontId="3" fillId="0" borderId="18" xfId="0" applyFont="1" applyFill="1" applyBorder="1" applyAlignment="1">
      <alignment horizontal="center"/>
    </xf>
    <xf numFmtId="39" fontId="4" fillId="0" borderId="0" xfId="0" applyFont="1" applyBorder="1" applyAlignment="1">
      <alignment horizontal="right"/>
    </xf>
    <xf numFmtId="39" fontId="3" fillId="0" borderId="15" xfId="0" applyFont="1" applyFill="1" applyBorder="1" applyAlignment="1">
      <alignment/>
    </xf>
    <xf numFmtId="39" fontId="3" fillId="0" borderId="19" xfId="0" applyFont="1" applyFill="1" applyBorder="1" applyAlignment="1">
      <alignment/>
    </xf>
    <xf numFmtId="39" fontId="3" fillId="0" borderId="0" xfId="0" applyFont="1" applyFill="1" applyBorder="1" applyAlignment="1">
      <alignment horizontal="center"/>
    </xf>
    <xf numFmtId="39" fontId="3" fillId="0" borderId="20" xfId="0" applyFont="1" applyFill="1" applyBorder="1" applyAlignment="1">
      <alignment horizontal="center"/>
    </xf>
    <xf numFmtId="39" fontId="3" fillId="0" borderId="21" xfId="0" applyFont="1" applyFill="1" applyBorder="1" applyAlignment="1">
      <alignment horizontal="center"/>
    </xf>
    <xf numFmtId="39" fontId="4" fillId="0" borderId="22" xfId="0" applyFont="1" applyFill="1" applyBorder="1" applyAlignment="1">
      <alignment/>
    </xf>
    <xf numFmtId="39" fontId="4" fillId="0" borderId="0" xfId="0" applyFont="1" applyFill="1" applyBorder="1" applyAlignment="1">
      <alignment horizontal="right"/>
    </xf>
    <xf numFmtId="39" fontId="3" fillId="0" borderId="19" xfId="0" applyFont="1" applyFill="1" applyBorder="1" applyAlignment="1">
      <alignment horizontal="right"/>
    </xf>
    <xf numFmtId="39" fontId="4" fillId="0" borderId="0" xfId="0" applyFont="1" applyFill="1" applyBorder="1" applyAlignment="1">
      <alignment/>
    </xf>
    <xf numFmtId="39" fontId="4" fillId="0" borderId="18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39" fontId="4" fillId="0" borderId="19" xfId="0" applyFont="1" applyFill="1" applyBorder="1" applyAlignment="1">
      <alignment horizontal="right"/>
    </xf>
    <xf numFmtId="38" fontId="6" fillId="10" borderId="0" xfId="42" applyNumberFormat="1" applyFont="1" applyFill="1" applyBorder="1" applyAlignment="1" applyProtection="1">
      <alignment/>
      <protection/>
    </xf>
    <xf numFmtId="168" fontId="56" fillId="0" borderId="0" xfId="0" applyNumberFormat="1" applyFont="1" applyFill="1" applyBorder="1" applyAlignment="1" applyProtection="1">
      <alignment horizontal="center"/>
      <protection locked="0"/>
    </xf>
    <xf numFmtId="44" fontId="4" fillId="10" borderId="18" xfId="44" applyNumberFormat="1" applyFont="1" applyFill="1" applyBorder="1" applyAlignment="1">
      <alignment/>
    </xf>
    <xf numFmtId="44" fontId="6" fillId="34" borderId="0" xfId="0" applyNumberFormat="1" applyFont="1" applyFill="1" applyBorder="1" applyAlignment="1">
      <alignment/>
    </xf>
    <xf numFmtId="8" fontId="6" fillId="34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8" fontId="6" fillId="34" borderId="14" xfId="0" applyNumberFormat="1" applyFont="1" applyFill="1" applyBorder="1" applyAlignment="1">
      <alignment/>
    </xf>
    <xf numFmtId="38" fontId="6" fillId="0" borderId="0" xfId="42" applyNumberFormat="1" applyFont="1" applyFill="1" applyBorder="1" applyAlignment="1" applyProtection="1">
      <alignment/>
      <protection/>
    </xf>
    <xf numFmtId="44" fontId="4" fillId="0" borderId="18" xfId="44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37" fontId="4" fillId="0" borderId="17" xfId="0" applyNumberFormat="1" applyFont="1" applyFill="1" applyBorder="1" applyAlignment="1" applyProtection="1">
      <alignment/>
      <protection/>
    </xf>
    <xf numFmtId="168" fontId="10" fillId="0" borderId="0" xfId="0" applyNumberFormat="1" applyFont="1" applyFill="1" applyBorder="1" applyAlignment="1" applyProtection="1">
      <alignment horizontal="center"/>
      <protection locked="0"/>
    </xf>
    <xf numFmtId="44" fontId="3" fillId="0" borderId="23" xfId="44" applyNumberFormat="1" applyFont="1" applyFill="1" applyBorder="1" applyAlignment="1">
      <alignment/>
    </xf>
    <xf numFmtId="37" fontId="56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horizontal="left"/>
      <protection locked="0"/>
    </xf>
    <xf numFmtId="39" fontId="3" fillId="0" borderId="0" xfId="0" applyFont="1" applyAlignment="1">
      <alignment/>
    </xf>
    <xf numFmtId="37" fontId="57" fillId="0" borderId="0" xfId="0" applyNumberFormat="1" applyFont="1" applyFill="1" applyBorder="1" applyAlignment="1">
      <alignment/>
    </xf>
    <xf numFmtId="8" fontId="4" fillId="0" borderId="18" xfId="44" applyFont="1" applyFill="1" applyBorder="1" applyAlignment="1">
      <alignment/>
    </xf>
    <xf numFmtId="39" fontId="4" fillId="33" borderId="0" xfId="0" applyNumberFormat="1" applyFont="1" applyFill="1" applyAlignment="1">
      <alignment/>
    </xf>
    <xf numFmtId="39" fontId="4" fillId="0" borderId="19" xfId="0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7" fontId="12" fillId="33" borderId="0" xfId="0" applyNumberFormat="1" applyFont="1" applyFill="1" applyAlignment="1">
      <alignment/>
    </xf>
    <xf numFmtId="8" fontId="4" fillId="0" borderId="19" xfId="44" applyFont="1" applyFill="1" applyBorder="1" applyAlignment="1">
      <alignment/>
    </xf>
    <xf numFmtId="169" fontId="4" fillId="0" borderId="0" xfId="57" applyNumberFormat="1" applyFont="1" applyFill="1" applyBorder="1" applyAlignment="1">
      <alignment/>
    </xf>
    <xf numFmtId="8" fontId="3" fillId="0" borderId="18" xfId="44" applyFont="1" applyFill="1" applyBorder="1" applyAlignment="1">
      <alignment/>
    </xf>
    <xf numFmtId="44" fontId="3" fillId="34" borderId="0" xfId="0" applyNumberFormat="1" applyFont="1" applyFill="1" applyBorder="1" applyAlignment="1">
      <alignment/>
    </xf>
    <xf numFmtId="39" fontId="4" fillId="0" borderId="19" xfId="0" applyFont="1" applyFill="1" applyBorder="1" applyAlignment="1">
      <alignment horizontal="left"/>
    </xf>
    <xf numFmtId="170" fontId="4" fillId="0" borderId="18" xfId="0" applyNumberFormat="1" applyFont="1" applyFill="1" applyBorder="1" applyAlignment="1">
      <alignment/>
    </xf>
    <xf numFmtId="8" fontId="4" fillId="0" borderId="0" xfId="44" applyFont="1" applyFill="1" applyBorder="1" applyAlignment="1">
      <alignment/>
    </xf>
    <xf numFmtId="44" fontId="3" fillId="35" borderId="0" xfId="0" applyNumberFormat="1" applyFont="1" applyFill="1" applyBorder="1" applyAlignment="1">
      <alignment/>
    </xf>
    <xf numFmtId="39" fontId="3" fillId="0" borderId="0" xfId="0" applyFont="1" applyBorder="1" applyAlignment="1">
      <alignment/>
    </xf>
    <xf numFmtId="38" fontId="4" fillId="10" borderId="0" xfId="42" applyNumberFormat="1" applyFont="1" applyFill="1" applyBorder="1" applyAlignment="1" applyProtection="1">
      <alignment/>
      <protection/>
    </xf>
    <xf numFmtId="38" fontId="4" fillId="0" borderId="0" xfId="42" applyNumberFormat="1" applyFont="1" applyAlignment="1">
      <alignment/>
    </xf>
    <xf numFmtId="39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38" fontId="4" fillId="0" borderId="0" xfId="42" applyNumberFormat="1" applyFont="1" applyFill="1" applyBorder="1" applyAlignment="1" applyProtection="1">
      <alignment/>
      <protection/>
    </xf>
    <xf numFmtId="39" fontId="4" fillId="0" borderId="0" xfId="0" applyFont="1" applyAlignment="1">
      <alignment horizontal="center"/>
    </xf>
    <xf numFmtId="38" fontId="6" fillId="0" borderId="14" xfId="42" applyNumberFormat="1" applyFont="1" applyFill="1" applyBorder="1" applyAlignment="1" applyProtection="1">
      <alignment/>
      <protection/>
    </xf>
    <xf numFmtId="39" fontId="3" fillId="0" borderId="0" xfId="0" applyFont="1" applyFill="1" applyBorder="1" applyAlignment="1">
      <alignment horizontal="left"/>
    </xf>
    <xf numFmtId="39" fontId="4" fillId="0" borderId="0" xfId="0" applyNumberFormat="1" applyFont="1" applyAlignment="1">
      <alignment horizontal="left" vertical="top"/>
    </xf>
    <xf numFmtId="39" fontId="4" fillId="0" borderId="0" xfId="0" applyNumberFormat="1" applyFont="1" applyAlignment="1">
      <alignment horizontal="center" vertical="top"/>
    </xf>
    <xf numFmtId="39" fontId="3" fillId="0" borderId="24" xfId="0" applyFont="1" applyFill="1" applyBorder="1" applyAlignment="1">
      <alignment horizontal="left"/>
    </xf>
    <xf numFmtId="37" fontId="56" fillId="0" borderId="25" xfId="0" applyNumberFormat="1" applyFont="1" applyFill="1" applyBorder="1" applyAlignment="1" applyProtection="1">
      <alignment/>
      <protection/>
    </xf>
    <xf numFmtId="168" fontId="4" fillId="0" borderId="25" xfId="0" applyNumberFormat="1" applyFont="1" applyFill="1" applyBorder="1" applyAlignment="1" applyProtection="1">
      <alignment horizontal="left"/>
      <protection locked="0"/>
    </xf>
    <xf numFmtId="171" fontId="4" fillId="0" borderId="26" xfId="44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44" fontId="6" fillId="0" borderId="0" xfId="0" applyNumberFormat="1" applyFont="1" applyFill="1" applyBorder="1" applyAlignment="1">
      <alignment/>
    </xf>
    <xf numFmtId="8" fontId="4" fillId="0" borderId="0" xfId="44" applyFont="1" applyFill="1" applyAlignment="1">
      <alignment/>
    </xf>
    <xf numFmtId="39" fontId="4" fillId="0" borderId="24" xfId="0" applyFont="1" applyFill="1" applyBorder="1" applyAlignment="1">
      <alignment horizontal="left"/>
    </xf>
    <xf numFmtId="170" fontId="4" fillId="0" borderId="26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 applyProtection="1">
      <alignment/>
      <protection/>
    </xf>
    <xf numFmtId="8" fontId="3" fillId="0" borderId="0" xfId="44" applyFont="1" applyFill="1" applyBorder="1" applyAlignment="1">
      <alignment/>
    </xf>
    <xf numFmtId="39" fontId="3" fillId="0" borderId="22" xfId="0" applyFont="1" applyFill="1" applyBorder="1" applyAlignment="1">
      <alignment horizontal="center"/>
    </xf>
    <xf numFmtId="39" fontId="3" fillId="0" borderId="24" xfId="0" applyFont="1" applyFill="1" applyBorder="1" applyAlignment="1">
      <alignment horizontal="center"/>
    </xf>
    <xf numFmtId="39" fontId="3" fillId="0" borderId="25" xfId="0" applyFont="1" applyFill="1" applyBorder="1" applyAlignment="1">
      <alignment horizontal="center"/>
    </xf>
    <xf numFmtId="39" fontId="3" fillId="0" borderId="26" xfId="0" applyFont="1" applyFill="1" applyBorder="1" applyAlignment="1">
      <alignment horizontal="center"/>
    </xf>
    <xf numFmtId="39" fontId="4" fillId="0" borderId="20" xfId="0" applyFont="1" applyFill="1" applyBorder="1" applyAlignment="1">
      <alignment/>
    </xf>
    <xf numFmtId="39" fontId="4" fillId="0" borderId="21" xfId="0" applyFont="1" applyFill="1" applyBorder="1" applyAlignment="1">
      <alignment/>
    </xf>
    <xf numFmtId="39" fontId="4" fillId="0" borderId="0" xfId="0" applyFont="1" applyAlignment="1">
      <alignment horizontal="left"/>
    </xf>
    <xf numFmtId="44" fontId="3" fillId="0" borderId="19" xfId="44" applyNumberFormat="1" applyFont="1" applyFill="1" applyBorder="1" applyAlignment="1" applyProtection="1">
      <alignment/>
      <protection/>
    </xf>
    <xf numFmtId="44" fontId="3" fillId="0" borderId="0" xfId="44" applyNumberFormat="1" applyFont="1" applyFill="1" applyBorder="1" applyAlignment="1" applyProtection="1">
      <alignment/>
      <protection/>
    </xf>
    <xf numFmtId="44" fontId="3" fillId="0" borderId="13" xfId="44" applyNumberFormat="1" applyFont="1" applyFill="1" applyBorder="1" applyAlignment="1" applyProtection="1">
      <alignment/>
      <protection/>
    </xf>
    <xf numFmtId="39" fontId="4" fillId="34" borderId="0" xfId="0" applyFont="1" applyFill="1" applyAlignment="1">
      <alignment/>
    </xf>
    <xf numFmtId="39" fontId="4" fillId="34" borderId="0" xfId="0" applyFont="1" applyFill="1" applyAlignment="1">
      <alignment horizontal="center"/>
    </xf>
    <xf numFmtId="44" fontId="3" fillId="0" borderId="27" xfId="44" applyNumberFormat="1" applyFont="1" applyFill="1" applyBorder="1" applyAlignment="1" applyProtection="1">
      <alignment/>
      <protection/>
    </xf>
    <xf numFmtId="44" fontId="56" fillId="0" borderId="10" xfId="44" applyNumberFormat="1" applyFont="1" applyFill="1" applyBorder="1" applyAlignment="1" applyProtection="1">
      <alignment/>
      <protection/>
    </xf>
    <xf numFmtId="44" fontId="56" fillId="0" borderId="28" xfId="44" applyNumberFormat="1" applyFont="1" applyFill="1" applyBorder="1" applyAlignment="1" applyProtection="1">
      <alignment/>
      <protection/>
    </xf>
    <xf numFmtId="44" fontId="56" fillId="0" borderId="11" xfId="44" applyNumberFormat="1" applyFont="1" applyFill="1" applyBorder="1" applyAlignment="1" applyProtection="1">
      <alignment/>
      <protection/>
    </xf>
    <xf numFmtId="39" fontId="4" fillId="0" borderId="29" xfId="0" applyFont="1" applyBorder="1" applyAlignment="1">
      <alignment/>
    </xf>
    <xf numFmtId="39" fontId="3" fillId="0" borderId="0" xfId="0" applyNumberFormat="1" applyFont="1" applyAlignment="1">
      <alignment horizontal="left" vertical="top"/>
    </xf>
    <xf numFmtId="44" fontId="3" fillId="0" borderId="17" xfId="0" applyNumberFormat="1" applyFont="1" applyFill="1" applyBorder="1" applyAlignment="1">
      <alignment/>
    </xf>
    <xf numFmtId="39" fontId="4" fillId="0" borderId="15" xfId="0" applyFont="1" applyBorder="1" applyAlignment="1">
      <alignment/>
    </xf>
    <xf numFmtId="39" fontId="57" fillId="0" borderId="0" xfId="0" applyFont="1" applyAlignment="1">
      <alignment/>
    </xf>
    <xf numFmtId="39" fontId="4" fillId="0" borderId="0" xfId="0" applyFont="1" applyBorder="1" applyAlignment="1">
      <alignment/>
    </xf>
    <xf numFmtId="39" fontId="4" fillId="0" borderId="0" xfId="0" applyFont="1" applyAlignment="1">
      <alignment horizontal="right"/>
    </xf>
    <xf numFmtId="44" fontId="4" fillId="36" borderId="30" xfId="0" applyNumberFormat="1" applyFont="1" applyFill="1" applyBorder="1" applyAlignment="1">
      <alignment/>
    </xf>
    <xf numFmtId="39" fontId="4" fillId="0" borderId="0" xfId="0" applyNumberFormat="1" applyFont="1" applyAlignment="1" applyProtection="1">
      <alignment/>
      <protection/>
    </xf>
    <xf numFmtId="39" fontId="58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39" fontId="4" fillId="35" borderId="0" xfId="0" applyNumberFormat="1" applyFont="1" applyFill="1" applyAlignment="1">
      <alignment/>
    </xf>
    <xf numFmtId="39" fontId="11" fillId="35" borderId="0" xfId="0" applyFont="1" applyFill="1" applyAlignment="1">
      <alignment/>
    </xf>
    <xf numFmtId="2" fontId="4" fillId="35" borderId="0" xfId="0" applyNumberFormat="1" applyFont="1" applyFill="1" applyAlignment="1">
      <alignment/>
    </xf>
    <xf numFmtId="39" fontId="58" fillId="0" borderId="0" xfId="0" applyNumberFormat="1" applyFont="1" applyAlignment="1">
      <alignment horizontal="right"/>
    </xf>
    <xf numFmtId="39" fontId="59" fillId="0" borderId="0" xfId="0" applyFont="1" applyAlignment="1">
      <alignment/>
    </xf>
    <xf numFmtId="39" fontId="4" fillId="35" borderId="20" xfId="0" applyFont="1" applyFill="1" applyBorder="1" applyAlignment="1">
      <alignment/>
    </xf>
    <xf numFmtId="39" fontId="4" fillId="35" borderId="22" xfId="0" applyFont="1" applyFill="1" applyBorder="1" applyAlignment="1">
      <alignment/>
    </xf>
    <xf numFmtId="39" fontId="3" fillId="0" borderId="0" xfId="0" applyFont="1" applyAlignment="1">
      <alignment horizontal="right"/>
    </xf>
    <xf numFmtId="39" fontId="4" fillId="0" borderId="24" xfId="0" applyFont="1" applyBorder="1" applyAlignment="1">
      <alignment/>
    </xf>
    <xf numFmtId="39" fontId="4" fillId="0" borderId="26" xfId="0" applyFont="1" applyBorder="1" applyAlignment="1">
      <alignment/>
    </xf>
    <xf numFmtId="7" fontId="56" fillId="34" borderId="0" xfId="0" applyNumberFormat="1" applyFont="1" applyFill="1" applyBorder="1" applyAlignment="1">
      <alignment/>
    </xf>
    <xf numFmtId="39" fontId="4" fillId="0" borderId="10" xfId="0" applyNumberFormat="1" applyFont="1" applyFill="1" applyBorder="1" applyAlignment="1">
      <alignment/>
    </xf>
    <xf numFmtId="39" fontId="4" fillId="0" borderId="16" xfId="0" applyNumberFormat="1" applyFont="1" applyFill="1" applyBorder="1" applyAlignment="1">
      <alignment/>
    </xf>
    <xf numFmtId="44" fontId="4" fillId="37" borderId="0" xfId="0" applyNumberFormat="1" applyFont="1" applyFill="1" applyBorder="1" applyAlignment="1">
      <alignment/>
    </xf>
    <xf numFmtId="44" fontId="4" fillId="36" borderId="0" xfId="0" applyNumberFormat="1" applyFont="1" applyFill="1" applyBorder="1" applyAlignment="1">
      <alignment/>
    </xf>
    <xf numFmtId="169" fontId="10" fillId="0" borderId="0" xfId="0" applyNumberFormat="1" applyFont="1" applyBorder="1" applyAlignment="1" applyProtection="1">
      <alignment/>
      <protection/>
    </xf>
    <xf numFmtId="39" fontId="9" fillId="0" borderId="0" xfId="0" applyFont="1" applyAlignment="1">
      <alignment/>
    </xf>
    <xf numFmtId="7" fontId="4" fillId="0" borderId="0" xfId="42" applyNumberFormat="1" applyFont="1" applyAlignment="1">
      <alignment/>
    </xf>
    <xf numFmtId="7" fontId="4" fillId="0" borderId="0" xfId="0" applyNumberFormat="1" applyFont="1" applyFill="1" applyBorder="1" applyAlignment="1">
      <alignment/>
    </xf>
    <xf numFmtId="39" fontId="4" fillId="33" borderId="0" xfId="0" applyNumberFormat="1" applyFont="1" applyFill="1" applyBorder="1" applyAlignment="1">
      <alignment/>
    </xf>
    <xf numFmtId="169" fontId="8" fillId="0" borderId="0" xfId="0" applyNumberFormat="1" applyFont="1" applyAlignment="1" applyProtection="1">
      <alignment/>
      <protection locked="0"/>
    </xf>
    <xf numFmtId="169" fontId="10" fillId="0" borderId="0" xfId="0" applyNumberFormat="1" applyFont="1" applyAlignment="1" applyProtection="1">
      <alignment/>
      <protection locked="0"/>
    </xf>
    <xf numFmtId="169" fontId="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 applyProtection="1">
      <alignment/>
      <protection locked="0"/>
    </xf>
    <xf numFmtId="8" fontId="4" fillId="33" borderId="0" xfId="44" applyFont="1" applyFill="1" applyBorder="1" applyAlignment="1">
      <alignment/>
    </xf>
    <xf numFmtId="173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39" fontId="60" fillId="34" borderId="0" xfId="0" applyFont="1" applyFill="1" applyAlignment="1">
      <alignment/>
    </xf>
    <xf numFmtId="39" fontId="16" fillId="34" borderId="0" xfId="0" applyFont="1" applyFill="1" applyAlignment="1">
      <alignment horizontal="right"/>
    </xf>
    <xf numFmtId="39" fontId="16" fillId="34" borderId="0" xfId="0" applyFont="1" applyFill="1" applyAlignment="1">
      <alignment/>
    </xf>
    <xf numFmtId="39" fontId="16" fillId="34" borderId="0" xfId="0" applyFont="1" applyFill="1" applyBorder="1" applyAlignment="1">
      <alignment/>
    </xf>
    <xf numFmtId="0" fontId="16" fillId="34" borderId="0" xfId="0" applyNumberFormat="1" applyFont="1" applyFill="1" applyAlignment="1">
      <alignment/>
    </xf>
    <xf numFmtId="39" fontId="17" fillId="34" borderId="0" xfId="0" applyFont="1" applyFill="1" applyAlignment="1">
      <alignment/>
    </xf>
    <xf numFmtId="0" fontId="17" fillId="34" borderId="0" xfId="0" applyNumberFormat="1" applyFont="1" applyFill="1" applyAlignment="1">
      <alignment/>
    </xf>
    <xf numFmtId="39" fontId="17" fillId="34" borderId="0" xfId="0" applyFont="1" applyFill="1" applyAlignment="1">
      <alignment horizontal="right"/>
    </xf>
    <xf numFmtId="39" fontId="17" fillId="34" borderId="0" xfId="0" applyFont="1" applyFill="1" applyAlignment="1">
      <alignment horizontal="center"/>
    </xf>
    <xf numFmtId="39" fontId="17" fillId="34" borderId="0" xfId="0" applyFont="1" applyFill="1" applyAlignment="1">
      <alignment horizontal="center" wrapText="1"/>
    </xf>
    <xf numFmtId="39" fontId="17" fillId="34" borderId="0" xfId="0" applyFont="1" applyFill="1" applyBorder="1" applyAlignment="1">
      <alignment/>
    </xf>
    <xf numFmtId="10" fontId="16" fillId="34" borderId="0" xfId="57" applyNumberFormat="1" applyFont="1" applyFill="1" applyAlignment="1">
      <alignment/>
    </xf>
    <xf numFmtId="10" fontId="16" fillId="0" borderId="0" xfId="57" applyNumberFormat="1" applyFont="1" applyFill="1" applyAlignment="1">
      <alignment/>
    </xf>
    <xf numFmtId="0" fontId="61" fillId="34" borderId="20" xfId="0" applyNumberFormat="1" applyFont="1" applyFill="1" applyBorder="1" applyAlignment="1">
      <alignment/>
    </xf>
    <xf numFmtId="0" fontId="16" fillId="34" borderId="21" xfId="0" applyNumberFormat="1" applyFont="1" applyFill="1" applyBorder="1" applyAlignment="1">
      <alignment/>
    </xf>
    <xf numFmtId="39" fontId="16" fillId="34" borderId="21" xfId="0" applyFont="1" applyFill="1" applyBorder="1" applyAlignment="1">
      <alignment/>
    </xf>
    <xf numFmtId="39" fontId="16" fillId="34" borderId="22" xfId="0" applyFont="1" applyFill="1" applyBorder="1" applyAlignment="1">
      <alignment/>
    </xf>
    <xf numFmtId="39" fontId="4" fillId="34" borderId="20" xfId="0" applyFont="1" applyFill="1" applyBorder="1" applyAlignment="1">
      <alignment/>
    </xf>
    <xf numFmtId="0" fontId="4" fillId="34" borderId="21" xfId="0" applyNumberFormat="1" applyFont="1" applyFill="1" applyBorder="1" applyAlignment="1">
      <alignment/>
    </xf>
    <xf numFmtId="39" fontId="4" fillId="34" borderId="21" xfId="0" applyFont="1" applyFill="1" applyBorder="1" applyAlignment="1">
      <alignment/>
    </xf>
    <xf numFmtId="40" fontId="4" fillId="34" borderId="21" xfId="42" applyFont="1" applyFill="1" applyBorder="1" applyAlignment="1">
      <alignment/>
    </xf>
    <xf numFmtId="40" fontId="4" fillId="34" borderId="22" xfId="42" applyFont="1" applyFill="1" applyBorder="1" applyAlignment="1">
      <alignment/>
    </xf>
    <xf numFmtId="39" fontId="16" fillId="5" borderId="0" xfId="0" applyFont="1" applyFill="1" applyAlignment="1">
      <alignment/>
    </xf>
    <xf numFmtId="39" fontId="16" fillId="0" borderId="0" xfId="0" applyFont="1" applyFill="1" applyAlignment="1">
      <alignment/>
    </xf>
    <xf numFmtId="39" fontId="4" fillId="34" borderId="19" xfId="0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39" fontId="4" fillId="34" borderId="0" xfId="0" applyFont="1" applyFill="1" applyBorder="1" applyAlignment="1">
      <alignment/>
    </xf>
    <xf numFmtId="40" fontId="4" fillId="34" borderId="0" xfId="42" applyFont="1" applyFill="1" applyBorder="1" applyAlignment="1">
      <alignment/>
    </xf>
    <xf numFmtId="40" fontId="4" fillId="34" borderId="18" xfId="42" applyFont="1" applyFill="1" applyBorder="1" applyAlignment="1">
      <alignment/>
    </xf>
    <xf numFmtId="39" fontId="16" fillId="4" borderId="0" xfId="0" applyFont="1" applyFill="1" applyAlignment="1">
      <alignment/>
    </xf>
    <xf numFmtId="39" fontId="62" fillId="38" borderId="0" xfId="0" applyFont="1" applyFill="1" applyAlignment="1">
      <alignment/>
    </xf>
    <xf numFmtId="39" fontId="62" fillId="34" borderId="0" xfId="0" applyFont="1" applyFill="1" applyAlignment="1">
      <alignment/>
    </xf>
    <xf numFmtId="39" fontId="62" fillId="37" borderId="0" xfId="0" applyFont="1" applyFill="1" applyAlignment="1">
      <alignment/>
    </xf>
    <xf numFmtId="39" fontId="62" fillId="6" borderId="0" xfId="0" applyFont="1" applyFill="1" applyAlignment="1">
      <alignment/>
    </xf>
    <xf numFmtId="39" fontId="62" fillId="0" borderId="0" xfId="0" applyFont="1" applyFill="1" applyAlignment="1">
      <alignment/>
    </xf>
    <xf numFmtId="39" fontId="16" fillId="38" borderId="0" xfId="0" applyFont="1" applyFill="1" applyAlignment="1">
      <alignment/>
    </xf>
    <xf numFmtId="39" fontId="16" fillId="37" borderId="0" xfId="0" applyFont="1" applyFill="1" applyAlignment="1">
      <alignment/>
    </xf>
    <xf numFmtId="39" fontId="16" fillId="5" borderId="31" xfId="0" applyFont="1" applyFill="1" applyBorder="1" applyAlignment="1">
      <alignment/>
    </xf>
    <xf numFmtId="39" fontId="16" fillId="4" borderId="32" xfId="0" applyFont="1" applyFill="1" applyBorder="1" applyAlignment="1">
      <alignment/>
    </xf>
    <xf numFmtId="39" fontId="4" fillId="34" borderId="24" xfId="0" applyFont="1" applyFill="1" applyBorder="1" applyAlignment="1">
      <alignment/>
    </xf>
    <xf numFmtId="0" fontId="4" fillId="34" borderId="25" xfId="0" applyNumberFormat="1" applyFont="1" applyFill="1" applyBorder="1" applyAlignment="1">
      <alignment/>
    </xf>
    <xf numFmtId="40" fontId="4" fillId="34" borderId="25" xfId="42" applyFont="1" applyFill="1" applyBorder="1" applyAlignment="1">
      <alignment/>
    </xf>
    <xf numFmtId="40" fontId="4" fillId="34" borderId="26" xfId="42" applyFont="1" applyFill="1" applyBorder="1" applyAlignment="1">
      <alignment/>
    </xf>
    <xf numFmtId="39" fontId="16" fillId="6" borderId="32" xfId="0" applyFont="1" applyFill="1" applyBorder="1" applyAlignment="1">
      <alignment/>
    </xf>
    <xf numFmtId="39" fontId="16" fillId="34" borderId="24" xfId="0" applyFont="1" applyFill="1" applyBorder="1" applyAlignment="1">
      <alignment/>
    </xf>
    <xf numFmtId="0" fontId="16" fillId="34" borderId="25" xfId="0" applyNumberFormat="1" applyFont="1" applyFill="1" applyBorder="1" applyAlignment="1">
      <alignment/>
    </xf>
    <xf numFmtId="39" fontId="16" fillId="34" borderId="25" xfId="0" applyFont="1" applyFill="1" applyBorder="1" applyAlignment="1">
      <alignment/>
    </xf>
    <xf numFmtId="39" fontId="16" fillId="34" borderId="26" xfId="0" applyFont="1" applyFill="1" applyBorder="1" applyAlignment="1">
      <alignment/>
    </xf>
    <xf numFmtId="39" fontId="16" fillId="3" borderId="33" xfId="0" applyFont="1" applyFill="1" applyBorder="1" applyAlignment="1">
      <alignment/>
    </xf>
    <xf numFmtId="39" fontId="20" fillId="34" borderId="9" xfId="59" applyNumberFormat="1" applyFont="1" applyFill="1" applyAlignment="1">
      <alignment/>
    </xf>
    <xf numFmtId="39" fontId="20" fillId="34" borderId="34" xfId="59" applyNumberFormat="1" applyFont="1" applyFill="1" applyBorder="1" applyAlignment="1">
      <alignment/>
    </xf>
    <xf numFmtId="39" fontId="16" fillId="7" borderId="0" xfId="0" applyFont="1" applyFill="1" applyAlignment="1">
      <alignment/>
    </xf>
    <xf numFmtId="39" fontId="17" fillId="34" borderId="0" xfId="0" applyFont="1" applyFill="1" applyAlignment="1">
      <alignment/>
    </xf>
    <xf numFmtId="38" fontId="16" fillId="34" borderId="0" xfId="42" applyNumberFormat="1" applyFont="1" applyFill="1" applyAlignment="1">
      <alignment/>
    </xf>
    <xf numFmtId="37" fontId="16" fillId="34" borderId="0" xfId="0" applyNumberFormat="1" applyFont="1" applyFill="1" applyAlignment="1">
      <alignment/>
    </xf>
    <xf numFmtId="39" fontId="16" fillId="0" borderId="0" xfId="0" applyFont="1" applyFill="1" applyAlignment="1">
      <alignment horizontal="right"/>
    </xf>
    <xf numFmtId="39" fontId="16" fillId="10" borderId="0" xfId="0" applyFont="1" applyFill="1" applyAlignment="1">
      <alignment horizontal="right"/>
    </xf>
    <xf numFmtId="37" fontId="20" fillId="34" borderId="9" xfId="59" applyNumberFormat="1" applyFont="1" applyFill="1" applyAlignment="1">
      <alignment/>
    </xf>
    <xf numFmtId="38" fontId="16" fillId="0" borderId="0" xfId="42" applyNumberFormat="1" applyFont="1" applyFill="1" applyAlignment="1">
      <alignment/>
    </xf>
    <xf numFmtId="38" fontId="16" fillId="34" borderId="0" xfId="42" applyNumberFormat="1" applyFont="1" applyFill="1" applyBorder="1" applyAlignment="1">
      <alignment/>
    </xf>
    <xf numFmtId="168" fontId="16" fillId="34" borderId="0" xfId="0" applyNumberFormat="1" applyFont="1" applyFill="1" applyAlignment="1">
      <alignment/>
    </xf>
    <xf numFmtId="168" fontId="16" fillId="34" borderId="0" xfId="0" applyNumberFormat="1" applyFont="1" applyFill="1" applyAlignment="1">
      <alignment horizontal="center"/>
    </xf>
    <xf numFmtId="168" fontId="16" fillId="0" borderId="0" xfId="0" applyNumberFormat="1" applyFont="1" applyFill="1" applyAlignment="1">
      <alignment/>
    </xf>
    <xf numFmtId="0" fontId="17" fillId="34" borderId="20" xfId="0" applyNumberFormat="1" applyFont="1" applyFill="1" applyBorder="1" applyAlignment="1">
      <alignment/>
    </xf>
    <xf numFmtId="39" fontId="16" fillId="34" borderId="0" xfId="0" applyFont="1" applyFill="1" applyAlignment="1">
      <alignment horizontal="center"/>
    </xf>
    <xf numFmtId="40" fontId="16" fillId="34" borderId="0" xfId="42" applyNumberFormat="1" applyFont="1" applyFill="1" applyAlignment="1">
      <alignment/>
    </xf>
    <xf numFmtId="40" fontId="4" fillId="0" borderId="0" xfId="42" applyFont="1" applyFill="1" applyBorder="1" applyAlignment="1">
      <alignment/>
    </xf>
    <xf numFmtId="40" fontId="4" fillId="0" borderId="18" xfId="42" applyFont="1" applyFill="1" applyBorder="1" applyAlignment="1">
      <alignment/>
    </xf>
    <xf numFmtId="39" fontId="4" fillId="0" borderId="24" xfId="0" applyFont="1" applyFill="1" applyBorder="1" applyAlignment="1">
      <alignment/>
    </xf>
    <xf numFmtId="0" fontId="4" fillId="0" borderId="25" xfId="0" applyNumberFormat="1" applyFont="1" applyFill="1" applyBorder="1" applyAlignment="1">
      <alignment/>
    </xf>
    <xf numFmtId="40" fontId="4" fillId="0" borderId="25" xfId="42" applyFont="1" applyFill="1" applyBorder="1" applyAlignment="1">
      <alignment/>
    </xf>
    <xf numFmtId="40" fontId="4" fillId="0" borderId="26" xfId="42" applyFont="1" applyFill="1" applyBorder="1" applyAlignment="1">
      <alignment/>
    </xf>
    <xf numFmtId="39" fontId="16" fillId="7" borderId="35" xfId="0" applyFont="1" applyFill="1" applyBorder="1" applyAlignment="1">
      <alignment/>
    </xf>
    <xf numFmtId="39" fontId="16" fillId="13" borderId="0" xfId="0" applyFont="1" applyFill="1" applyAlignment="1">
      <alignment/>
    </xf>
    <xf numFmtId="40" fontId="16" fillId="34" borderId="0" xfId="0" applyNumberFormat="1" applyFont="1" applyFill="1" applyAlignment="1">
      <alignment/>
    </xf>
    <xf numFmtId="0" fontId="17" fillId="34" borderId="10" xfId="0" applyNumberFormat="1" applyFont="1" applyFill="1" applyBorder="1" applyAlignment="1">
      <alignment/>
    </xf>
    <xf numFmtId="0" fontId="16" fillId="34" borderId="28" xfId="0" applyNumberFormat="1" applyFont="1" applyFill="1" applyBorder="1" applyAlignment="1">
      <alignment/>
    </xf>
    <xf numFmtId="39" fontId="16" fillId="34" borderId="28" xfId="0" applyFont="1" applyFill="1" applyBorder="1" applyAlignment="1">
      <alignment/>
    </xf>
    <xf numFmtId="39" fontId="16" fillId="34" borderId="11" xfId="0" applyFont="1" applyFill="1" applyBorder="1" applyAlignment="1">
      <alignment/>
    </xf>
    <xf numFmtId="39" fontId="4" fillId="34" borderId="25" xfId="0" applyFont="1" applyFill="1" applyBorder="1" applyAlignment="1">
      <alignment/>
    </xf>
    <xf numFmtId="39" fontId="3" fillId="0" borderId="10" xfId="0" applyFont="1" applyFill="1" applyBorder="1" applyAlignment="1">
      <alignment horizontal="center"/>
    </xf>
    <xf numFmtId="39" fontId="3" fillId="0" borderId="28" xfId="0" applyFont="1" applyFill="1" applyBorder="1" applyAlignment="1">
      <alignment horizontal="center"/>
    </xf>
    <xf numFmtId="39" fontId="3" fillId="0" borderId="11" xfId="0" applyFont="1" applyFill="1" applyBorder="1" applyAlignment="1">
      <alignment horizontal="center"/>
    </xf>
    <xf numFmtId="39" fontId="4" fillId="0" borderId="0" xfId="0" applyFont="1" applyFill="1" applyBorder="1" applyAlignment="1">
      <alignment horizontal="center"/>
    </xf>
    <xf numFmtId="39" fontId="4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theme="5" tint="0.3999499976634979"/>
      </font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theme="5" tint="0.399949997663497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PGA%20Analysis\PGA%20Journals\2016\WA%20&amp;%20ID\12.2016\2016%20WA-ID%20Deferral%20&amp;%20Am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A Graphs 2012-13"/>
      <sheetName val="JE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WA - Def-Amtz (current)"/>
      <sheetName val="ID - Def-Amtz (current)"/>
      <sheetName val="11 WA - Def-Amtz"/>
      <sheetName val="11 ID - Def-Amtz"/>
      <sheetName val="10 ID - Def-Amtz"/>
      <sheetName val="10 WA - Def-Amtz"/>
      <sheetName val="09 WA - Def-Amtz"/>
      <sheetName val="09 ID - Def-Amtz"/>
      <sheetName val="08 WA - Def-Amtz"/>
      <sheetName val="08 ID - Def-Amtz"/>
      <sheetName val="07 WA - Def-Amtz"/>
      <sheetName val="07 ID - Def-Amtz"/>
      <sheetName val="06 WA - Def-Amtz"/>
      <sheetName val="06 ID - Def-Amtz"/>
      <sheetName val="05 final WA - Def-Amtz"/>
      <sheetName val="05 final ID - Def-Amtz"/>
      <sheetName val="05 old WA - Def-Amtz"/>
      <sheetName val="PGA Graphs 2013-14"/>
      <sheetName val="05 old ID - Def-Amtz"/>
      <sheetName val="04 WA - Def-Amtz"/>
      <sheetName val="03 WA - Def-Amtz"/>
      <sheetName val="04 ID - Def-Amtz"/>
      <sheetName val="03 ID - Def-Amtz"/>
      <sheetName val="02 WA - Def-Amtz"/>
      <sheetName val="02 ID - Def-Amtz"/>
      <sheetName val="01 WA - Def-Amtz"/>
      <sheetName val="01 ID - Def-Amtz"/>
      <sheetName val="Deferral Graphs 2015-16 "/>
      <sheetName val="ID Amort 191015"/>
      <sheetName val="ID Amort 191000"/>
      <sheetName val="WA Def 191010"/>
      <sheetName val="ID Def 191010"/>
      <sheetName val="ID Holdback 191015"/>
      <sheetName val="Amortization of JP Deferral"/>
      <sheetName val="WA Amort 191000"/>
      <sheetName val="Sheet1"/>
    </sheetNames>
    <sheetDataSet>
      <sheetData sheetId="2">
        <row r="23">
          <cell r="G23">
            <v>20140968</v>
          </cell>
        </row>
        <row r="24">
          <cell r="G24">
            <v>17893</v>
          </cell>
        </row>
        <row r="25">
          <cell r="G25">
            <v>6568112</v>
          </cell>
        </row>
        <row r="26">
          <cell r="G26">
            <v>0</v>
          </cell>
        </row>
        <row r="27">
          <cell r="G27">
            <v>345863</v>
          </cell>
        </row>
        <row r="28">
          <cell r="G28">
            <v>83853</v>
          </cell>
        </row>
        <row r="29">
          <cell r="G29">
            <v>0</v>
          </cell>
        </row>
        <row r="30">
          <cell r="G30">
            <v>203731</v>
          </cell>
        </row>
        <row r="31">
          <cell r="G31">
            <v>3346687</v>
          </cell>
        </row>
        <row r="55">
          <cell r="H55">
            <v>-173856.58066100068</v>
          </cell>
          <cell r="I55">
            <v>-1737451.7240159996</v>
          </cell>
        </row>
      </sheetData>
      <sheetData sheetId="3">
        <row r="23">
          <cell r="G23">
            <v>14297044</v>
          </cell>
        </row>
        <row r="24">
          <cell r="G24">
            <v>14593</v>
          </cell>
        </row>
        <row r="25">
          <cell r="G25">
            <v>5200734</v>
          </cell>
        </row>
        <row r="27">
          <cell r="G27">
            <v>408568</v>
          </cell>
        </row>
        <row r="28">
          <cell r="G28">
            <v>67179</v>
          </cell>
        </row>
        <row r="30">
          <cell r="G30">
            <v>102322</v>
          </cell>
        </row>
        <row r="31">
          <cell r="G31">
            <v>2956295</v>
          </cell>
        </row>
        <row r="55">
          <cell r="H55">
            <v>105835.91384800058</v>
          </cell>
          <cell r="I55">
            <v>-906843.1300359999</v>
          </cell>
        </row>
      </sheetData>
      <sheetData sheetId="4">
        <row r="23">
          <cell r="G23">
            <v>12238194</v>
          </cell>
        </row>
        <row r="24">
          <cell r="G24">
            <v>18603</v>
          </cell>
        </row>
        <row r="25">
          <cell r="G25">
            <v>4795258</v>
          </cell>
        </row>
        <row r="26">
          <cell r="G26">
            <v>0</v>
          </cell>
        </row>
        <row r="27">
          <cell r="G27">
            <v>361566</v>
          </cell>
        </row>
        <row r="28">
          <cell r="G28">
            <v>59583</v>
          </cell>
        </row>
        <row r="29">
          <cell r="G29">
            <v>0</v>
          </cell>
        </row>
        <row r="30">
          <cell r="G30">
            <v>89942</v>
          </cell>
        </row>
        <row r="31">
          <cell r="G31">
            <v>2822744</v>
          </cell>
        </row>
        <row r="55">
          <cell r="H55">
            <v>-604740.2805199977</v>
          </cell>
          <cell r="I55">
            <v>-502690.5055460003</v>
          </cell>
        </row>
      </sheetData>
      <sheetData sheetId="5">
        <row r="23">
          <cell r="G23">
            <v>5348802</v>
          </cell>
        </row>
        <row r="24">
          <cell r="G24">
            <v>12171</v>
          </cell>
        </row>
        <row r="25">
          <cell r="G25">
            <v>2668983</v>
          </cell>
        </row>
        <row r="26">
          <cell r="G26">
            <v>0</v>
          </cell>
        </row>
        <row r="27">
          <cell r="G27">
            <v>227877</v>
          </cell>
        </row>
        <row r="28">
          <cell r="G28">
            <v>54523</v>
          </cell>
        </row>
        <row r="29">
          <cell r="G29">
            <v>0</v>
          </cell>
        </row>
        <row r="30">
          <cell r="G30">
            <v>82073</v>
          </cell>
        </row>
        <row r="31">
          <cell r="G31">
            <v>2379815</v>
          </cell>
        </row>
        <row r="55">
          <cell r="H55">
            <v>-2253526.428780001</v>
          </cell>
          <cell r="I55">
            <v>531507.0182900002</v>
          </cell>
        </row>
      </sheetData>
      <sheetData sheetId="6">
        <row r="23">
          <cell r="G23">
            <v>3384728</v>
          </cell>
        </row>
        <row r="24">
          <cell r="G24">
            <v>5734</v>
          </cell>
        </row>
        <row r="25">
          <cell r="G25">
            <v>2221542</v>
          </cell>
        </row>
        <row r="26">
          <cell r="G26">
            <v>0</v>
          </cell>
        </row>
        <row r="27">
          <cell r="G27">
            <v>311290</v>
          </cell>
        </row>
        <row r="28">
          <cell r="G28">
            <v>42598</v>
          </cell>
        </row>
        <row r="29">
          <cell r="G29">
            <v>0</v>
          </cell>
        </row>
        <row r="30">
          <cell r="G30">
            <v>57685</v>
          </cell>
        </row>
        <row r="31">
          <cell r="G31">
            <v>2359261</v>
          </cell>
        </row>
        <row r="55">
          <cell r="H55">
            <v>-1368171.178106001</v>
          </cell>
          <cell r="I55">
            <v>778474.0719619995</v>
          </cell>
        </row>
      </sheetData>
      <sheetData sheetId="7">
        <row r="23">
          <cell r="G23">
            <v>2765049</v>
          </cell>
        </row>
        <row r="24">
          <cell r="G24">
            <v>4482</v>
          </cell>
        </row>
        <row r="25">
          <cell r="G25">
            <v>1675034</v>
          </cell>
        </row>
        <row r="26">
          <cell r="G26">
            <v>0</v>
          </cell>
        </row>
        <row r="27">
          <cell r="G27">
            <v>225272</v>
          </cell>
        </row>
        <row r="28">
          <cell r="G28">
            <v>35139</v>
          </cell>
        </row>
        <row r="29">
          <cell r="G29">
            <v>0</v>
          </cell>
        </row>
        <row r="30">
          <cell r="G30">
            <v>51713</v>
          </cell>
        </row>
        <row r="31">
          <cell r="G31">
            <v>2149880</v>
          </cell>
        </row>
        <row r="55">
          <cell r="H55">
            <v>-2304890.4720699973</v>
          </cell>
          <cell r="I55">
            <v>940413.5291820009</v>
          </cell>
        </row>
      </sheetData>
      <sheetData sheetId="8">
        <row r="23">
          <cell r="G23">
            <v>2292583</v>
          </cell>
        </row>
        <row r="24">
          <cell r="G24">
            <v>3610</v>
          </cell>
        </row>
        <row r="25">
          <cell r="G25">
            <v>1510014</v>
          </cell>
        </row>
        <row r="26">
          <cell r="G26">
            <v>0</v>
          </cell>
        </row>
        <row r="27">
          <cell r="G27">
            <v>266816</v>
          </cell>
        </row>
        <row r="28">
          <cell r="G28">
            <v>27605</v>
          </cell>
        </row>
        <row r="29">
          <cell r="G29">
            <v>0</v>
          </cell>
        </row>
        <row r="30">
          <cell r="G30">
            <v>45567</v>
          </cell>
        </row>
        <row r="31">
          <cell r="G31">
            <v>1956378</v>
          </cell>
        </row>
        <row r="55">
          <cell r="H55">
            <v>-1924994.8295020012</v>
          </cell>
          <cell r="I55">
            <v>1019103.1667780007</v>
          </cell>
        </row>
      </sheetData>
      <sheetData sheetId="9">
        <row r="23">
          <cell r="G23">
            <v>2354714</v>
          </cell>
        </row>
        <row r="24">
          <cell r="G24">
            <v>2820</v>
          </cell>
        </row>
        <row r="25">
          <cell r="G25">
            <v>1583471</v>
          </cell>
        </row>
        <row r="26">
          <cell r="G26">
            <v>0</v>
          </cell>
        </row>
        <row r="27">
          <cell r="G27">
            <v>259403</v>
          </cell>
        </row>
        <row r="28">
          <cell r="G28">
            <v>25524</v>
          </cell>
        </row>
        <row r="29">
          <cell r="G29">
            <v>0</v>
          </cell>
        </row>
        <row r="30">
          <cell r="G30">
            <v>37963</v>
          </cell>
        </row>
        <row r="31">
          <cell r="G31">
            <v>1966117</v>
          </cell>
        </row>
        <row r="55">
          <cell r="H55">
            <v>-1510253.567282</v>
          </cell>
          <cell r="I55">
            <v>1025818.8216420002</v>
          </cell>
        </row>
      </sheetData>
      <sheetData sheetId="10">
        <row r="23">
          <cell r="G23">
            <v>3123052</v>
          </cell>
        </row>
        <row r="24">
          <cell r="G24">
            <v>4729</v>
          </cell>
        </row>
        <row r="25">
          <cell r="G25">
            <v>2056535</v>
          </cell>
        </row>
        <row r="26">
          <cell r="G26">
            <v>0</v>
          </cell>
        </row>
        <row r="27">
          <cell r="G27">
            <v>291879</v>
          </cell>
        </row>
        <row r="28">
          <cell r="G28">
            <v>26763</v>
          </cell>
        </row>
        <row r="29">
          <cell r="G29">
            <v>0</v>
          </cell>
        </row>
        <row r="30">
          <cell r="G30">
            <v>46700</v>
          </cell>
        </row>
        <row r="31">
          <cell r="G31">
            <v>1915306</v>
          </cell>
        </row>
        <row r="55">
          <cell r="H55">
            <v>-1421303.766953001</v>
          </cell>
          <cell r="I55">
            <v>821854.2373699999</v>
          </cell>
        </row>
      </sheetData>
      <sheetData sheetId="11">
        <row r="23">
          <cell r="G23">
            <v>7137333</v>
          </cell>
        </row>
        <row r="24">
          <cell r="G24">
            <v>12809</v>
          </cell>
        </row>
        <row r="25">
          <cell r="G25">
            <v>3586972</v>
          </cell>
        </row>
        <row r="26">
          <cell r="G26">
            <v>0</v>
          </cell>
        </row>
        <row r="27">
          <cell r="G27">
            <v>401880</v>
          </cell>
        </row>
        <row r="28">
          <cell r="G28">
            <v>37231</v>
          </cell>
        </row>
        <row r="29">
          <cell r="G29">
            <v>0</v>
          </cell>
        </row>
        <row r="30">
          <cell r="G30">
            <v>59610</v>
          </cell>
        </row>
        <row r="31">
          <cell r="G31">
            <v>2505633</v>
          </cell>
        </row>
        <row r="55">
          <cell r="H55">
            <v>-389419.7085999991</v>
          </cell>
          <cell r="I55">
            <v>208678.05243800068</v>
          </cell>
        </row>
      </sheetData>
      <sheetData sheetId="12">
        <row r="1">
          <cell r="C1">
            <v>201611</v>
          </cell>
        </row>
        <row r="23">
          <cell r="G23">
            <v>11352396</v>
          </cell>
        </row>
        <row r="24">
          <cell r="G24">
            <v>19581</v>
          </cell>
        </row>
        <row r="25">
          <cell r="G25">
            <v>4116109</v>
          </cell>
        </row>
        <row r="26">
          <cell r="G26">
            <v>0</v>
          </cell>
        </row>
        <row r="27">
          <cell r="G27">
            <v>314956</v>
          </cell>
        </row>
        <row r="28">
          <cell r="G28">
            <v>51431</v>
          </cell>
        </row>
        <row r="29">
          <cell r="G29">
            <v>0</v>
          </cell>
        </row>
        <row r="30">
          <cell r="G30">
            <v>85100</v>
          </cell>
        </row>
        <row r="31">
          <cell r="G31">
            <v>2750386</v>
          </cell>
        </row>
        <row r="55">
          <cell r="H55">
            <v>-192874.3790970007</v>
          </cell>
          <cell r="I55">
            <v>-521813.363136</v>
          </cell>
        </row>
      </sheetData>
      <sheetData sheetId="13">
        <row r="23">
          <cell r="G23">
            <v>24209007</v>
          </cell>
        </row>
        <row r="24">
          <cell r="G24">
            <v>35292</v>
          </cell>
        </row>
        <row r="25">
          <cell r="G25">
            <v>8576537</v>
          </cell>
        </row>
        <row r="26">
          <cell r="G26">
            <v>0</v>
          </cell>
        </row>
        <row r="27">
          <cell r="G27">
            <v>234225</v>
          </cell>
        </row>
        <row r="28">
          <cell r="G28">
            <v>69958</v>
          </cell>
        </row>
        <row r="29">
          <cell r="G29">
            <v>0</v>
          </cell>
        </row>
        <row r="30">
          <cell r="G30">
            <v>111788</v>
          </cell>
        </row>
        <row r="31">
          <cell r="G31">
            <v>3806098</v>
          </cell>
        </row>
        <row r="55">
          <cell r="H55">
            <v>-1133881.9007779993</v>
          </cell>
          <cell r="I55">
            <v>-2594975.886075999</v>
          </cell>
        </row>
      </sheetData>
      <sheetData sheetId="14">
        <row r="5">
          <cell r="AX5">
            <v>0</v>
          </cell>
          <cell r="AY5">
            <v>0</v>
          </cell>
        </row>
        <row r="6">
          <cell r="AX6">
            <v>14406.68</v>
          </cell>
          <cell r="AY6">
            <v>0</v>
          </cell>
        </row>
        <row r="7">
          <cell r="AX7">
            <v>0</v>
          </cell>
          <cell r="AY7">
            <v>3743264.4668539986</v>
          </cell>
        </row>
        <row r="8">
          <cell r="AX8">
            <v>3728857.7868539984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0">
          <cell r="AX10">
            <v>0</v>
          </cell>
          <cell r="AY10">
            <v>0</v>
          </cell>
        </row>
        <row r="41">
          <cell r="AX41">
            <v>0</v>
          </cell>
          <cell r="AY41">
            <v>0</v>
          </cell>
        </row>
        <row r="42">
          <cell r="AX42">
            <v>33179.20241025743</v>
          </cell>
          <cell r="AY42">
            <v>0</v>
          </cell>
        </row>
        <row r="43">
          <cell r="AX43">
            <v>2804626.7975897426</v>
          </cell>
          <cell r="AY43">
            <v>0</v>
          </cell>
        </row>
        <row r="44">
          <cell r="AX44">
            <v>0</v>
          </cell>
          <cell r="AY44">
            <v>2837806</v>
          </cell>
        </row>
        <row r="45">
          <cell r="AX45">
            <v>0</v>
          </cell>
          <cell r="AY45">
            <v>0</v>
          </cell>
        </row>
        <row r="46">
          <cell r="AX46">
            <v>0</v>
          </cell>
          <cell r="AY46">
            <v>0</v>
          </cell>
        </row>
        <row r="76">
          <cell r="AX76">
            <v>0</v>
          </cell>
          <cell r="AY76">
            <v>298</v>
          </cell>
        </row>
        <row r="77">
          <cell r="AX77">
            <v>298</v>
          </cell>
          <cell r="AY77">
            <v>0</v>
          </cell>
        </row>
        <row r="78">
          <cell r="AX78">
            <v>0</v>
          </cell>
          <cell r="AY78">
            <v>0</v>
          </cell>
        </row>
        <row r="79">
          <cell r="AX79">
            <v>0</v>
          </cell>
          <cell r="AY79">
            <v>0</v>
          </cell>
        </row>
      </sheetData>
      <sheetData sheetId="15">
        <row r="5">
          <cell r="AY5">
            <v>0</v>
          </cell>
          <cell r="AZ5">
            <v>0</v>
          </cell>
        </row>
        <row r="6">
          <cell r="AY6">
            <v>2340.24</v>
          </cell>
          <cell r="AZ6">
            <v>0</v>
          </cell>
        </row>
        <row r="7">
          <cell r="AY7">
            <v>0</v>
          </cell>
          <cell r="AZ7">
            <v>1653890.9931459986</v>
          </cell>
        </row>
        <row r="8">
          <cell r="AY8">
            <v>1651550.7531459986</v>
          </cell>
          <cell r="AZ8">
            <v>0</v>
          </cell>
        </row>
        <row r="9">
          <cell r="AY9">
            <v>0</v>
          </cell>
          <cell r="AZ9">
            <v>0</v>
          </cell>
        </row>
        <row r="10">
          <cell r="AY10">
            <v>0</v>
          </cell>
          <cell r="AZ10">
            <v>0</v>
          </cell>
        </row>
        <row r="42">
          <cell r="AY42">
            <v>0</v>
          </cell>
          <cell r="AZ42">
            <v>0</v>
          </cell>
        </row>
        <row r="43">
          <cell r="AY43">
            <v>4655.889841824413</v>
          </cell>
          <cell r="AZ43">
            <v>0</v>
          </cell>
        </row>
        <row r="44">
          <cell r="AY44">
            <v>1426167.1101581757</v>
          </cell>
          <cell r="AZ44">
            <v>0</v>
          </cell>
        </row>
        <row r="45">
          <cell r="AY45">
            <v>0</v>
          </cell>
          <cell r="AZ45">
            <v>1430823</v>
          </cell>
        </row>
        <row r="46">
          <cell r="AY46">
            <v>0</v>
          </cell>
          <cell r="AZ46">
            <v>0</v>
          </cell>
        </row>
        <row r="47">
          <cell r="AY47">
            <v>0</v>
          </cell>
          <cell r="AZ47">
            <v>0</v>
          </cell>
        </row>
        <row r="75">
          <cell r="AY75">
            <v>0</v>
          </cell>
          <cell r="AZ75">
            <v>0</v>
          </cell>
        </row>
        <row r="76">
          <cell r="AY76">
            <v>10.092962185402241</v>
          </cell>
          <cell r="AZ76">
            <v>0</v>
          </cell>
        </row>
        <row r="77">
          <cell r="AY77">
            <v>0</v>
          </cell>
          <cell r="AZ77">
            <v>10.092962185402241</v>
          </cell>
        </row>
        <row r="78">
          <cell r="AY78">
            <v>0</v>
          </cell>
          <cell r="AZ78">
            <v>0</v>
          </cell>
        </row>
        <row r="79">
          <cell r="AY79">
            <v>0</v>
          </cell>
          <cell r="AZ79">
            <v>0</v>
          </cell>
        </row>
        <row r="80">
          <cell r="AY80">
            <v>0</v>
          </cell>
          <cell r="AZ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66"/>
    <pageSetUpPr fitToPage="1"/>
  </sheetPr>
  <dimension ref="A1:AY84"/>
  <sheetViews>
    <sheetView showGridLines="0" tabSelected="1" zoomScale="70" zoomScaleNormal="70" zoomScaleSheetLayoutView="85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R45" sqref="AR45"/>
    </sheetView>
  </sheetViews>
  <sheetFormatPr defaultColWidth="9.140625" defaultRowHeight="12.75" outlineLevelRow="1"/>
  <cols>
    <col min="1" max="1" width="17.28125" style="171" customWidth="1"/>
    <col min="2" max="2" width="18.7109375" style="170" customWidth="1"/>
    <col min="3" max="3" width="17.57421875" style="171" bestFit="1" customWidth="1"/>
    <col min="4" max="4" width="16.28125" style="171" customWidth="1"/>
    <col min="5" max="5" width="15.57421875" style="171" hidden="1" customWidth="1"/>
    <col min="6" max="6" width="18.28125" style="171" hidden="1" customWidth="1"/>
    <col min="7" max="7" width="16.28125" style="171" hidden="1" customWidth="1"/>
    <col min="8" max="9" width="19.8515625" style="171" hidden="1" customWidth="1"/>
    <col min="10" max="10" width="16.28125" style="171" hidden="1" customWidth="1"/>
    <col min="11" max="11" width="21.57421875" style="171" hidden="1" customWidth="1"/>
    <col min="12" max="20" width="16.28125" style="171" hidden="1" customWidth="1"/>
    <col min="21" max="21" width="19.8515625" style="171" hidden="1" customWidth="1"/>
    <col min="22" max="22" width="16.28125" style="171" hidden="1" customWidth="1"/>
    <col min="23" max="23" width="21.57421875" style="171" hidden="1" customWidth="1"/>
    <col min="24" max="34" width="16.28125" style="171" hidden="1" customWidth="1"/>
    <col min="35" max="36" width="17.421875" style="171" hidden="1" customWidth="1"/>
    <col min="37" max="41" width="17.421875" style="171" customWidth="1"/>
    <col min="42" max="42" width="16.28125" style="171" customWidth="1"/>
    <col min="43" max="43" width="18.140625" style="171" customWidth="1"/>
    <col min="44" max="44" width="17.7109375" style="171" customWidth="1"/>
    <col min="45" max="45" width="3.421875" style="172" customWidth="1"/>
    <col min="46" max="46" width="31.8515625" style="171" customWidth="1"/>
    <col min="47" max="47" width="14.421875" style="173" bestFit="1" customWidth="1"/>
    <col min="48" max="48" width="4.7109375" style="171" bestFit="1" customWidth="1"/>
    <col min="49" max="49" width="5.00390625" style="171" bestFit="1" customWidth="1"/>
    <col min="50" max="50" width="18.28125" style="171" customWidth="1"/>
    <col min="51" max="51" width="17.140625" style="171" bestFit="1" customWidth="1"/>
    <col min="52" max="52" width="0.42578125" style="171" customWidth="1"/>
    <col min="53" max="16384" width="9.140625" style="171" customWidth="1"/>
  </cols>
  <sheetData>
    <row r="1" spans="1:46" ht="15.75">
      <c r="A1" s="169" t="s">
        <v>121</v>
      </c>
      <c r="AT1" s="169" t="s">
        <v>122</v>
      </c>
    </row>
    <row r="2" ht="15.75">
      <c r="A2" s="174" t="s">
        <v>123</v>
      </c>
    </row>
    <row r="3" spans="1:47" s="174" customFormat="1" ht="32.25" thickBot="1">
      <c r="A3" s="175">
        <v>191010</v>
      </c>
      <c r="B3" s="176" t="s">
        <v>124</v>
      </c>
      <c r="C3" s="177" t="s">
        <v>125</v>
      </c>
      <c r="D3" s="178" t="s">
        <v>126</v>
      </c>
      <c r="E3" s="175">
        <v>201309</v>
      </c>
      <c r="F3" s="175">
        <f>E3+1</f>
        <v>201310</v>
      </c>
      <c r="G3" s="175">
        <f>F3+1</f>
        <v>201311</v>
      </c>
      <c r="H3" s="175">
        <f>G3+1</f>
        <v>201312</v>
      </c>
      <c r="I3" s="175">
        <v>201401</v>
      </c>
      <c r="J3" s="175">
        <v>201402</v>
      </c>
      <c r="K3" s="175">
        <v>201403</v>
      </c>
      <c r="L3" s="175">
        <v>201404</v>
      </c>
      <c r="M3" s="175">
        <v>201405</v>
      </c>
      <c r="N3" s="175">
        <v>201406</v>
      </c>
      <c r="O3" s="175">
        <v>201407</v>
      </c>
      <c r="P3" s="175">
        <v>201408</v>
      </c>
      <c r="Q3" s="175">
        <v>201409</v>
      </c>
      <c r="R3" s="175">
        <v>201410</v>
      </c>
      <c r="S3" s="175">
        <v>201411</v>
      </c>
      <c r="T3" s="175">
        <v>201412</v>
      </c>
      <c r="U3" s="175">
        <v>201501</v>
      </c>
      <c r="V3" s="175">
        <f aca="true" t="shared" si="0" ref="V3:AD3">U3+1</f>
        <v>201502</v>
      </c>
      <c r="W3" s="175">
        <f t="shared" si="0"/>
        <v>201503</v>
      </c>
      <c r="X3" s="175">
        <f t="shared" si="0"/>
        <v>201504</v>
      </c>
      <c r="Y3" s="175">
        <f t="shared" si="0"/>
        <v>201505</v>
      </c>
      <c r="Z3" s="175">
        <f t="shared" si="0"/>
        <v>201506</v>
      </c>
      <c r="AA3" s="175">
        <f t="shared" si="0"/>
        <v>201507</v>
      </c>
      <c r="AB3" s="175">
        <f t="shared" si="0"/>
        <v>201508</v>
      </c>
      <c r="AC3" s="175">
        <f t="shared" si="0"/>
        <v>201509</v>
      </c>
      <c r="AD3" s="175">
        <f t="shared" si="0"/>
        <v>201510</v>
      </c>
      <c r="AE3" s="175">
        <f>AD3+1</f>
        <v>201511</v>
      </c>
      <c r="AF3" s="175">
        <f>AE3+1</f>
        <v>201512</v>
      </c>
      <c r="AG3" s="175">
        <v>201601</v>
      </c>
      <c r="AH3" s="175">
        <f>AG3+1</f>
        <v>201602</v>
      </c>
      <c r="AI3" s="175">
        <f aca="true" t="shared" si="1" ref="AI3:AQ3">AH3+1</f>
        <v>201603</v>
      </c>
      <c r="AJ3" s="175">
        <f t="shared" si="1"/>
        <v>201604</v>
      </c>
      <c r="AK3" s="175">
        <f t="shared" si="1"/>
        <v>201605</v>
      </c>
      <c r="AL3" s="175">
        <f t="shared" si="1"/>
        <v>201606</v>
      </c>
      <c r="AM3" s="175">
        <f>AL3+1</f>
        <v>201607</v>
      </c>
      <c r="AN3" s="175">
        <f t="shared" si="1"/>
        <v>201608</v>
      </c>
      <c r="AO3" s="175">
        <f t="shared" si="1"/>
        <v>201609</v>
      </c>
      <c r="AP3" s="175">
        <f t="shared" si="1"/>
        <v>201610</v>
      </c>
      <c r="AQ3" s="175">
        <f t="shared" si="1"/>
        <v>201611</v>
      </c>
      <c r="AR3" s="175">
        <f>AQ3+1</f>
        <v>201612</v>
      </c>
      <c r="AS3" s="179"/>
      <c r="AU3" s="175"/>
    </row>
    <row r="4" spans="2:51" s="174" customFormat="1" ht="16.5" thickBot="1">
      <c r="B4" s="176" t="s">
        <v>127</v>
      </c>
      <c r="C4" s="171"/>
      <c r="E4" s="180">
        <v>0.0325</v>
      </c>
      <c r="F4" s="180">
        <v>0.0325</v>
      </c>
      <c r="G4" s="180">
        <v>0.0325</v>
      </c>
      <c r="H4" s="180">
        <v>0.0325</v>
      </c>
      <c r="I4" s="180">
        <v>0.0325</v>
      </c>
      <c r="J4" s="180">
        <v>0.0325</v>
      </c>
      <c r="K4" s="180">
        <v>0.0325</v>
      </c>
      <c r="L4" s="180">
        <v>0.0325</v>
      </c>
      <c r="M4" s="180">
        <v>0.0325</v>
      </c>
      <c r="N4" s="180">
        <v>0.0325</v>
      </c>
      <c r="O4" s="180">
        <v>0.0325</v>
      </c>
      <c r="P4" s="180">
        <v>0.0325</v>
      </c>
      <c r="Q4" s="180">
        <v>0.0325</v>
      </c>
      <c r="R4" s="180">
        <v>0.0325</v>
      </c>
      <c r="S4" s="180">
        <v>0.0325</v>
      </c>
      <c r="T4" s="180">
        <v>0.0325</v>
      </c>
      <c r="U4" s="180">
        <v>0.0325</v>
      </c>
      <c r="V4" s="180">
        <v>0.0325</v>
      </c>
      <c r="W4" s="180">
        <v>0.0325</v>
      </c>
      <c r="X4" s="180">
        <v>0.0325</v>
      </c>
      <c r="Y4" s="180">
        <v>0.0325</v>
      </c>
      <c r="Z4" s="180">
        <v>0.0325</v>
      </c>
      <c r="AA4" s="180">
        <v>0.0325</v>
      </c>
      <c r="AB4" s="180">
        <v>0.0325</v>
      </c>
      <c r="AC4" s="180">
        <v>0.0325</v>
      </c>
      <c r="AD4" s="180">
        <v>0.0325</v>
      </c>
      <c r="AE4" s="180">
        <v>0.0325</v>
      </c>
      <c r="AF4" s="180">
        <v>0.0325</v>
      </c>
      <c r="AG4" s="180">
        <v>0.0325</v>
      </c>
      <c r="AH4" s="180">
        <v>0.0325</v>
      </c>
      <c r="AI4" s="180">
        <v>0.0325</v>
      </c>
      <c r="AJ4" s="180">
        <v>0.0346</v>
      </c>
      <c r="AK4" s="180">
        <v>0.0346</v>
      </c>
      <c r="AL4" s="180">
        <v>0.0346</v>
      </c>
      <c r="AM4" s="180">
        <v>0.035</v>
      </c>
      <c r="AN4" s="181">
        <v>0.035</v>
      </c>
      <c r="AO4" s="180">
        <v>0.035</v>
      </c>
      <c r="AP4" s="180">
        <v>0.035</v>
      </c>
      <c r="AQ4" s="180">
        <v>0.035</v>
      </c>
      <c r="AR4" s="180">
        <v>0.035</v>
      </c>
      <c r="AS4" s="179"/>
      <c r="AT4" s="182">
        <v>201612</v>
      </c>
      <c r="AU4" s="183"/>
      <c r="AV4" s="184"/>
      <c r="AW4" s="184"/>
      <c r="AX4" s="184"/>
      <c r="AY4" s="185"/>
    </row>
    <row r="5" spans="2:51" ht="15.75">
      <c r="B5" s="170" t="s">
        <v>128</v>
      </c>
      <c r="E5" s="171">
        <v>2497021.39</v>
      </c>
      <c r="F5" s="171">
        <f>E13</f>
        <v>2712780.2600000002</v>
      </c>
      <c r="G5" s="171">
        <f>F13</f>
        <v>2255013.99</v>
      </c>
      <c r="H5" s="171">
        <f>G13</f>
        <v>-33498.73866679</v>
      </c>
      <c r="I5" s="171">
        <v>-4220307.8686667895</v>
      </c>
      <c r="J5" s="171">
        <v>-4984433.45638779</v>
      </c>
      <c r="K5" s="171">
        <v>-5871867.347383787</v>
      </c>
      <c r="L5" s="171">
        <v>-5287493.02985179</v>
      </c>
      <c r="M5" s="171">
        <v>-4882582.01711479</v>
      </c>
      <c r="N5" s="171">
        <v>-4072260.114518791</v>
      </c>
      <c r="O5" s="171">
        <v>-3063910.54572879</v>
      </c>
      <c r="P5" s="171">
        <v>-1998209.0562817894</v>
      </c>
      <c r="Q5" s="171">
        <v>-1241540.0398927876</v>
      </c>
      <c r="R5" s="171">
        <v>-752741.8377597883</v>
      </c>
      <c r="S5" s="171">
        <v>-587853.1435887892</v>
      </c>
      <c r="T5" s="171">
        <v>1779828.4686352164</v>
      </c>
      <c r="U5" s="171">
        <v>-165690.8325037771</v>
      </c>
      <c r="V5" s="171">
        <v>-1154882.29958378</v>
      </c>
      <c r="W5" s="171">
        <v>-1694440.0214187815</v>
      </c>
      <c r="X5" s="171">
        <v>-683405.3339537788</v>
      </c>
      <c r="Y5" s="171">
        <v>-2769396.4708657796</v>
      </c>
      <c r="Z5" s="171">
        <v>-2940906.6891037785</v>
      </c>
      <c r="AA5" s="171">
        <v>-3112721.224613779</v>
      </c>
      <c r="AB5" s="171">
        <v>-3464489.8670317773</v>
      </c>
      <c r="AC5" s="171">
        <v>-3555298.2266717753</v>
      </c>
      <c r="AD5" s="171">
        <v>-4755858.010733777</v>
      </c>
      <c r="AE5" s="171">
        <v>-5900360.344098777</v>
      </c>
      <c r="AF5" s="171">
        <f>AE13</f>
        <v>-4407824.169598774</v>
      </c>
      <c r="AG5" s="171">
        <f aca="true" t="shared" si="2" ref="AG5:AR5">AF13</f>
        <v>-6508323.868539773</v>
      </c>
      <c r="AH5" s="171">
        <f t="shared" si="2"/>
        <v>-8439847.113216773</v>
      </c>
      <c r="AI5" s="171">
        <f t="shared" si="2"/>
        <v>-9264796.94940477</v>
      </c>
      <c r="AJ5" s="171">
        <f t="shared" si="2"/>
        <v>-10398819.535470769</v>
      </c>
      <c r="AK5" s="171">
        <f t="shared" si="2"/>
        <v>-12153304.78596077</v>
      </c>
      <c r="AL5" s="171">
        <f t="shared" si="2"/>
        <v>-12778894.07210477</v>
      </c>
      <c r="AM5" s="171">
        <f>AL13</f>
        <v>-14182183.944992768</v>
      </c>
      <c r="AN5" s="171">
        <f t="shared" si="2"/>
        <v>-15130761.40771677</v>
      </c>
      <c r="AO5" s="171">
        <f>AN13</f>
        <v>-15660034.00335677</v>
      </c>
      <c r="AP5" s="171">
        <f t="shared" si="2"/>
        <v>-16306032.832939774</v>
      </c>
      <c r="AQ5" s="171">
        <f>AP13</f>
        <v>-16534597.329101773</v>
      </c>
      <c r="AR5" s="171">
        <f t="shared" si="2"/>
        <v>-3075004.5709557864</v>
      </c>
      <c r="AT5" s="186" t="s">
        <v>129</v>
      </c>
      <c r="AU5" s="187">
        <v>419600</v>
      </c>
      <c r="AV5" s="188" t="s">
        <v>130</v>
      </c>
      <c r="AW5" s="188" t="s">
        <v>131</v>
      </c>
      <c r="AX5" s="189">
        <v>0</v>
      </c>
      <c r="AY5" s="190">
        <f>IF(SUMIF(U3:AR3,AT4,U8:AR8)&gt;0,SUMIF(U3:AR3,AT4,U8:AR8),0)</f>
        <v>0</v>
      </c>
    </row>
    <row r="6" spans="2:51" ht="15.75">
      <c r="B6" s="170" t="s">
        <v>132</v>
      </c>
      <c r="C6" s="171">
        <f aca="true" t="shared" si="3" ref="C6:C12">SUM(AG6:AR6)</f>
        <v>-13172077.178500999</v>
      </c>
      <c r="D6" s="171">
        <f>-2523837.34+SUM(E6:AF6,E9:AE9)</f>
        <v>-7550270.073456771</v>
      </c>
      <c r="E6" s="171">
        <v>-814688.69</v>
      </c>
      <c r="F6" s="171">
        <v>-726195.14</v>
      </c>
      <c r="G6" s="171">
        <v>-363626.87</v>
      </c>
      <c r="H6" s="171">
        <v>-1349424.41</v>
      </c>
      <c r="I6" s="171">
        <v>780719.1305059996</v>
      </c>
      <c r="J6" s="171">
        <v>666007.0773300026</v>
      </c>
      <c r="K6" s="171">
        <v>1165260.452902997</v>
      </c>
      <c r="L6" s="171">
        <v>286815.8426079992</v>
      </c>
      <c r="M6" s="171">
        <v>-9385.049120000564</v>
      </c>
      <c r="N6" s="171">
        <v>26985.713581000688</v>
      </c>
      <c r="O6" s="171">
        <v>-21317.40468699904</v>
      </c>
      <c r="P6" s="171">
        <v>-349090.6182399979</v>
      </c>
      <c r="Q6" s="171">
        <v>-532274.9352540006</v>
      </c>
      <c r="R6" s="171">
        <v>-727764.0271000005</v>
      </c>
      <c r="S6" s="171">
        <v>-2016344.479999994</v>
      </c>
      <c r="T6" s="171">
        <v>-533760.9483039938</v>
      </c>
      <c r="U6" s="171">
        <v>688681.5394040011</v>
      </c>
      <c r="V6" s="171">
        <v>188634.0842739977</v>
      </c>
      <c r="W6" s="171">
        <v>1135107.4385570027</v>
      </c>
      <c r="X6" s="171">
        <v>-2310603.708502001</v>
      </c>
      <c r="Y6" s="171">
        <v>-1026688.9535339989</v>
      </c>
      <c r="Z6" s="171">
        <v>-1511176.335440001</v>
      </c>
      <c r="AA6" s="191">
        <v>-1483614.197077998</v>
      </c>
      <c r="AB6" s="191">
        <v>-1288286.6270379988</v>
      </c>
      <c r="AC6" s="191">
        <v>-2088616.5970920017</v>
      </c>
      <c r="AD6" s="191">
        <v>-1862270.5500129997</v>
      </c>
      <c r="AE6" s="191">
        <v>-294955.2554999981</v>
      </c>
      <c r="AF6" s="191">
        <v>-532526.8424309986</v>
      </c>
      <c r="AG6" s="191">
        <f>'[1]Jan'!$H$55</f>
        <v>-173856.58066100068</v>
      </c>
      <c r="AH6" s="191">
        <f>'[1]Feb'!$H$55</f>
        <v>105835.91384800058</v>
      </c>
      <c r="AI6" s="191">
        <f>'[1]Mar'!$H$55</f>
        <v>-604740.2805199977</v>
      </c>
      <c r="AJ6" s="191">
        <f>'[1]Apr'!$H$55</f>
        <v>-2253526.428780001</v>
      </c>
      <c r="AK6" s="191">
        <f>'[1]May'!$H$55</f>
        <v>-1368171.178106001</v>
      </c>
      <c r="AL6" s="191">
        <f>'[1]Jun'!$H$55</f>
        <v>-2304890.4720699973</v>
      </c>
      <c r="AM6" s="171">
        <f>'[1]Jul'!$H$55</f>
        <v>-1924994.8295020012</v>
      </c>
      <c r="AN6" s="171">
        <f>'[1]Aug'!$H$55</f>
        <v>-1510253.567282</v>
      </c>
      <c r="AO6" s="171">
        <f>'[1]Sep'!$H$55</f>
        <v>-1421303.766953001</v>
      </c>
      <c r="AP6" s="171">
        <f>'[1]Oct'!$H$55</f>
        <v>-389419.7085999991</v>
      </c>
      <c r="AQ6" s="192">
        <f>'[1]Nov'!$H$55</f>
        <v>-192874.3790970007</v>
      </c>
      <c r="AR6" s="171">
        <f>'[1]Dec'!$H$55</f>
        <v>-1133881.9007779993</v>
      </c>
      <c r="AT6" s="193" t="s">
        <v>133</v>
      </c>
      <c r="AU6" s="194">
        <v>431600</v>
      </c>
      <c r="AV6" s="195" t="s">
        <v>130</v>
      </c>
      <c r="AW6" s="195" t="s">
        <v>131</v>
      </c>
      <c r="AX6" s="196">
        <f>IF(SUMIF(U3:AR3,AT4,U8:AR8)&lt;0,-SUMIF(U3:AR3,AT4,U8:AR8),0)</f>
        <v>14406.68</v>
      </c>
      <c r="AY6" s="197">
        <v>0</v>
      </c>
    </row>
    <row r="7" spans="2:51" ht="15.75">
      <c r="B7" s="170" t="s">
        <v>134</v>
      </c>
      <c r="C7" s="171">
        <f t="shared" si="3"/>
        <v>-937925.7111479975</v>
      </c>
      <c r="D7" s="171">
        <f>5059705.37+SUM(E7:AF7,E10:AE10)</f>
        <v>1110916.7149170018</v>
      </c>
      <c r="E7" s="171">
        <v>1023402.16</v>
      </c>
      <c r="F7" s="171">
        <v>261710.75</v>
      </c>
      <c r="G7" s="171">
        <v>-780538.84</v>
      </c>
      <c r="H7" s="171">
        <v>-1676402.67</v>
      </c>
      <c r="I7" s="171">
        <v>-1532396.8182269996</v>
      </c>
      <c r="J7" s="171">
        <v>-1538759.6083259992</v>
      </c>
      <c r="K7" s="171">
        <v>-565794.9353709992</v>
      </c>
      <c r="L7" s="171">
        <v>131848.5201290003</v>
      </c>
      <c r="M7" s="171">
        <v>831816.9017159998</v>
      </c>
      <c r="N7" s="171">
        <v>991014.355209</v>
      </c>
      <c r="O7" s="171">
        <v>1093864.5741339996</v>
      </c>
      <c r="P7" s="171">
        <v>1110140.8646289995</v>
      </c>
      <c r="Q7" s="171">
        <v>1023770.0773869999</v>
      </c>
      <c r="R7" s="171">
        <v>894465.6512709996</v>
      </c>
      <c r="S7" s="171">
        <v>1314360.0922239996</v>
      </c>
      <c r="T7" s="171">
        <v>-1413941.2128349997</v>
      </c>
      <c r="U7" s="171">
        <v>-1606244.356484</v>
      </c>
      <c r="V7" s="171">
        <v>-724338.5661089991</v>
      </c>
      <c r="W7" s="171">
        <v>-120857.11109200004</v>
      </c>
      <c r="X7" s="171">
        <v>229663.8315900003</v>
      </c>
      <c r="Y7" s="171">
        <v>862900.9752959998</v>
      </c>
      <c r="Z7" s="171">
        <v>1347548.3399299998</v>
      </c>
      <c r="AA7" s="198">
        <v>1140740.15466</v>
      </c>
      <c r="AB7" s="198">
        <v>1206971.377398</v>
      </c>
      <c r="AC7" s="198">
        <v>899296.2830299998</v>
      </c>
      <c r="AD7" s="198">
        <v>732178.9966479997</v>
      </c>
      <c r="AE7" s="198">
        <v>-1315498.72</v>
      </c>
      <c r="AF7" s="198">
        <v>-1552771.3765099996</v>
      </c>
      <c r="AG7" s="198">
        <f>'[1]Jan'!$I$55</f>
        <v>-1737451.7240159996</v>
      </c>
      <c r="AH7" s="198">
        <f>'[1]Feb'!$I$55</f>
        <v>-906843.1300359999</v>
      </c>
      <c r="AI7" s="198">
        <f>'[1]Mar'!$I$55</f>
        <v>-502690.5055460003</v>
      </c>
      <c r="AJ7" s="198">
        <f>'[1]Apr'!$I$55</f>
        <v>531507.0182900002</v>
      </c>
      <c r="AK7" s="198">
        <f>'[1]May'!$I$55</f>
        <v>778474.0719619995</v>
      </c>
      <c r="AL7" s="198">
        <f>'[1]Jun'!$I$55</f>
        <v>940413.5291820009</v>
      </c>
      <c r="AM7" s="171">
        <f>'[1]Jul'!$I$55</f>
        <v>1019103.1667780007</v>
      </c>
      <c r="AN7" s="171">
        <f>'[1]Aug'!$I$55</f>
        <v>1025818.8216420002</v>
      </c>
      <c r="AO7" s="171">
        <f>'[1]Sep'!$I$55</f>
        <v>821854.2373699999</v>
      </c>
      <c r="AP7" s="171">
        <f>'[1]Oct'!$I$55</f>
        <v>208678.05243800068</v>
      </c>
      <c r="AQ7" s="192">
        <f>'[1]Nov'!$I$55</f>
        <v>-521813.363136</v>
      </c>
      <c r="AR7" s="171">
        <f>'[1]Dec'!$I$55</f>
        <v>-2594975.886075999</v>
      </c>
      <c r="AT7" s="193" t="s">
        <v>135</v>
      </c>
      <c r="AU7" s="194">
        <v>191010</v>
      </c>
      <c r="AV7" s="195" t="s">
        <v>130</v>
      </c>
      <c r="AW7" s="195" t="s">
        <v>131</v>
      </c>
      <c r="AX7" s="196">
        <f>IF((SUMIF(U3:AR3,AT4,U6:AR6)+SUMIF(U3:AR3,AT4,U7:AR7)+SUMIF(U3:AR3,AT4,U8:AR8))&gt;0,(SUMIF(U3:AR3,AT4,U6:AR6)+SUMIF(U3:AR3,AT4,U7:AR7)+SUMIF(U3:AR3,AT4,U8:AR8)),0)</f>
        <v>0</v>
      </c>
      <c r="AY7" s="197">
        <f>IF((SUMIF(U3:AR3,AT4,U6:AR6)+SUMIF(U3:AR3,AT4,U7:AR7)+SUMIF(U3:AR3,AT4,U8:AR8))&lt;0,-(SUMIF(U3:AR3,AT4,U6:AR6)+SUMIF(U3:AR3,AT4,U7:AR7)++SUMIF(U3:AR3,AT4,U8:AR8)),0)</f>
        <v>3743264.4668539986</v>
      </c>
    </row>
    <row r="8" spans="2:51" ht="15.75">
      <c r="B8" s="170" t="s">
        <v>136</v>
      </c>
      <c r="C8" s="171">
        <f t="shared" si="3"/>
        <v>-382126.24</v>
      </c>
      <c r="D8" s="171">
        <f>-38846.64+SUM(E8:AF8,E11:AE11)+X12</f>
        <v>-68530.34000000001</v>
      </c>
      <c r="E8" s="171">
        <f>ROUND(((E5+E9+E10+E11)*(E4/12))+((SUM(E6:E7)/2)*(E4/12)),2)</f>
        <v>7045.4</v>
      </c>
      <c r="F8" s="171">
        <f>ROUND(((F5+F9+F10+F11)*(F4/12))+((SUM(F6:F7)/2)*(F4/12)),2)</f>
        <v>6718.12</v>
      </c>
      <c r="G8" s="171">
        <f>ROUND(((G5+G9+G10+G11)*(G4/12))+((SUM(G6:G7)/2)*(G4/12)),2)</f>
        <v>1454.73</v>
      </c>
      <c r="H8" s="199">
        <f>ROUND(((H5)*(H4/12))+((SUM(H6:H7)/2)*(H4/12)),2)</f>
        <v>-4188.2</v>
      </c>
      <c r="I8" s="200">
        <v>-12447.9</v>
      </c>
      <c r="J8" s="200">
        <v>-14681.36</v>
      </c>
      <c r="K8" s="200">
        <v>-15091.2</v>
      </c>
      <c r="L8" s="200">
        <v>-13753.35</v>
      </c>
      <c r="M8" s="200">
        <v>-12109.95</v>
      </c>
      <c r="N8" s="200">
        <v>-9650.5</v>
      </c>
      <c r="O8" s="200">
        <v>-6845.68</v>
      </c>
      <c r="P8" s="200">
        <v>-4381.23</v>
      </c>
      <c r="Q8" s="200">
        <v>-2696.94</v>
      </c>
      <c r="R8" s="200">
        <v>-1812.93</v>
      </c>
      <c r="S8" s="201">
        <v>5755.39</v>
      </c>
      <c r="T8" s="200">
        <v>2182.86</v>
      </c>
      <c r="U8" s="200">
        <v>-1691.28</v>
      </c>
      <c r="V8" s="200">
        <v>-3853.24</v>
      </c>
      <c r="W8" s="200">
        <v>-3215.64</v>
      </c>
      <c r="X8" s="200">
        <v>-4669.86</v>
      </c>
      <c r="Y8" s="200">
        <v>-7722.24</v>
      </c>
      <c r="Z8" s="200">
        <v>-8186.54</v>
      </c>
      <c r="AA8" s="202">
        <v>-8894.6</v>
      </c>
      <c r="AB8" s="202">
        <v>-9493.11</v>
      </c>
      <c r="AC8" s="202">
        <v>-11239.47</v>
      </c>
      <c r="AD8" s="202">
        <v>-14410.78</v>
      </c>
      <c r="AE8" s="202">
        <v>-9730.68</v>
      </c>
      <c r="AF8" s="202">
        <f>ROUND(((AF5)*(AF4/12))+((SUM(AF6:AF7)/2)*(AF4/12)),2)</f>
        <v>-14761.7</v>
      </c>
      <c r="AG8" s="202">
        <f aca="true" t="shared" si="4" ref="AG8:AO8">ROUND(((AG5)*(AG4/12))+((SUM(AG6:AG7)/2)*(AG4/12)),2)</f>
        <v>-20214.94</v>
      </c>
      <c r="AH8" s="202">
        <f t="shared" si="4"/>
        <v>-23942.62</v>
      </c>
      <c r="AI8" s="202">
        <f t="shared" si="4"/>
        <v>-26591.8</v>
      </c>
      <c r="AJ8" s="202">
        <f t="shared" si="4"/>
        <v>-32465.84</v>
      </c>
      <c r="AK8" s="202">
        <f t="shared" si="4"/>
        <v>-35892.18</v>
      </c>
      <c r="AL8" s="202">
        <f t="shared" si="4"/>
        <v>-38812.93</v>
      </c>
      <c r="AM8" s="200">
        <f t="shared" si="4"/>
        <v>-42685.8</v>
      </c>
      <c r="AN8" s="200">
        <f t="shared" si="4"/>
        <v>-44837.85</v>
      </c>
      <c r="AO8" s="200">
        <f t="shared" si="4"/>
        <v>-46549.3</v>
      </c>
      <c r="AP8" s="200">
        <f>ROUND(((AP5)*(AP4/12))+((SUM(AP6:AP7)/2)*(AP4/12)),2)</f>
        <v>-47822.84</v>
      </c>
      <c r="AQ8" s="203">
        <f>ROUND(((AQ5+AQ9+AQ10+AQ11)*(AQ4/12))+((SUM(AQ6:AQ7)/2)*(AQ4/12)),2)</f>
        <v>-7903.46</v>
      </c>
      <c r="AR8" s="200">
        <f>ROUND(((AR5)*(AR4/12))+((SUM(AR6:AR7)/2)*(AR4/12)),2)</f>
        <v>-14406.68</v>
      </c>
      <c r="AT8" s="193" t="s">
        <v>137</v>
      </c>
      <c r="AU8" s="194">
        <v>805120</v>
      </c>
      <c r="AV8" s="195" t="s">
        <v>130</v>
      </c>
      <c r="AW8" s="195" t="s">
        <v>131</v>
      </c>
      <c r="AX8" s="196">
        <f>IF((SUMIF(U3:AR3,AT4,U6:AR6)+SUMIF(U3:AR3,AT4,U7:AR7))&lt;0,-(SUMIF(U3:AR3,AT4,U6:AR6)+SUMIF(U3:AR3,AT4,U7:AR7)),0)</f>
        <v>3728857.7868539984</v>
      </c>
      <c r="AY8" s="197">
        <f>IF((SUMIF(U3:AR3,AT4,U6:AR6)+SUMIF(U3:AR3,AT4,U7:AR7))&gt;0,(SUMIF(U3:AR3,AT4,U6:AR6)+SUMIF(U3:AR3,AT4,U7:AR7)),0)</f>
        <v>0</v>
      </c>
    </row>
    <row r="9" spans="2:51" ht="15.75">
      <c r="B9" s="170" t="s">
        <v>138</v>
      </c>
      <c r="C9" s="171">
        <f t="shared" si="3"/>
        <v>14149619.095440991</v>
      </c>
      <c r="E9" s="171">
        <v>0</v>
      </c>
      <c r="F9" s="171">
        <v>0</v>
      </c>
      <c r="G9" s="204">
        <v>1383047.99671321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205">
        <v>1478321.29</v>
      </c>
      <c r="T9" s="171">
        <v>0</v>
      </c>
      <c r="U9" s="171">
        <v>-69937.37</v>
      </c>
      <c r="V9" s="171">
        <v>0</v>
      </c>
      <c r="W9" s="171">
        <v>0</v>
      </c>
      <c r="X9" s="171">
        <v>0</v>
      </c>
      <c r="Y9" s="171">
        <v>0</v>
      </c>
      <c r="Z9" s="171">
        <v>0</v>
      </c>
      <c r="AA9" s="171">
        <v>0</v>
      </c>
      <c r="AB9" s="171">
        <v>0</v>
      </c>
      <c r="AC9" s="171">
        <v>0</v>
      </c>
      <c r="AD9" s="171">
        <v>0</v>
      </c>
      <c r="AE9" s="205">
        <v>7086535.71</v>
      </c>
      <c r="AF9" s="171">
        <v>0</v>
      </c>
      <c r="AG9" s="171">
        <v>0</v>
      </c>
      <c r="AH9" s="171">
        <v>0</v>
      </c>
      <c r="AI9" s="171">
        <v>0</v>
      </c>
      <c r="AJ9" s="171">
        <v>0</v>
      </c>
      <c r="AK9" s="171">
        <v>0</v>
      </c>
      <c r="AL9" s="171">
        <v>0</v>
      </c>
      <c r="AM9" s="171">
        <v>0</v>
      </c>
      <c r="AN9" s="171">
        <v>0</v>
      </c>
      <c r="AO9" s="171">
        <v>0</v>
      </c>
      <c r="AP9" s="171">
        <v>0</v>
      </c>
      <c r="AQ9" s="206">
        <f>-SUM(AA6:AL6)</f>
        <v>14149619.095440991</v>
      </c>
      <c r="AR9" s="171">
        <v>0</v>
      </c>
      <c r="AT9" s="193" t="s">
        <v>139</v>
      </c>
      <c r="AU9" s="194">
        <v>191010</v>
      </c>
      <c r="AV9" s="195" t="s">
        <v>130</v>
      </c>
      <c r="AW9" s="195" t="s">
        <v>131</v>
      </c>
      <c r="AX9" s="196">
        <v>0</v>
      </c>
      <c r="AY9" s="197">
        <v>0</v>
      </c>
    </row>
    <row r="10" spans="2:51" ht="16.5" thickBot="1">
      <c r="B10" s="170" t="s">
        <v>140</v>
      </c>
      <c r="C10" s="171">
        <f t="shared" si="3"/>
        <v>-213886.19506200103</v>
      </c>
      <c r="E10" s="171">
        <v>0</v>
      </c>
      <c r="F10" s="171">
        <v>0</v>
      </c>
      <c r="G10" s="204">
        <v>-2577820.66538</v>
      </c>
      <c r="H10" s="204">
        <v>-1111877.48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205">
        <v>1484092.96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0</v>
      </c>
      <c r="AA10" s="171">
        <v>0</v>
      </c>
      <c r="AB10" s="171">
        <v>0</v>
      </c>
      <c r="AC10" s="171">
        <v>0</v>
      </c>
      <c r="AD10" s="171">
        <v>0</v>
      </c>
      <c r="AE10" s="205">
        <v>-4011333.16</v>
      </c>
      <c r="AF10" s="171">
        <v>0</v>
      </c>
      <c r="AG10" s="171">
        <v>0</v>
      </c>
      <c r="AH10" s="171">
        <v>0</v>
      </c>
      <c r="AI10" s="171">
        <v>0</v>
      </c>
      <c r="AJ10" s="171">
        <v>0</v>
      </c>
      <c r="AK10" s="171">
        <v>0</v>
      </c>
      <c r="AL10" s="171">
        <v>0</v>
      </c>
      <c r="AM10" s="171">
        <v>0</v>
      </c>
      <c r="AN10" s="171">
        <v>0</v>
      </c>
      <c r="AO10" s="171">
        <v>0</v>
      </c>
      <c r="AP10" s="171">
        <v>0</v>
      </c>
      <c r="AQ10" s="207">
        <f>-SUM(AA7:AL7)-AF12</f>
        <v>-213886.19506200103</v>
      </c>
      <c r="AR10" s="171">
        <v>0</v>
      </c>
      <c r="AT10" s="208" t="str">
        <f>AT9</f>
        <v>Tracker Transfer</v>
      </c>
      <c r="AU10" s="209">
        <f>AU43</f>
        <v>191000</v>
      </c>
      <c r="AV10" s="209" t="str">
        <f>AV43</f>
        <v>GD</v>
      </c>
      <c r="AW10" s="209" t="str">
        <f>AW43</f>
        <v>WA</v>
      </c>
      <c r="AX10" s="210">
        <v>0</v>
      </c>
      <c r="AY10" s="211">
        <f>AX9</f>
        <v>0</v>
      </c>
    </row>
    <row r="11" spans="2:51" ht="16.5" thickBot="1">
      <c r="B11" s="170" t="s">
        <v>141</v>
      </c>
      <c r="C11" s="171">
        <f t="shared" si="3"/>
        <v>246450.64999999997</v>
      </c>
      <c r="E11" s="171">
        <v>0</v>
      </c>
      <c r="F11" s="171">
        <v>0</v>
      </c>
      <c r="G11" s="204">
        <v>48970.92</v>
      </c>
      <c r="H11" s="204">
        <v>-44916.37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205">
        <v>101496.36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0</v>
      </c>
      <c r="AA11" s="171">
        <v>0</v>
      </c>
      <c r="AB11" s="171">
        <v>0</v>
      </c>
      <c r="AC11" s="171">
        <v>0</v>
      </c>
      <c r="AD11" s="171">
        <v>0</v>
      </c>
      <c r="AE11" s="205">
        <v>37518.67</v>
      </c>
      <c r="AF11" s="171">
        <v>0</v>
      </c>
      <c r="AG11" s="171">
        <v>0</v>
      </c>
      <c r="AH11" s="171">
        <v>0</v>
      </c>
      <c r="AI11" s="171">
        <v>0</v>
      </c>
      <c r="AJ11" s="171">
        <v>0</v>
      </c>
      <c r="AK11" s="171">
        <v>0</v>
      </c>
      <c r="AL11" s="171">
        <v>0</v>
      </c>
      <c r="AM11" s="171">
        <v>0</v>
      </c>
      <c r="AN11" s="171">
        <v>0</v>
      </c>
      <c r="AO11" s="171">
        <v>0</v>
      </c>
      <c r="AP11" s="171">
        <v>0</v>
      </c>
      <c r="AQ11" s="212">
        <f>-SUM(AA8:AL8)</f>
        <v>246450.64999999997</v>
      </c>
      <c r="AR11" s="171">
        <v>0</v>
      </c>
      <c r="AT11" s="213"/>
      <c r="AU11" s="214"/>
      <c r="AV11" s="215"/>
      <c r="AW11" s="215"/>
      <c r="AX11" s="215" t="s">
        <v>120</v>
      </c>
      <c r="AY11" s="216">
        <f>SUM(AX5:AX10)-SUM(AY5:AY10)</f>
        <v>0</v>
      </c>
    </row>
    <row r="12" spans="2:44" ht="15.75">
      <c r="B12" s="170" t="s">
        <v>142</v>
      </c>
      <c r="C12" s="171">
        <f t="shared" si="3"/>
        <v>0.41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71">
        <v>0</v>
      </c>
      <c r="U12" s="171">
        <v>0</v>
      </c>
      <c r="V12" s="171">
        <v>0</v>
      </c>
      <c r="W12" s="171">
        <v>0</v>
      </c>
      <c r="X12" s="171">
        <v>-381.4</v>
      </c>
      <c r="Y12" s="171">
        <v>0</v>
      </c>
      <c r="Z12" s="171">
        <v>0</v>
      </c>
      <c r="AA12" s="171">
        <v>0</v>
      </c>
      <c r="AB12" s="171">
        <v>0</v>
      </c>
      <c r="AC12" s="171">
        <v>0</v>
      </c>
      <c r="AD12" s="171">
        <v>0</v>
      </c>
      <c r="AE12" s="205">
        <v>-0.39</v>
      </c>
      <c r="AF12" s="198">
        <f>-438.59-1.19</f>
        <v>-439.78</v>
      </c>
      <c r="AG12" s="171">
        <v>0</v>
      </c>
      <c r="AH12" s="171">
        <v>0</v>
      </c>
      <c r="AI12" s="171">
        <v>0</v>
      </c>
      <c r="AJ12" s="171">
        <v>0</v>
      </c>
      <c r="AK12" s="171">
        <v>0</v>
      </c>
      <c r="AL12" s="171">
        <v>0</v>
      </c>
      <c r="AM12" s="171">
        <v>0</v>
      </c>
      <c r="AN12" s="171">
        <v>0</v>
      </c>
      <c r="AO12" s="171">
        <v>0</v>
      </c>
      <c r="AP12" s="171">
        <v>0</v>
      </c>
      <c r="AQ12" s="217">
        <v>0.41</v>
      </c>
      <c r="AR12" s="171">
        <v>0</v>
      </c>
    </row>
    <row r="13" spans="2:44" ht="16.5" thickBot="1">
      <c r="B13" s="170" t="s">
        <v>143</v>
      </c>
      <c r="C13" s="218">
        <f>SUM(C5:C12)</f>
        <v>-309945.16927000636</v>
      </c>
      <c r="D13" s="218"/>
      <c r="E13" s="218">
        <f>SUM(E5:E12)</f>
        <v>2712780.2600000002</v>
      </c>
      <c r="F13" s="218">
        <f>SUM(F5:F12)</f>
        <v>2255013.99</v>
      </c>
      <c r="G13" s="218">
        <f>SUM(G5:G12)</f>
        <v>-33498.73866679</v>
      </c>
      <c r="H13" s="218">
        <f>SUM(H5:H12)</f>
        <v>-4220307.8686667895</v>
      </c>
      <c r="I13" s="218">
        <v>-4984433.45638779</v>
      </c>
      <c r="J13" s="218">
        <v>-5871867.347383787</v>
      </c>
      <c r="K13" s="218">
        <v>-5287493.02985179</v>
      </c>
      <c r="L13" s="218">
        <v>-4882582.01711479</v>
      </c>
      <c r="M13" s="218">
        <v>-4072260.114518791</v>
      </c>
      <c r="N13" s="218">
        <v>-3063910.54572879</v>
      </c>
      <c r="O13" s="218">
        <v>-1998209.0562817894</v>
      </c>
      <c r="P13" s="218">
        <v>-1241540.0398927876</v>
      </c>
      <c r="Q13" s="218">
        <v>-752741.8377597883</v>
      </c>
      <c r="R13" s="218">
        <v>-587853.1435887892</v>
      </c>
      <c r="S13" s="218">
        <v>1779828.4686352164</v>
      </c>
      <c r="T13" s="218">
        <v>-165690.8325037771</v>
      </c>
      <c r="U13" s="218">
        <v>-1154882.299583776</v>
      </c>
      <c r="V13" s="218">
        <f>SUM(V5:V12)</f>
        <v>-1694440.0214187815</v>
      </c>
      <c r="W13" s="218">
        <f>SUM(W5:W12)</f>
        <v>-683405.3339537788</v>
      </c>
      <c r="X13" s="218">
        <f>SUM(X5:X12)</f>
        <v>-2769396.4708657796</v>
      </c>
      <c r="Y13" s="218">
        <f>SUM(Y5:Y12)</f>
        <v>-2940906.6891037785</v>
      </c>
      <c r="Z13" s="218">
        <f aca="true" t="shared" si="5" ref="Z13:AE13">SUM(Z5:Z12)</f>
        <v>-3112721.224613779</v>
      </c>
      <c r="AA13" s="218">
        <f t="shared" si="5"/>
        <v>-3464489.8670317773</v>
      </c>
      <c r="AB13" s="218">
        <f t="shared" si="5"/>
        <v>-3555298.2266717753</v>
      </c>
      <c r="AC13" s="218">
        <f t="shared" si="5"/>
        <v>-4755858.010733777</v>
      </c>
      <c r="AD13" s="218">
        <f t="shared" si="5"/>
        <v>-5900360.344098777</v>
      </c>
      <c r="AE13" s="218">
        <f t="shared" si="5"/>
        <v>-4407824.169598774</v>
      </c>
      <c r="AF13" s="218">
        <f>SUM(AF5:AF12)</f>
        <v>-6508323.868539773</v>
      </c>
      <c r="AG13" s="218">
        <f>SUM(AG5:AG12)</f>
        <v>-8439847.113216773</v>
      </c>
      <c r="AH13" s="218">
        <f>SUM(AH5:AH12)</f>
        <v>-9264796.94940477</v>
      </c>
      <c r="AI13" s="218">
        <f aca="true" t="shared" si="6" ref="AI13:AP13">SUM(AI5:AI12)</f>
        <v>-10398819.535470769</v>
      </c>
      <c r="AJ13" s="218">
        <f t="shared" si="6"/>
        <v>-12153304.78596077</v>
      </c>
      <c r="AK13" s="218">
        <f t="shared" si="6"/>
        <v>-12778894.07210477</v>
      </c>
      <c r="AL13" s="218">
        <f>SUM(AL5:AL12)</f>
        <v>-14182183.944992768</v>
      </c>
      <c r="AM13" s="218">
        <f t="shared" si="6"/>
        <v>-15130761.40771677</v>
      </c>
      <c r="AN13" s="218">
        <f t="shared" si="6"/>
        <v>-15660034.00335677</v>
      </c>
      <c r="AO13" s="218">
        <f>SUM(AO5:AO12)</f>
        <v>-16306032.832939774</v>
      </c>
      <c r="AP13" s="218">
        <f t="shared" si="6"/>
        <v>-16534597.329101773</v>
      </c>
      <c r="AQ13" s="219">
        <f>SUM(AQ5:AQ12)</f>
        <v>-3075004.5709557864</v>
      </c>
      <c r="AR13" s="218">
        <f>SUM(AR5:AR12)</f>
        <v>-6818269.037809785</v>
      </c>
    </row>
    <row r="14" spans="2:44" ht="16.5" thickTop="1">
      <c r="B14" s="170" t="s">
        <v>144</v>
      </c>
      <c r="E14" s="171" t="str">
        <f>_XLL.GET_BALANCE(E3,"YTD","USD","Total","A","","001",$A$3,"GD","WA","DL")</f>
        <v>Error (Logon)</v>
      </c>
      <c r="F14" s="171" t="str">
        <f>_XLL.GET_BALANCE(F3,"YTD","USD","Total","A","","001",$A$3,"GD","WA","DL")</f>
        <v>Error (Logon)</v>
      </c>
      <c r="G14" s="171" t="str">
        <f>_XLL.GET_BALANCE(G3,"YTD","USD","Total","A","","001",$A$3,"GD","WA","DL")</f>
        <v>Error (Logon)</v>
      </c>
      <c r="H14" s="171" t="str">
        <f>_XLL.GET_BALANCE(H3,"YTD","USD","Total","A","","001",$A$3,"GD","WA","DL")</f>
        <v>Error (Logon)</v>
      </c>
      <c r="I14" s="171">
        <v>-4984433.47</v>
      </c>
      <c r="J14" s="171">
        <v>-5871867.36</v>
      </c>
      <c r="K14" s="171">
        <v>-5287493.04</v>
      </c>
      <c r="L14" s="171">
        <v>-4882582.03</v>
      </c>
      <c r="M14" s="171">
        <v>-4072260.13</v>
      </c>
      <c r="N14" s="171">
        <v>-3063910.56</v>
      </c>
      <c r="O14" s="171">
        <v>-1998209.07</v>
      </c>
      <c r="P14" s="171">
        <v>-1241540.05</v>
      </c>
      <c r="Q14" s="171">
        <v>-752741.85</v>
      </c>
      <c r="R14" s="171">
        <v>-587853.16</v>
      </c>
      <c r="S14" s="171">
        <v>1779828.45</v>
      </c>
      <c r="T14" s="171">
        <v>-165690.85</v>
      </c>
      <c r="U14" s="171">
        <v>-1154882.3</v>
      </c>
      <c r="V14" s="171" t="str">
        <f>_XLL.GET_BALANCE(V3,"YTD","USD","Total","A","","001",$A$3,"GD","WA","DL")</f>
        <v>Error (Logon)</v>
      </c>
      <c r="W14" s="171" t="str">
        <f>_XLL.GET_BALANCE(W3,"YTD","USD","Total","A","","001",$A$3,"GD","WA","DL")</f>
        <v>Error (Logon)</v>
      </c>
      <c r="X14" s="171" t="str">
        <f>_XLL.GET_BALANCE(X3,"YTD","USD","Total","A","","001",$A$3,"GD","WA","DL")</f>
        <v>Error (Logon)</v>
      </c>
      <c r="Y14" s="171" t="str">
        <f>_XLL.GET_BALANCE(Y3,"YTD","USD","Total","A","","001",$A$3,"GD","WA","DL")</f>
        <v>Error (Logon)</v>
      </c>
      <c r="Z14" s="171" t="str">
        <f>_XLL.GET_BALANCE(Z3,"YTD","USD","Total","A","","001",$A$3,"GD","WA","DL")</f>
        <v>Error (Logon)</v>
      </c>
      <c r="AA14" s="171" t="str">
        <f>_XLL.GET_BALANCE(AA3,"YTD","USD","Total","A","","001",$A$3,"GD","WA","DL")</f>
        <v>Error (Logon)</v>
      </c>
      <c r="AB14" s="171" t="str">
        <f>_XLL.GET_BALANCE(AB3,"YTD","USD","Total","A","","001",$A$3,"GD","WA","DL")</f>
        <v>Error (Logon)</v>
      </c>
      <c r="AC14" s="171" t="str">
        <f>_XLL.GET_BALANCE(AC3,"YTD","USD","Total","A","","001",$A$3,"GD","WA","DL")</f>
        <v>Error (Logon)</v>
      </c>
      <c r="AD14" s="171" t="str">
        <f>_XLL.GET_BALANCE(AD3,"YTD","USD","Total","A","","001",$A$3,"GD","WA","DL")</f>
        <v>Error (Logon)</v>
      </c>
      <c r="AE14" s="171" t="str">
        <f>_XLL.GET_BALANCE(AE3,"YTD","USD","Total","A","","001",$A$3,"GD","WA","DL")</f>
        <v>Error (Logon)</v>
      </c>
      <c r="AF14" s="171" t="str">
        <f>_XLL.GET_BALANCE(AF3,"YTD","USD","Total","A","","001",$A$3,"GD","WA","DL")</f>
        <v>Error (Logon)</v>
      </c>
      <c r="AG14" s="171" t="str">
        <f>_XLL.GET_BALANCE(AG3,"YTD","USD","Total","A","","001",$A$3,"GD","WA","DL")</f>
        <v>Error (Logon)</v>
      </c>
      <c r="AH14" s="171" t="str">
        <f>_XLL.GET_BALANCE(AH3,"YTD","USD","Total","A","","001",$A$3,"GD","WA","DL")</f>
        <v>Error (Logon)</v>
      </c>
      <c r="AI14" s="171" t="str">
        <f>_XLL.GET_BALANCE(AI3,"YTD","USD","Total","A","","001",$A$3,"GD","WA","DL")</f>
        <v>Error (Logon)</v>
      </c>
      <c r="AJ14" s="171" t="str">
        <f>_XLL.GET_BALANCE(AJ3,"YTD","USD","Total","A","","001",$A$3,"GD","WA","DL")</f>
        <v>Error (Logon)</v>
      </c>
      <c r="AK14" s="171" t="str">
        <f>_XLL.GET_BALANCE(AK3,"YTD","USD","Total","A","","001",$A$3,"GD","WA","DL")</f>
        <v>Error (Logon)</v>
      </c>
      <c r="AL14" s="220" t="str">
        <f>_XLL.GET_BALANCE(AL3,"YTD","USD","Total","A","","001",$A$3,"GD","WA","DL")</f>
        <v>Error (Logon)</v>
      </c>
      <c r="AM14" s="171" t="str">
        <f>_XLL.GET_BALANCE(AM3,"YTD","USD","Total","A","","001",$A$3,"GD","WA","DL")</f>
        <v>Error (Logon)</v>
      </c>
      <c r="AN14" s="171" t="str">
        <f>_XLL.GET_BALANCE(AN3,"YTD","USD","Total","A","","001",$A$3,"GD","WA","DL")</f>
        <v>Error (Logon)</v>
      </c>
      <c r="AO14" s="171" t="str">
        <f>_XLL.GET_BALANCE(AO3,"YTD","USD","Total","A","","001",$A$3,"GD","WA","DL")</f>
        <v>Error (Logon)</v>
      </c>
      <c r="AP14" s="171" t="str">
        <f>_XLL.GET_BALANCE(AP3,"YTD","USD","Total","A","","001",$A$3,"GD","WA","DL")</f>
        <v>Error (Logon)</v>
      </c>
      <c r="AQ14" s="171" t="str">
        <f>_XLL.GET_BALANCE(AQ3,"YTD","USD","Total","A","","001",$A$3,"GD","WA","DL")</f>
        <v>Error (Logon)</v>
      </c>
      <c r="AR14" s="171" t="str">
        <f>_XLL.GET_BALANCE(AR3,"YTD","USD","Total","A","","001",$A$3,"GD","WA","DL")</f>
        <v>Error (Logon)</v>
      </c>
    </row>
    <row r="15" spans="2:44" ht="15.75">
      <c r="B15" s="170" t="s">
        <v>145</v>
      </c>
      <c r="E15" s="171" t="e">
        <f>E13-E14</f>
        <v>#VALUE!</v>
      </c>
      <c r="F15" s="171" t="e">
        <f>F13-F14</f>
        <v>#VALUE!</v>
      </c>
      <c r="G15" s="171" t="e">
        <f>G13-G14</f>
        <v>#VALUE!</v>
      </c>
      <c r="H15" s="171" t="e">
        <f>H13-H14</f>
        <v>#VALUE!</v>
      </c>
      <c r="I15" s="171">
        <v>0.01361220981925726</v>
      </c>
      <c r="J15" s="171">
        <v>0.012616213411092758</v>
      </c>
      <c r="K15" s="171">
        <v>0.01014821045100689</v>
      </c>
      <c r="L15" s="171">
        <v>0.01288521010428667</v>
      </c>
      <c r="M15" s="171">
        <v>0.01548120891675353</v>
      </c>
      <c r="N15" s="171">
        <v>0.014271209947764874</v>
      </c>
      <c r="O15" s="171">
        <v>0.013718210626393557</v>
      </c>
      <c r="P15" s="171">
        <v>0.010107212467119098</v>
      </c>
      <c r="Q15" s="171">
        <v>0.01224021171219647</v>
      </c>
      <c r="R15" s="171">
        <v>0.016411210875958204</v>
      </c>
      <c r="S15" s="171">
        <v>0.01863521640188992</v>
      </c>
      <c r="T15" s="171">
        <v>0.01749622289207764</v>
      </c>
      <c r="U15" s="171">
        <v>0.00041622412391006947</v>
      </c>
      <c r="V15" s="171" t="e">
        <f aca="true" t="shared" si="7" ref="V15:AE15">V13-V14</f>
        <v>#VALUE!</v>
      </c>
      <c r="W15" s="171" t="e">
        <f t="shared" si="7"/>
        <v>#VALUE!</v>
      </c>
      <c r="X15" s="171" t="e">
        <f t="shared" si="7"/>
        <v>#VALUE!</v>
      </c>
      <c r="Y15" s="171" t="e">
        <f t="shared" si="7"/>
        <v>#VALUE!</v>
      </c>
      <c r="Z15" s="171" t="e">
        <f t="shared" si="7"/>
        <v>#VALUE!</v>
      </c>
      <c r="AA15" s="171" t="e">
        <f t="shared" si="7"/>
        <v>#VALUE!</v>
      </c>
      <c r="AB15" s="171" t="e">
        <f t="shared" si="7"/>
        <v>#VALUE!</v>
      </c>
      <c r="AC15" s="171" t="e">
        <f t="shared" si="7"/>
        <v>#VALUE!</v>
      </c>
      <c r="AD15" s="171" t="e">
        <f t="shared" si="7"/>
        <v>#VALUE!</v>
      </c>
      <c r="AE15" s="171" t="e">
        <f t="shared" si="7"/>
        <v>#VALUE!</v>
      </c>
      <c r="AF15" s="171" t="e">
        <f>AF13-AF14</f>
        <v>#VALUE!</v>
      </c>
      <c r="AG15" s="171" t="e">
        <f>AG13-AG14</f>
        <v>#VALUE!</v>
      </c>
      <c r="AH15" s="171" t="e">
        <f aca="true" t="shared" si="8" ref="AH15:AP15">AH13-AH14</f>
        <v>#VALUE!</v>
      </c>
      <c r="AI15" s="171" t="e">
        <f t="shared" si="8"/>
        <v>#VALUE!</v>
      </c>
      <c r="AJ15" s="171" t="e">
        <f t="shared" si="8"/>
        <v>#VALUE!</v>
      </c>
      <c r="AK15" s="171" t="e">
        <f t="shared" si="8"/>
        <v>#VALUE!</v>
      </c>
      <c r="AL15" s="171" t="e">
        <f t="shared" si="8"/>
        <v>#VALUE!</v>
      </c>
      <c r="AM15" s="171" t="e">
        <f t="shared" si="8"/>
        <v>#VALUE!</v>
      </c>
      <c r="AN15" s="171" t="e">
        <f t="shared" si="8"/>
        <v>#VALUE!</v>
      </c>
      <c r="AO15" s="171" t="e">
        <f t="shared" si="8"/>
        <v>#VALUE!</v>
      </c>
      <c r="AP15" s="171" t="e">
        <f t="shared" si="8"/>
        <v>#VALUE!</v>
      </c>
      <c r="AQ15" s="171" t="e">
        <f>AQ13-AQ14</f>
        <v>#VALUE!</v>
      </c>
      <c r="AR15" s="171" t="e">
        <f>AR13-AR14</f>
        <v>#VALUE!</v>
      </c>
    </row>
    <row r="16" ht="15.75">
      <c r="A16" s="174" t="s">
        <v>146</v>
      </c>
    </row>
    <row r="17" spans="1:44" ht="15.75">
      <c r="A17" s="174" t="s">
        <v>147</v>
      </c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</row>
    <row r="18" spans="1:44" ht="15.75">
      <c r="A18" s="175">
        <v>191000</v>
      </c>
      <c r="B18" s="176" t="s">
        <v>124</v>
      </c>
      <c r="C18" s="177" t="s">
        <v>125</v>
      </c>
      <c r="D18" s="177" t="s">
        <v>148</v>
      </c>
      <c r="E18" s="175">
        <v>201309</v>
      </c>
      <c r="F18" s="175">
        <f>E18+1</f>
        <v>201310</v>
      </c>
      <c r="G18" s="175">
        <f>F18+1</f>
        <v>201311</v>
      </c>
      <c r="H18" s="175">
        <f>G18+1</f>
        <v>201312</v>
      </c>
      <c r="I18" s="175">
        <v>201401</v>
      </c>
      <c r="J18" s="175">
        <v>201402</v>
      </c>
      <c r="K18" s="175">
        <v>201403</v>
      </c>
      <c r="L18" s="175">
        <v>201404</v>
      </c>
      <c r="M18" s="175">
        <v>201405</v>
      </c>
      <c r="N18" s="175">
        <v>201406</v>
      </c>
      <c r="O18" s="175">
        <v>201407</v>
      </c>
      <c r="P18" s="175">
        <v>201408</v>
      </c>
      <c r="Q18" s="175">
        <v>201409</v>
      </c>
      <c r="R18" s="175">
        <v>201410</v>
      </c>
      <c r="S18" s="175">
        <v>201411</v>
      </c>
      <c r="T18" s="175">
        <v>201412</v>
      </c>
      <c r="U18" s="175">
        <v>201501</v>
      </c>
      <c r="V18" s="175">
        <f aca="true" t="shared" si="9" ref="V18:AD18">U18+1</f>
        <v>201502</v>
      </c>
      <c r="W18" s="175">
        <f t="shared" si="9"/>
        <v>201503</v>
      </c>
      <c r="X18" s="175">
        <f t="shared" si="9"/>
        <v>201504</v>
      </c>
      <c r="Y18" s="175">
        <f t="shared" si="9"/>
        <v>201505</v>
      </c>
      <c r="Z18" s="175">
        <f t="shared" si="9"/>
        <v>201506</v>
      </c>
      <c r="AA18" s="175">
        <f t="shared" si="9"/>
        <v>201507</v>
      </c>
      <c r="AB18" s="175">
        <f t="shared" si="9"/>
        <v>201508</v>
      </c>
      <c r="AC18" s="175">
        <f t="shared" si="9"/>
        <v>201509</v>
      </c>
      <c r="AD18" s="175">
        <f t="shared" si="9"/>
        <v>201510</v>
      </c>
      <c r="AE18" s="175">
        <f>AD18+1</f>
        <v>201511</v>
      </c>
      <c r="AF18" s="175">
        <f>AE18+1</f>
        <v>201512</v>
      </c>
      <c r="AG18" s="175">
        <v>201601</v>
      </c>
      <c r="AH18" s="175">
        <f>AG18+1</f>
        <v>201602</v>
      </c>
      <c r="AI18" s="175">
        <f aca="true" t="shared" si="10" ref="AI18:AR18">AH18+1</f>
        <v>201603</v>
      </c>
      <c r="AJ18" s="175">
        <f t="shared" si="10"/>
        <v>201604</v>
      </c>
      <c r="AK18" s="175">
        <f t="shared" si="10"/>
        <v>201605</v>
      </c>
      <c r="AL18" s="175">
        <f t="shared" si="10"/>
        <v>201606</v>
      </c>
      <c r="AM18" s="175">
        <f t="shared" si="10"/>
        <v>201607</v>
      </c>
      <c r="AN18" s="175">
        <f t="shared" si="10"/>
        <v>201608</v>
      </c>
      <c r="AO18" s="175">
        <f t="shared" si="10"/>
        <v>201609</v>
      </c>
      <c r="AP18" s="175">
        <f t="shared" si="10"/>
        <v>201610</v>
      </c>
      <c r="AQ18" s="175">
        <f t="shared" si="10"/>
        <v>201611</v>
      </c>
      <c r="AR18" s="175">
        <f t="shared" si="10"/>
        <v>201612</v>
      </c>
    </row>
    <row r="19" spans="1:44" ht="15.75">
      <c r="A19" s="174"/>
      <c r="B19" s="170" t="s">
        <v>46</v>
      </c>
      <c r="C19" s="222">
        <f>SUM(AG19:AR19)</f>
        <v>108643870</v>
      </c>
      <c r="D19" s="222">
        <f>SUM(AE19:AP19)</f>
        <v>107917296</v>
      </c>
      <c r="E19" s="222">
        <v>2647538</v>
      </c>
      <c r="F19" s="222">
        <v>9244353</v>
      </c>
      <c r="G19" s="222">
        <v>15070678</v>
      </c>
      <c r="H19" s="222">
        <v>22636008</v>
      </c>
      <c r="I19" s="223">
        <v>20682450</v>
      </c>
      <c r="J19" s="223">
        <v>20184373</v>
      </c>
      <c r="K19" s="223">
        <v>14096743</v>
      </c>
      <c r="L19" s="223">
        <v>7776328</v>
      </c>
      <c r="M19" s="223">
        <v>3691303</v>
      </c>
      <c r="N19" s="223">
        <v>2545780</v>
      </c>
      <c r="O19" s="223">
        <v>2095088</v>
      </c>
      <c r="P19" s="223">
        <v>2047777</v>
      </c>
      <c r="Q19" s="223">
        <v>2727612</v>
      </c>
      <c r="R19" s="223">
        <v>4953664</v>
      </c>
      <c r="S19" s="223">
        <v>15823016</v>
      </c>
      <c r="T19" s="223">
        <v>19056609</v>
      </c>
      <c r="U19" s="223">
        <v>19909674</v>
      </c>
      <c r="V19" s="223">
        <v>13011547</v>
      </c>
      <c r="W19" s="223">
        <v>10479005</v>
      </c>
      <c r="X19" s="223">
        <v>7714478</v>
      </c>
      <c r="Y19" s="223">
        <v>3297360</v>
      </c>
      <c r="Z19" s="223">
        <v>1968489</v>
      </c>
      <c r="AA19" s="223">
        <v>2145139</v>
      </c>
      <c r="AB19" s="223">
        <v>1956853</v>
      </c>
      <c r="AC19" s="223">
        <v>3273457</v>
      </c>
      <c r="AD19" s="223">
        <v>4833518</v>
      </c>
      <c r="AE19" s="223">
        <v>15375028</v>
      </c>
      <c r="AF19" s="223">
        <v>19459801</v>
      </c>
      <c r="AG19" s="223">
        <f>'[1]Jan'!$G23</f>
        <v>20140968</v>
      </c>
      <c r="AH19" s="223">
        <f>'[1]Feb'!$G23</f>
        <v>14297044</v>
      </c>
      <c r="AI19" s="223">
        <f>'[1]Mar'!$G23</f>
        <v>12238194</v>
      </c>
      <c r="AJ19" s="223">
        <f>'[1]Apr'!$G23</f>
        <v>5348802</v>
      </c>
      <c r="AK19" s="223">
        <f>'[1]May'!$G23</f>
        <v>3384728</v>
      </c>
      <c r="AL19" s="223">
        <f>'[1]Jun'!$G23</f>
        <v>2765049</v>
      </c>
      <c r="AM19" s="223">
        <f>'[1]Jul'!$G23</f>
        <v>2292583</v>
      </c>
      <c r="AN19" s="223">
        <f>'[1]Aug'!$G23</f>
        <v>2354714</v>
      </c>
      <c r="AO19" s="223">
        <f>'[1]Sep'!G23</f>
        <v>3123052</v>
      </c>
      <c r="AP19" s="223">
        <f>'[1]Oct'!G23</f>
        <v>7137333</v>
      </c>
      <c r="AQ19" s="223">
        <f>'[1]Nov'!G23</f>
        <v>11352396</v>
      </c>
      <c r="AR19" s="223">
        <f>'[1]Dec'!$G23</f>
        <v>24209007</v>
      </c>
    </row>
    <row r="20" spans="1:46" ht="15.75">
      <c r="A20" s="174"/>
      <c r="B20" s="224" t="s">
        <v>49</v>
      </c>
      <c r="C20" s="222">
        <f aca="true" t="shared" si="11" ref="C20:C27">SUM(AG20:AR20)</f>
        <v>152317</v>
      </c>
      <c r="D20" s="222">
        <f>SUM(AE20:AP20)</f>
        <v>108888</v>
      </c>
      <c r="E20" s="222"/>
      <c r="F20" s="222"/>
      <c r="G20" s="222"/>
      <c r="H20" s="222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>
        <v>425</v>
      </c>
      <c r="AE20" s="223">
        <v>3502</v>
      </c>
      <c r="AF20" s="223">
        <v>7942</v>
      </c>
      <c r="AG20" s="223">
        <f>'[1]Jan'!$G24</f>
        <v>17893</v>
      </c>
      <c r="AH20" s="223">
        <f>'[1]Feb'!$G24</f>
        <v>14593</v>
      </c>
      <c r="AI20" s="223">
        <f>'[1]Mar'!$G24</f>
        <v>18603</v>
      </c>
      <c r="AJ20" s="223">
        <f>'[1]Apr'!$G24</f>
        <v>12171</v>
      </c>
      <c r="AK20" s="223">
        <f>'[1]May'!$G24</f>
        <v>5734</v>
      </c>
      <c r="AL20" s="223">
        <f>'[1]Jun'!$G24</f>
        <v>4482</v>
      </c>
      <c r="AM20" s="223">
        <f>'[1]Jul'!$G24</f>
        <v>3610</v>
      </c>
      <c r="AN20" s="223">
        <f>'[1]Aug'!$G24</f>
        <v>2820</v>
      </c>
      <c r="AO20" s="223">
        <f>'[1]Sep'!$G24</f>
        <v>4729</v>
      </c>
      <c r="AP20" s="223">
        <f>'[1]Oct'!$G24</f>
        <v>12809</v>
      </c>
      <c r="AQ20" s="223">
        <f>'[1]Nov'!$G24</f>
        <v>19581</v>
      </c>
      <c r="AR20" s="223">
        <f>'[1]Dec'!$G24</f>
        <v>35292</v>
      </c>
      <c r="AT20" s="70"/>
    </row>
    <row r="21" spans="1:46" ht="15.75">
      <c r="A21" s="174"/>
      <c r="B21" s="170" t="s">
        <v>50</v>
      </c>
      <c r="C21" s="222">
        <f t="shared" si="11"/>
        <v>44559301</v>
      </c>
      <c r="D21" s="222">
        <f aca="true" t="shared" si="12" ref="D21:D27">SUM(AE21:AP21)</f>
        <v>43536107</v>
      </c>
      <c r="E21" s="222">
        <v>1599551</v>
      </c>
      <c r="F21" s="222">
        <v>3880001</v>
      </c>
      <c r="G21" s="222">
        <v>5651303</v>
      </c>
      <c r="H21" s="222">
        <v>7518125</v>
      </c>
      <c r="I21" s="223">
        <v>7025543</v>
      </c>
      <c r="J21" s="223">
        <v>6903553</v>
      </c>
      <c r="K21" s="223">
        <v>5310734</v>
      </c>
      <c r="L21" s="223">
        <v>3390429</v>
      </c>
      <c r="M21" s="223">
        <v>2183609</v>
      </c>
      <c r="N21" s="223">
        <v>1741655</v>
      </c>
      <c r="O21" s="223">
        <v>1476567</v>
      </c>
      <c r="P21" s="223">
        <v>1364087</v>
      </c>
      <c r="Q21" s="223">
        <v>1739755</v>
      </c>
      <c r="R21" s="223">
        <v>2776031</v>
      </c>
      <c r="S21" s="223">
        <v>6141604</v>
      </c>
      <c r="T21" s="223">
        <v>6045485</v>
      </c>
      <c r="U21" s="223">
        <v>6173752</v>
      </c>
      <c r="V21" s="223">
        <v>5630395</v>
      </c>
      <c r="W21" s="223">
        <v>4030672</v>
      </c>
      <c r="X21" s="223">
        <v>3448422</v>
      </c>
      <c r="Y21" s="223">
        <v>1901440</v>
      </c>
      <c r="Z21" s="223">
        <v>1561904</v>
      </c>
      <c r="AA21" s="223">
        <v>1323231</v>
      </c>
      <c r="AB21" s="223">
        <v>1284422</v>
      </c>
      <c r="AC21" s="223">
        <v>1854848</v>
      </c>
      <c r="AD21" s="223">
        <v>2624293</v>
      </c>
      <c r="AE21" s="223">
        <v>5503520</v>
      </c>
      <c r="AF21" s="223">
        <v>6165932</v>
      </c>
      <c r="AG21" s="223">
        <f>'[1]Jan'!$G25</f>
        <v>6568112</v>
      </c>
      <c r="AH21" s="223">
        <f>'[1]Feb'!$G25</f>
        <v>5200734</v>
      </c>
      <c r="AI21" s="223">
        <f>'[1]Mar'!$G25</f>
        <v>4795258</v>
      </c>
      <c r="AJ21" s="223">
        <f>'[1]Apr'!$G25</f>
        <v>2668983</v>
      </c>
      <c r="AK21" s="223">
        <f>'[1]May'!$G25</f>
        <v>2221542</v>
      </c>
      <c r="AL21" s="223">
        <f>'[1]Jun'!$G25</f>
        <v>1675034</v>
      </c>
      <c r="AM21" s="223">
        <f>'[1]Jul'!$G25</f>
        <v>1510014</v>
      </c>
      <c r="AN21" s="223">
        <f>'[1]Aug'!$G25</f>
        <v>1583471</v>
      </c>
      <c r="AO21" s="223">
        <f>'[1]Sep'!$G25</f>
        <v>2056535</v>
      </c>
      <c r="AP21" s="223">
        <f>'[1]Oct'!$G25</f>
        <v>3586972</v>
      </c>
      <c r="AQ21" s="223">
        <f>'[1]Nov'!$G25</f>
        <v>4116109</v>
      </c>
      <c r="AR21" s="223">
        <f>'[1]Dec'!$G25</f>
        <v>8576537</v>
      </c>
      <c r="AT21" s="70"/>
    </row>
    <row r="22" spans="1:46" ht="15.75" hidden="1" outlineLevel="1">
      <c r="A22" s="174"/>
      <c r="B22" s="225" t="s">
        <v>52</v>
      </c>
      <c r="C22" s="222"/>
      <c r="D22" s="222"/>
      <c r="E22" s="222">
        <v>0</v>
      </c>
      <c r="F22" s="222">
        <v>0</v>
      </c>
      <c r="G22" s="222">
        <v>0</v>
      </c>
      <c r="H22" s="222">
        <v>0</v>
      </c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T22" s="70"/>
    </row>
    <row r="23" spans="1:46" ht="15.75" collapsed="1">
      <c r="A23" s="174"/>
      <c r="B23" s="170" t="s">
        <v>54</v>
      </c>
      <c r="C23" s="222">
        <f t="shared" si="11"/>
        <v>3649595</v>
      </c>
      <c r="D23" s="222">
        <f t="shared" si="12"/>
        <v>3973592</v>
      </c>
      <c r="E23" s="222">
        <v>344046</v>
      </c>
      <c r="F23" s="222">
        <v>595792</v>
      </c>
      <c r="G23" s="222">
        <v>396185</v>
      </c>
      <c r="H23" s="222">
        <v>588721</v>
      </c>
      <c r="I23" s="223">
        <v>534459</v>
      </c>
      <c r="J23" s="223">
        <v>540817</v>
      </c>
      <c r="K23" s="223">
        <v>425342</v>
      </c>
      <c r="L23" s="223">
        <v>407197</v>
      </c>
      <c r="M23" s="223">
        <v>340947</v>
      </c>
      <c r="N23" s="223">
        <v>361843</v>
      </c>
      <c r="O23" s="223">
        <v>251184</v>
      </c>
      <c r="P23" s="223">
        <v>332621</v>
      </c>
      <c r="Q23" s="223">
        <v>330926</v>
      </c>
      <c r="R23" s="223">
        <v>483057</v>
      </c>
      <c r="S23" s="223">
        <v>518418</v>
      </c>
      <c r="T23" s="223">
        <v>377457</v>
      </c>
      <c r="U23" s="223">
        <v>513680</v>
      </c>
      <c r="V23" s="223">
        <v>431734</v>
      </c>
      <c r="W23" s="223">
        <v>335852</v>
      </c>
      <c r="X23" s="223">
        <v>432834</v>
      </c>
      <c r="Y23" s="223">
        <v>249954</v>
      </c>
      <c r="Z23" s="223">
        <v>322862</v>
      </c>
      <c r="AA23" s="223">
        <v>247078</v>
      </c>
      <c r="AB23" s="223">
        <v>274690</v>
      </c>
      <c r="AC23" s="223">
        <v>336073</v>
      </c>
      <c r="AD23" s="223">
        <v>365802</v>
      </c>
      <c r="AE23" s="223">
        <v>541377</v>
      </c>
      <c r="AF23" s="223">
        <v>331801</v>
      </c>
      <c r="AG23" s="223">
        <f>'[1]Jan'!$G27</f>
        <v>345863</v>
      </c>
      <c r="AH23" s="223">
        <f>'[1]Feb'!$G27</f>
        <v>408568</v>
      </c>
      <c r="AI23" s="223">
        <f>'[1]Mar'!$G27</f>
        <v>361566</v>
      </c>
      <c r="AJ23" s="223">
        <f>'[1]Apr'!$G27</f>
        <v>227877</v>
      </c>
      <c r="AK23" s="223">
        <f>'[1]May'!$G27</f>
        <v>311290</v>
      </c>
      <c r="AL23" s="223">
        <f>'[1]Jun'!$G27</f>
        <v>225272</v>
      </c>
      <c r="AM23" s="223">
        <f>'[1]Jul'!$G27</f>
        <v>266816</v>
      </c>
      <c r="AN23" s="223">
        <f>'[1]Aug'!$G27</f>
        <v>259403</v>
      </c>
      <c r="AO23" s="223">
        <f>'[1]Sep'!$G27</f>
        <v>291879</v>
      </c>
      <c r="AP23" s="223">
        <f>'[1]Oct'!$G27</f>
        <v>401880</v>
      </c>
      <c r="AQ23" s="223">
        <f>'[1]Nov'!$G27</f>
        <v>314956</v>
      </c>
      <c r="AR23" s="223">
        <f>'[1]Dec'!$G27</f>
        <v>234225</v>
      </c>
      <c r="AT23" s="70"/>
    </row>
    <row r="24" spans="1:46" ht="15.75" hidden="1" outlineLevel="1">
      <c r="A24" s="174"/>
      <c r="B24" s="225" t="s">
        <v>56</v>
      </c>
      <c r="C24" s="222">
        <f t="shared" si="11"/>
        <v>0</v>
      </c>
      <c r="D24" s="222">
        <f t="shared" si="12"/>
        <v>0</v>
      </c>
      <c r="E24" s="222">
        <v>0</v>
      </c>
      <c r="F24" s="222">
        <v>0</v>
      </c>
      <c r="G24" s="222">
        <v>0</v>
      </c>
      <c r="H24" s="222">
        <v>0</v>
      </c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T24" s="70"/>
    </row>
    <row r="25" spans="1:46" ht="15.75" collapsed="1">
      <c r="A25" s="174"/>
      <c r="B25" s="224" t="s">
        <v>60</v>
      </c>
      <c r="C25" s="222">
        <f t="shared" si="11"/>
        <v>0</v>
      </c>
      <c r="D25" s="222">
        <f t="shared" si="12"/>
        <v>0</v>
      </c>
      <c r="E25" s="222">
        <v>0</v>
      </c>
      <c r="F25" s="222">
        <v>0</v>
      </c>
      <c r="G25" s="222">
        <v>0</v>
      </c>
      <c r="H25" s="222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0</v>
      </c>
      <c r="T25" s="223">
        <v>0</v>
      </c>
      <c r="U25" s="223">
        <v>0</v>
      </c>
      <c r="V25" s="223">
        <v>0</v>
      </c>
      <c r="W25" s="223">
        <v>0</v>
      </c>
      <c r="X25" s="223">
        <v>0</v>
      </c>
      <c r="Y25" s="223">
        <v>0</v>
      </c>
      <c r="Z25" s="223">
        <v>0</v>
      </c>
      <c r="AA25" s="223">
        <v>0</v>
      </c>
      <c r="AB25" s="223">
        <v>0</v>
      </c>
      <c r="AC25" s="223">
        <v>0</v>
      </c>
      <c r="AD25" s="223">
        <v>0</v>
      </c>
      <c r="AE25" s="223">
        <v>0</v>
      </c>
      <c r="AF25" s="223">
        <v>0</v>
      </c>
      <c r="AG25" s="223">
        <f>'[1]Jan'!$G29</f>
        <v>0</v>
      </c>
      <c r="AH25" s="223">
        <f>'[1]Feb'!$G29</f>
        <v>0</v>
      </c>
      <c r="AI25" s="223">
        <f>'[1]Mar'!$G29</f>
        <v>0</v>
      </c>
      <c r="AJ25" s="223">
        <f>'[1]Apr'!$G29</f>
        <v>0</v>
      </c>
      <c r="AK25" s="223">
        <f>'[1]May'!$G29</f>
        <v>0</v>
      </c>
      <c r="AL25" s="223">
        <f>'[1]Jun'!$G29</f>
        <v>0</v>
      </c>
      <c r="AM25" s="223">
        <f>'[1]Jul'!$G29</f>
        <v>0</v>
      </c>
      <c r="AN25" s="223">
        <f>'[1]Aug'!$G29</f>
        <v>0</v>
      </c>
      <c r="AO25" s="223">
        <f>'[1]Sep'!$G29</f>
        <v>0</v>
      </c>
      <c r="AP25" s="223">
        <f>'[1]Oct'!$G29</f>
        <v>0</v>
      </c>
      <c r="AQ25" s="223">
        <f>'[1]Nov'!$G29</f>
        <v>0</v>
      </c>
      <c r="AR25" s="223">
        <f>'[1]Dec'!$G29</f>
        <v>0</v>
      </c>
      <c r="AT25" s="70"/>
    </row>
    <row r="26" spans="1:46" ht="15.75" hidden="1" outlineLevel="1">
      <c r="A26" s="174"/>
      <c r="B26" s="225" t="s">
        <v>62</v>
      </c>
      <c r="C26" s="222">
        <f t="shared" si="11"/>
        <v>0</v>
      </c>
      <c r="D26" s="222">
        <f t="shared" si="12"/>
        <v>0</v>
      </c>
      <c r="E26" s="222">
        <v>0</v>
      </c>
      <c r="F26" s="222">
        <v>0</v>
      </c>
      <c r="G26" s="222">
        <v>0</v>
      </c>
      <c r="H26" s="222">
        <v>0</v>
      </c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T26" s="70"/>
    </row>
    <row r="27" spans="1:46" ht="15.75" collapsed="1">
      <c r="A27" s="174"/>
      <c r="B27" s="170" t="s">
        <v>64</v>
      </c>
      <c r="C27" s="222">
        <f t="shared" si="11"/>
        <v>30914600</v>
      </c>
      <c r="D27" s="222">
        <f t="shared" si="12"/>
        <v>30699358</v>
      </c>
      <c r="E27" s="222">
        <v>1818699</v>
      </c>
      <c r="F27" s="222">
        <v>2531895</v>
      </c>
      <c r="G27" s="222">
        <v>2936207</v>
      </c>
      <c r="H27" s="222">
        <v>3675604</v>
      </c>
      <c r="I27" s="223">
        <v>3517013</v>
      </c>
      <c r="J27" s="223">
        <v>3103551</v>
      </c>
      <c r="K27" s="223">
        <v>2882510</v>
      </c>
      <c r="L27" s="223">
        <v>2426511</v>
      </c>
      <c r="M27" s="223">
        <v>2096539</v>
      </c>
      <c r="N27" s="223">
        <v>1865473</v>
      </c>
      <c r="O27" s="223">
        <v>1934510</v>
      </c>
      <c r="P27" s="223">
        <v>1781233</v>
      </c>
      <c r="Q27" s="223">
        <v>1975142</v>
      </c>
      <c r="R27" s="223">
        <v>2307678</v>
      </c>
      <c r="S27" s="223">
        <v>3052956</v>
      </c>
      <c r="T27" s="223">
        <v>3180451</v>
      </c>
      <c r="U27" s="223">
        <v>3286166</v>
      </c>
      <c r="V27" s="223">
        <v>2735718</v>
      </c>
      <c r="W27" s="223">
        <v>2608561</v>
      </c>
      <c r="X27" s="223">
        <v>2436951</v>
      </c>
      <c r="Y27" s="223">
        <v>2203136</v>
      </c>
      <c r="Z27" s="223">
        <v>1941783</v>
      </c>
      <c r="AA27" s="223">
        <v>1912819</v>
      </c>
      <c r="AB27" s="223">
        <v>1943542</v>
      </c>
      <c r="AC27" s="223">
        <v>1945064</v>
      </c>
      <c r="AD27" s="223">
        <v>2201297</v>
      </c>
      <c r="AE27" s="223">
        <v>3020174</v>
      </c>
      <c r="AF27" s="223">
        <v>3321068</v>
      </c>
      <c r="AG27" s="223">
        <f>'[1]Jan'!$G31</f>
        <v>3346687</v>
      </c>
      <c r="AH27" s="223">
        <f>'[1]Feb'!$G31</f>
        <v>2956295</v>
      </c>
      <c r="AI27" s="223">
        <f>'[1]Mar'!$G31</f>
        <v>2822744</v>
      </c>
      <c r="AJ27" s="223">
        <f>'[1]Apr'!$G31</f>
        <v>2379815</v>
      </c>
      <c r="AK27" s="223">
        <f>'[1]May'!$G31</f>
        <v>2359261</v>
      </c>
      <c r="AL27" s="223">
        <f>'[1]Jun'!$G31</f>
        <v>2149880</v>
      </c>
      <c r="AM27" s="223">
        <f>'[1]Jul'!$G31</f>
        <v>1956378</v>
      </c>
      <c r="AN27" s="223">
        <f>'[1]Aug'!$G31</f>
        <v>1966117</v>
      </c>
      <c r="AO27" s="223">
        <f>'[1]Sep'!$G31</f>
        <v>1915306</v>
      </c>
      <c r="AP27" s="223">
        <f>'[1]Oct'!$G31</f>
        <v>2505633</v>
      </c>
      <c r="AQ27" s="223">
        <f>'[1]Nov'!$G31</f>
        <v>2750386</v>
      </c>
      <c r="AR27" s="223">
        <f>'[1]Dec'!$G31</f>
        <v>3806098</v>
      </c>
      <c r="AT27" s="70"/>
    </row>
    <row r="28" spans="1:46" ht="16.5" thickBot="1">
      <c r="A28" s="174"/>
      <c r="B28" s="170" t="s">
        <v>149</v>
      </c>
      <c r="C28" s="222">
        <f>SUM(AG28:AR28)</f>
        <v>187919683</v>
      </c>
      <c r="D28" s="226">
        <f>SUM(S28:AD28)</f>
        <v>179344916</v>
      </c>
      <c r="E28" s="226">
        <f>SUM(E19:E27)</f>
        <v>6409834</v>
      </c>
      <c r="F28" s="226">
        <f>SUM(F19:F27)</f>
        <v>16252041</v>
      </c>
      <c r="G28" s="226">
        <f>SUM(G19:G27)</f>
        <v>24054373</v>
      </c>
      <c r="H28" s="226">
        <f>SUM(H19:H27)</f>
        <v>34418458</v>
      </c>
      <c r="I28" s="226">
        <v>31759465</v>
      </c>
      <c r="J28" s="226">
        <v>30732294</v>
      </c>
      <c r="K28" s="226">
        <v>22715329</v>
      </c>
      <c r="L28" s="226">
        <v>14000465</v>
      </c>
      <c r="M28" s="226">
        <v>8312398</v>
      </c>
      <c r="N28" s="226">
        <v>6514751</v>
      </c>
      <c r="O28" s="226">
        <v>5757349</v>
      </c>
      <c r="P28" s="226">
        <v>5525718</v>
      </c>
      <c r="Q28" s="226">
        <v>6773435</v>
      </c>
      <c r="R28" s="226">
        <v>10520430</v>
      </c>
      <c r="S28" s="226">
        <v>25535994</v>
      </c>
      <c r="T28" s="226">
        <v>28660002</v>
      </c>
      <c r="U28" s="226">
        <v>29883272</v>
      </c>
      <c r="V28" s="226">
        <f aca="true" t="shared" si="13" ref="V28:AR28">SUM(V19:V27)</f>
        <v>21809394</v>
      </c>
      <c r="W28" s="226">
        <f t="shared" si="13"/>
        <v>17454090</v>
      </c>
      <c r="X28" s="226">
        <f t="shared" si="13"/>
        <v>14032685</v>
      </c>
      <c r="Y28" s="226">
        <f t="shared" si="13"/>
        <v>7651890</v>
      </c>
      <c r="Z28" s="226">
        <f t="shared" si="13"/>
        <v>5795038</v>
      </c>
      <c r="AA28" s="226">
        <f t="shared" si="13"/>
        <v>5628267</v>
      </c>
      <c r="AB28" s="226">
        <f t="shared" si="13"/>
        <v>5459507</v>
      </c>
      <c r="AC28" s="226">
        <f t="shared" si="13"/>
        <v>7409442</v>
      </c>
      <c r="AD28" s="226">
        <f t="shared" si="13"/>
        <v>10025335</v>
      </c>
      <c r="AE28" s="226">
        <f t="shared" si="13"/>
        <v>24443601</v>
      </c>
      <c r="AF28" s="226">
        <f t="shared" si="13"/>
        <v>29286544</v>
      </c>
      <c r="AG28" s="226">
        <f>SUM(AG19:AG27)</f>
        <v>30419523</v>
      </c>
      <c r="AH28" s="226">
        <f t="shared" si="13"/>
        <v>22877234</v>
      </c>
      <c r="AI28" s="226">
        <f t="shared" si="13"/>
        <v>20236365</v>
      </c>
      <c r="AJ28" s="226">
        <f t="shared" si="13"/>
        <v>10637648</v>
      </c>
      <c r="AK28" s="226">
        <f t="shared" si="13"/>
        <v>8282555</v>
      </c>
      <c r="AL28" s="226">
        <f>SUM(AL19:AL27)</f>
        <v>6819717</v>
      </c>
      <c r="AM28" s="226">
        <f>SUM(AM19:AM27)</f>
        <v>6029401</v>
      </c>
      <c r="AN28" s="226">
        <f t="shared" si="13"/>
        <v>6166525</v>
      </c>
      <c r="AO28" s="226">
        <f>SUM(AO19:AO27)</f>
        <v>7391501</v>
      </c>
      <c r="AP28" s="226">
        <f t="shared" si="13"/>
        <v>13644627</v>
      </c>
      <c r="AQ28" s="226">
        <f t="shared" si="13"/>
        <v>18553428</v>
      </c>
      <c r="AR28" s="226">
        <f t="shared" si="13"/>
        <v>36861159</v>
      </c>
      <c r="AT28" s="70"/>
    </row>
    <row r="29" spans="1:45" ht="16.5" thickTop="1">
      <c r="A29" s="174"/>
      <c r="B29" s="170" t="s">
        <v>150</v>
      </c>
      <c r="C29" s="222">
        <f>SUM(AG29:AR29)</f>
        <v>187919683</v>
      </c>
      <c r="D29" s="222">
        <f>SUM(S29:AD29)</f>
        <v>179344916</v>
      </c>
      <c r="E29" s="222">
        <v>6409834</v>
      </c>
      <c r="F29" s="222">
        <v>16252041</v>
      </c>
      <c r="G29" s="222">
        <v>24054373</v>
      </c>
      <c r="H29" s="222">
        <v>34418458</v>
      </c>
      <c r="I29" s="222">
        <v>31759465</v>
      </c>
      <c r="J29" s="222">
        <v>30732294</v>
      </c>
      <c r="K29" s="222">
        <v>22715329</v>
      </c>
      <c r="L29" s="222">
        <v>14000465</v>
      </c>
      <c r="M29" s="222">
        <v>8312398</v>
      </c>
      <c r="N29" s="222">
        <v>6514751</v>
      </c>
      <c r="O29" s="222">
        <v>5757349</v>
      </c>
      <c r="P29" s="222">
        <v>5525718</v>
      </c>
      <c r="Q29" s="222">
        <v>6773435</v>
      </c>
      <c r="R29" s="222">
        <v>10520430</v>
      </c>
      <c r="S29" s="222">
        <v>25535994</v>
      </c>
      <c r="T29" s="222">
        <v>28660002</v>
      </c>
      <c r="U29" s="222">
        <v>29883272</v>
      </c>
      <c r="V29" s="222">
        <v>21809394</v>
      </c>
      <c r="W29" s="222">
        <v>17454090</v>
      </c>
      <c r="X29" s="222">
        <v>14032685</v>
      </c>
      <c r="Y29" s="222">
        <v>7651890</v>
      </c>
      <c r="Z29" s="222">
        <v>5795038</v>
      </c>
      <c r="AA29" s="222">
        <v>5628267</v>
      </c>
      <c r="AB29" s="227">
        <v>5459507</v>
      </c>
      <c r="AC29" s="222">
        <v>7409442</v>
      </c>
      <c r="AD29" s="222">
        <v>10025335</v>
      </c>
      <c r="AE29" s="222">
        <v>24443601</v>
      </c>
      <c r="AF29" s="222">
        <v>29286544</v>
      </c>
      <c r="AG29" s="222">
        <v>30419523</v>
      </c>
      <c r="AH29" s="222">
        <v>22877234</v>
      </c>
      <c r="AI29" s="222">
        <v>20236365</v>
      </c>
      <c r="AJ29" s="222">
        <v>10637648</v>
      </c>
      <c r="AK29" s="222">
        <v>8282555</v>
      </c>
      <c r="AL29" s="222">
        <v>6819717</v>
      </c>
      <c r="AM29" s="222">
        <v>6029401</v>
      </c>
      <c r="AN29" s="227">
        <v>6166525</v>
      </c>
      <c r="AO29" s="222">
        <v>7391501</v>
      </c>
      <c r="AP29" s="222">
        <v>13644627</v>
      </c>
      <c r="AQ29" s="222">
        <v>18553428</v>
      </c>
      <c r="AR29" s="222">
        <v>36861159</v>
      </c>
      <c r="AS29" s="228"/>
    </row>
    <row r="30" spans="1:44" ht="15.75">
      <c r="A30" s="174" t="s">
        <v>151</v>
      </c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</row>
    <row r="31" spans="1:44" ht="15.75">
      <c r="A31" s="175">
        <v>191000</v>
      </c>
      <c r="B31" s="176" t="s">
        <v>124</v>
      </c>
      <c r="E31" s="175">
        <v>201309</v>
      </c>
      <c r="F31" s="175">
        <f>E31+1</f>
        <v>201310</v>
      </c>
      <c r="G31" s="175">
        <f>F31+1</f>
        <v>201311</v>
      </c>
      <c r="H31" s="175">
        <f>G31+1</f>
        <v>201312</v>
      </c>
      <c r="I31" s="175">
        <v>201401</v>
      </c>
      <c r="J31" s="175">
        <v>201402</v>
      </c>
      <c r="K31" s="175">
        <v>201403</v>
      </c>
      <c r="L31" s="175">
        <v>201404</v>
      </c>
      <c r="M31" s="175">
        <v>201405</v>
      </c>
      <c r="N31" s="175">
        <v>201406</v>
      </c>
      <c r="O31" s="175">
        <v>201407</v>
      </c>
      <c r="P31" s="175">
        <v>201408</v>
      </c>
      <c r="Q31" s="175">
        <v>201409</v>
      </c>
      <c r="R31" s="175">
        <v>201410</v>
      </c>
      <c r="S31" s="175">
        <v>201411</v>
      </c>
      <c r="T31" s="175">
        <v>201412</v>
      </c>
      <c r="U31" s="175">
        <v>201501</v>
      </c>
      <c r="V31" s="175">
        <f aca="true" t="shared" si="14" ref="V31:AD31">U31+1</f>
        <v>201502</v>
      </c>
      <c r="W31" s="175">
        <f t="shared" si="14"/>
        <v>201503</v>
      </c>
      <c r="X31" s="175">
        <f t="shared" si="14"/>
        <v>201504</v>
      </c>
      <c r="Y31" s="175">
        <f t="shared" si="14"/>
        <v>201505</v>
      </c>
      <c r="Z31" s="175">
        <f t="shared" si="14"/>
        <v>201506</v>
      </c>
      <c r="AA31" s="175">
        <f t="shared" si="14"/>
        <v>201507</v>
      </c>
      <c r="AB31" s="175">
        <f t="shared" si="14"/>
        <v>201508</v>
      </c>
      <c r="AC31" s="175">
        <f t="shared" si="14"/>
        <v>201509</v>
      </c>
      <c r="AD31" s="175">
        <f t="shared" si="14"/>
        <v>201510</v>
      </c>
      <c r="AE31" s="175">
        <f>AD31+1</f>
        <v>201511</v>
      </c>
      <c r="AF31" s="175">
        <f>AE31+1</f>
        <v>201512</v>
      </c>
      <c r="AG31" s="175">
        <v>201601</v>
      </c>
      <c r="AH31" s="175">
        <f>AG31+1</f>
        <v>201602</v>
      </c>
      <c r="AI31" s="175">
        <f aca="true" t="shared" si="15" ref="AI31:AR31">AH31+1</f>
        <v>201603</v>
      </c>
      <c r="AJ31" s="175">
        <f t="shared" si="15"/>
        <v>201604</v>
      </c>
      <c r="AK31" s="175">
        <f t="shared" si="15"/>
        <v>201605</v>
      </c>
      <c r="AL31" s="175">
        <f t="shared" si="15"/>
        <v>201606</v>
      </c>
      <c r="AM31" s="175">
        <f t="shared" si="15"/>
        <v>201607</v>
      </c>
      <c r="AN31" s="175">
        <f t="shared" si="15"/>
        <v>201608</v>
      </c>
      <c r="AO31" s="175">
        <f t="shared" si="15"/>
        <v>201609</v>
      </c>
      <c r="AP31" s="175">
        <f t="shared" si="15"/>
        <v>201610</v>
      </c>
      <c r="AQ31" s="175">
        <f t="shared" si="15"/>
        <v>201611</v>
      </c>
      <c r="AR31" s="175">
        <f t="shared" si="15"/>
        <v>201612</v>
      </c>
    </row>
    <row r="32" spans="1:44" ht="15.75">
      <c r="A32" s="174"/>
      <c r="B32" s="170" t="s">
        <v>46</v>
      </c>
      <c r="E32" s="229">
        <v>0.03395</v>
      </c>
      <c r="F32" s="229">
        <v>0.03395</v>
      </c>
      <c r="G32" s="230" t="s">
        <v>152</v>
      </c>
      <c r="H32" s="230" t="s">
        <v>152</v>
      </c>
      <c r="I32" s="229">
        <v>-0.00293</v>
      </c>
      <c r="J32" s="229">
        <v>-0.00293</v>
      </c>
      <c r="K32" s="229">
        <v>-0.00293</v>
      </c>
      <c r="L32" s="229">
        <v>-0.00293</v>
      </c>
      <c r="M32" s="229">
        <v>-0.00293</v>
      </c>
      <c r="N32" s="229">
        <v>-0.00293</v>
      </c>
      <c r="O32" s="229">
        <v>-0.00293</v>
      </c>
      <c r="P32" s="229">
        <v>-0.00293</v>
      </c>
      <c r="Q32" s="229">
        <v>-0.00293</v>
      </c>
      <c r="R32" s="229">
        <v>-0.00293</v>
      </c>
      <c r="S32" s="230" t="s">
        <v>152</v>
      </c>
      <c r="T32" s="230" t="s">
        <v>152</v>
      </c>
      <c r="U32" s="229">
        <v>0.01436</v>
      </c>
      <c r="V32" s="229">
        <v>0.01436</v>
      </c>
      <c r="W32" s="229">
        <v>0.01436</v>
      </c>
      <c r="X32" s="229">
        <v>0.01436</v>
      </c>
      <c r="Y32" s="229">
        <v>0.01436</v>
      </c>
      <c r="Z32" s="229">
        <v>0.01436</v>
      </c>
      <c r="AA32" s="229">
        <v>0.01436</v>
      </c>
      <c r="AB32" s="229">
        <v>0.01436</v>
      </c>
      <c r="AC32" s="229">
        <v>0.01436</v>
      </c>
      <c r="AD32" s="229">
        <v>0.01436</v>
      </c>
      <c r="AE32" s="230" t="s">
        <v>153</v>
      </c>
      <c r="AF32" s="230" t="s">
        <v>153</v>
      </c>
      <c r="AG32" s="230">
        <v>0.02571</v>
      </c>
      <c r="AH32" s="230">
        <v>0.02571</v>
      </c>
      <c r="AI32" s="230">
        <v>0.02571</v>
      </c>
      <c r="AJ32" s="230">
        <v>0.02571</v>
      </c>
      <c r="AK32" s="230">
        <v>0.02571</v>
      </c>
      <c r="AL32" s="230">
        <v>0.02571</v>
      </c>
      <c r="AM32" s="230">
        <v>0.02571</v>
      </c>
      <c r="AN32" s="230">
        <v>0.02571</v>
      </c>
      <c r="AO32" s="230">
        <v>0.02571</v>
      </c>
      <c r="AP32" s="230">
        <v>0.02571</v>
      </c>
      <c r="AQ32" s="230" t="s">
        <v>153</v>
      </c>
      <c r="AR32" s="230" t="s">
        <v>153</v>
      </c>
    </row>
    <row r="33" spans="1:44" ht="15.75">
      <c r="A33" s="174"/>
      <c r="B33" s="170" t="s">
        <v>49</v>
      </c>
      <c r="E33" s="229"/>
      <c r="F33" s="229"/>
      <c r="G33" s="230"/>
      <c r="H33" s="230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30"/>
      <c r="T33" s="230"/>
      <c r="U33" s="229"/>
      <c r="V33" s="229"/>
      <c r="W33" s="229"/>
      <c r="X33" s="229"/>
      <c r="Y33" s="229"/>
      <c r="Z33" s="229"/>
      <c r="AA33" s="229"/>
      <c r="AB33" s="229"/>
      <c r="AC33" s="229"/>
      <c r="AD33" s="231">
        <v>0.01436</v>
      </c>
      <c r="AE33" s="230" t="s">
        <v>153</v>
      </c>
      <c r="AF33" s="230" t="s">
        <v>153</v>
      </c>
      <c r="AG33" s="230">
        <v>0.02571</v>
      </c>
      <c r="AH33" s="230">
        <v>0.02571</v>
      </c>
      <c r="AI33" s="230">
        <v>0.02571</v>
      </c>
      <c r="AJ33" s="230">
        <v>0.02571</v>
      </c>
      <c r="AK33" s="230">
        <v>0.02571</v>
      </c>
      <c r="AL33" s="230">
        <v>0.02571</v>
      </c>
      <c r="AM33" s="230">
        <v>0.02571</v>
      </c>
      <c r="AN33" s="230">
        <v>0.02571</v>
      </c>
      <c r="AO33" s="230">
        <v>0.02571</v>
      </c>
      <c r="AP33" s="230">
        <v>0.02571</v>
      </c>
      <c r="AQ33" s="230" t="s">
        <v>153</v>
      </c>
      <c r="AR33" s="230" t="s">
        <v>153</v>
      </c>
    </row>
    <row r="34" spans="1:44" ht="15.75">
      <c r="A34" s="174"/>
      <c r="B34" s="170" t="s">
        <v>50</v>
      </c>
      <c r="E34" s="229">
        <v>0.0306</v>
      </c>
      <c r="F34" s="229">
        <v>0.0306</v>
      </c>
      <c r="G34" s="230" t="s">
        <v>152</v>
      </c>
      <c r="H34" s="230" t="s">
        <v>152</v>
      </c>
      <c r="I34" s="229">
        <v>-0.00556</v>
      </c>
      <c r="J34" s="229">
        <v>-0.00556</v>
      </c>
      <c r="K34" s="229">
        <v>-0.00556</v>
      </c>
      <c r="L34" s="229">
        <v>-0.00556</v>
      </c>
      <c r="M34" s="229">
        <v>-0.00556</v>
      </c>
      <c r="N34" s="229">
        <v>-0.00556</v>
      </c>
      <c r="O34" s="229">
        <v>-0.00556</v>
      </c>
      <c r="P34" s="229">
        <v>-0.00556</v>
      </c>
      <c r="Q34" s="229">
        <v>-0.00556</v>
      </c>
      <c r="R34" s="229">
        <v>-0.00556</v>
      </c>
      <c r="S34" s="230" t="s">
        <v>152</v>
      </c>
      <c r="T34" s="230" t="s">
        <v>152</v>
      </c>
      <c r="U34" s="229">
        <v>0.00808</v>
      </c>
      <c r="V34" s="229">
        <v>0.00808</v>
      </c>
      <c r="W34" s="229">
        <v>0.00808</v>
      </c>
      <c r="X34" s="229">
        <v>0.00808</v>
      </c>
      <c r="Y34" s="229">
        <v>0.00808</v>
      </c>
      <c r="Z34" s="229">
        <v>0.00808</v>
      </c>
      <c r="AA34" s="229">
        <v>0.00808</v>
      </c>
      <c r="AB34" s="229">
        <v>0.00808</v>
      </c>
      <c r="AC34" s="229">
        <v>0.00808</v>
      </c>
      <c r="AD34" s="229">
        <v>0.00808</v>
      </c>
      <c r="AE34" s="230" t="s">
        <v>153</v>
      </c>
      <c r="AF34" s="230" t="s">
        <v>153</v>
      </c>
      <c r="AG34" s="230">
        <v>0.01372</v>
      </c>
      <c r="AH34" s="230">
        <v>0.01372</v>
      </c>
      <c r="AI34" s="230">
        <v>0.01372</v>
      </c>
      <c r="AJ34" s="230">
        <v>0.01372</v>
      </c>
      <c r="AK34" s="230">
        <v>0.01372</v>
      </c>
      <c r="AL34" s="230">
        <v>0.01372</v>
      </c>
      <c r="AM34" s="230">
        <v>0.01372</v>
      </c>
      <c r="AN34" s="230">
        <v>0.01372</v>
      </c>
      <c r="AO34" s="230">
        <v>0.01372</v>
      </c>
      <c r="AP34" s="230">
        <v>0.01372</v>
      </c>
      <c r="AQ34" s="230" t="s">
        <v>153</v>
      </c>
      <c r="AR34" s="230" t="s">
        <v>153</v>
      </c>
    </row>
    <row r="35" spans="1:44" ht="15.75" hidden="1" outlineLevel="1">
      <c r="A35" s="174"/>
      <c r="B35" s="225" t="s">
        <v>52</v>
      </c>
      <c r="E35" s="229"/>
      <c r="F35" s="229"/>
      <c r="G35" s="230" t="s">
        <v>152</v>
      </c>
      <c r="H35" s="230" t="s">
        <v>152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30" t="s">
        <v>152</v>
      </c>
      <c r="T35" s="230" t="s">
        <v>152</v>
      </c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30" t="s">
        <v>152</v>
      </c>
      <c r="AF35" s="230" t="s">
        <v>152</v>
      </c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</row>
    <row r="36" spans="1:44" ht="15.75" collapsed="1">
      <c r="A36" s="174"/>
      <c r="B36" s="170" t="s">
        <v>54</v>
      </c>
      <c r="E36" s="229">
        <v>0.02998</v>
      </c>
      <c r="F36" s="229">
        <v>0.02998</v>
      </c>
      <c r="G36" s="230" t="s">
        <v>152</v>
      </c>
      <c r="H36" s="230" t="s">
        <v>152</v>
      </c>
      <c r="I36" s="229">
        <v>-0.01582</v>
      </c>
      <c r="J36" s="229">
        <v>-0.01582</v>
      </c>
      <c r="K36" s="229">
        <v>-0.01582</v>
      </c>
      <c r="L36" s="229">
        <v>-0.01582</v>
      </c>
      <c r="M36" s="229">
        <v>-0.01582</v>
      </c>
      <c r="N36" s="229">
        <v>-0.01582</v>
      </c>
      <c r="O36" s="229">
        <v>-0.01582</v>
      </c>
      <c r="P36" s="229">
        <v>-0.01582</v>
      </c>
      <c r="Q36" s="229">
        <v>-0.01582</v>
      </c>
      <c r="R36" s="229">
        <v>-0.01582</v>
      </c>
      <c r="S36" s="230" t="s">
        <v>152</v>
      </c>
      <c r="T36" s="230" t="s">
        <v>152</v>
      </c>
      <c r="U36" s="229">
        <v>-0.01036</v>
      </c>
      <c r="V36" s="229">
        <v>-0.01036</v>
      </c>
      <c r="W36" s="229">
        <v>-0.01036</v>
      </c>
      <c r="X36" s="229">
        <v>-0.01036</v>
      </c>
      <c r="Y36" s="229">
        <v>-0.01036</v>
      </c>
      <c r="Z36" s="229">
        <v>-0.01036</v>
      </c>
      <c r="AA36" s="229">
        <v>-0.01036</v>
      </c>
      <c r="AB36" s="229">
        <v>-0.01036</v>
      </c>
      <c r="AC36" s="229">
        <v>-0.01036</v>
      </c>
      <c r="AD36" s="229">
        <v>-0.01036</v>
      </c>
      <c r="AE36" s="230" t="s">
        <v>153</v>
      </c>
      <c r="AF36" s="230" t="s">
        <v>153</v>
      </c>
      <c r="AG36" s="230">
        <v>-0.00529</v>
      </c>
      <c r="AH36" s="230">
        <v>-0.00529</v>
      </c>
      <c r="AI36" s="230">
        <v>-0.00529</v>
      </c>
      <c r="AJ36" s="230">
        <v>-0.00529</v>
      </c>
      <c r="AK36" s="230">
        <v>-0.00529</v>
      </c>
      <c r="AL36" s="230">
        <v>-0.00529</v>
      </c>
      <c r="AM36" s="230">
        <v>-0.00529</v>
      </c>
      <c r="AN36" s="230">
        <v>-0.00529</v>
      </c>
      <c r="AO36" s="230">
        <v>-0.00529</v>
      </c>
      <c r="AP36" s="230">
        <v>-0.00529</v>
      </c>
      <c r="AQ36" s="230" t="s">
        <v>153</v>
      </c>
      <c r="AR36" s="230" t="s">
        <v>153</v>
      </c>
    </row>
    <row r="37" spans="1:44" ht="15.75" hidden="1" outlineLevel="1">
      <c r="A37" s="174"/>
      <c r="B37" s="225" t="s">
        <v>56</v>
      </c>
      <c r="E37" s="229"/>
      <c r="F37" s="229"/>
      <c r="G37" s="230" t="s">
        <v>152</v>
      </c>
      <c r="H37" s="230" t="s">
        <v>152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30" t="s">
        <v>152</v>
      </c>
      <c r="T37" s="230" t="s">
        <v>152</v>
      </c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30" t="s">
        <v>152</v>
      </c>
      <c r="AF37" s="230" t="s">
        <v>152</v>
      </c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</row>
    <row r="38" spans="1:44" ht="16.5" collapsed="1" thickBot="1">
      <c r="A38" s="174"/>
      <c r="B38" s="170" t="s">
        <v>60</v>
      </c>
      <c r="E38" s="229">
        <v>0.05739</v>
      </c>
      <c r="F38" s="229">
        <v>0.05739</v>
      </c>
      <c r="G38" s="230" t="s">
        <v>152</v>
      </c>
      <c r="H38" s="230" t="s">
        <v>152</v>
      </c>
      <c r="I38" s="229">
        <v>0.0305</v>
      </c>
      <c r="J38" s="229">
        <v>0.0305</v>
      </c>
      <c r="K38" s="229">
        <v>0.0305</v>
      </c>
      <c r="L38" s="229">
        <v>0.0305</v>
      </c>
      <c r="M38" s="229">
        <v>0.0305</v>
      </c>
      <c r="N38" s="229">
        <v>0.0305</v>
      </c>
      <c r="O38" s="229">
        <v>0.0305</v>
      </c>
      <c r="P38" s="229">
        <v>0.0305</v>
      </c>
      <c r="Q38" s="229">
        <v>0.0305</v>
      </c>
      <c r="R38" s="229">
        <v>0.0305</v>
      </c>
      <c r="S38" s="230" t="s">
        <v>152</v>
      </c>
      <c r="T38" s="230" t="s">
        <v>152</v>
      </c>
      <c r="U38" s="229">
        <v>-0.02331</v>
      </c>
      <c r="V38" s="229">
        <v>-0.02331</v>
      </c>
      <c r="W38" s="229">
        <v>-0.02331</v>
      </c>
      <c r="X38" s="229">
        <v>-0.02331</v>
      </c>
      <c r="Y38" s="229">
        <v>-0.02331</v>
      </c>
      <c r="Z38" s="229">
        <v>-0.02331</v>
      </c>
      <c r="AA38" s="229">
        <v>-0.02331</v>
      </c>
      <c r="AB38" s="229">
        <v>-0.02331</v>
      </c>
      <c r="AC38" s="229">
        <v>-0.02331</v>
      </c>
      <c r="AD38" s="229">
        <v>-0.02331</v>
      </c>
      <c r="AE38" s="230" t="s">
        <v>153</v>
      </c>
      <c r="AF38" s="230" t="s">
        <v>153</v>
      </c>
      <c r="AG38" s="230">
        <v>0.01635</v>
      </c>
      <c r="AH38" s="230">
        <v>0.01635</v>
      </c>
      <c r="AI38" s="230">
        <v>0.01635</v>
      </c>
      <c r="AJ38" s="230">
        <v>0.01635</v>
      </c>
      <c r="AK38" s="230">
        <v>0.01635</v>
      </c>
      <c r="AL38" s="230">
        <v>0.01635</v>
      </c>
      <c r="AM38" s="230">
        <v>0.01635</v>
      </c>
      <c r="AN38" s="230">
        <v>0.01635</v>
      </c>
      <c r="AO38" s="230">
        <v>0.01635</v>
      </c>
      <c r="AP38" s="230">
        <v>0.01635</v>
      </c>
      <c r="AQ38" s="230" t="s">
        <v>153</v>
      </c>
      <c r="AR38" s="230" t="s">
        <v>153</v>
      </c>
    </row>
    <row r="39" spans="1:51" ht="16.5" hidden="1" outlineLevel="1" thickBot="1">
      <c r="A39" s="174"/>
      <c r="B39" s="225" t="s">
        <v>62</v>
      </c>
      <c r="E39" s="229"/>
      <c r="F39" s="229"/>
      <c r="G39" s="230" t="s">
        <v>152</v>
      </c>
      <c r="H39" s="230" t="s">
        <v>152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30" t="s">
        <v>152</v>
      </c>
      <c r="T39" s="230" t="s">
        <v>152</v>
      </c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30" t="s">
        <v>152</v>
      </c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T39" s="174"/>
      <c r="AU39" s="175"/>
      <c r="AV39" s="174"/>
      <c r="AW39" s="174"/>
      <c r="AX39" s="174"/>
      <c r="AY39" s="174"/>
    </row>
    <row r="40" spans="1:51" ht="16.5" collapsed="1" thickBot="1">
      <c r="A40" s="174"/>
      <c r="B40" s="170" t="s">
        <v>64</v>
      </c>
      <c r="E40" s="229">
        <v>0</v>
      </c>
      <c r="F40" s="229">
        <v>0</v>
      </c>
      <c r="G40" s="230" t="s">
        <v>152</v>
      </c>
      <c r="H40" s="230" t="s">
        <v>152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0</v>
      </c>
      <c r="S40" s="230" t="s">
        <v>152</v>
      </c>
      <c r="T40" s="230" t="s">
        <v>152</v>
      </c>
      <c r="U40" s="229">
        <v>0</v>
      </c>
      <c r="V40" s="229">
        <v>0</v>
      </c>
      <c r="W40" s="229">
        <v>0</v>
      </c>
      <c r="X40" s="229">
        <v>0</v>
      </c>
      <c r="Y40" s="229">
        <v>0</v>
      </c>
      <c r="Z40" s="229">
        <v>0</v>
      </c>
      <c r="AA40" s="229">
        <v>0</v>
      </c>
      <c r="AB40" s="229">
        <v>0</v>
      </c>
      <c r="AC40" s="229">
        <v>0</v>
      </c>
      <c r="AD40" s="229">
        <v>0</v>
      </c>
      <c r="AE40" s="230" t="s">
        <v>153</v>
      </c>
      <c r="AF40" s="230" t="s">
        <v>153</v>
      </c>
      <c r="AG40" s="230">
        <v>0</v>
      </c>
      <c r="AH40" s="230">
        <v>0</v>
      </c>
      <c r="AI40" s="230">
        <v>0</v>
      </c>
      <c r="AJ40" s="230">
        <v>0</v>
      </c>
      <c r="AK40" s="230">
        <v>0</v>
      </c>
      <c r="AL40" s="230">
        <v>0</v>
      </c>
      <c r="AM40" s="230">
        <v>0</v>
      </c>
      <c r="AN40" s="230">
        <v>0</v>
      </c>
      <c r="AO40" s="230">
        <v>0</v>
      </c>
      <c r="AP40" s="230">
        <v>0</v>
      </c>
      <c r="AQ40" s="230" t="s">
        <v>153</v>
      </c>
      <c r="AR40" s="230" t="s">
        <v>153</v>
      </c>
      <c r="AT40" s="232">
        <f>AT4</f>
        <v>201612</v>
      </c>
      <c r="AU40" s="183"/>
      <c r="AV40" s="184"/>
      <c r="AW40" s="184"/>
      <c r="AX40" s="184"/>
      <c r="AY40" s="185"/>
    </row>
    <row r="41" spans="1:51" ht="15.75">
      <c r="A41" s="174" t="s">
        <v>154</v>
      </c>
      <c r="E41" s="229"/>
      <c r="F41" s="229"/>
      <c r="G41" s="230"/>
      <c r="H41" s="230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T41" s="186" t="s">
        <v>155</v>
      </c>
      <c r="AU41" s="187">
        <v>419600</v>
      </c>
      <c r="AV41" s="188" t="s">
        <v>130</v>
      </c>
      <c r="AW41" s="188" t="s">
        <v>131</v>
      </c>
      <c r="AX41" s="189">
        <v>0</v>
      </c>
      <c r="AY41" s="190">
        <f>IF(SUMIF(Q42:AR42,AT40,Q46:AR46)&gt;0,SUMIF(Q42:AR42,AT40,Q46:AR46),0)</f>
        <v>0</v>
      </c>
    </row>
    <row r="42" spans="1:51" s="174" customFormat="1" ht="15.75">
      <c r="A42" s="175">
        <v>191000</v>
      </c>
      <c r="B42" s="176" t="s">
        <v>124</v>
      </c>
      <c r="C42" s="177" t="s">
        <v>125</v>
      </c>
      <c r="D42" s="178" t="s">
        <v>148</v>
      </c>
      <c r="E42" s="175">
        <v>201309</v>
      </c>
      <c r="F42" s="175">
        <f>E42+1</f>
        <v>201310</v>
      </c>
      <c r="G42" s="175">
        <f>F42+1</f>
        <v>201311</v>
      </c>
      <c r="H42" s="175">
        <f>G42+1</f>
        <v>201312</v>
      </c>
      <c r="I42" s="175">
        <v>201401</v>
      </c>
      <c r="J42" s="175">
        <v>201402</v>
      </c>
      <c r="K42" s="175">
        <v>201403</v>
      </c>
      <c r="L42" s="175">
        <v>201404</v>
      </c>
      <c r="M42" s="175">
        <v>201405</v>
      </c>
      <c r="N42" s="175">
        <v>201406</v>
      </c>
      <c r="O42" s="175">
        <v>201407</v>
      </c>
      <c r="P42" s="175">
        <v>201408</v>
      </c>
      <c r="Q42" s="175">
        <v>201409</v>
      </c>
      <c r="R42" s="175">
        <v>201410</v>
      </c>
      <c r="S42" s="175">
        <v>201411</v>
      </c>
      <c r="T42" s="175">
        <v>201412</v>
      </c>
      <c r="U42" s="175">
        <v>201501</v>
      </c>
      <c r="V42" s="175">
        <f aca="true" t="shared" si="16" ref="V42:AD42">U42+1</f>
        <v>201502</v>
      </c>
      <c r="W42" s="175">
        <f t="shared" si="16"/>
        <v>201503</v>
      </c>
      <c r="X42" s="175">
        <f t="shared" si="16"/>
        <v>201504</v>
      </c>
      <c r="Y42" s="175">
        <f t="shared" si="16"/>
        <v>201505</v>
      </c>
      <c r="Z42" s="175">
        <f t="shared" si="16"/>
        <v>201506</v>
      </c>
      <c r="AA42" s="175">
        <f t="shared" si="16"/>
        <v>201507</v>
      </c>
      <c r="AB42" s="175">
        <f t="shared" si="16"/>
        <v>201508</v>
      </c>
      <c r="AC42" s="175">
        <f t="shared" si="16"/>
        <v>201509</v>
      </c>
      <c r="AD42" s="175">
        <f t="shared" si="16"/>
        <v>201510</v>
      </c>
      <c r="AE42" s="175">
        <f>AD42+1</f>
        <v>201511</v>
      </c>
      <c r="AF42" s="175">
        <f>AE42+1</f>
        <v>201512</v>
      </c>
      <c r="AG42" s="175">
        <v>201601</v>
      </c>
      <c r="AH42" s="175">
        <f>AG42+1</f>
        <v>201602</v>
      </c>
      <c r="AI42" s="175">
        <f aca="true" t="shared" si="17" ref="AI42:AR42">AH42+1</f>
        <v>201603</v>
      </c>
      <c r="AJ42" s="175">
        <f t="shared" si="17"/>
        <v>201604</v>
      </c>
      <c r="AK42" s="175">
        <f t="shared" si="17"/>
        <v>201605</v>
      </c>
      <c r="AL42" s="175">
        <f t="shared" si="17"/>
        <v>201606</v>
      </c>
      <c r="AM42" s="175">
        <f t="shared" si="17"/>
        <v>201607</v>
      </c>
      <c r="AN42" s="175">
        <f t="shared" si="17"/>
        <v>201608</v>
      </c>
      <c r="AO42" s="175">
        <f t="shared" si="17"/>
        <v>201609</v>
      </c>
      <c r="AP42" s="175">
        <f t="shared" si="17"/>
        <v>201610</v>
      </c>
      <c r="AQ42" s="175">
        <f t="shared" si="17"/>
        <v>201611</v>
      </c>
      <c r="AR42" s="175">
        <f t="shared" si="17"/>
        <v>201612</v>
      </c>
      <c r="AS42" s="179"/>
      <c r="AT42" s="193" t="s">
        <v>156</v>
      </c>
      <c r="AU42" s="194">
        <v>431600</v>
      </c>
      <c r="AV42" s="195" t="s">
        <v>130</v>
      </c>
      <c r="AW42" s="195" t="s">
        <v>131</v>
      </c>
      <c r="AX42" s="196">
        <f>IF(SUMIF(Q42:AR42,AT40,Q46:AR46)&lt;0,-SUMIF(Q42:AR42,AT40,Q46:AR46),0)</f>
        <v>33179.20241025743</v>
      </c>
      <c r="AY42" s="197">
        <v>0</v>
      </c>
    </row>
    <row r="43" spans="2:51" s="174" customFormat="1" ht="15.75">
      <c r="B43" s="176" t="s">
        <v>127</v>
      </c>
      <c r="C43" s="171"/>
      <c r="E43" s="180">
        <v>0.0325</v>
      </c>
      <c r="F43" s="180">
        <v>0.0325</v>
      </c>
      <c r="G43" s="180">
        <v>0.0325</v>
      </c>
      <c r="H43" s="180">
        <v>0.0325</v>
      </c>
      <c r="I43" s="180">
        <v>0.0325</v>
      </c>
      <c r="J43" s="180">
        <v>0.0325</v>
      </c>
      <c r="K43" s="180">
        <v>0.0325</v>
      </c>
      <c r="L43" s="180">
        <v>0.0325</v>
      </c>
      <c r="M43" s="180">
        <v>0.0325</v>
      </c>
      <c r="N43" s="180">
        <v>0.0325</v>
      </c>
      <c r="O43" s="180">
        <v>0.0325</v>
      </c>
      <c r="P43" s="180">
        <v>0.0325</v>
      </c>
      <c r="Q43" s="180">
        <v>0.0325</v>
      </c>
      <c r="R43" s="180">
        <v>0.0325</v>
      </c>
      <c r="S43" s="180">
        <v>0.0325</v>
      </c>
      <c r="T43" s="180">
        <v>0.0325</v>
      </c>
      <c r="U43" s="180">
        <v>0.0325</v>
      </c>
      <c r="V43" s="180">
        <v>0.0325</v>
      </c>
      <c r="W43" s="180">
        <v>0.0325</v>
      </c>
      <c r="X43" s="180">
        <v>0.0325</v>
      </c>
      <c r="Y43" s="180">
        <v>0.0325</v>
      </c>
      <c r="Z43" s="180">
        <v>0.0325</v>
      </c>
      <c r="AA43" s="180">
        <v>0.0325</v>
      </c>
      <c r="AB43" s="180">
        <v>0.0325</v>
      </c>
      <c r="AC43" s="180">
        <v>0.0325</v>
      </c>
      <c r="AD43" s="180">
        <v>0.0325</v>
      </c>
      <c r="AE43" s="180">
        <v>0.0325</v>
      </c>
      <c r="AF43" s="180">
        <v>0.0325</v>
      </c>
      <c r="AG43" s="180">
        <v>0.0325</v>
      </c>
      <c r="AH43" s="180">
        <v>0.0325</v>
      </c>
      <c r="AI43" s="180">
        <v>0.0325</v>
      </c>
      <c r="AJ43" s="180">
        <v>0.0346</v>
      </c>
      <c r="AK43" s="180">
        <v>0.0346</v>
      </c>
      <c r="AL43" s="180">
        <v>0.0346</v>
      </c>
      <c r="AM43" s="180">
        <v>0.035</v>
      </c>
      <c r="AN43" s="181">
        <v>0.035</v>
      </c>
      <c r="AO43" s="181">
        <v>0.035</v>
      </c>
      <c r="AP43" s="181">
        <v>0.035</v>
      </c>
      <c r="AQ43" s="181">
        <v>0.035</v>
      </c>
      <c r="AR43" s="181">
        <v>0.035</v>
      </c>
      <c r="AS43" s="179"/>
      <c r="AT43" s="193" t="s">
        <v>157</v>
      </c>
      <c r="AU43" s="194">
        <v>191000</v>
      </c>
      <c r="AV43" s="195" t="s">
        <v>130</v>
      </c>
      <c r="AW43" s="195" t="s">
        <v>131</v>
      </c>
      <c r="AX43" s="196">
        <f>IF((SUMIF(Q42:AR42,AT40,Q45:AR45)+SUMIF(Q42:AR42,AT40,Q46:AR46))&gt;0,(SUMIF(Q42:AR42,AT40,Q45:AR45)+SUMIF(Q42:AR42,AT40,Q46:AR46)),0)</f>
        <v>2804626.7975897426</v>
      </c>
      <c r="AY43" s="197">
        <f>IF((SUMIF(Q42:AR42,AT40,Q45:AR45)+SUMIF(Q42:AR42,AT40,Q46:AR46))&lt;0,-(SUMIF(Q42:AR42,AT40,Q45:AR45)+SUMIF(Q42:AR42,AT40,Q46:AR46)),0)</f>
        <v>0</v>
      </c>
    </row>
    <row r="44" spans="1:51" ht="15.75">
      <c r="A44" s="233"/>
      <c r="B44" s="170" t="s">
        <v>128</v>
      </c>
      <c r="E44" s="171">
        <v>-194854.27149590768</v>
      </c>
      <c r="F44" s="171">
        <f>E49</f>
        <v>-46035.36028744451</v>
      </c>
      <c r="G44" s="171">
        <f>F49</f>
        <v>404885.58467682183</v>
      </c>
      <c r="H44" s="171">
        <f>G49</f>
        <v>1486369.5928734979</v>
      </c>
      <c r="I44" s="171">
        <v>1388326.80651878</v>
      </c>
      <c r="J44" s="171">
        <v>1256080.231242427</v>
      </c>
      <c r="K44" s="171">
        <v>1153258.7731084346</v>
      </c>
      <c r="L44" s="171">
        <v>1078717.1045833002</v>
      </c>
      <c r="M44" s="171">
        <v>1033496.2426010612</v>
      </c>
      <c r="N44" s="171">
        <v>1007906.7387058339</v>
      </c>
      <c r="O44" s="171">
        <v>987738.4268074351</v>
      </c>
      <c r="P44" s="171">
        <v>972066.6893623178</v>
      </c>
      <c r="Q44" s="171">
        <v>955827.4742971377</v>
      </c>
      <c r="R44" s="171">
        <v>935484.9727523549</v>
      </c>
      <c r="S44" s="171">
        <v>900376.7438830322</v>
      </c>
      <c r="T44" s="171">
        <v>-1984640.7833043733</v>
      </c>
      <c r="U44" s="171">
        <v>-1530288.7769039478</v>
      </c>
      <c r="V44" s="171">
        <v>-1203520.6941716045</v>
      </c>
      <c r="W44" s="171">
        <v>-978605.017693565</v>
      </c>
      <c r="X44" s="171">
        <v>-801445.3279126392</v>
      </c>
      <c r="Y44" s="171">
        <v>-669275.2417719025</v>
      </c>
      <c r="Z44" s="171">
        <v>-610882.2426690265</v>
      </c>
      <c r="AA44" s="171">
        <v>-574943.040112451</v>
      </c>
      <c r="AB44" s="171">
        <v>-537511.2770032014</v>
      </c>
      <c r="AC44" s="171">
        <v>-503286.03358886426</v>
      </c>
      <c r="AD44" s="171">
        <v>-446057.5664461841</v>
      </c>
      <c r="AE44" s="171">
        <v>-360318.05653003836</v>
      </c>
      <c r="AF44" s="171">
        <f aca="true" t="shared" si="18" ref="AF44:AK44">AE49</f>
        <v>-2966848.884600849</v>
      </c>
      <c r="AG44" s="171">
        <f t="shared" si="18"/>
        <v>-2400830.7877258095</v>
      </c>
      <c r="AH44" s="171">
        <f t="shared" si="18"/>
        <v>-1799942.4443073752</v>
      </c>
      <c r="AI44" s="171">
        <f t="shared" si="18"/>
        <v>-1367080.388300563</v>
      </c>
      <c r="AJ44" s="171">
        <f t="shared" si="18"/>
        <v>-991269.1613430051</v>
      </c>
      <c r="AK44" s="171">
        <f t="shared" si="18"/>
        <v>-820633.9679845943</v>
      </c>
      <c r="AL44" s="171">
        <f>AK49</f>
        <v>-706831.2834443025</v>
      </c>
      <c r="AM44" s="171">
        <f>AL49</f>
        <v>-615740.8270799625</v>
      </c>
      <c r="AN44" s="171">
        <f>AM49</f>
        <v>-539081.4329801353</v>
      </c>
      <c r="AO44" s="171">
        <f>AN49</f>
        <v>-459570.5002163836</v>
      </c>
      <c r="AP44" s="171">
        <f>AO49</f>
        <v>-353667.8760235564</v>
      </c>
      <c r="AQ44" s="192">
        <f>AP49</f>
        <v>-123445.19123732927</v>
      </c>
      <c r="AR44" s="171">
        <f>AQ49</f>
        <v>-12794629.54065969</v>
      </c>
      <c r="AT44" s="193" t="s">
        <v>158</v>
      </c>
      <c r="AU44" s="194">
        <v>805110</v>
      </c>
      <c r="AV44" s="195" t="s">
        <v>130</v>
      </c>
      <c r="AW44" s="195" t="s">
        <v>131</v>
      </c>
      <c r="AX44" s="196">
        <f>IF((SUMIF(Q42:AR42,AT40,Q45:AR45))&lt;0,-(SUMIF(Q42:AR42,AT40,Q45:AR45)),0)</f>
        <v>0</v>
      </c>
      <c r="AY44" s="197">
        <f>IF((SUMIF(Q42:AR42,AT40,Q45:AR45))&gt;0,(SUMIF(Q42:AR42,AT40,Q45:AR45)),0)</f>
        <v>2837806</v>
      </c>
    </row>
    <row r="45" spans="2:51" ht="15.75">
      <c r="B45" s="170" t="s">
        <v>159</v>
      </c>
      <c r="C45" s="171">
        <f>SUM(AG45:AR45)</f>
        <v>6501100.82835</v>
      </c>
      <c r="D45" s="234">
        <f>SUM(AE45:AP45)</f>
        <v>3332637.82835</v>
      </c>
      <c r="E45" s="171">
        <f>SUMPRODUCT(E19:E27,E32:E40)</f>
        <v>149144.67478</v>
      </c>
      <c r="F45" s="171">
        <f>SUMPRODUCT(F19:F27,F32:F40)</f>
        <v>450435.65911</v>
      </c>
      <c r="G45" s="171">
        <v>-82277.84</v>
      </c>
      <c r="H45" s="171">
        <v>-101930.34</v>
      </c>
      <c r="I45" s="171">
        <v>-108116.73896</v>
      </c>
      <c r="J45" s="171">
        <v>-106079.69251</v>
      </c>
      <c r="K45" s="171">
        <v>-77560.04847000001</v>
      </c>
      <c r="L45" s="171">
        <v>-48077.28282</v>
      </c>
      <c r="M45" s="171">
        <v>-28350.16537</v>
      </c>
      <c r="N45" s="171">
        <v>-22867.09346</v>
      </c>
      <c r="O45" s="171">
        <v>-18322.051239999997</v>
      </c>
      <c r="P45" s="171">
        <v>-18846.37455</v>
      </c>
      <c r="Q45" s="171">
        <v>-22900.19028</v>
      </c>
      <c r="R45" s="171">
        <v>-37590.92962</v>
      </c>
      <c r="S45" s="205">
        <v>257672.26615000004</v>
      </c>
      <c r="T45" s="205">
        <v>312766.45</v>
      </c>
      <c r="U45" s="171">
        <v>330465.11</v>
      </c>
      <c r="V45" s="171">
        <v>227866.64228000003</v>
      </c>
      <c r="W45" s="171">
        <v>179566.91484</v>
      </c>
      <c r="X45" s="171">
        <v>134158.9936</v>
      </c>
      <c r="Y45" s="171">
        <v>60124.20136</v>
      </c>
      <c r="Z45" s="171">
        <v>37542.83604</v>
      </c>
      <c r="AA45" s="171">
        <v>38936.17444</v>
      </c>
      <c r="AB45" s="171">
        <v>35632.750439999996</v>
      </c>
      <c r="AC45" s="171">
        <v>58512.29808</v>
      </c>
      <c r="AD45" s="171">
        <v>86830.00020000001</v>
      </c>
      <c r="AE45" s="171">
        <v>457096</v>
      </c>
      <c r="AF45" s="171">
        <v>573277</v>
      </c>
      <c r="AG45" s="171">
        <f>SUMPRODUCT(AG19:AG27,AG32:AG40)</f>
        <v>606569.19768</v>
      </c>
      <c r="AH45" s="171">
        <f aca="true" t="shared" si="19" ref="AH45:AN45">SUMPRODUCT(AH19:AH27,AH32:AH40)</f>
        <v>437144.93303</v>
      </c>
      <c r="AI45" s="171">
        <f>SUMPRODUCT(AI19:AI27,AI32:AI40)</f>
        <v>379000.50648999994</v>
      </c>
      <c r="AJ45" s="171">
        <f t="shared" si="19"/>
        <v>173243.59326</v>
      </c>
      <c r="AK45" s="171">
        <f t="shared" si="19"/>
        <v>116001.61016</v>
      </c>
      <c r="AL45" s="171">
        <f>SUMPRODUCT(AL19:AL27,AL32:AL40)</f>
        <v>92994.41961000001</v>
      </c>
      <c r="AM45" s="171">
        <f t="shared" si="19"/>
        <v>78341.05746999999</v>
      </c>
      <c r="AN45" s="171">
        <f t="shared" si="19"/>
        <v>80965.17939</v>
      </c>
      <c r="AO45" s="171">
        <f>SUMPRODUCT(AO19:AO27,AO32:AO40)</f>
        <v>107086.8698</v>
      </c>
      <c r="AP45" s="171">
        <f>SUMPRODUCT(AP19:AP27,AP32:AP40)</f>
        <v>230917.46146</v>
      </c>
      <c r="AQ45" s="192">
        <v>1361030</v>
      </c>
      <c r="AR45" s="171">
        <f>2837806</f>
        <v>2837806</v>
      </c>
      <c r="AT45" s="82" t="s">
        <v>160</v>
      </c>
      <c r="AU45" s="61">
        <f>AU43</f>
        <v>191000</v>
      </c>
      <c r="AV45" s="61" t="str">
        <f>AV43</f>
        <v>GD</v>
      </c>
      <c r="AW45" s="61" t="str">
        <f>AW43</f>
        <v>WA</v>
      </c>
      <c r="AX45" s="235">
        <v>0</v>
      </c>
      <c r="AY45" s="236">
        <v>0</v>
      </c>
    </row>
    <row r="46" spans="2:51" ht="16.5" thickBot="1">
      <c r="B46" s="170" t="s">
        <v>161</v>
      </c>
      <c r="C46" s="171">
        <f>SUM(AG46:AR46)</f>
        <v>-97522.09369413606</v>
      </c>
      <c r="D46" s="234">
        <f>SUM(AE46:AP46)</f>
        <v>-40847.0230572909</v>
      </c>
      <c r="E46" s="171">
        <f>(E44*(E43/12))+((E45/2)*(E43/12))</f>
        <v>-325.7635715368333</v>
      </c>
      <c r="F46" s="171">
        <f>(F44*(F43/12))+((F45/2)*(F43/12))</f>
        <v>485.28585426629616</v>
      </c>
      <c r="G46" s="171">
        <f>((G44+G47)*(G43/12))+(((G45+G48)/2)*(G43/12))</f>
        <v>4107.119529888941</v>
      </c>
      <c r="H46" s="200">
        <f>(H44*(H43/12))+((H45/2)*(H43/12))</f>
        <v>3887.55364528239</v>
      </c>
      <c r="I46" s="200">
        <v>3613.643683646696</v>
      </c>
      <c r="J46" s="200">
        <v>3258.2343760076146</v>
      </c>
      <c r="K46" s="200">
        <v>3018.3799448655523</v>
      </c>
      <c r="L46" s="200">
        <v>2856.420837761021</v>
      </c>
      <c r="M46" s="200">
        <v>2760.6614747726658</v>
      </c>
      <c r="N46" s="200">
        <v>2698.781561601217</v>
      </c>
      <c r="O46" s="200">
        <v>2650.3137948826366</v>
      </c>
      <c r="P46" s="200">
        <v>2607.159484819819</v>
      </c>
      <c r="Q46" s="200">
        <v>2557.688735217248</v>
      </c>
      <c r="R46" s="200">
        <v>2482.7007506772115</v>
      </c>
      <c r="S46" s="201">
        <v>-5609.72333740533</v>
      </c>
      <c r="T46" s="203">
        <v>-4753.363599574344</v>
      </c>
      <c r="U46" s="200">
        <v>-3697.0272676565255</v>
      </c>
      <c r="V46" s="200">
        <v>-2950.965801960596</v>
      </c>
      <c r="W46" s="200">
        <v>-2407.2250590742387</v>
      </c>
      <c r="X46" s="200">
        <v>-1988.9074592633983</v>
      </c>
      <c r="Y46" s="200">
        <v>-1731.2022571239027</v>
      </c>
      <c r="Z46" s="200">
        <v>-1603.6334834244467</v>
      </c>
      <c r="AA46" s="200">
        <v>-1504.4113307503878</v>
      </c>
      <c r="AB46" s="200">
        <v>-1407.5070256628373</v>
      </c>
      <c r="AC46" s="200">
        <v>-1283.8309373198406</v>
      </c>
      <c r="AD46" s="200">
        <v>-1090.4902838542487</v>
      </c>
      <c r="AE46" s="200">
        <v>-8708.88807081052</v>
      </c>
      <c r="AF46" s="200">
        <f>((AF44+AF47)*(AF43/12))+(((AF45+AF48)/2)*(AF43/12))</f>
        <v>-7258.903124960633</v>
      </c>
      <c r="AG46" s="200">
        <f aca="true" t="shared" si="20" ref="AG46:AM46">((AG44+AG47)*(AG43/12))+(((AG45+AG48)/2)*(AG43/12))</f>
        <v>-5680.854261565734</v>
      </c>
      <c r="AH46" s="200">
        <f t="shared" si="20"/>
        <v>-4282.877023187682</v>
      </c>
      <c r="AI46" s="200">
        <f t="shared" si="20"/>
        <v>-3189.27953244215</v>
      </c>
      <c r="AJ46" s="200">
        <f t="shared" si="20"/>
        <v>-2608.3999015891645</v>
      </c>
      <c r="AK46" s="200">
        <f t="shared" si="20"/>
        <v>-2198.925619708247</v>
      </c>
      <c r="AL46" s="200">
        <f t="shared" si="20"/>
        <v>-1903.9632456599886</v>
      </c>
      <c r="AM46" s="200">
        <f t="shared" si="20"/>
        <v>-1681.6633701728074</v>
      </c>
      <c r="AN46" s="200">
        <f>((AN44+AN47)*(AN43/12))+(((AN45+AN48)/2)*(AN43/12))</f>
        <v>-1454.2466262483115</v>
      </c>
      <c r="AO46" s="200">
        <f>((AO44+AO47)*(AO43/12))+(((AO45+AO48)/2)*(AO43/12))</f>
        <v>-1184.2456071727854</v>
      </c>
      <c r="AP46" s="200">
        <f>((AP44+AP47)*(AP43/12))+(((AP45+AP48)/2)*(AP43/12))</f>
        <v>-694.7766737728728</v>
      </c>
      <c r="AQ46" s="203">
        <f>((AQ44+AQ47)*(AQ43/12))+(((AQ45+AQ48)/2)*(AQ43/12))</f>
        <v>-39463.65942235888</v>
      </c>
      <c r="AR46" s="200">
        <f>((AR44+AR47)*(AR43/12))+(((AR45+AR48)/2)*(AR43/12))</f>
        <v>-33179.20241025743</v>
      </c>
      <c r="AT46" s="237" t="str">
        <f>AT45</f>
        <v>Large Customer Refund</v>
      </c>
      <c r="AU46" s="238">
        <f>AU44</f>
        <v>805110</v>
      </c>
      <c r="AV46" s="238" t="str">
        <f>AV44</f>
        <v>GD</v>
      </c>
      <c r="AW46" s="238" t="str">
        <f>AW44</f>
        <v>WA</v>
      </c>
      <c r="AX46" s="239">
        <f>AY45</f>
        <v>0</v>
      </c>
      <c r="AY46" s="240">
        <f>AX45</f>
        <v>0</v>
      </c>
    </row>
    <row r="47" spans="2:51" ht="16.5" thickBot="1">
      <c r="B47" s="170" t="s">
        <v>162</v>
      </c>
      <c r="C47" s="171">
        <f>SUM(AG47:AR47)</f>
        <v>-14182183.96</v>
      </c>
      <c r="D47" s="234"/>
      <c r="E47" s="171">
        <v>0</v>
      </c>
      <c r="F47" s="171">
        <v>0</v>
      </c>
      <c r="G47" s="171">
        <v>1145801.748666787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  <c r="N47" s="171">
        <v>0</v>
      </c>
      <c r="O47" s="171">
        <v>0</v>
      </c>
      <c r="P47" s="171">
        <v>0</v>
      </c>
      <c r="Q47" s="171">
        <v>0</v>
      </c>
      <c r="R47" s="171">
        <v>0</v>
      </c>
      <c r="S47" s="205">
        <v>-3063910.6100000003</v>
      </c>
      <c r="T47" s="171">
        <v>0</v>
      </c>
      <c r="U47" s="171">
        <v>0</v>
      </c>
      <c r="V47" s="171">
        <v>0</v>
      </c>
      <c r="W47" s="171">
        <v>0</v>
      </c>
      <c r="X47" s="171">
        <v>0</v>
      </c>
      <c r="Y47" s="171">
        <v>0</v>
      </c>
      <c r="Z47" s="171">
        <v>0</v>
      </c>
      <c r="AA47" s="171">
        <v>0</v>
      </c>
      <c r="AB47" s="171">
        <v>0</v>
      </c>
      <c r="AC47" s="171">
        <v>0</v>
      </c>
      <c r="AD47" s="171">
        <v>0</v>
      </c>
      <c r="AE47" s="205">
        <v>-3112720.83</v>
      </c>
      <c r="AF47" s="171">
        <v>0</v>
      </c>
      <c r="AG47" s="171">
        <v>0</v>
      </c>
      <c r="AH47" s="171">
        <v>0</v>
      </c>
      <c r="AI47" s="171">
        <v>0</v>
      </c>
      <c r="AJ47" s="171">
        <v>0</v>
      </c>
      <c r="AK47" s="171">
        <v>0</v>
      </c>
      <c r="AL47" s="171">
        <v>0</v>
      </c>
      <c r="AM47" s="171">
        <v>0</v>
      </c>
      <c r="AN47" s="171">
        <v>0</v>
      </c>
      <c r="AO47" s="171">
        <v>0</v>
      </c>
      <c r="AP47" s="171">
        <v>0</v>
      </c>
      <c r="AQ47" s="241">
        <v>-14182183.96</v>
      </c>
      <c r="AR47" s="171">
        <v>0</v>
      </c>
      <c r="AT47" s="213"/>
      <c r="AU47" s="214"/>
      <c r="AV47" s="215"/>
      <c r="AW47" s="215"/>
      <c r="AX47" s="215" t="s">
        <v>120</v>
      </c>
      <c r="AY47" s="216">
        <f>SUM(AX41:AX46)-SUM(AY41:AY46)</f>
        <v>0</v>
      </c>
    </row>
    <row r="48" spans="2:44" ht="15.75">
      <c r="B48" s="170" t="s">
        <v>142</v>
      </c>
      <c r="C48" s="171">
        <f>SUM(AG48:AR48)</f>
        <v>189433.27</v>
      </c>
      <c r="D48" s="234"/>
      <c r="E48" s="171">
        <v>0</v>
      </c>
      <c r="F48" s="171">
        <v>0</v>
      </c>
      <c r="G48" s="171">
        <v>13852.98</v>
      </c>
      <c r="H48" s="171">
        <v>0</v>
      </c>
      <c r="I48" s="242">
        <v>-27743.47999999998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205">
        <v>-73169.46</v>
      </c>
      <c r="T48" s="205">
        <v>146338.92</v>
      </c>
      <c r="U48" s="192">
        <v>0</v>
      </c>
      <c r="V48" s="171">
        <v>0</v>
      </c>
      <c r="W48" s="171">
        <v>0</v>
      </c>
      <c r="X48" s="171">
        <v>0</v>
      </c>
      <c r="Y48" s="171">
        <v>0</v>
      </c>
      <c r="Z48" s="171">
        <v>0</v>
      </c>
      <c r="AA48" s="171">
        <v>0</v>
      </c>
      <c r="AB48" s="171">
        <v>0</v>
      </c>
      <c r="AC48" s="171">
        <v>0</v>
      </c>
      <c r="AD48" s="171">
        <v>0</v>
      </c>
      <c r="AE48" s="205">
        <v>57802.89</v>
      </c>
      <c r="AF48" s="171">
        <v>0</v>
      </c>
      <c r="AG48" s="171">
        <v>0</v>
      </c>
      <c r="AH48" s="171">
        <v>0</v>
      </c>
      <c r="AI48" s="171">
        <v>0</v>
      </c>
      <c r="AJ48" s="171">
        <v>0</v>
      </c>
      <c r="AK48" s="171">
        <v>0</v>
      </c>
      <c r="AL48" s="171">
        <v>0</v>
      </c>
      <c r="AM48" s="171">
        <v>0</v>
      </c>
      <c r="AN48" s="171">
        <v>0</v>
      </c>
      <c r="AO48" s="171">
        <v>0</v>
      </c>
      <c r="AP48" s="171">
        <v>0</v>
      </c>
      <c r="AQ48" s="192">
        <v>189433.27</v>
      </c>
      <c r="AR48" s="171">
        <v>0</v>
      </c>
    </row>
    <row r="49" spans="2:44" ht="16.5" thickBot="1">
      <c r="B49" s="170" t="s">
        <v>143</v>
      </c>
      <c r="C49" s="218">
        <f>SUM(C45:C48)</f>
        <v>-7589171.955344138</v>
      </c>
      <c r="D49" s="218"/>
      <c r="E49" s="218">
        <f>SUM(E44:E48)</f>
        <v>-46035.36028744451</v>
      </c>
      <c r="F49" s="218">
        <f>SUM(F44:F48)</f>
        <v>404885.58467682183</v>
      </c>
      <c r="G49" s="218">
        <f>SUM(G44:G48)</f>
        <v>1486369.5928734979</v>
      </c>
      <c r="H49" s="218">
        <f>SUM(H44:H48)</f>
        <v>1388326.80651878</v>
      </c>
      <c r="I49" s="218">
        <v>1256080.231242427</v>
      </c>
      <c r="J49" s="218">
        <v>1153258.7731084346</v>
      </c>
      <c r="K49" s="218">
        <v>1078717.1045833002</v>
      </c>
      <c r="L49" s="218">
        <v>1033496.2426010612</v>
      </c>
      <c r="M49" s="218">
        <v>1007906.7387058339</v>
      </c>
      <c r="N49" s="218">
        <v>987738.4268074351</v>
      </c>
      <c r="O49" s="218">
        <v>972066.6893623178</v>
      </c>
      <c r="P49" s="218">
        <v>955827.4742971377</v>
      </c>
      <c r="Q49" s="218">
        <v>935484.9727523549</v>
      </c>
      <c r="R49" s="218">
        <v>900376.7438830322</v>
      </c>
      <c r="S49" s="218">
        <v>-1984640.7833043733</v>
      </c>
      <c r="T49" s="218">
        <v>-1530288.7769039478</v>
      </c>
      <c r="U49" s="218">
        <v>-1203520.6941716045</v>
      </c>
      <c r="V49" s="218">
        <f aca="true" t="shared" si="21" ref="V49:AR49">SUM(V44:V48)</f>
        <v>-978605.017693565</v>
      </c>
      <c r="W49" s="218">
        <f t="shared" si="21"/>
        <v>-801445.3279126392</v>
      </c>
      <c r="X49" s="218">
        <f t="shared" si="21"/>
        <v>-669275.2417719025</v>
      </c>
      <c r="Y49" s="218">
        <f t="shared" si="21"/>
        <v>-610882.2426690265</v>
      </c>
      <c r="Z49" s="218">
        <f t="shared" si="21"/>
        <v>-574943.040112451</v>
      </c>
      <c r="AA49" s="218">
        <f t="shared" si="21"/>
        <v>-537511.2770032014</v>
      </c>
      <c r="AB49" s="218">
        <f t="shared" si="21"/>
        <v>-503286.03358886426</v>
      </c>
      <c r="AC49" s="218">
        <f t="shared" si="21"/>
        <v>-446057.5664461841</v>
      </c>
      <c r="AD49" s="218">
        <f t="shared" si="21"/>
        <v>-360318.05653003836</v>
      </c>
      <c r="AE49" s="218">
        <f t="shared" si="21"/>
        <v>-2966848.884600849</v>
      </c>
      <c r="AF49" s="218">
        <f t="shared" si="21"/>
        <v>-2400830.7877258095</v>
      </c>
      <c r="AG49" s="218">
        <f t="shared" si="21"/>
        <v>-1799942.4443073752</v>
      </c>
      <c r="AH49" s="218">
        <f t="shared" si="21"/>
        <v>-1367080.388300563</v>
      </c>
      <c r="AI49" s="218">
        <f t="shared" si="21"/>
        <v>-991269.1613430051</v>
      </c>
      <c r="AJ49" s="218">
        <f t="shared" si="21"/>
        <v>-820633.9679845943</v>
      </c>
      <c r="AK49" s="218">
        <f t="shared" si="21"/>
        <v>-706831.2834443025</v>
      </c>
      <c r="AL49" s="218">
        <f t="shared" si="21"/>
        <v>-615740.8270799625</v>
      </c>
      <c r="AM49" s="218">
        <f>SUM(AM44:AM48)</f>
        <v>-539081.4329801353</v>
      </c>
      <c r="AN49" s="218">
        <f t="shared" si="21"/>
        <v>-459570.5002163836</v>
      </c>
      <c r="AO49" s="218">
        <f t="shared" si="21"/>
        <v>-353667.8760235564</v>
      </c>
      <c r="AP49" s="218">
        <f t="shared" si="21"/>
        <v>-123445.19123732927</v>
      </c>
      <c r="AQ49" s="218">
        <f>SUM(AQ44:AQ48)</f>
        <v>-12794629.54065969</v>
      </c>
      <c r="AR49" s="218">
        <f t="shared" si="21"/>
        <v>-9990002.743069949</v>
      </c>
    </row>
    <row r="50" spans="2:50" ht="16.5" thickTop="1">
      <c r="B50" s="170" t="s">
        <v>144</v>
      </c>
      <c r="E50" s="171" t="str">
        <f>_XLL.GET_BALANCE(E42,"YTD","USD","Total","A","","001",$A$42,"GD","WA","DL")</f>
        <v>Error (Logon)</v>
      </c>
      <c r="F50" s="171" t="str">
        <f>_XLL.GET_BALANCE(F42,"YTD","USD","Total","A","","001",$A$42,"GD","WA","DL")</f>
        <v>Error (Logon)</v>
      </c>
      <c r="G50" s="171" t="str">
        <f>_XLL.GET_BALANCE(G42,"YTD","USD","Total","A","","001",$A$42,"GD","WA","DL")</f>
        <v>Error (Logon)</v>
      </c>
      <c r="H50" s="171" t="str">
        <f>_XLL.GET_BALANCE(H42,"YTD","USD","Total","A","","001",$A$42,"GD","WA","DL")</f>
        <v>Error (Logon)</v>
      </c>
      <c r="I50" s="171">
        <v>1256080.45</v>
      </c>
      <c r="J50" s="171">
        <v>1153258.99</v>
      </c>
      <c r="K50" s="171">
        <v>1078717.32</v>
      </c>
      <c r="L50" s="171">
        <v>1033496.46</v>
      </c>
      <c r="M50" s="171">
        <v>1007906.96</v>
      </c>
      <c r="N50" s="171">
        <v>987738.65</v>
      </c>
      <c r="O50" s="171">
        <v>972066.91</v>
      </c>
      <c r="P50" s="171">
        <v>955827.69</v>
      </c>
      <c r="Q50" s="171">
        <v>935485.19</v>
      </c>
      <c r="R50" s="171">
        <v>900376.96</v>
      </c>
      <c r="S50" s="171">
        <v>-1984640.57</v>
      </c>
      <c r="T50" s="171">
        <v>-1530288.56</v>
      </c>
      <c r="U50" s="171">
        <v>-1203520.48</v>
      </c>
      <c r="V50" s="171" t="str">
        <f>_XLL.GET_BALANCE(V42,"YTD","USD","Total","A","","001",$A$42,"GD","WA","DL")</f>
        <v>Error (Logon)</v>
      </c>
      <c r="W50" s="171" t="str">
        <f>_XLL.GET_BALANCE(W42,"YTD","USD","Total","A","","001",$A$42,"GD","WA","DL")</f>
        <v>Error (Logon)</v>
      </c>
      <c r="X50" s="171" t="str">
        <f>_XLL.GET_BALANCE(X42,"YTD","USD","Total","A","","001",$A$42,"GD","WA","DL")</f>
        <v>Error (Logon)</v>
      </c>
      <c r="Y50" s="171" t="str">
        <f>_XLL.GET_BALANCE(Y42,"YTD","USD","Total","A","","001",$A$42,"GD","WA","DL")</f>
        <v>Error (Logon)</v>
      </c>
      <c r="Z50" s="171" t="str">
        <f>_XLL.GET_BALANCE(Z42,"YTD","USD","Total","A","","001",$A$42,"GD","WA","DL")</f>
        <v>Error (Logon)</v>
      </c>
      <c r="AA50" s="171" t="str">
        <f>_XLL.GET_BALANCE(AA42,"YTD","USD","Total","A","","001",$A$42,"GD","WA","DL")</f>
        <v>Error (Logon)</v>
      </c>
      <c r="AB50" s="171" t="str">
        <f>_XLL.GET_BALANCE(AB42,"YTD","USD","Total","A","","001",$A$42,"GD","WA","DL")</f>
        <v>Error (Logon)</v>
      </c>
      <c r="AC50" s="171" t="str">
        <f>_XLL.GET_BALANCE(AC42,"YTD","USD","Total","A","","001",$A$42,"GD","WA","DL")</f>
        <v>Error (Logon)</v>
      </c>
      <c r="AD50" s="171" t="str">
        <f>_XLL.GET_BALANCE(AD42,"YTD","USD","Total","A","","001",$A$42,"GD","WA","DL")</f>
        <v>Error (Logon)</v>
      </c>
      <c r="AE50" s="171" t="str">
        <f>_XLL.GET_BALANCE(AE42,"YTD","USD","Total","A","","001",$A$42,"GD","WA","DL")</f>
        <v>Error (Logon)</v>
      </c>
      <c r="AF50" s="171" t="str">
        <f>_XLL.GET_BALANCE(AF42,"YTD","USD","Total","A","","001",$A$42,"GD","WA","DL")</f>
        <v>Error (Logon)</v>
      </c>
      <c r="AG50" s="171" t="str">
        <f>_XLL.GET_BALANCE(AG42,"YTD","USD","Total","A","","001",$A$42,"GD","WA","DL")</f>
        <v>Error (Logon)</v>
      </c>
      <c r="AH50" s="171" t="str">
        <f>_XLL.GET_BALANCE(AH42,"YTD","USD","Total","A","","001",$A$42,"GD","WA","DL")</f>
        <v>Error (Logon)</v>
      </c>
      <c r="AI50" s="171" t="str">
        <f>_XLL.GET_BALANCE(AI42,"YTD","USD","Total","A","","001",$A$42,"GD","WA","DL")</f>
        <v>Error (Logon)</v>
      </c>
      <c r="AJ50" s="171" t="str">
        <f>_XLL.GET_BALANCE(AJ42,"YTD","USD","Total","A","","001",$A$42,"GD","WA","DL")</f>
        <v>Error (Logon)</v>
      </c>
      <c r="AK50" s="171" t="str">
        <f>_XLL.GET_BALANCE(AK42,"YTD","USD","Total","A","","001",$A$42,"GD","WA","DL")</f>
        <v>Error (Logon)</v>
      </c>
      <c r="AL50" s="171" t="str">
        <f>_XLL.GET_BALANCE(AL42,"YTD","USD","Total","A","","001",$A$42,"GD","WA","DL")</f>
        <v>Error (Logon)</v>
      </c>
      <c r="AM50" s="171" t="str">
        <f>_XLL.GET_BALANCE(AM42,"YTD","USD","Total","A","","001",$A$42,"GD","WA","DL")</f>
        <v>Error (Logon)</v>
      </c>
      <c r="AN50" s="171" t="str">
        <f>_XLL.GET_BALANCE(AN42,"YTD","USD","Total","A","","001",$A$42,"GD","WA","DL")</f>
        <v>Error (Logon)</v>
      </c>
      <c r="AO50" s="171" t="str">
        <f>_XLL.GET_BALANCE(AO42,"YTD","USD","Total","A","","001",$A$42,"GD","WA","DL")</f>
        <v>Error (Logon)</v>
      </c>
      <c r="AP50" s="171" t="str">
        <f>_XLL.GET_BALANCE(AP42,"YTD","USD","Total","A","","001",$A$42,"GD","WA","DL")</f>
        <v>Error (Logon)</v>
      </c>
      <c r="AQ50" s="171" t="str">
        <f>_XLL.GET_BALANCE(AQ42,"YTD","USD","Total","A","","001",$A$42,"GD","WA","DL")</f>
        <v>Error (Logon)</v>
      </c>
      <c r="AR50" s="171" t="str">
        <f>_XLL.GET_BALANCE(AR42,"YTD","USD","Total","A","","001",$A$42,"GD","WA","DL")</f>
        <v>Error (Logon)</v>
      </c>
      <c r="AX50" s="192"/>
    </row>
    <row r="51" spans="2:44" ht="15.75">
      <c r="B51" s="170" t="s">
        <v>145</v>
      </c>
      <c r="E51" s="171" t="e">
        <f>E49-E50</f>
        <v>#VALUE!</v>
      </c>
      <c r="F51" s="171" t="e">
        <f>F49-F50</f>
        <v>#VALUE!</v>
      </c>
      <c r="G51" s="171" t="e">
        <f>G49-G50</f>
        <v>#VALUE!</v>
      </c>
      <c r="H51" s="171" t="e">
        <f>H49-H50</f>
        <v>#VALUE!</v>
      </c>
      <c r="I51" s="171">
        <v>-0.21875757304951549</v>
      </c>
      <c r="J51" s="171">
        <v>-0.21689156536012888</v>
      </c>
      <c r="K51" s="171">
        <v>-0.21541669988073409</v>
      </c>
      <c r="L51" s="171">
        <v>-0.2173989387229085</v>
      </c>
      <c r="M51" s="171">
        <v>-0.22129416605457664</v>
      </c>
      <c r="N51" s="171">
        <v>-0.22319256491027772</v>
      </c>
      <c r="O51" s="171">
        <v>-0.2206376822432503</v>
      </c>
      <c r="P51" s="171">
        <v>-0.21570286224596202</v>
      </c>
      <c r="Q51" s="171">
        <v>-0.21724764502141625</v>
      </c>
      <c r="R51" s="171">
        <v>-0.21611696772743016</v>
      </c>
      <c r="S51" s="171">
        <v>-0.21330437320284545</v>
      </c>
      <c r="T51" s="171">
        <v>-0.21690394775941968</v>
      </c>
      <c r="U51" s="171">
        <v>-0.21417160448618233</v>
      </c>
      <c r="V51" s="171" t="e">
        <f aca="true" t="shared" si="22" ref="V51:AO51">V49-V50</f>
        <v>#VALUE!</v>
      </c>
      <c r="W51" s="171" t="e">
        <f t="shared" si="22"/>
        <v>#VALUE!</v>
      </c>
      <c r="X51" s="171" t="e">
        <f t="shared" si="22"/>
        <v>#VALUE!</v>
      </c>
      <c r="Y51" s="171" t="e">
        <f t="shared" si="22"/>
        <v>#VALUE!</v>
      </c>
      <c r="Z51" s="171" t="e">
        <f t="shared" si="22"/>
        <v>#VALUE!</v>
      </c>
      <c r="AA51" s="171" t="e">
        <f t="shared" si="22"/>
        <v>#VALUE!</v>
      </c>
      <c r="AB51" s="171" t="e">
        <f t="shared" si="22"/>
        <v>#VALUE!</v>
      </c>
      <c r="AC51" s="171" t="e">
        <f t="shared" si="22"/>
        <v>#VALUE!</v>
      </c>
      <c r="AD51" s="171" t="e">
        <f t="shared" si="22"/>
        <v>#VALUE!</v>
      </c>
      <c r="AE51" s="171" t="e">
        <f t="shared" si="22"/>
        <v>#VALUE!</v>
      </c>
      <c r="AF51" s="171" t="e">
        <f t="shared" si="22"/>
        <v>#VALUE!</v>
      </c>
      <c r="AG51" s="171" t="e">
        <f t="shared" si="22"/>
        <v>#VALUE!</v>
      </c>
      <c r="AH51" s="171" t="e">
        <f t="shared" si="22"/>
        <v>#VALUE!</v>
      </c>
      <c r="AI51" s="171" t="e">
        <f t="shared" si="22"/>
        <v>#VALUE!</v>
      </c>
      <c r="AJ51" s="171" t="e">
        <f t="shared" si="22"/>
        <v>#VALUE!</v>
      </c>
      <c r="AK51" s="171" t="e">
        <f>AK49-AK50</f>
        <v>#VALUE!</v>
      </c>
      <c r="AL51" s="171" t="e">
        <f t="shared" si="22"/>
        <v>#VALUE!</v>
      </c>
      <c r="AM51" s="171" t="e">
        <f>AM49-AM50</f>
        <v>#VALUE!</v>
      </c>
      <c r="AN51" s="171" t="e">
        <f>AN49-AN50</f>
        <v>#VALUE!</v>
      </c>
      <c r="AO51" s="171" t="e">
        <f t="shared" si="22"/>
        <v>#VALUE!</v>
      </c>
      <c r="AP51" s="171" t="e">
        <f>AP49-AP50</f>
        <v>#VALUE!</v>
      </c>
      <c r="AQ51" s="171" t="e">
        <f>AQ49-AQ50</f>
        <v>#VALUE!</v>
      </c>
      <c r="AR51" s="171" t="e">
        <f>AR49-AR50</f>
        <v>#VALUE!</v>
      </c>
    </row>
    <row r="52" ht="15.75"/>
    <row r="53" spans="1:44" ht="15.75">
      <c r="A53" s="174" t="s">
        <v>163</v>
      </c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</row>
    <row r="54" spans="1:50" ht="15.75">
      <c r="A54" s="175">
        <v>191025</v>
      </c>
      <c r="B54" s="176" t="s">
        <v>124</v>
      </c>
      <c r="C54" s="177" t="s">
        <v>125</v>
      </c>
      <c r="D54" s="177" t="s">
        <v>148</v>
      </c>
      <c r="E54" s="175">
        <v>201309</v>
      </c>
      <c r="F54" s="175">
        <f>E54+1</f>
        <v>201310</v>
      </c>
      <c r="G54" s="175">
        <f>F54+1</f>
        <v>201311</v>
      </c>
      <c r="H54" s="175">
        <f>G54+1</f>
        <v>201312</v>
      </c>
      <c r="I54" s="175">
        <v>201401</v>
      </c>
      <c r="J54" s="175">
        <v>201402</v>
      </c>
      <c r="K54" s="175">
        <v>201403</v>
      </c>
      <c r="L54" s="175">
        <v>201404</v>
      </c>
      <c r="M54" s="175">
        <v>201405</v>
      </c>
      <c r="N54" s="175">
        <v>201406</v>
      </c>
      <c r="O54" s="175">
        <v>201407</v>
      </c>
      <c r="P54" s="175">
        <v>201408</v>
      </c>
      <c r="Q54" s="175">
        <v>201409</v>
      </c>
      <c r="R54" s="175">
        <v>201410</v>
      </c>
      <c r="S54" s="175">
        <v>201411</v>
      </c>
      <c r="T54" s="175">
        <v>201412</v>
      </c>
      <c r="U54" s="175">
        <v>201501</v>
      </c>
      <c r="V54" s="175">
        <f aca="true" t="shared" si="23" ref="V54:AD54">U54+1</f>
        <v>201502</v>
      </c>
      <c r="W54" s="175">
        <f t="shared" si="23"/>
        <v>201503</v>
      </c>
      <c r="X54" s="175">
        <f t="shared" si="23"/>
        <v>201504</v>
      </c>
      <c r="Y54" s="175">
        <f t="shared" si="23"/>
        <v>201505</v>
      </c>
      <c r="Z54" s="175">
        <f t="shared" si="23"/>
        <v>201506</v>
      </c>
      <c r="AA54" s="175">
        <f t="shared" si="23"/>
        <v>201507</v>
      </c>
      <c r="AB54" s="175">
        <f t="shared" si="23"/>
        <v>201508</v>
      </c>
      <c r="AC54" s="175">
        <f t="shared" si="23"/>
        <v>201509</v>
      </c>
      <c r="AD54" s="175">
        <f t="shared" si="23"/>
        <v>201510</v>
      </c>
      <c r="AE54" s="175">
        <f>AD54+1</f>
        <v>201511</v>
      </c>
      <c r="AF54" s="175">
        <f>AE54+1</f>
        <v>201512</v>
      </c>
      <c r="AG54" s="175">
        <v>201601</v>
      </c>
      <c r="AH54" s="175">
        <f>AG54+1</f>
        <v>201602</v>
      </c>
      <c r="AI54" s="175">
        <f aca="true" t="shared" si="24" ref="AI54:AR54">AH54+1</f>
        <v>201603</v>
      </c>
      <c r="AJ54" s="175">
        <f t="shared" si="24"/>
        <v>201604</v>
      </c>
      <c r="AK54" s="175">
        <f t="shared" si="24"/>
        <v>201605</v>
      </c>
      <c r="AL54" s="175">
        <f t="shared" si="24"/>
        <v>201606</v>
      </c>
      <c r="AM54" s="175">
        <f t="shared" si="24"/>
        <v>201607</v>
      </c>
      <c r="AN54" s="175">
        <f t="shared" si="24"/>
        <v>201608</v>
      </c>
      <c r="AO54" s="175">
        <f t="shared" si="24"/>
        <v>201609</v>
      </c>
      <c r="AP54" s="175">
        <f t="shared" si="24"/>
        <v>201610</v>
      </c>
      <c r="AQ54" s="175">
        <f t="shared" si="24"/>
        <v>201611</v>
      </c>
      <c r="AR54" s="175">
        <f t="shared" si="24"/>
        <v>201612</v>
      </c>
      <c r="AX54" s="192"/>
    </row>
    <row r="55" spans="1:44" ht="15.75">
      <c r="A55" s="174"/>
      <c r="B55" s="170" t="s">
        <v>46</v>
      </c>
      <c r="C55" s="222">
        <f>SUM(AG55:AR55)</f>
        <v>108643870</v>
      </c>
      <c r="D55" s="222">
        <f>SUM(AE55:AP55)</f>
        <v>107917296</v>
      </c>
      <c r="E55" s="222">
        <v>2647538</v>
      </c>
      <c r="F55" s="222">
        <v>9244353</v>
      </c>
      <c r="G55" s="222">
        <v>15070678</v>
      </c>
      <c r="H55" s="222">
        <v>22636008</v>
      </c>
      <c r="I55" s="223">
        <v>20682450</v>
      </c>
      <c r="J55" s="223">
        <v>20184373</v>
      </c>
      <c r="K55" s="223">
        <v>14096743</v>
      </c>
      <c r="L55" s="223">
        <v>7776328</v>
      </c>
      <c r="M55" s="223">
        <v>3691303</v>
      </c>
      <c r="N55" s="223">
        <v>2545780</v>
      </c>
      <c r="O55" s="223">
        <v>2095088</v>
      </c>
      <c r="P55" s="223">
        <v>2047777</v>
      </c>
      <c r="Q55" s="223">
        <v>2727612</v>
      </c>
      <c r="R55" s="223">
        <v>4953664</v>
      </c>
      <c r="S55" s="223">
        <v>15823016</v>
      </c>
      <c r="T55" s="223">
        <v>19056609</v>
      </c>
      <c r="U55" s="223">
        <v>19909674</v>
      </c>
      <c r="V55" s="223">
        <v>13011547</v>
      </c>
      <c r="W55" s="223">
        <v>10479005</v>
      </c>
      <c r="X55" s="223">
        <v>7714478</v>
      </c>
      <c r="Y55" s="223">
        <v>3297360</v>
      </c>
      <c r="Z55" s="223">
        <v>1968489</v>
      </c>
      <c r="AA55" s="223">
        <v>2145139</v>
      </c>
      <c r="AB55" s="223">
        <v>1956853</v>
      </c>
      <c r="AC55" s="223">
        <v>3273457</v>
      </c>
      <c r="AD55" s="223">
        <v>4833518</v>
      </c>
      <c r="AE55" s="223">
        <v>15375028</v>
      </c>
      <c r="AF55" s="223">
        <v>19459801</v>
      </c>
      <c r="AG55" s="223">
        <f>'[1]Jan'!$G23</f>
        <v>20140968</v>
      </c>
      <c r="AH55" s="223">
        <f>'[1]Feb'!$G23</f>
        <v>14297044</v>
      </c>
      <c r="AI55" s="223">
        <f>'[1]Mar'!$G23</f>
        <v>12238194</v>
      </c>
      <c r="AJ55" s="223">
        <f>'[1]Apr'!$G23</f>
        <v>5348802</v>
      </c>
      <c r="AK55" s="223">
        <f>'[1]May'!$G23</f>
        <v>3384728</v>
      </c>
      <c r="AL55" s="223">
        <f>'[1]Jun'!G23</f>
        <v>2765049</v>
      </c>
      <c r="AM55" s="223">
        <f>'[1]Jul'!G23</f>
        <v>2292583</v>
      </c>
      <c r="AN55" s="223">
        <f>'[1]Aug'!G23</f>
        <v>2354714</v>
      </c>
      <c r="AO55" s="223">
        <f>'[1]Sep'!G23</f>
        <v>3123052</v>
      </c>
      <c r="AP55" s="223">
        <f>'[1]Oct'!G23</f>
        <v>7137333</v>
      </c>
      <c r="AQ55" s="223">
        <f>'[1]Nov'!G23</f>
        <v>11352396</v>
      </c>
      <c r="AR55" s="223">
        <f>'[1]Dec'!$G23</f>
        <v>24209007</v>
      </c>
    </row>
    <row r="56" spans="1:44" ht="15.75">
      <c r="A56" s="174"/>
      <c r="B56" s="224" t="s">
        <v>49</v>
      </c>
      <c r="C56" s="222">
        <f aca="true" t="shared" si="25" ref="C56:C63">SUM(AG56:AR56)</f>
        <v>152317</v>
      </c>
      <c r="D56" s="222">
        <f aca="true" t="shared" si="26" ref="D56:D63">SUM(AE56:AP56)</f>
        <v>108888</v>
      </c>
      <c r="E56" s="222"/>
      <c r="F56" s="222"/>
      <c r="G56" s="222"/>
      <c r="H56" s="222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>
        <v>425</v>
      </c>
      <c r="AE56" s="223">
        <v>3502</v>
      </c>
      <c r="AF56" s="223">
        <v>7942</v>
      </c>
      <c r="AG56" s="223">
        <f>'[1]Jan'!$G24</f>
        <v>17893</v>
      </c>
      <c r="AH56" s="223">
        <f>'[1]Feb'!$G24</f>
        <v>14593</v>
      </c>
      <c r="AI56" s="223">
        <f>'[1]Mar'!$G24</f>
        <v>18603</v>
      </c>
      <c r="AJ56" s="223">
        <f>'[1]Apr'!$G24</f>
        <v>12171</v>
      </c>
      <c r="AK56" s="223">
        <f>'[1]May'!$G24</f>
        <v>5734</v>
      </c>
      <c r="AL56" s="223">
        <f>'[1]Jun'!G24</f>
        <v>4482</v>
      </c>
      <c r="AM56" s="223">
        <f>'[1]Jul'!G24</f>
        <v>3610</v>
      </c>
      <c r="AN56" s="223">
        <f>'[1]Aug'!G24</f>
        <v>2820</v>
      </c>
      <c r="AO56" s="223">
        <f>'[1]Sep'!G24</f>
        <v>4729</v>
      </c>
      <c r="AP56" s="223">
        <f>'[1]Oct'!G24</f>
        <v>12809</v>
      </c>
      <c r="AQ56" s="223">
        <f>'[1]Nov'!G24</f>
        <v>19581</v>
      </c>
      <c r="AR56" s="223">
        <f>'[1]Dec'!$G24</f>
        <v>35292</v>
      </c>
    </row>
    <row r="57" spans="1:44" ht="15.75">
      <c r="A57" s="174"/>
      <c r="B57" s="170" t="s">
        <v>50</v>
      </c>
      <c r="C57" s="222">
        <f t="shared" si="25"/>
        <v>44559301</v>
      </c>
      <c r="D57" s="222">
        <f t="shared" si="26"/>
        <v>43536107</v>
      </c>
      <c r="E57" s="222">
        <v>1599551</v>
      </c>
      <c r="F57" s="222">
        <v>3880001</v>
      </c>
      <c r="G57" s="222">
        <v>5651303</v>
      </c>
      <c r="H57" s="222">
        <v>7518125</v>
      </c>
      <c r="I57" s="223">
        <v>7025543</v>
      </c>
      <c r="J57" s="223">
        <v>6903553</v>
      </c>
      <c r="K57" s="223">
        <v>5310734</v>
      </c>
      <c r="L57" s="223">
        <v>3390429</v>
      </c>
      <c r="M57" s="223">
        <v>2183609</v>
      </c>
      <c r="N57" s="223">
        <v>1741655</v>
      </c>
      <c r="O57" s="223">
        <v>1476567</v>
      </c>
      <c r="P57" s="223">
        <v>1364087</v>
      </c>
      <c r="Q57" s="223">
        <v>1739755</v>
      </c>
      <c r="R57" s="223">
        <v>2776031</v>
      </c>
      <c r="S57" s="223">
        <v>6141604</v>
      </c>
      <c r="T57" s="223">
        <v>6045485</v>
      </c>
      <c r="U57" s="223">
        <v>6173752</v>
      </c>
      <c r="V57" s="223">
        <v>5630395</v>
      </c>
      <c r="W57" s="223">
        <v>4030672</v>
      </c>
      <c r="X57" s="223">
        <v>3448422</v>
      </c>
      <c r="Y57" s="223">
        <v>1901440</v>
      </c>
      <c r="Z57" s="223">
        <v>1561904</v>
      </c>
      <c r="AA57" s="223">
        <v>1323231</v>
      </c>
      <c r="AB57" s="223">
        <v>1284422</v>
      </c>
      <c r="AC57" s="223">
        <v>1854848</v>
      </c>
      <c r="AD57" s="223">
        <v>2624293</v>
      </c>
      <c r="AE57" s="223">
        <v>5503520</v>
      </c>
      <c r="AF57" s="223">
        <v>6165932</v>
      </c>
      <c r="AG57" s="223">
        <f>'[1]Jan'!$G25</f>
        <v>6568112</v>
      </c>
      <c r="AH57" s="223">
        <f>'[1]Feb'!$G25</f>
        <v>5200734</v>
      </c>
      <c r="AI57" s="223">
        <f>'[1]Mar'!$G25</f>
        <v>4795258</v>
      </c>
      <c r="AJ57" s="223">
        <f>'[1]Apr'!$G25</f>
        <v>2668983</v>
      </c>
      <c r="AK57" s="223">
        <f>'[1]May'!$G25</f>
        <v>2221542</v>
      </c>
      <c r="AL57" s="223">
        <f>'[1]Jun'!G25</f>
        <v>1675034</v>
      </c>
      <c r="AM57" s="223">
        <f>'[1]Jul'!G25</f>
        <v>1510014</v>
      </c>
      <c r="AN57" s="223">
        <f>'[1]Aug'!G25</f>
        <v>1583471</v>
      </c>
      <c r="AO57" s="223">
        <f>'[1]Sep'!G25</f>
        <v>2056535</v>
      </c>
      <c r="AP57" s="223">
        <f>'[1]Oct'!G25</f>
        <v>3586972</v>
      </c>
      <c r="AQ57" s="223">
        <f>'[1]Nov'!G25</f>
        <v>4116109</v>
      </c>
      <c r="AR57" s="223">
        <f>'[1]Dec'!$G25</f>
        <v>8576537</v>
      </c>
    </row>
    <row r="58" spans="1:44" ht="15.75">
      <c r="A58" s="174"/>
      <c r="B58" s="170" t="s">
        <v>52</v>
      </c>
      <c r="C58" s="222">
        <f t="shared" si="25"/>
        <v>0</v>
      </c>
      <c r="D58" s="222">
        <f t="shared" si="26"/>
        <v>0</v>
      </c>
      <c r="E58" s="222">
        <v>0</v>
      </c>
      <c r="F58" s="222">
        <v>0</v>
      </c>
      <c r="G58" s="222">
        <v>0</v>
      </c>
      <c r="H58" s="222">
        <v>0</v>
      </c>
      <c r="I58" s="223">
        <v>0</v>
      </c>
      <c r="J58" s="223">
        <v>0</v>
      </c>
      <c r="K58" s="223">
        <v>0</v>
      </c>
      <c r="L58" s="223">
        <v>0</v>
      </c>
      <c r="M58" s="223">
        <v>0</v>
      </c>
      <c r="N58" s="223">
        <v>0</v>
      </c>
      <c r="O58" s="223">
        <v>0</v>
      </c>
      <c r="P58" s="223">
        <v>0</v>
      </c>
      <c r="Q58" s="223">
        <v>0</v>
      </c>
      <c r="R58" s="223">
        <v>0</v>
      </c>
      <c r="S58" s="223">
        <v>0</v>
      </c>
      <c r="T58" s="223">
        <v>0</v>
      </c>
      <c r="U58" s="223">
        <v>0</v>
      </c>
      <c r="V58" s="223">
        <v>0</v>
      </c>
      <c r="W58" s="223">
        <v>0</v>
      </c>
      <c r="X58" s="223">
        <v>0</v>
      </c>
      <c r="Y58" s="223">
        <v>0</v>
      </c>
      <c r="Z58" s="223">
        <v>0</v>
      </c>
      <c r="AA58" s="223">
        <v>0</v>
      </c>
      <c r="AB58" s="223">
        <v>0</v>
      </c>
      <c r="AC58" s="223">
        <v>0</v>
      </c>
      <c r="AD58" s="223">
        <v>0</v>
      </c>
      <c r="AE58" s="223">
        <v>0</v>
      </c>
      <c r="AF58" s="223">
        <v>0</v>
      </c>
      <c r="AG58" s="223">
        <f>'[1]Jan'!$G26</f>
        <v>0</v>
      </c>
      <c r="AH58" s="223">
        <f>'[1]Feb'!$G26</f>
        <v>0</v>
      </c>
      <c r="AI58" s="223">
        <f>'[1]Mar'!$G26</f>
        <v>0</v>
      </c>
      <c r="AJ58" s="223">
        <f>'[1]Apr'!$G26</f>
        <v>0</v>
      </c>
      <c r="AK58" s="223">
        <f>'[1]May'!$G26</f>
        <v>0</v>
      </c>
      <c r="AL58" s="223">
        <f>'[1]Jun'!G26</f>
        <v>0</v>
      </c>
      <c r="AM58" s="223">
        <f>'[1]Jul'!G26</f>
        <v>0</v>
      </c>
      <c r="AN58" s="223">
        <f>'[1]Aug'!G26</f>
        <v>0</v>
      </c>
      <c r="AO58" s="223">
        <f>'[1]Sep'!G26</f>
        <v>0</v>
      </c>
      <c r="AP58" s="223">
        <f>'[1]Oct'!G26</f>
        <v>0</v>
      </c>
      <c r="AQ58" s="223">
        <f>'[1]Nov'!G26</f>
        <v>0</v>
      </c>
      <c r="AR58" s="223">
        <f>'[1]Dec'!$G26</f>
        <v>0</v>
      </c>
    </row>
    <row r="59" spans="1:44" ht="15.75">
      <c r="A59" s="174"/>
      <c r="B59" s="170" t="s">
        <v>54</v>
      </c>
      <c r="C59" s="222">
        <f t="shared" si="25"/>
        <v>3649595</v>
      </c>
      <c r="D59" s="222">
        <f t="shared" si="26"/>
        <v>3973592</v>
      </c>
      <c r="E59" s="222">
        <v>344046</v>
      </c>
      <c r="F59" s="222">
        <v>595792</v>
      </c>
      <c r="G59" s="222">
        <v>396185</v>
      </c>
      <c r="H59" s="222">
        <v>588721</v>
      </c>
      <c r="I59" s="223">
        <v>534459</v>
      </c>
      <c r="J59" s="223">
        <v>540817</v>
      </c>
      <c r="K59" s="223">
        <v>425342</v>
      </c>
      <c r="L59" s="223">
        <v>407197</v>
      </c>
      <c r="M59" s="223">
        <v>340947</v>
      </c>
      <c r="N59" s="223">
        <v>361843</v>
      </c>
      <c r="O59" s="223">
        <v>251184</v>
      </c>
      <c r="P59" s="223">
        <v>332621</v>
      </c>
      <c r="Q59" s="223">
        <v>330926</v>
      </c>
      <c r="R59" s="223">
        <v>483057</v>
      </c>
      <c r="S59" s="223">
        <v>518418</v>
      </c>
      <c r="T59" s="223">
        <v>377457</v>
      </c>
      <c r="U59" s="223">
        <v>513680</v>
      </c>
      <c r="V59" s="223">
        <v>431734</v>
      </c>
      <c r="W59" s="223">
        <v>335852</v>
      </c>
      <c r="X59" s="223">
        <v>432834</v>
      </c>
      <c r="Y59" s="223">
        <v>249954</v>
      </c>
      <c r="Z59" s="223">
        <v>322862</v>
      </c>
      <c r="AA59" s="223">
        <v>247078</v>
      </c>
      <c r="AB59" s="223">
        <v>274690</v>
      </c>
      <c r="AC59" s="223">
        <v>336073</v>
      </c>
      <c r="AD59" s="223">
        <v>365802</v>
      </c>
      <c r="AE59" s="223">
        <v>541377</v>
      </c>
      <c r="AF59" s="223">
        <v>331801</v>
      </c>
      <c r="AG59" s="223">
        <f>'[1]Jan'!$G27</f>
        <v>345863</v>
      </c>
      <c r="AH59" s="223">
        <f>'[1]Feb'!$G27</f>
        <v>408568</v>
      </c>
      <c r="AI59" s="223">
        <f>'[1]Mar'!$G27</f>
        <v>361566</v>
      </c>
      <c r="AJ59" s="223">
        <f>'[1]Apr'!$G27</f>
        <v>227877</v>
      </c>
      <c r="AK59" s="223">
        <f>'[1]May'!$G27</f>
        <v>311290</v>
      </c>
      <c r="AL59" s="223">
        <f>'[1]Jun'!G27</f>
        <v>225272</v>
      </c>
      <c r="AM59" s="223">
        <f>'[1]Jul'!G27</f>
        <v>266816</v>
      </c>
      <c r="AN59" s="223">
        <f>'[1]Aug'!G27</f>
        <v>259403</v>
      </c>
      <c r="AO59" s="223">
        <f>'[1]Sep'!G27</f>
        <v>291879</v>
      </c>
      <c r="AP59" s="223">
        <f>'[1]Oct'!G27</f>
        <v>401880</v>
      </c>
      <c r="AQ59" s="223">
        <f>'[1]Nov'!G27</f>
        <v>314956</v>
      </c>
      <c r="AR59" s="223">
        <f>'[1]Dec'!$G27</f>
        <v>234225</v>
      </c>
    </row>
    <row r="60" spans="1:44" ht="15.75">
      <c r="A60" s="174"/>
      <c r="B60" s="170" t="s">
        <v>56</v>
      </c>
      <c r="C60" s="222">
        <f t="shared" si="25"/>
        <v>581387</v>
      </c>
      <c r="D60" s="222">
        <f t="shared" si="26"/>
        <v>582359</v>
      </c>
      <c r="E60" s="222">
        <v>31388</v>
      </c>
      <c r="F60" s="222">
        <v>40500</v>
      </c>
      <c r="G60" s="222">
        <v>51667</v>
      </c>
      <c r="H60" s="222">
        <v>84319</v>
      </c>
      <c r="I60" s="223">
        <v>95515</v>
      </c>
      <c r="J60" s="223">
        <v>89875</v>
      </c>
      <c r="K60" s="223">
        <v>79687</v>
      </c>
      <c r="L60" s="223">
        <v>48237</v>
      </c>
      <c r="M60" s="223">
        <v>57496</v>
      </c>
      <c r="N60" s="223">
        <v>29984</v>
      </c>
      <c r="O60" s="223">
        <v>36453</v>
      </c>
      <c r="P60" s="223">
        <v>23994</v>
      </c>
      <c r="Q60" s="223">
        <v>27780</v>
      </c>
      <c r="R60" s="223">
        <v>33600</v>
      </c>
      <c r="S60" s="223">
        <v>46503</v>
      </c>
      <c r="T60" s="223">
        <v>74423</v>
      </c>
      <c r="U60" s="223">
        <v>81674</v>
      </c>
      <c r="V60" s="223">
        <v>68846</v>
      </c>
      <c r="W60" s="223">
        <v>57610</v>
      </c>
      <c r="X60" s="223">
        <v>49631</v>
      </c>
      <c r="Y60" s="223">
        <v>46984</v>
      </c>
      <c r="Z60" s="223">
        <v>30135</v>
      </c>
      <c r="AA60" s="223">
        <v>28317</v>
      </c>
      <c r="AB60" s="223">
        <v>27313</v>
      </c>
      <c r="AC60" s="223">
        <v>29790</v>
      </c>
      <c r="AD60" s="223">
        <v>36487</v>
      </c>
      <c r="AE60" s="223">
        <v>47656</v>
      </c>
      <c r="AF60" s="223">
        <v>74705</v>
      </c>
      <c r="AG60" s="223">
        <f>'[1]Jan'!$G28</f>
        <v>83853</v>
      </c>
      <c r="AH60" s="223">
        <f>'[1]Feb'!$G28</f>
        <v>67179</v>
      </c>
      <c r="AI60" s="223">
        <f>'[1]Mar'!$G28</f>
        <v>59583</v>
      </c>
      <c r="AJ60" s="223">
        <f>'[1]Apr'!$G28</f>
        <v>54523</v>
      </c>
      <c r="AK60" s="223">
        <f>'[1]May'!$G28</f>
        <v>42598</v>
      </c>
      <c r="AL60" s="223">
        <f>'[1]Jun'!G28</f>
        <v>35139</v>
      </c>
      <c r="AM60" s="223">
        <f>'[1]Jul'!G28</f>
        <v>27605</v>
      </c>
      <c r="AN60" s="223">
        <f>'[1]Aug'!G28</f>
        <v>25524</v>
      </c>
      <c r="AO60" s="223">
        <f>'[1]Sep'!G28</f>
        <v>26763</v>
      </c>
      <c r="AP60" s="223">
        <f>'[1]Oct'!G28</f>
        <v>37231</v>
      </c>
      <c r="AQ60" s="223">
        <f>'[1]Nov'!G28</f>
        <v>51431</v>
      </c>
      <c r="AR60" s="223">
        <f>'[1]Dec'!$G28</f>
        <v>69958</v>
      </c>
    </row>
    <row r="61" spans="1:44" ht="15.75">
      <c r="A61" s="174"/>
      <c r="B61" s="170" t="s">
        <v>60</v>
      </c>
      <c r="C61" s="222">
        <f t="shared" si="25"/>
        <v>0</v>
      </c>
      <c r="D61" s="222">
        <f t="shared" si="26"/>
        <v>0</v>
      </c>
      <c r="E61" s="222">
        <v>0</v>
      </c>
      <c r="F61" s="222">
        <v>0</v>
      </c>
      <c r="G61" s="222">
        <v>0</v>
      </c>
      <c r="H61" s="222">
        <v>0</v>
      </c>
      <c r="I61" s="223">
        <v>0</v>
      </c>
      <c r="J61" s="223">
        <v>0</v>
      </c>
      <c r="K61" s="223">
        <v>0</v>
      </c>
      <c r="L61" s="223">
        <v>0</v>
      </c>
      <c r="M61" s="223">
        <v>0</v>
      </c>
      <c r="N61" s="223">
        <v>0</v>
      </c>
      <c r="O61" s="223">
        <v>0</v>
      </c>
      <c r="P61" s="223">
        <v>0</v>
      </c>
      <c r="Q61" s="223">
        <v>0</v>
      </c>
      <c r="R61" s="223">
        <v>0</v>
      </c>
      <c r="S61" s="223">
        <v>0</v>
      </c>
      <c r="T61" s="223">
        <v>0</v>
      </c>
      <c r="U61" s="223">
        <v>0</v>
      </c>
      <c r="V61" s="223">
        <v>0</v>
      </c>
      <c r="W61" s="223">
        <v>0</v>
      </c>
      <c r="X61" s="223">
        <v>0</v>
      </c>
      <c r="Y61" s="223">
        <v>0</v>
      </c>
      <c r="Z61" s="223">
        <v>0</v>
      </c>
      <c r="AA61" s="223">
        <v>0</v>
      </c>
      <c r="AB61" s="223">
        <v>0</v>
      </c>
      <c r="AC61" s="223">
        <v>0</v>
      </c>
      <c r="AD61" s="223">
        <v>0</v>
      </c>
      <c r="AE61" s="223">
        <v>0</v>
      </c>
      <c r="AF61" s="223">
        <v>0</v>
      </c>
      <c r="AG61" s="223">
        <f>'[1]Jan'!$G29</f>
        <v>0</v>
      </c>
      <c r="AH61" s="223">
        <f>'[1]Feb'!$G29</f>
        <v>0</v>
      </c>
      <c r="AI61" s="223">
        <f>'[1]Mar'!$G29</f>
        <v>0</v>
      </c>
      <c r="AJ61" s="223">
        <f>'[1]Apr'!$G29</f>
        <v>0</v>
      </c>
      <c r="AK61" s="223">
        <f>'[1]May'!$G29</f>
        <v>0</v>
      </c>
      <c r="AL61" s="223">
        <f>'[1]Jun'!G29</f>
        <v>0</v>
      </c>
      <c r="AM61" s="223">
        <f>'[1]Jul'!G29</f>
        <v>0</v>
      </c>
      <c r="AN61" s="223">
        <f>'[1]Aug'!G29</f>
        <v>0</v>
      </c>
      <c r="AO61" s="223">
        <f>'[1]Sep'!G29</f>
        <v>0</v>
      </c>
      <c r="AP61" s="223">
        <f>'[1]Oct'!G29</f>
        <v>0</v>
      </c>
      <c r="AQ61" s="223">
        <f>'[1]Nov'!G29</f>
        <v>0</v>
      </c>
      <c r="AR61" s="223">
        <f>'[1]Dec'!$G29</f>
        <v>0</v>
      </c>
    </row>
    <row r="62" spans="1:44" ht="15.75">
      <c r="A62" s="174"/>
      <c r="B62" s="170" t="s">
        <v>62</v>
      </c>
      <c r="C62" s="222">
        <f t="shared" si="25"/>
        <v>974194</v>
      </c>
      <c r="D62" s="222">
        <f t="shared" si="26"/>
        <v>903254</v>
      </c>
      <c r="E62" s="222">
        <v>54453</v>
      </c>
      <c r="F62" s="222">
        <v>68629</v>
      </c>
      <c r="G62" s="222">
        <v>142001</v>
      </c>
      <c r="H62" s="222">
        <v>132732</v>
      </c>
      <c r="I62" s="223">
        <v>149468</v>
      </c>
      <c r="J62" s="223">
        <v>140495</v>
      </c>
      <c r="K62" s="223">
        <v>132979</v>
      </c>
      <c r="L62" s="223">
        <v>91026</v>
      </c>
      <c r="M62" s="223">
        <v>83802</v>
      </c>
      <c r="N62" s="223">
        <v>58384</v>
      </c>
      <c r="O62" s="223">
        <v>45870</v>
      </c>
      <c r="P62" s="223">
        <v>32437</v>
      </c>
      <c r="Q62" s="223">
        <v>37881</v>
      </c>
      <c r="R62" s="223">
        <v>50626</v>
      </c>
      <c r="S62" s="223">
        <v>67642</v>
      </c>
      <c r="T62" s="223">
        <v>112489</v>
      </c>
      <c r="U62" s="223">
        <v>129251</v>
      </c>
      <c r="V62" s="223">
        <v>123377</v>
      </c>
      <c r="W62" s="223">
        <v>100117</v>
      </c>
      <c r="X62" s="223">
        <v>81076</v>
      </c>
      <c r="Y62" s="223">
        <v>83536</v>
      </c>
      <c r="Z62" s="223">
        <v>56511</v>
      </c>
      <c r="AA62" s="223">
        <v>13364</v>
      </c>
      <c r="AB62" s="223">
        <v>68158</v>
      </c>
      <c r="AC62" s="223">
        <v>45470</v>
      </c>
      <c r="AD62" s="223">
        <v>96224</v>
      </c>
      <c r="AE62" s="223">
        <v>74781</v>
      </c>
      <c r="AF62" s="223">
        <v>51167</v>
      </c>
      <c r="AG62" s="223">
        <f>'[1]Jan'!$G30</f>
        <v>203731</v>
      </c>
      <c r="AH62" s="223">
        <f>'[1]Feb'!$G30</f>
        <v>102322</v>
      </c>
      <c r="AI62" s="223">
        <f>'[1]Mar'!$G30</f>
        <v>89942</v>
      </c>
      <c r="AJ62" s="223">
        <f>'[1]Apr'!$G30</f>
        <v>82073</v>
      </c>
      <c r="AK62" s="223">
        <f>'[1]May'!$G30</f>
        <v>57685</v>
      </c>
      <c r="AL62" s="223">
        <f>'[1]Jun'!G30</f>
        <v>51713</v>
      </c>
      <c r="AM62" s="223">
        <f>'[1]Jul'!G30</f>
        <v>45567</v>
      </c>
      <c r="AN62" s="223">
        <f>'[1]Aug'!G30</f>
        <v>37963</v>
      </c>
      <c r="AO62" s="223">
        <f>'[1]Sep'!G30</f>
        <v>46700</v>
      </c>
      <c r="AP62" s="223">
        <f>'[1]Oct'!G30</f>
        <v>59610</v>
      </c>
      <c r="AQ62" s="223">
        <f>'[1]Nov'!G30</f>
        <v>85100</v>
      </c>
      <c r="AR62" s="223">
        <f>'[1]Dec'!$G30</f>
        <v>111788</v>
      </c>
    </row>
    <row r="63" spans="1:44" ht="15.75">
      <c r="A63" s="174"/>
      <c r="B63" s="170" t="s">
        <v>64</v>
      </c>
      <c r="C63" s="222">
        <f t="shared" si="25"/>
        <v>30914600</v>
      </c>
      <c r="D63" s="222">
        <f t="shared" si="26"/>
        <v>30699358</v>
      </c>
      <c r="E63" s="222">
        <v>1818699</v>
      </c>
      <c r="F63" s="222">
        <v>2531895</v>
      </c>
      <c r="G63" s="222">
        <v>2936207</v>
      </c>
      <c r="H63" s="222">
        <v>3675604</v>
      </c>
      <c r="I63" s="223">
        <v>3517013</v>
      </c>
      <c r="J63" s="223">
        <v>3103551</v>
      </c>
      <c r="K63" s="223">
        <v>2882510</v>
      </c>
      <c r="L63" s="223">
        <v>2426511</v>
      </c>
      <c r="M63" s="223">
        <v>2096539</v>
      </c>
      <c r="N63" s="223">
        <v>1865473</v>
      </c>
      <c r="O63" s="223">
        <v>1934510</v>
      </c>
      <c r="P63" s="223">
        <v>1781233</v>
      </c>
      <c r="Q63" s="223">
        <v>1975142</v>
      </c>
      <c r="R63" s="223">
        <v>2307678</v>
      </c>
      <c r="S63" s="223">
        <v>3052956</v>
      </c>
      <c r="T63" s="223">
        <v>3180451</v>
      </c>
      <c r="U63" s="223">
        <v>3286166</v>
      </c>
      <c r="V63" s="223">
        <v>2735718</v>
      </c>
      <c r="W63" s="223">
        <v>2608561</v>
      </c>
      <c r="X63" s="223">
        <v>2436951</v>
      </c>
      <c r="Y63" s="223">
        <v>2203136</v>
      </c>
      <c r="Z63" s="223">
        <v>1941783</v>
      </c>
      <c r="AA63" s="223">
        <v>1912819</v>
      </c>
      <c r="AB63" s="223">
        <v>1943542</v>
      </c>
      <c r="AC63" s="223">
        <v>1945064</v>
      </c>
      <c r="AD63" s="223">
        <v>2201297</v>
      </c>
      <c r="AE63" s="223">
        <v>3020174</v>
      </c>
      <c r="AF63" s="223">
        <v>3321068</v>
      </c>
      <c r="AG63" s="223">
        <f>'[1]Jan'!$G31</f>
        <v>3346687</v>
      </c>
      <c r="AH63" s="223">
        <f>'[1]Feb'!$G31</f>
        <v>2956295</v>
      </c>
      <c r="AI63" s="223">
        <f>'[1]Mar'!$G31</f>
        <v>2822744</v>
      </c>
      <c r="AJ63" s="223">
        <f>'[1]Apr'!$G31</f>
        <v>2379815</v>
      </c>
      <c r="AK63" s="223">
        <f>'[1]May'!$G31</f>
        <v>2359261</v>
      </c>
      <c r="AL63" s="223">
        <f>'[1]Jun'!G31</f>
        <v>2149880</v>
      </c>
      <c r="AM63" s="223">
        <f>'[1]Jul'!G31</f>
        <v>1956378</v>
      </c>
      <c r="AN63" s="223">
        <f>'[1]Aug'!G31</f>
        <v>1966117</v>
      </c>
      <c r="AO63" s="223">
        <f>'[1]Sep'!G31</f>
        <v>1915306</v>
      </c>
      <c r="AP63" s="223">
        <f>'[1]Oct'!G31</f>
        <v>2505633</v>
      </c>
      <c r="AQ63" s="223">
        <f>'[1]Nov'!G31</f>
        <v>2750386</v>
      </c>
      <c r="AR63" s="223">
        <f>'[1]Dec'!$G31</f>
        <v>3806098</v>
      </c>
    </row>
    <row r="64" spans="1:44" ht="16.5" thickBot="1">
      <c r="A64" s="174"/>
      <c r="B64" s="170" t="s">
        <v>149</v>
      </c>
      <c r="C64" s="226">
        <f>SUM(AG64:AR64)</f>
        <v>189475264</v>
      </c>
      <c r="D64" s="226">
        <f>SUM(S64:AD64)</f>
        <v>180899844</v>
      </c>
      <c r="E64" s="226">
        <f>SUM(E55:E63)</f>
        <v>6495675</v>
      </c>
      <c r="F64" s="226">
        <f>SUM(F55:F63)</f>
        <v>16361170</v>
      </c>
      <c r="G64" s="226">
        <f>SUM(G55:G63)</f>
        <v>24248041</v>
      </c>
      <c r="H64" s="226">
        <f>SUM(H55:H63)</f>
        <v>34635509</v>
      </c>
      <c r="I64" s="226">
        <v>32004448</v>
      </c>
      <c r="J64" s="226">
        <v>30962664</v>
      </c>
      <c r="K64" s="226">
        <v>22927995</v>
      </c>
      <c r="L64" s="226">
        <v>14139728</v>
      </c>
      <c r="M64" s="226">
        <v>8453696</v>
      </c>
      <c r="N64" s="226">
        <v>6603119</v>
      </c>
      <c r="O64" s="226">
        <v>5839672</v>
      </c>
      <c r="P64" s="226">
        <v>5582149</v>
      </c>
      <c r="Q64" s="226">
        <v>6839096</v>
      </c>
      <c r="R64" s="226">
        <v>10604656</v>
      </c>
      <c r="S64" s="226">
        <v>25650139</v>
      </c>
      <c r="T64" s="226">
        <v>28846914</v>
      </c>
      <c r="U64" s="226">
        <v>30094197</v>
      </c>
      <c r="V64" s="226">
        <f aca="true" t="shared" si="27" ref="V64:AR64">SUM(V55:V63)</f>
        <v>22001617</v>
      </c>
      <c r="W64" s="226">
        <f t="shared" si="27"/>
        <v>17611817</v>
      </c>
      <c r="X64" s="226">
        <f t="shared" si="27"/>
        <v>14163392</v>
      </c>
      <c r="Y64" s="226">
        <f t="shared" si="27"/>
        <v>7782410</v>
      </c>
      <c r="Z64" s="226">
        <f t="shared" si="27"/>
        <v>5881684</v>
      </c>
      <c r="AA64" s="226">
        <f t="shared" si="27"/>
        <v>5669948</v>
      </c>
      <c r="AB64" s="226">
        <f t="shared" si="27"/>
        <v>5554978</v>
      </c>
      <c r="AC64" s="226">
        <f t="shared" si="27"/>
        <v>7484702</v>
      </c>
      <c r="AD64" s="226">
        <f t="shared" si="27"/>
        <v>10158046</v>
      </c>
      <c r="AE64" s="226">
        <f t="shared" si="27"/>
        <v>24566038</v>
      </c>
      <c r="AF64" s="226">
        <f t="shared" si="27"/>
        <v>29412416</v>
      </c>
      <c r="AG64" s="226">
        <f t="shared" si="27"/>
        <v>30707107</v>
      </c>
      <c r="AH64" s="226">
        <f t="shared" si="27"/>
        <v>23046735</v>
      </c>
      <c r="AI64" s="226">
        <f t="shared" si="27"/>
        <v>20385890</v>
      </c>
      <c r="AJ64" s="226">
        <f t="shared" si="27"/>
        <v>10774244</v>
      </c>
      <c r="AK64" s="226">
        <f t="shared" si="27"/>
        <v>8382838</v>
      </c>
      <c r="AL64" s="226">
        <f t="shared" si="27"/>
        <v>6906569</v>
      </c>
      <c r="AM64" s="226">
        <f>SUM(AM55:AM63)</f>
        <v>6102573</v>
      </c>
      <c r="AN64" s="226">
        <f t="shared" si="27"/>
        <v>6230012</v>
      </c>
      <c r="AO64" s="226">
        <f t="shared" si="27"/>
        <v>7464964</v>
      </c>
      <c r="AP64" s="226">
        <f>SUM(AP55:AP63)</f>
        <v>13741468</v>
      </c>
      <c r="AQ64" s="226">
        <f t="shared" si="27"/>
        <v>18689959</v>
      </c>
      <c r="AR64" s="226">
        <f t="shared" si="27"/>
        <v>37042905</v>
      </c>
    </row>
    <row r="65" spans="1:45" ht="16.5" thickTop="1">
      <c r="A65" s="174"/>
      <c r="B65" s="170" t="s">
        <v>150</v>
      </c>
      <c r="C65" s="222">
        <f>SUM(AG65:AR65)</f>
        <v>189475264</v>
      </c>
      <c r="D65" s="222">
        <f>SUM(S65:AD65)</f>
        <v>180899844</v>
      </c>
      <c r="E65" s="222">
        <v>6495675</v>
      </c>
      <c r="F65" s="222">
        <v>16361170</v>
      </c>
      <c r="G65" s="222">
        <v>24248041</v>
      </c>
      <c r="H65" s="222">
        <v>34635509</v>
      </c>
      <c r="I65" s="222">
        <v>32004448</v>
      </c>
      <c r="J65" s="222">
        <v>30962664</v>
      </c>
      <c r="K65" s="222">
        <v>22927995</v>
      </c>
      <c r="L65" s="222">
        <v>14139728</v>
      </c>
      <c r="M65" s="222">
        <v>8453696</v>
      </c>
      <c r="N65" s="222">
        <v>6603119</v>
      </c>
      <c r="O65" s="222">
        <v>5839672</v>
      </c>
      <c r="P65" s="222">
        <v>5582149</v>
      </c>
      <c r="Q65" s="222">
        <v>6839096</v>
      </c>
      <c r="R65" s="222">
        <v>10604656</v>
      </c>
      <c r="S65" s="222">
        <v>25650139</v>
      </c>
      <c r="T65" s="222">
        <v>28846914</v>
      </c>
      <c r="U65" s="222">
        <v>30094197</v>
      </c>
      <c r="V65" s="222">
        <v>22001617</v>
      </c>
      <c r="W65" s="222">
        <v>17611817</v>
      </c>
      <c r="X65" s="222">
        <v>14163392</v>
      </c>
      <c r="Y65" s="222">
        <v>7782410</v>
      </c>
      <c r="Z65" s="222">
        <v>5881684</v>
      </c>
      <c r="AA65" s="222">
        <v>5669948</v>
      </c>
      <c r="AB65" s="227">
        <v>5554978</v>
      </c>
      <c r="AC65" s="222">
        <v>7484702</v>
      </c>
      <c r="AD65" s="222">
        <v>10158046</v>
      </c>
      <c r="AE65" s="222">
        <v>24566038</v>
      </c>
      <c r="AF65" s="222">
        <v>29412416</v>
      </c>
      <c r="AG65" s="222">
        <v>30707107</v>
      </c>
      <c r="AH65" s="222">
        <v>23046735</v>
      </c>
      <c r="AI65" s="222">
        <v>20385890</v>
      </c>
      <c r="AJ65" s="222">
        <v>10774244</v>
      </c>
      <c r="AK65" s="222">
        <v>8382838</v>
      </c>
      <c r="AL65" s="222">
        <v>6906569</v>
      </c>
      <c r="AM65" s="222">
        <v>6102573</v>
      </c>
      <c r="AN65" s="222">
        <v>6230012</v>
      </c>
      <c r="AO65" s="222">
        <v>7464964</v>
      </c>
      <c r="AP65" s="222">
        <v>13741468</v>
      </c>
      <c r="AQ65" s="222">
        <v>18689959</v>
      </c>
      <c r="AR65" s="222">
        <v>37042905</v>
      </c>
      <c r="AS65" s="228"/>
    </row>
    <row r="66" spans="1:47" ht="15.75">
      <c r="A66" s="174" t="s">
        <v>151</v>
      </c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U66" s="243"/>
    </row>
    <row r="67" spans="1:44" ht="15.75">
      <c r="A67" s="175">
        <v>191025</v>
      </c>
      <c r="B67" s="176" t="s">
        <v>124</v>
      </c>
      <c r="E67" s="175">
        <v>201309</v>
      </c>
      <c r="F67" s="175">
        <f>E67+1</f>
        <v>201310</v>
      </c>
      <c r="G67" s="175">
        <f>F67+1</f>
        <v>201311</v>
      </c>
      <c r="H67" s="175">
        <f>G67+1</f>
        <v>201312</v>
      </c>
      <c r="I67" s="175">
        <v>201401</v>
      </c>
      <c r="J67" s="175">
        <v>201402</v>
      </c>
      <c r="K67" s="175">
        <v>201403</v>
      </c>
      <c r="L67" s="175">
        <v>201404</v>
      </c>
      <c r="M67" s="175">
        <v>201405</v>
      </c>
      <c r="N67" s="175">
        <v>201406</v>
      </c>
      <c r="O67" s="175">
        <v>201407</v>
      </c>
      <c r="P67" s="175">
        <v>201408</v>
      </c>
      <c r="Q67" s="175">
        <v>201409</v>
      </c>
      <c r="R67" s="175">
        <v>201410</v>
      </c>
      <c r="S67" s="175">
        <v>201411</v>
      </c>
      <c r="T67" s="175">
        <v>201412</v>
      </c>
      <c r="U67" s="175">
        <v>201501</v>
      </c>
      <c r="V67" s="175">
        <f aca="true" t="shared" si="28" ref="V67:AD67">U67+1</f>
        <v>201502</v>
      </c>
      <c r="W67" s="175">
        <f t="shared" si="28"/>
        <v>201503</v>
      </c>
      <c r="X67" s="175">
        <f t="shared" si="28"/>
        <v>201504</v>
      </c>
      <c r="Y67" s="175">
        <f t="shared" si="28"/>
        <v>201505</v>
      </c>
      <c r="Z67" s="175">
        <f t="shared" si="28"/>
        <v>201506</v>
      </c>
      <c r="AA67" s="175">
        <f t="shared" si="28"/>
        <v>201507</v>
      </c>
      <c r="AB67" s="175">
        <f t="shared" si="28"/>
        <v>201508</v>
      </c>
      <c r="AC67" s="175">
        <f t="shared" si="28"/>
        <v>201509</v>
      </c>
      <c r="AD67" s="175">
        <f t="shared" si="28"/>
        <v>201510</v>
      </c>
      <c r="AE67" s="175">
        <f>AD67+1</f>
        <v>201511</v>
      </c>
      <c r="AF67" s="175">
        <f>AE67+1</f>
        <v>201512</v>
      </c>
      <c r="AG67" s="175">
        <v>201601</v>
      </c>
      <c r="AH67" s="175">
        <f>AG67+1</f>
        <v>201602</v>
      </c>
      <c r="AI67" s="175">
        <f aca="true" t="shared" si="29" ref="AI67:AR67">AH67+1</f>
        <v>201603</v>
      </c>
      <c r="AJ67" s="175">
        <f t="shared" si="29"/>
        <v>201604</v>
      </c>
      <c r="AK67" s="175">
        <f t="shared" si="29"/>
        <v>201605</v>
      </c>
      <c r="AL67" s="175">
        <f t="shared" si="29"/>
        <v>201606</v>
      </c>
      <c r="AM67" s="175">
        <f t="shared" si="29"/>
        <v>201607</v>
      </c>
      <c r="AN67" s="175">
        <f t="shared" si="29"/>
        <v>201608</v>
      </c>
      <c r="AO67" s="175">
        <f t="shared" si="29"/>
        <v>201609</v>
      </c>
      <c r="AP67" s="175">
        <f t="shared" si="29"/>
        <v>201610</v>
      </c>
      <c r="AQ67" s="175">
        <f t="shared" si="29"/>
        <v>201611</v>
      </c>
      <c r="AR67" s="175">
        <f t="shared" si="29"/>
        <v>201612</v>
      </c>
    </row>
    <row r="68" spans="1:44" ht="15.75">
      <c r="A68" s="174"/>
      <c r="B68" s="170" t="s">
        <v>46</v>
      </c>
      <c r="E68" s="229">
        <v>-0.00219</v>
      </c>
      <c r="F68" s="229">
        <v>-0.00219</v>
      </c>
      <c r="G68" s="230" t="s">
        <v>152</v>
      </c>
      <c r="H68" s="230" t="s">
        <v>152</v>
      </c>
      <c r="I68" s="229">
        <v>-0.00039</v>
      </c>
      <c r="J68" s="229">
        <v>-0.00039</v>
      </c>
      <c r="K68" s="229">
        <v>-0.00039</v>
      </c>
      <c r="L68" s="229">
        <v>-0.00039</v>
      </c>
      <c r="M68" s="229">
        <v>-0.00039</v>
      </c>
      <c r="N68" s="229">
        <v>-0.00039</v>
      </c>
      <c r="O68" s="229">
        <v>-0.00039</v>
      </c>
      <c r="P68" s="229">
        <v>-0.00039</v>
      </c>
      <c r="Q68" s="229">
        <v>-0.00039</v>
      </c>
      <c r="R68" s="229">
        <v>-0.00039</v>
      </c>
      <c r="S68" s="230" t="s">
        <v>152</v>
      </c>
      <c r="T68" s="230" t="s">
        <v>152</v>
      </c>
      <c r="U68" s="229">
        <v>0.00025</v>
      </c>
      <c r="V68" s="229">
        <v>0.00025</v>
      </c>
      <c r="W68" s="229">
        <v>0.00025</v>
      </c>
      <c r="X68" s="229">
        <v>0.00025</v>
      </c>
      <c r="Y68" s="229">
        <v>0.00025</v>
      </c>
      <c r="Z68" s="229">
        <v>0.00025</v>
      </c>
      <c r="AA68" s="229">
        <v>0.00025</v>
      </c>
      <c r="AB68" s="229">
        <v>0.00025</v>
      </c>
      <c r="AC68" s="229">
        <v>0.00025</v>
      </c>
      <c r="AD68" s="229">
        <v>0.00025</v>
      </c>
      <c r="AE68" s="230" t="s">
        <v>153</v>
      </c>
      <c r="AF68" s="230" t="s">
        <v>153</v>
      </c>
      <c r="AG68" s="230">
        <v>0.00013</v>
      </c>
      <c r="AH68" s="230">
        <v>0.00013</v>
      </c>
      <c r="AI68" s="230">
        <v>0.00013</v>
      </c>
      <c r="AJ68" s="230">
        <v>0.00013</v>
      </c>
      <c r="AK68" s="230">
        <v>0.00013</v>
      </c>
      <c r="AL68" s="230">
        <v>0.00013</v>
      </c>
      <c r="AM68" s="230">
        <v>0.00013</v>
      </c>
      <c r="AN68" s="230">
        <v>0.00013</v>
      </c>
      <c r="AO68" s="230">
        <v>0.00013</v>
      </c>
      <c r="AP68" s="230">
        <v>0.00013</v>
      </c>
      <c r="AQ68" s="230" t="s">
        <v>153</v>
      </c>
      <c r="AR68" s="230" t="s">
        <v>153</v>
      </c>
    </row>
    <row r="69" spans="1:44" ht="15.75">
      <c r="A69" s="174"/>
      <c r="B69" s="224" t="s">
        <v>49</v>
      </c>
      <c r="E69" s="229"/>
      <c r="F69" s="229"/>
      <c r="G69" s="230"/>
      <c r="H69" s="230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30"/>
      <c r="T69" s="230"/>
      <c r="U69" s="229"/>
      <c r="V69" s="229"/>
      <c r="W69" s="229"/>
      <c r="X69" s="229"/>
      <c r="Y69" s="229"/>
      <c r="Z69" s="229"/>
      <c r="AA69" s="229"/>
      <c r="AB69" s="229"/>
      <c r="AC69" s="229"/>
      <c r="AD69" s="231">
        <v>0.00025</v>
      </c>
      <c r="AE69" s="230" t="s">
        <v>153</v>
      </c>
      <c r="AF69" s="230" t="s">
        <v>153</v>
      </c>
      <c r="AG69" s="230">
        <v>0.00013</v>
      </c>
      <c r="AH69" s="230">
        <v>0.00013</v>
      </c>
      <c r="AI69" s="230">
        <v>0.00013</v>
      </c>
      <c r="AJ69" s="230">
        <v>0.00013</v>
      </c>
      <c r="AK69" s="230">
        <v>0.00013</v>
      </c>
      <c r="AL69" s="230">
        <v>0.00013</v>
      </c>
      <c r="AM69" s="230">
        <v>0.00013</v>
      </c>
      <c r="AN69" s="230">
        <v>0.00013</v>
      </c>
      <c r="AO69" s="230">
        <v>0.00013</v>
      </c>
      <c r="AP69" s="230">
        <v>0.00013</v>
      </c>
      <c r="AQ69" s="230" t="s">
        <v>153</v>
      </c>
      <c r="AR69" s="230" t="s">
        <v>153</v>
      </c>
    </row>
    <row r="70" spans="1:44" ht="15.75">
      <c r="A70" s="174"/>
      <c r="B70" s="170" t="s">
        <v>50</v>
      </c>
      <c r="E70" s="229">
        <v>-0.00219</v>
      </c>
      <c r="F70" s="229">
        <v>-0.00219</v>
      </c>
      <c r="G70" s="230" t="s">
        <v>152</v>
      </c>
      <c r="H70" s="230" t="s">
        <v>152</v>
      </c>
      <c r="I70" s="229">
        <v>-0.00039</v>
      </c>
      <c r="J70" s="229">
        <v>-0.00039</v>
      </c>
      <c r="K70" s="229">
        <v>-0.00039</v>
      </c>
      <c r="L70" s="229">
        <v>-0.00039</v>
      </c>
      <c r="M70" s="229">
        <v>-0.00039</v>
      </c>
      <c r="N70" s="229">
        <v>-0.00039</v>
      </c>
      <c r="O70" s="229">
        <v>-0.00039</v>
      </c>
      <c r="P70" s="229">
        <v>-0.00039</v>
      </c>
      <c r="Q70" s="229">
        <v>-0.00039</v>
      </c>
      <c r="R70" s="229">
        <v>-0.00039</v>
      </c>
      <c r="S70" s="230" t="s">
        <v>152</v>
      </c>
      <c r="T70" s="230" t="s">
        <v>152</v>
      </c>
      <c r="U70" s="229">
        <v>0.00025</v>
      </c>
      <c r="V70" s="229">
        <v>0.00025</v>
      </c>
      <c r="W70" s="229">
        <v>0.00025</v>
      </c>
      <c r="X70" s="229">
        <v>0.00025</v>
      </c>
      <c r="Y70" s="229">
        <v>0.00025</v>
      </c>
      <c r="Z70" s="229">
        <v>0.00025</v>
      </c>
      <c r="AA70" s="229">
        <v>0.00025</v>
      </c>
      <c r="AB70" s="229">
        <v>0.00025</v>
      </c>
      <c r="AC70" s="229">
        <v>0.00025</v>
      </c>
      <c r="AD70" s="229">
        <v>0.00025</v>
      </c>
      <c r="AE70" s="230" t="s">
        <v>153</v>
      </c>
      <c r="AF70" s="230" t="s">
        <v>153</v>
      </c>
      <c r="AG70" s="230">
        <v>0.00013</v>
      </c>
      <c r="AH70" s="230">
        <v>0.00013</v>
      </c>
      <c r="AI70" s="230">
        <v>0.00013</v>
      </c>
      <c r="AJ70" s="230">
        <v>0.00013</v>
      </c>
      <c r="AK70" s="230">
        <v>0.00013</v>
      </c>
      <c r="AL70" s="230">
        <v>0.00013</v>
      </c>
      <c r="AM70" s="230">
        <v>0.00013</v>
      </c>
      <c r="AN70" s="230">
        <v>0.00013</v>
      </c>
      <c r="AO70" s="230">
        <v>0.00013</v>
      </c>
      <c r="AP70" s="230">
        <v>0.00013</v>
      </c>
      <c r="AQ70" s="230" t="s">
        <v>153</v>
      </c>
      <c r="AR70" s="230" t="s">
        <v>153</v>
      </c>
    </row>
    <row r="71" spans="1:44" ht="15.75">
      <c r="A71" s="174"/>
      <c r="B71" s="170" t="s">
        <v>52</v>
      </c>
      <c r="E71" s="229">
        <v>-0.00219</v>
      </c>
      <c r="F71" s="229">
        <v>-0.00219</v>
      </c>
      <c r="G71" s="230" t="s">
        <v>152</v>
      </c>
      <c r="H71" s="230" t="s">
        <v>152</v>
      </c>
      <c r="I71" s="229">
        <v>-0.00039</v>
      </c>
      <c r="J71" s="229">
        <v>-0.00039</v>
      </c>
      <c r="K71" s="229">
        <v>-0.00039</v>
      </c>
      <c r="L71" s="229">
        <v>-0.00039</v>
      </c>
      <c r="M71" s="229">
        <v>-0.00039</v>
      </c>
      <c r="N71" s="229">
        <v>-0.00039</v>
      </c>
      <c r="O71" s="229">
        <v>-0.00039</v>
      </c>
      <c r="P71" s="229">
        <v>-0.00039</v>
      </c>
      <c r="Q71" s="229">
        <v>-0.00039</v>
      </c>
      <c r="R71" s="229">
        <v>-0.00039</v>
      </c>
      <c r="S71" s="230" t="s">
        <v>152</v>
      </c>
      <c r="T71" s="230" t="s">
        <v>152</v>
      </c>
      <c r="U71" s="229">
        <v>0.00025</v>
      </c>
      <c r="V71" s="229">
        <v>0.00025</v>
      </c>
      <c r="W71" s="229">
        <v>0.00025</v>
      </c>
      <c r="X71" s="229">
        <v>0.00025</v>
      </c>
      <c r="Y71" s="229">
        <v>0.00025</v>
      </c>
      <c r="Z71" s="229">
        <v>0.00025</v>
      </c>
      <c r="AA71" s="229">
        <v>0.00025</v>
      </c>
      <c r="AB71" s="229">
        <v>0.00025</v>
      </c>
      <c r="AC71" s="229">
        <v>0.00025</v>
      </c>
      <c r="AD71" s="229">
        <v>0.00025</v>
      </c>
      <c r="AE71" s="230" t="s">
        <v>153</v>
      </c>
      <c r="AF71" s="230" t="s">
        <v>153</v>
      </c>
      <c r="AG71" s="230">
        <v>0.00013</v>
      </c>
      <c r="AH71" s="230">
        <v>0.00013</v>
      </c>
      <c r="AI71" s="230">
        <v>0.00013</v>
      </c>
      <c r="AJ71" s="230">
        <v>0.00013</v>
      </c>
      <c r="AK71" s="230">
        <v>0.00013</v>
      </c>
      <c r="AL71" s="230">
        <v>0.00013</v>
      </c>
      <c r="AM71" s="230">
        <v>0.00013</v>
      </c>
      <c r="AN71" s="230">
        <v>0.00013</v>
      </c>
      <c r="AO71" s="230">
        <v>0.00013</v>
      </c>
      <c r="AP71" s="230">
        <v>0.00013</v>
      </c>
      <c r="AQ71" s="230" t="s">
        <v>153</v>
      </c>
      <c r="AR71" s="230" t="s">
        <v>153</v>
      </c>
    </row>
    <row r="72" spans="1:44" ht="15.75">
      <c r="A72" s="174"/>
      <c r="B72" s="170" t="s">
        <v>54</v>
      </c>
      <c r="E72" s="229">
        <v>-0.00219</v>
      </c>
      <c r="F72" s="229">
        <v>-0.00219</v>
      </c>
      <c r="G72" s="230" t="s">
        <v>152</v>
      </c>
      <c r="H72" s="230" t="s">
        <v>152</v>
      </c>
      <c r="I72" s="229">
        <v>-0.00039</v>
      </c>
      <c r="J72" s="229">
        <v>-0.00039</v>
      </c>
      <c r="K72" s="229">
        <v>-0.00039</v>
      </c>
      <c r="L72" s="229">
        <v>-0.00039</v>
      </c>
      <c r="M72" s="229">
        <v>-0.00039</v>
      </c>
      <c r="N72" s="229">
        <v>-0.00039</v>
      </c>
      <c r="O72" s="229">
        <v>-0.00039</v>
      </c>
      <c r="P72" s="229">
        <v>-0.00039</v>
      </c>
      <c r="Q72" s="229">
        <v>-0.00039</v>
      </c>
      <c r="R72" s="229">
        <v>-0.00039</v>
      </c>
      <c r="S72" s="230" t="s">
        <v>152</v>
      </c>
      <c r="T72" s="230" t="s">
        <v>152</v>
      </c>
      <c r="U72" s="229">
        <v>0.00025</v>
      </c>
      <c r="V72" s="229">
        <v>0.00025</v>
      </c>
      <c r="W72" s="229">
        <v>0.00025</v>
      </c>
      <c r="X72" s="229">
        <v>0.00025</v>
      </c>
      <c r="Y72" s="229">
        <v>0.00025</v>
      </c>
      <c r="Z72" s="229">
        <v>0.00025</v>
      </c>
      <c r="AA72" s="229">
        <v>0.00025</v>
      </c>
      <c r="AB72" s="229">
        <v>0.00025</v>
      </c>
      <c r="AC72" s="229">
        <v>0.00025</v>
      </c>
      <c r="AD72" s="229">
        <v>0.00025</v>
      </c>
      <c r="AE72" s="230" t="s">
        <v>153</v>
      </c>
      <c r="AF72" s="230" t="s">
        <v>153</v>
      </c>
      <c r="AG72" s="230">
        <v>0.00013</v>
      </c>
      <c r="AH72" s="230">
        <v>0.00013</v>
      </c>
      <c r="AI72" s="230">
        <v>0.00013</v>
      </c>
      <c r="AJ72" s="230">
        <v>0.00013</v>
      </c>
      <c r="AK72" s="230">
        <v>0.00013</v>
      </c>
      <c r="AL72" s="230">
        <v>0.00013</v>
      </c>
      <c r="AM72" s="230">
        <v>0.00013</v>
      </c>
      <c r="AN72" s="230">
        <v>0.00013</v>
      </c>
      <c r="AO72" s="230">
        <v>0.00013</v>
      </c>
      <c r="AP72" s="230">
        <v>0.00013</v>
      </c>
      <c r="AQ72" s="230" t="s">
        <v>153</v>
      </c>
      <c r="AR72" s="230" t="s">
        <v>153</v>
      </c>
    </row>
    <row r="73" spans="1:44" ht="15.75">
      <c r="A73" s="174"/>
      <c r="B73" s="170" t="s">
        <v>56</v>
      </c>
      <c r="E73" s="229">
        <v>-0.00219</v>
      </c>
      <c r="F73" s="229">
        <v>-0.00219</v>
      </c>
      <c r="G73" s="230" t="s">
        <v>152</v>
      </c>
      <c r="H73" s="230" t="s">
        <v>152</v>
      </c>
      <c r="I73" s="229">
        <v>-0.00039</v>
      </c>
      <c r="J73" s="229">
        <v>-0.00039</v>
      </c>
      <c r="K73" s="229">
        <v>-0.00039</v>
      </c>
      <c r="L73" s="229">
        <v>-0.00039</v>
      </c>
      <c r="M73" s="229">
        <v>-0.00039</v>
      </c>
      <c r="N73" s="229">
        <v>-0.00039</v>
      </c>
      <c r="O73" s="229">
        <v>-0.00039</v>
      </c>
      <c r="P73" s="229">
        <v>-0.00039</v>
      </c>
      <c r="Q73" s="229">
        <v>-0.00039</v>
      </c>
      <c r="R73" s="229">
        <v>-0.00039</v>
      </c>
      <c r="S73" s="230" t="s">
        <v>152</v>
      </c>
      <c r="T73" s="230" t="s">
        <v>152</v>
      </c>
      <c r="U73" s="229">
        <v>0.00025</v>
      </c>
      <c r="V73" s="229">
        <v>0.00025</v>
      </c>
      <c r="W73" s="229">
        <v>0.00025</v>
      </c>
      <c r="X73" s="229">
        <v>0.00025</v>
      </c>
      <c r="Y73" s="229">
        <v>0.00025</v>
      </c>
      <c r="Z73" s="229">
        <v>0.00025</v>
      </c>
      <c r="AA73" s="229">
        <v>0.00025</v>
      </c>
      <c r="AB73" s="229">
        <v>0.00025</v>
      </c>
      <c r="AC73" s="229">
        <v>0.00025</v>
      </c>
      <c r="AD73" s="229">
        <v>0.00025</v>
      </c>
      <c r="AE73" s="230" t="s">
        <v>153</v>
      </c>
      <c r="AF73" s="230" t="s">
        <v>153</v>
      </c>
      <c r="AG73" s="230">
        <v>0.00013</v>
      </c>
      <c r="AH73" s="230">
        <v>0.00013</v>
      </c>
      <c r="AI73" s="230">
        <v>0.00013</v>
      </c>
      <c r="AJ73" s="230">
        <v>0.00013</v>
      </c>
      <c r="AK73" s="230">
        <v>0.00013</v>
      </c>
      <c r="AL73" s="230">
        <v>0.00013</v>
      </c>
      <c r="AM73" s="230">
        <v>0.00013</v>
      </c>
      <c r="AN73" s="230">
        <v>0.00013</v>
      </c>
      <c r="AO73" s="230">
        <v>0.00013</v>
      </c>
      <c r="AP73" s="230">
        <v>0.00013</v>
      </c>
      <c r="AQ73" s="230" t="s">
        <v>153</v>
      </c>
      <c r="AR73" s="230" t="s">
        <v>153</v>
      </c>
    </row>
    <row r="74" spans="1:44" ht="16.5" thickBot="1">
      <c r="A74" s="174"/>
      <c r="B74" s="170" t="s">
        <v>60</v>
      </c>
      <c r="E74" s="229">
        <v>-0.00219</v>
      </c>
      <c r="F74" s="229">
        <v>-0.00219</v>
      </c>
      <c r="G74" s="230" t="s">
        <v>152</v>
      </c>
      <c r="H74" s="230" t="s">
        <v>152</v>
      </c>
      <c r="I74" s="229">
        <v>-0.00039</v>
      </c>
      <c r="J74" s="229">
        <v>-0.00039</v>
      </c>
      <c r="K74" s="229">
        <v>-0.00039</v>
      </c>
      <c r="L74" s="229">
        <v>-0.00039</v>
      </c>
      <c r="M74" s="229">
        <v>-0.00039</v>
      </c>
      <c r="N74" s="229">
        <v>-0.00039</v>
      </c>
      <c r="O74" s="229">
        <v>-0.00039</v>
      </c>
      <c r="P74" s="229">
        <v>-0.00039</v>
      </c>
      <c r="Q74" s="229">
        <v>-0.00039</v>
      </c>
      <c r="R74" s="229">
        <v>-0.00039</v>
      </c>
      <c r="S74" s="230" t="s">
        <v>152</v>
      </c>
      <c r="T74" s="230" t="s">
        <v>152</v>
      </c>
      <c r="U74" s="229">
        <v>0.00025</v>
      </c>
      <c r="V74" s="229">
        <v>0.00025</v>
      </c>
      <c r="W74" s="229">
        <v>0.00025</v>
      </c>
      <c r="X74" s="229">
        <v>0.00025</v>
      </c>
      <c r="Y74" s="229">
        <v>0.00025</v>
      </c>
      <c r="Z74" s="229">
        <v>0.00025</v>
      </c>
      <c r="AA74" s="229">
        <v>0.00025</v>
      </c>
      <c r="AB74" s="229">
        <v>0.00025</v>
      </c>
      <c r="AC74" s="229">
        <v>0.00025</v>
      </c>
      <c r="AD74" s="229">
        <v>0.00025</v>
      </c>
      <c r="AE74" s="230" t="s">
        <v>153</v>
      </c>
      <c r="AF74" s="230" t="s">
        <v>153</v>
      </c>
      <c r="AG74" s="230">
        <v>0.00013</v>
      </c>
      <c r="AH74" s="230">
        <v>0.00013</v>
      </c>
      <c r="AI74" s="230">
        <v>0.00013</v>
      </c>
      <c r="AJ74" s="230">
        <v>0.00013</v>
      </c>
      <c r="AK74" s="230">
        <v>0.00013</v>
      </c>
      <c r="AL74" s="230">
        <v>0.00013</v>
      </c>
      <c r="AM74" s="230">
        <v>0.00013</v>
      </c>
      <c r="AN74" s="230">
        <v>0.00013</v>
      </c>
      <c r="AO74" s="230">
        <v>0.00013</v>
      </c>
      <c r="AP74" s="230">
        <v>0.00013</v>
      </c>
      <c r="AQ74" s="230" t="s">
        <v>153</v>
      </c>
      <c r="AR74" s="230" t="s">
        <v>153</v>
      </c>
    </row>
    <row r="75" spans="1:51" ht="16.5" thickBot="1">
      <c r="A75" s="174"/>
      <c r="B75" s="170" t="s">
        <v>62</v>
      </c>
      <c r="E75" s="229">
        <v>-0.00219</v>
      </c>
      <c r="F75" s="229">
        <v>-0.00219</v>
      </c>
      <c r="G75" s="230" t="s">
        <v>152</v>
      </c>
      <c r="H75" s="230" t="s">
        <v>152</v>
      </c>
      <c r="I75" s="229">
        <v>-0.00039</v>
      </c>
      <c r="J75" s="229">
        <v>-0.00039</v>
      </c>
      <c r="K75" s="229">
        <v>-0.00039</v>
      </c>
      <c r="L75" s="229">
        <v>-0.00039</v>
      </c>
      <c r="M75" s="229">
        <v>-0.00039</v>
      </c>
      <c r="N75" s="229">
        <v>-0.00039</v>
      </c>
      <c r="O75" s="229">
        <v>-0.00039</v>
      </c>
      <c r="P75" s="229">
        <v>-0.00039</v>
      </c>
      <c r="Q75" s="229">
        <v>-0.00039</v>
      </c>
      <c r="R75" s="229">
        <v>-0.00039</v>
      </c>
      <c r="S75" s="230" t="s">
        <v>152</v>
      </c>
      <c r="T75" s="230" t="s">
        <v>152</v>
      </c>
      <c r="U75" s="229">
        <v>0.00025</v>
      </c>
      <c r="V75" s="229">
        <v>0.00025</v>
      </c>
      <c r="W75" s="229">
        <v>0.00025</v>
      </c>
      <c r="X75" s="229">
        <v>0.00025</v>
      </c>
      <c r="Y75" s="229">
        <v>0.00025</v>
      </c>
      <c r="Z75" s="229">
        <v>0.00025</v>
      </c>
      <c r="AA75" s="229">
        <v>0.00025</v>
      </c>
      <c r="AB75" s="229">
        <v>0.00025</v>
      </c>
      <c r="AC75" s="229">
        <v>0.00025</v>
      </c>
      <c r="AD75" s="229">
        <v>0.00025</v>
      </c>
      <c r="AE75" s="230" t="s">
        <v>153</v>
      </c>
      <c r="AF75" s="230" t="s">
        <v>153</v>
      </c>
      <c r="AG75" s="230">
        <v>0.00013</v>
      </c>
      <c r="AH75" s="230">
        <v>0.00013</v>
      </c>
      <c r="AI75" s="230">
        <v>0.00013</v>
      </c>
      <c r="AJ75" s="230">
        <v>0.00013</v>
      </c>
      <c r="AK75" s="230">
        <v>0.00013</v>
      </c>
      <c r="AL75" s="230">
        <v>0.00013</v>
      </c>
      <c r="AM75" s="230">
        <v>0.00013</v>
      </c>
      <c r="AN75" s="230">
        <v>0.00013</v>
      </c>
      <c r="AO75" s="230">
        <v>0.00013</v>
      </c>
      <c r="AP75" s="230">
        <v>0.00013</v>
      </c>
      <c r="AQ75" s="230" t="s">
        <v>153</v>
      </c>
      <c r="AR75" s="230" t="s">
        <v>153</v>
      </c>
      <c r="AT75" s="244">
        <f>AT4</f>
        <v>201612</v>
      </c>
      <c r="AU75" s="245"/>
      <c r="AV75" s="246"/>
      <c r="AW75" s="246"/>
      <c r="AX75" s="246"/>
      <c r="AY75" s="247"/>
    </row>
    <row r="76" spans="1:51" ht="15.75">
      <c r="A76" s="174"/>
      <c r="B76" s="170" t="s">
        <v>64</v>
      </c>
      <c r="E76" s="229">
        <v>-0.0002</v>
      </c>
      <c r="F76" s="229">
        <v>-0.0002</v>
      </c>
      <c r="G76" s="230" t="s">
        <v>152</v>
      </c>
      <c r="H76" s="230" t="s">
        <v>152</v>
      </c>
      <c r="I76" s="229">
        <v>-4E-05</v>
      </c>
      <c r="J76" s="229">
        <v>-4E-05</v>
      </c>
      <c r="K76" s="229">
        <v>-4E-05</v>
      </c>
      <c r="L76" s="229">
        <v>-4E-05</v>
      </c>
      <c r="M76" s="229">
        <v>-4E-05</v>
      </c>
      <c r="N76" s="229">
        <v>-4E-05</v>
      </c>
      <c r="O76" s="229">
        <v>-4E-05</v>
      </c>
      <c r="P76" s="229">
        <v>-4E-05</v>
      </c>
      <c r="Q76" s="229">
        <v>-4E-05</v>
      </c>
      <c r="R76" s="229">
        <v>-4E-05</v>
      </c>
      <c r="S76" s="230" t="s">
        <v>152</v>
      </c>
      <c r="T76" s="230" t="s">
        <v>152</v>
      </c>
      <c r="U76" s="229">
        <v>4E-05</v>
      </c>
      <c r="V76" s="229">
        <v>4E-05</v>
      </c>
      <c r="W76" s="229">
        <v>4E-05</v>
      </c>
      <c r="X76" s="229">
        <v>4E-05</v>
      </c>
      <c r="Y76" s="229">
        <v>4E-05</v>
      </c>
      <c r="Z76" s="229">
        <v>4E-05</v>
      </c>
      <c r="AA76" s="229">
        <v>4E-05</v>
      </c>
      <c r="AB76" s="229">
        <v>4E-05</v>
      </c>
      <c r="AC76" s="229">
        <v>4E-05</v>
      </c>
      <c r="AD76" s="229">
        <v>4E-05</v>
      </c>
      <c r="AE76" s="230" t="s">
        <v>153</v>
      </c>
      <c r="AF76" s="230" t="s">
        <v>153</v>
      </c>
      <c r="AG76" s="230">
        <v>2E-05</v>
      </c>
      <c r="AH76" s="230">
        <v>2E-05</v>
      </c>
      <c r="AI76" s="230">
        <v>2E-05</v>
      </c>
      <c r="AJ76" s="230">
        <v>2E-05</v>
      </c>
      <c r="AK76" s="230">
        <v>2E-05</v>
      </c>
      <c r="AL76" s="230">
        <v>2E-05</v>
      </c>
      <c r="AM76" s="230">
        <v>2E-05</v>
      </c>
      <c r="AN76" s="230">
        <v>2E-05</v>
      </c>
      <c r="AO76" s="230">
        <v>2E-05</v>
      </c>
      <c r="AP76" s="230">
        <v>2E-05</v>
      </c>
      <c r="AQ76" s="230" t="s">
        <v>153</v>
      </c>
      <c r="AR76" s="230" t="s">
        <v>153</v>
      </c>
      <c r="AT76" s="193" t="s">
        <v>164</v>
      </c>
      <c r="AU76" s="194">
        <v>191025</v>
      </c>
      <c r="AV76" s="195" t="s">
        <v>130</v>
      </c>
      <c r="AW76" s="195" t="s">
        <v>131</v>
      </c>
      <c r="AX76" s="196">
        <f>IF((SUMIF(U78:AR78,AT75,U80:AR80))&gt;0,(SUMIF(U78:AR78,AT75,U80:AR80)),0)</f>
        <v>0</v>
      </c>
      <c r="AY76" s="197">
        <f>IF((SUMIF(U78:AR78,AT75,U80:AR80))&lt;0,-(SUMIF(U78:AR78,AT75,U80:AR80)),0)</f>
        <v>298</v>
      </c>
    </row>
    <row r="77" spans="1:51" ht="15.75">
      <c r="A77" s="174" t="s">
        <v>154</v>
      </c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T77" s="193" t="s">
        <v>165</v>
      </c>
      <c r="AU77" s="194">
        <v>805110</v>
      </c>
      <c r="AV77" s="195" t="s">
        <v>130</v>
      </c>
      <c r="AW77" s="195" t="s">
        <v>131</v>
      </c>
      <c r="AX77" s="196">
        <f>IF((SUMIF(U78:AR78,AT75,U80:AR80))&lt;0,-(SUMIF(U78:AR78,AT75,U80:AR80)),0)</f>
        <v>298</v>
      </c>
      <c r="AY77" s="197">
        <f>IF((SUMIF(U78:AR78,AT75,U80:AR80))&gt;0,(SUMIF(U78:AR78,AT75,U80:AR80)),0)</f>
        <v>0</v>
      </c>
    </row>
    <row r="78" spans="1:51" s="174" customFormat="1" ht="15.75">
      <c r="A78" s="175">
        <v>191025</v>
      </c>
      <c r="B78" s="176" t="s">
        <v>124</v>
      </c>
      <c r="C78" s="177" t="s">
        <v>125</v>
      </c>
      <c r="D78" s="178" t="s">
        <v>148</v>
      </c>
      <c r="E78" s="175">
        <v>201309</v>
      </c>
      <c r="F78" s="175">
        <f>E78+1</f>
        <v>201310</v>
      </c>
      <c r="G78" s="175">
        <f>F78+1</f>
        <v>201311</v>
      </c>
      <c r="H78" s="175">
        <f>G78+1</f>
        <v>201312</v>
      </c>
      <c r="I78" s="175">
        <v>201401</v>
      </c>
      <c r="J78" s="175">
        <v>201402</v>
      </c>
      <c r="K78" s="175">
        <v>201403</v>
      </c>
      <c r="L78" s="175">
        <v>201404</v>
      </c>
      <c r="M78" s="175">
        <v>201405</v>
      </c>
      <c r="N78" s="175">
        <v>201406</v>
      </c>
      <c r="O78" s="175">
        <v>201407</v>
      </c>
      <c r="P78" s="175">
        <v>201408</v>
      </c>
      <c r="Q78" s="175">
        <v>201409</v>
      </c>
      <c r="R78" s="175">
        <v>201410</v>
      </c>
      <c r="S78" s="175">
        <v>201411</v>
      </c>
      <c r="T78" s="175">
        <v>201412</v>
      </c>
      <c r="U78" s="175">
        <v>201501</v>
      </c>
      <c r="V78" s="175">
        <f aca="true" t="shared" si="30" ref="V78:AD78">U78+1</f>
        <v>201502</v>
      </c>
      <c r="W78" s="175">
        <f t="shared" si="30"/>
        <v>201503</v>
      </c>
      <c r="X78" s="175">
        <f t="shared" si="30"/>
        <v>201504</v>
      </c>
      <c r="Y78" s="175">
        <f t="shared" si="30"/>
        <v>201505</v>
      </c>
      <c r="Z78" s="175">
        <f t="shared" si="30"/>
        <v>201506</v>
      </c>
      <c r="AA78" s="175">
        <f t="shared" si="30"/>
        <v>201507</v>
      </c>
      <c r="AB78" s="175">
        <f t="shared" si="30"/>
        <v>201508</v>
      </c>
      <c r="AC78" s="175">
        <f t="shared" si="30"/>
        <v>201509</v>
      </c>
      <c r="AD78" s="175">
        <f t="shared" si="30"/>
        <v>201510</v>
      </c>
      <c r="AE78" s="175">
        <f>AD78+1</f>
        <v>201511</v>
      </c>
      <c r="AF78" s="175">
        <f>AE78+1</f>
        <v>201512</v>
      </c>
      <c r="AG78" s="175">
        <v>201601</v>
      </c>
      <c r="AH78" s="175">
        <f>AG78+1</f>
        <v>201602</v>
      </c>
      <c r="AI78" s="175">
        <f aca="true" t="shared" si="31" ref="AI78:AR78">AH78+1</f>
        <v>201603</v>
      </c>
      <c r="AJ78" s="175">
        <f t="shared" si="31"/>
        <v>201604</v>
      </c>
      <c r="AK78" s="175">
        <f t="shared" si="31"/>
        <v>201605</v>
      </c>
      <c r="AL78" s="175">
        <f t="shared" si="31"/>
        <v>201606</v>
      </c>
      <c r="AM78" s="175">
        <f t="shared" si="31"/>
        <v>201607</v>
      </c>
      <c r="AN78" s="175">
        <f t="shared" si="31"/>
        <v>201608</v>
      </c>
      <c r="AO78" s="175">
        <f t="shared" si="31"/>
        <v>201609</v>
      </c>
      <c r="AP78" s="175">
        <f t="shared" si="31"/>
        <v>201610</v>
      </c>
      <c r="AQ78" s="175">
        <f t="shared" si="31"/>
        <v>201611</v>
      </c>
      <c r="AR78" s="175">
        <f t="shared" si="31"/>
        <v>201612</v>
      </c>
      <c r="AS78" s="179"/>
      <c r="AT78" s="193" t="s">
        <v>166</v>
      </c>
      <c r="AU78" s="194"/>
      <c r="AV78" s="195"/>
      <c r="AW78" s="195"/>
      <c r="AX78" s="196">
        <v>0</v>
      </c>
      <c r="AY78" s="197">
        <v>0</v>
      </c>
    </row>
    <row r="79" spans="1:51" ht="16.5" thickBot="1">
      <c r="A79" s="233"/>
      <c r="B79" s="170" t="s">
        <v>128</v>
      </c>
      <c r="E79" s="171">
        <v>49539.04703</v>
      </c>
      <c r="F79" s="171">
        <f>E82</f>
        <v>38932.72979</v>
      </c>
      <c r="G79" s="171">
        <f>F82</f>
        <v>8140.2385399999985</v>
      </c>
      <c r="H79" s="171">
        <f>G82</f>
        <v>-693.6814600000016</v>
      </c>
      <c r="I79" s="171">
        <v>-13695.721460000002</v>
      </c>
      <c r="J79" s="171">
        <v>-24946.501630000002</v>
      </c>
      <c r="K79" s="171">
        <v>-35935.69774</v>
      </c>
      <c r="L79" s="171">
        <v>-43868.737290000005</v>
      </c>
      <c r="M79" s="171">
        <v>-48533.95236</v>
      </c>
      <c r="N79" s="171">
        <v>-51097.10515</v>
      </c>
      <c r="O79" s="171">
        <v>-53019.406010000006</v>
      </c>
      <c r="P79" s="171">
        <v>-54619.79959000001</v>
      </c>
      <c r="Q79" s="171">
        <v>-56173.40615000001</v>
      </c>
      <c r="R79" s="171">
        <v>-58149.35389000001</v>
      </c>
      <c r="S79" s="171">
        <v>-61477.48243000001</v>
      </c>
      <c r="T79" s="171">
        <v>-56200.44564000001</v>
      </c>
      <c r="U79" s="171">
        <v>-49897.47564000001</v>
      </c>
      <c r="V79" s="171">
        <v>-43064.02125000001</v>
      </c>
      <c r="W79" s="171">
        <v>-38138.117780000015</v>
      </c>
      <c r="X79" s="171">
        <v>-34282.961340000016</v>
      </c>
      <c r="Y79" s="171">
        <v>-31253.873050000017</v>
      </c>
      <c r="Z79" s="171">
        <v>-29770.929110000015</v>
      </c>
      <c r="AA79" s="171">
        <v>-28708.282540000015</v>
      </c>
      <c r="AB79" s="171">
        <v>-27692.487530000013</v>
      </c>
      <c r="AC79" s="171">
        <v>-26711.886850000014</v>
      </c>
      <c r="AD79" s="171">
        <v>-25249.174790000012</v>
      </c>
      <c r="AE79" s="171">
        <v>-23171.93566000001</v>
      </c>
      <c r="AF79" s="171">
        <f>AE82</f>
        <v>-21380.93566000001</v>
      </c>
      <c r="AG79" s="171">
        <f aca="true" t="shared" si="32" ref="AG79:AO79">AF82</f>
        <v>-18146.93566000001</v>
      </c>
      <c r="AH79" s="171">
        <f t="shared" si="32"/>
        <v>-14523.147320000011</v>
      </c>
      <c r="AI79" s="171">
        <f t="shared" si="32"/>
        <v>-11852.264220000012</v>
      </c>
      <c r="AJ79" s="171">
        <f t="shared" si="32"/>
        <v>-9512.600360000011</v>
      </c>
      <c r="AK79" s="171">
        <f t="shared" si="32"/>
        <v>-8373.728290000012</v>
      </c>
      <c r="AL79" s="171">
        <f t="shared" si="32"/>
        <v>-7543.478060000012</v>
      </c>
      <c r="AM79" s="171">
        <f t="shared" si="32"/>
        <v>-6882.110890000013</v>
      </c>
      <c r="AN79" s="171">
        <f t="shared" si="32"/>
        <v>-6303.977980000012</v>
      </c>
      <c r="AO79" s="171">
        <f t="shared" si="32"/>
        <v>-5710.349290000012</v>
      </c>
      <c r="AP79" s="171">
        <f>AO82</f>
        <v>-4950.587630000012</v>
      </c>
      <c r="AQ79" s="171">
        <f>AP82</f>
        <v>-3439.816420000012</v>
      </c>
      <c r="AR79" s="171">
        <f>AQ82</f>
        <v>-4198.816420000012</v>
      </c>
      <c r="AT79" s="208" t="s">
        <v>166</v>
      </c>
      <c r="AU79" s="209"/>
      <c r="AV79" s="248"/>
      <c r="AW79" s="248"/>
      <c r="AX79" s="210">
        <v>0</v>
      </c>
      <c r="AY79" s="211">
        <v>0</v>
      </c>
    </row>
    <row r="80" spans="2:51" ht="16.5" thickBot="1">
      <c r="B80" s="170" t="s">
        <v>159</v>
      </c>
      <c r="C80" s="171">
        <f>SUM(AG80:AR80)</f>
        <v>13650.119239999996</v>
      </c>
      <c r="D80" s="234">
        <f>SUM(AE80:AP80)</f>
        <v>19758.119239999996</v>
      </c>
      <c r="E80" s="171">
        <f>SUMPRODUCT(E55:E63,E68:E76)</f>
        <v>-10606.31724</v>
      </c>
      <c r="F80" s="171">
        <f>SUMPRODUCT(F55:F63,F68:F76)</f>
        <v>-30792.49125</v>
      </c>
      <c r="G80" s="171">
        <v>-8833.92</v>
      </c>
      <c r="H80" s="171">
        <v>-13002.04</v>
      </c>
      <c r="I80" s="171">
        <v>-11250.78017</v>
      </c>
      <c r="J80" s="171">
        <v>-10989.19611</v>
      </c>
      <c r="K80" s="171">
        <v>-7933.039550000001</v>
      </c>
      <c r="L80" s="171">
        <v>-4665.215069999999</v>
      </c>
      <c r="M80" s="171">
        <v>-2563.1527899999996</v>
      </c>
      <c r="N80" s="171">
        <v>-1922.3008600000003</v>
      </c>
      <c r="O80" s="171">
        <v>-1600.39358</v>
      </c>
      <c r="P80" s="171">
        <v>-1553.6065599999997</v>
      </c>
      <c r="Q80" s="171">
        <v>-1975.94774</v>
      </c>
      <c r="R80" s="171">
        <v>-3328.1285399999992</v>
      </c>
      <c r="S80" s="205">
        <v>5277.03679</v>
      </c>
      <c r="T80" s="205">
        <v>6302.97</v>
      </c>
      <c r="U80" s="171">
        <v>6833.45439</v>
      </c>
      <c r="V80" s="171">
        <v>4925.903470000001</v>
      </c>
      <c r="W80" s="171">
        <v>3855.1564400000007</v>
      </c>
      <c r="X80" s="171">
        <v>3029.0882899999997</v>
      </c>
      <c r="Y80" s="171">
        <v>1482.94394</v>
      </c>
      <c r="Z80" s="171">
        <v>1062.64657</v>
      </c>
      <c r="AA80" s="171">
        <v>1015.7950099999999</v>
      </c>
      <c r="AB80" s="171">
        <v>980.60068</v>
      </c>
      <c r="AC80" s="171">
        <v>1462.7120600000003</v>
      </c>
      <c r="AD80" s="171">
        <v>2077.2391300000004</v>
      </c>
      <c r="AE80" s="192">
        <v>1791</v>
      </c>
      <c r="AF80" s="192">
        <v>3260</v>
      </c>
      <c r="AG80" s="192">
        <f>SUMPRODUCT(AG55:AG63,AG68:AG76)</f>
        <v>3623.7883399999996</v>
      </c>
      <c r="AH80" s="192">
        <f aca="true" t="shared" si="33" ref="AH80:AM80">SUMPRODUCT(AH55:AH63,AH68:AH76)</f>
        <v>2670.8831</v>
      </c>
      <c r="AI80" s="192">
        <f t="shared" si="33"/>
        <v>2339.6638599999997</v>
      </c>
      <c r="AJ80" s="192">
        <f t="shared" si="33"/>
        <v>1138.87207</v>
      </c>
      <c r="AK80" s="192">
        <f t="shared" si="33"/>
        <v>830.25023</v>
      </c>
      <c r="AL80" s="192">
        <f>SUMPRODUCT(AL55:AL63,AL68:AL76)</f>
        <v>661.3671699999999</v>
      </c>
      <c r="AM80" s="192">
        <f t="shared" si="33"/>
        <v>578.1329099999999</v>
      </c>
      <c r="AN80" s="192">
        <f>SUMPRODUCT(AN55:AN63,AN68:AN76)</f>
        <v>593.6286900000001</v>
      </c>
      <c r="AO80" s="192">
        <f>SUMPRODUCT(AO55:AO63,AO68:AO76)</f>
        <v>759.7616599999999</v>
      </c>
      <c r="AP80" s="192">
        <f>SUMPRODUCT(AP55:AP63,AP68:AP76)</f>
        <v>1510.7712099999999</v>
      </c>
      <c r="AQ80" s="192">
        <v>-759</v>
      </c>
      <c r="AR80" s="192">
        <v>-298</v>
      </c>
      <c r="AT80" s="213"/>
      <c r="AU80" s="214"/>
      <c r="AV80" s="215"/>
      <c r="AW80" s="215"/>
      <c r="AX80" s="215" t="s">
        <v>120</v>
      </c>
      <c r="AY80" s="216">
        <f>SUM(AX76:AX79)-SUM(AY76:AY79)</f>
        <v>0</v>
      </c>
    </row>
    <row r="81" spans="2:44" ht="15.75">
      <c r="B81" s="170" t="s">
        <v>142</v>
      </c>
      <c r="C81" s="171">
        <f>SUM(AG81:AR81)</f>
        <v>0</v>
      </c>
      <c r="E81" s="171">
        <v>0</v>
      </c>
      <c r="F81" s="171">
        <v>0</v>
      </c>
      <c r="G81" s="171">
        <v>0</v>
      </c>
      <c r="H81" s="171">
        <v>0</v>
      </c>
      <c r="I81" s="171">
        <v>0</v>
      </c>
      <c r="J81" s="171">
        <v>0</v>
      </c>
      <c r="K81" s="171">
        <v>0</v>
      </c>
      <c r="L81" s="171">
        <v>0</v>
      </c>
      <c r="M81" s="171">
        <v>0</v>
      </c>
      <c r="N81" s="171">
        <v>0</v>
      </c>
      <c r="O81" s="171">
        <v>0</v>
      </c>
      <c r="P81" s="171">
        <v>0</v>
      </c>
      <c r="Q81" s="171">
        <v>0</v>
      </c>
      <c r="R81" s="171">
        <v>0</v>
      </c>
      <c r="S81" s="171">
        <v>0</v>
      </c>
      <c r="T81" s="171">
        <v>0</v>
      </c>
      <c r="U81" s="171">
        <v>0</v>
      </c>
      <c r="V81" s="171">
        <v>0</v>
      </c>
      <c r="W81" s="171">
        <v>0</v>
      </c>
      <c r="X81" s="171">
        <v>0</v>
      </c>
      <c r="Y81" s="171">
        <v>0</v>
      </c>
      <c r="Z81" s="171">
        <v>0</v>
      </c>
      <c r="AA81" s="171">
        <v>0</v>
      </c>
      <c r="AB81" s="171">
        <v>0</v>
      </c>
      <c r="AC81" s="171">
        <v>0</v>
      </c>
      <c r="AD81" s="171">
        <v>0</v>
      </c>
      <c r="AE81" s="171">
        <v>0</v>
      </c>
      <c r="AF81" s="171">
        <v>-26</v>
      </c>
      <c r="AG81" s="171">
        <v>0</v>
      </c>
      <c r="AH81" s="171">
        <v>0</v>
      </c>
      <c r="AI81" s="171">
        <v>0</v>
      </c>
      <c r="AJ81" s="171">
        <v>0</v>
      </c>
      <c r="AK81" s="171">
        <v>0</v>
      </c>
      <c r="AL81" s="171">
        <v>0</v>
      </c>
      <c r="AM81" s="171">
        <v>0</v>
      </c>
      <c r="AN81" s="171">
        <v>0</v>
      </c>
      <c r="AO81" s="171">
        <v>0</v>
      </c>
      <c r="AP81" s="171">
        <v>0</v>
      </c>
      <c r="AQ81" s="171">
        <v>0</v>
      </c>
      <c r="AR81" s="171">
        <v>0</v>
      </c>
    </row>
    <row r="82" spans="2:44" ht="16.5" thickBot="1">
      <c r="B82" s="170" t="s">
        <v>143</v>
      </c>
      <c r="C82" s="218">
        <f>SUM(C80:C81)</f>
        <v>13650.119239999996</v>
      </c>
      <c r="D82" s="218"/>
      <c r="E82" s="218">
        <f>SUM(E79:E81)</f>
        <v>38932.72979</v>
      </c>
      <c r="F82" s="218">
        <f>SUM(F79:F81)</f>
        <v>8140.2385399999985</v>
      </c>
      <c r="G82" s="218">
        <f>SUM(G79:G81)</f>
        <v>-693.6814600000016</v>
      </c>
      <c r="H82" s="218">
        <f>SUM(H79:H81)</f>
        <v>-13695.721460000002</v>
      </c>
      <c r="I82" s="218">
        <v>-24946.501630000002</v>
      </c>
      <c r="J82" s="218">
        <v>-35935.69774</v>
      </c>
      <c r="K82" s="218">
        <v>-43868.737290000005</v>
      </c>
      <c r="L82" s="218">
        <v>-48533.95236</v>
      </c>
      <c r="M82" s="218">
        <v>-51097.10515</v>
      </c>
      <c r="N82" s="218">
        <v>-53019.406010000006</v>
      </c>
      <c r="O82" s="218">
        <v>-54619.79959000001</v>
      </c>
      <c r="P82" s="218">
        <v>-56173.40615000001</v>
      </c>
      <c r="Q82" s="218">
        <v>-58149.35389000001</v>
      </c>
      <c r="R82" s="218">
        <v>-61477.48243000001</v>
      </c>
      <c r="S82" s="218">
        <v>-56200.44564000001</v>
      </c>
      <c r="T82" s="218">
        <v>-49897.47564000001</v>
      </c>
      <c r="U82" s="218">
        <v>-43064.02125000001</v>
      </c>
      <c r="V82" s="218">
        <f aca="true" t="shared" si="34" ref="V82:AR82">SUM(V79:V81)</f>
        <v>-38138.117780000015</v>
      </c>
      <c r="W82" s="218">
        <f t="shared" si="34"/>
        <v>-34282.961340000016</v>
      </c>
      <c r="X82" s="218">
        <f t="shared" si="34"/>
        <v>-31253.873050000017</v>
      </c>
      <c r="Y82" s="218">
        <f t="shared" si="34"/>
        <v>-29770.929110000015</v>
      </c>
      <c r="Z82" s="218">
        <f t="shared" si="34"/>
        <v>-28708.282540000015</v>
      </c>
      <c r="AA82" s="218">
        <f t="shared" si="34"/>
        <v>-27692.487530000013</v>
      </c>
      <c r="AB82" s="218">
        <f t="shared" si="34"/>
        <v>-26711.886850000014</v>
      </c>
      <c r="AC82" s="218">
        <f t="shared" si="34"/>
        <v>-25249.174790000012</v>
      </c>
      <c r="AD82" s="218">
        <f t="shared" si="34"/>
        <v>-23171.93566000001</v>
      </c>
      <c r="AE82" s="218">
        <f t="shared" si="34"/>
        <v>-21380.93566000001</v>
      </c>
      <c r="AF82" s="218">
        <f t="shared" si="34"/>
        <v>-18146.93566000001</v>
      </c>
      <c r="AG82" s="218">
        <f t="shared" si="34"/>
        <v>-14523.147320000011</v>
      </c>
      <c r="AH82" s="218">
        <f t="shared" si="34"/>
        <v>-11852.264220000012</v>
      </c>
      <c r="AI82" s="218">
        <f t="shared" si="34"/>
        <v>-9512.600360000011</v>
      </c>
      <c r="AJ82" s="218">
        <f t="shared" si="34"/>
        <v>-8373.728290000012</v>
      </c>
      <c r="AK82" s="218">
        <f t="shared" si="34"/>
        <v>-7543.478060000012</v>
      </c>
      <c r="AL82" s="218">
        <f t="shared" si="34"/>
        <v>-6882.110890000013</v>
      </c>
      <c r="AM82" s="218">
        <f t="shared" si="34"/>
        <v>-6303.977980000012</v>
      </c>
      <c r="AN82" s="218">
        <f t="shared" si="34"/>
        <v>-5710.349290000012</v>
      </c>
      <c r="AO82" s="218">
        <f t="shared" si="34"/>
        <v>-4950.587630000012</v>
      </c>
      <c r="AP82" s="218">
        <f t="shared" si="34"/>
        <v>-3439.816420000012</v>
      </c>
      <c r="AQ82" s="218">
        <f t="shared" si="34"/>
        <v>-4198.816420000012</v>
      </c>
      <c r="AR82" s="218">
        <f t="shared" si="34"/>
        <v>-4496.816420000012</v>
      </c>
    </row>
    <row r="83" spans="2:44" ht="16.5" thickTop="1">
      <c r="B83" s="170" t="s">
        <v>144</v>
      </c>
      <c r="E83" s="171" t="str">
        <f>_XLL.GET_BALANCE(E78,"YTD","USD","Total","A","","001",$A$78,"GD","WA","DL")</f>
        <v>Error (Logon)</v>
      </c>
      <c r="F83" s="171" t="str">
        <f>_XLL.GET_BALANCE(F78,"YTD","USD","Total","A","","001",$A$78,"GD","WA","DL")</f>
        <v>Error (Logon)</v>
      </c>
      <c r="G83" s="171" t="str">
        <f>_XLL.GET_BALANCE(G78,"YTD","USD","Total","A","","001",$A$78,"GD","WA","DL")</f>
        <v>Error (Logon)</v>
      </c>
      <c r="H83" s="171" t="str">
        <f>_XLL.GET_BALANCE(H78,"YTD","USD","Total","A","","001",$A$78,"GD","WA","DL")</f>
        <v>Error (Logon)</v>
      </c>
      <c r="I83" s="171">
        <v>-24946.5</v>
      </c>
      <c r="J83" s="171">
        <v>-35935.7</v>
      </c>
      <c r="K83" s="171">
        <v>-43868.74</v>
      </c>
      <c r="L83" s="171">
        <v>-48533.96</v>
      </c>
      <c r="M83" s="171">
        <v>-51097.11</v>
      </c>
      <c r="N83" s="171">
        <v>-53019.41</v>
      </c>
      <c r="O83" s="171">
        <v>-54619.8</v>
      </c>
      <c r="P83" s="171">
        <v>-56173.41</v>
      </c>
      <c r="Q83" s="171">
        <v>-58149.36</v>
      </c>
      <c r="R83" s="171">
        <v>-61477.49</v>
      </c>
      <c r="S83" s="171">
        <v>-56200.45</v>
      </c>
      <c r="T83" s="171">
        <v>-49897.48</v>
      </c>
      <c r="U83" s="171">
        <v>-43064.03</v>
      </c>
      <c r="V83" s="171" t="str">
        <f>_XLL.GET_BALANCE(V78,"YTD","USD","Total","A","","001",$A$78,"GD","WA","DL")</f>
        <v>Error (Logon)</v>
      </c>
      <c r="W83" s="171" t="str">
        <f>_XLL.GET_BALANCE(W78,"YTD","USD","Total","A","","001",$A$78,"GD","WA","DL")</f>
        <v>Error (Logon)</v>
      </c>
      <c r="X83" s="171" t="str">
        <f>_XLL.GET_BALANCE(X78,"YTD","USD","Total","A","","001",$A$78,"GD","WA","DL")</f>
        <v>Error (Logon)</v>
      </c>
      <c r="Y83" s="171" t="str">
        <f>_XLL.GET_BALANCE(Y78,"YTD","USD","Total","A","","001",$A$78,"GD","WA","DL")</f>
        <v>Error (Logon)</v>
      </c>
      <c r="Z83" s="171" t="str">
        <f>_XLL.GET_BALANCE(Z78,"YTD","USD","Total","A","","001",$A$78,"GD","WA","DL")</f>
        <v>Error (Logon)</v>
      </c>
      <c r="AA83" s="171" t="str">
        <f>_XLL.GET_BALANCE(AA78,"YTD","USD","Total","A","","001",$A$78,"GD","WA","DL")</f>
        <v>Error (Logon)</v>
      </c>
      <c r="AB83" s="171" t="str">
        <f>_XLL.GET_BALANCE(AB78,"YTD","USD","Total","A","","001",$A$78,"GD","WA","DL")</f>
        <v>Error (Logon)</v>
      </c>
      <c r="AC83" s="171" t="str">
        <f>_XLL.GET_BALANCE(AC78,"YTD","USD","Total","A","","001",$A$78,"GD","WA","DL")</f>
        <v>Error (Logon)</v>
      </c>
      <c r="AD83" s="171" t="str">
        <f>_XLL.GET_BALANCE(AD78,"YTD","USD","Total","A","","001",$A$78,"GD","WA","DL")</f>
        <v>Error (Logon)</v>
      </c>
      <c r="AE83" s="171" t="str">
        <f>_XLL.GET_BALANCE(AE78,"YTD","USD","Total","A","","001",$A$78,"GD","WA","DL")</f>
        <v>Error (Logon)</v>
      </c>
      <c r="AF83" s="171" t="str">
        <f>_XLL.GET_BALANCE(AF78,"YTD","USD","Total","A","","001",$A$78,"GD","WA","DL")</f>
        <v>Error (Logon)</v>
      </c>
      <c r="AG83" s="171" t="str">
        <f>_XLL.GET_BALANCE(AG78,"YTD","USD","Total","A","","001",$A$78,"GD","WA","DL")</f>
        <v>Error (Logon)</v>
      </c>
      <c r="AH83" s="171" t="str">
        <f>_XLL.GET_BALANCE(AH78,"YTD","USD","Total","A","","001",$A$78,"GD","WA","DL")</f>
        <v>Error (Logon)</v>
      </c>
      <c r="AI83" s="171" t="str">
        <f>_XLL.GET_BALANCE(AI78,"YTD","USD","Total","A","","001",$A$78,"GD","WA","DL")</f>
        <v>Error (Logon)</v>
      </c>
      <c r="AJ83" s="171" t="str">
        <f>_XLL.GET_BALANCE(AJ78,"YTD","USD","Total","A","","001",$A$78,"GD","WA","DL")</f>
        <v>Error (Logon)</v>
      </c>
      <c r="AK83" s="171" t="str">
        <f>_XLL.GET_BALANCE(AK78,"YTD","USD","Total","A","","001",$A$78,"GD","WA","DL")</f>
        <v>Error (Logon)</v>
      </c>
      <c r="AL83" s="171" t="str">
        <f>_XLL.GET_BALANCE(AL78,"YTD","USD","Total","A","","001",$A$78,"GD","WA","DL")</f>
        <v>Error (Logon)</v>
      </c>
      <c r="AM83" s="171" t="str">
        <f>_XLL.GET_BALANCE(AM78,"YTD","USD","Total","A","","001",$A$78,"GD","WA","DL")</f>
        <v>Error (Logon)</v>
      </c>
      <c r="AN83" s="171" t="str">
        <f>_XLL.GET_BALANCE(AN78,"YTD","USD","Total","A","","001",$A$78,"GD","WA","DL")</f>
        <v>Error (Logon)</v>
      </c>
      <c r="AO83" s="171" t="str">
        <f>_XLL.GET_BALANCE(AO78,"YTD","USD","Total","A","","001",$A$78,"GD","WA","DL")</f>
        <v>Error (Logon)</v>
      </c>
      <c r="AP83" s="171" t="str">
        <f>_XLL.GET_BALANCE(AP78,"YTD","USD","Total","A","","001",$A$78,"GD","WA","DL")</f>
        <v>Error (Logon)</v>
      </c>
      <c r="AQ83" s="171" t="str">
        <f>_XLL.GET_BALANCE(AQ78,"YTD","USD","Total","A","","001",$A$78,"GD","WA","DL")</f>
        <v>Error (Logon)</v>
      </c>
      <c r="AR83" s="171" t="str">
        <f>_XLL.GET_BALANCE(AR78,"YTD","USD","Total","A","","001",$A$78,"GD","WA","DL")</f>
        <v>Error (Logon)</v>
      </c>
    </row>
    <row r="84" spans="2:44" ht="15.75">
      <c r="B84" s="170" t="s">
        <v>145</v>
      </c>
      <c r="E84" s="171" t="e">
        <f>E82-E83</f>
        <v>#VALUE!</v>
      </c>
      <c r="F84" s="171" t="e">
        <f>F82-F83</f>
        <v>#VALUE!</v>
      </c>
      <c r="G84" s="171" t="e">
        <f>G82-G83</f>
        <v>#VALUE!</v>
      </c>
      <c r="H84" s="171" t="e">
        <f>H82-H83</f>
        <v>#VALUE!</v>
      </c>
      <c r="I84" s="171">
        <v>-0.0016300000024784822</v>
      </c>
      <c r="J84" s="171">
        <v>0.002259999993839301</v>
      </c>
      <c r="K84" s="171">
        <v>0.0027099999933852814</v>
      </c>
      <c r="L84" s="171">
        <v>0.007639999996172264</v>
      </c>
      <c r="M84" s="171">
        <v>0.004849999997531995</v>
      </c>
      <c r="N84" s="171">
        <v>0.00398999999742955</v>
      </c>
      <c r="O84" s="171">
        <v>0.0004099999932805076</v>
      </c>
      <c r="P84" s="171">
        <v>0.0038499999936902896</v>
      </c>
      <c r="Q84" s="171">
        <v>0.006109999987529591</v>
      </c>
      <c r="R84" s="171">
        <v>0.0075699999870266765</v>
      </c>
      <c r="S84" s="171">
        <v>0.004359999984444585</v>
      </c>
      <c r="T84" s="171">
        <v>0.004359999991720542</v>
      </c>
      <c r="U84" s="171">
        <v>0.0087499999863212</v>
      </c>
      <c r="V84" s="171" t="e">
        <f aca="true" t="shared" si="35" ref="V84:AR84">V82-V83</f>
        <v>#VALUE!</v>
      </c>
      <c r="W84" s="171" t="e">
        <f t="shared" si="35"/>
        <v>#VALUE!</v>
      </c>
      <c r="X84" s="171" t="e">
        <f t="shared" si="35"/>
        <v>#VALUE!</v>
      </c>
      <c r="Y84" s="171" t="e">
        <f t="shared" si="35"/>
        <v>#VALUE!</v>
      </c>
      <c r="Z84" s="171" t="e">
        <f t="shared" si="35"/>
        <v>#VALUE!</v>
      </c>
      <c r="AA84" s="171" t="e">
        <f t="shared" si="35"/>
        <v>#VALUE!</v>
      </c>
      <c r="AB84" s="171" t="e">
        <f t="shared" si="35"/>
        <v>#VALUE!</v>
      </c>
      <c r="AC84" s="171" t="e">
        <f t="shared" si="35"/>
        <v>#VALUE!</v>
      </c>
      <c r="AD84" s="171" t="e">
        <f t="shared" si="35"/>
        <v>#VALUE!</v>
      </c>
      <c r="AE84" s="171" t="e">
        <f t="shared" si="35"/>
        <v>#VALUE!</v>
      </c>
      <c r="AF84" s="171" t="e">
        <f t="shared" si="35"/>
        <v>#VALUE!</v>
      </c>
      <c r="AG84" s="171" t="e">
        <f t="shared" si="35"/>
        <v>#VALUE!</v>
      </c>
      <c r="AH84" s="171" t="e">
        <f t="shared" si="35"/>
        <v>#VALUE!</v>
      </c>
      <c r="AI84" s="171" t="e">
        <f t="shared" si="35"/>
        <v>#VALUE!</v>
      </c>
      <c r="AJ84" s="171" t="e">
        <f t="shared" si="35"/>
        <v>#VALUE!</v>
      </c>
      <c r="AK84" s="171" t="e">
        <f t="shared" si="35"/>
        <v>#VALUE!</v>
      </c>
      <c r="AL84" s="171" t="e">
        <f t="shared" si="35"/>
        <v>#VALUE!</v>
      </c>
      <c r="AM84" s="171" t="e">
        <f t="shared" si="35"/>
        <v>#VALUE!</v>
      </c>
      <c r="AN84" s="171" t="e">
        <f t="shared" si="35"/>
        <v>#VALUE!</v>
      </c>
      <c r="AO84" s="171" t="e">
        <f t="shared" si="35"/>
        <v>#VALUE!</v>
      </c>
      <c r="AP84" s="171" t="e">
        <f t="shared" si="35"/>
        <v>#VALUE!</v>
      </c>
      <c r="AQ84" s="171" t="e">
        <f t="shared" si="35"/>
        <v>#VALUE!</v>
      </c>
      <c r="AR84" s="171" t="e">
        <f t="shared" si="35"/>
        <v>#VALUE!</v>
      </c>
    </row>
  </sheetData>
  <sheetProtection/>
  <conditionalFormatting sqref="E29 L65:AS65 K29:AK29 AN29:AS29">
    <cfRule type="cellIs" priority="25" dxfId="7" operator="notEqual">
      <formula>E28</formula>
    </cfRule>
  </conditionalFormatting>
  <conditionalFormatting sqref="F29">
    <cfRule type="cellIs" priority="24" dxfId="7" operator="notEqual">
      <formula>F28</formula>
    </cfRule>
  </conditionalFormatting>
  <conditionalFormatting sqref="G29">
    <cfRule type="cellIs" priority="23" dxfId="7" operator="notEqual">
      <formula>G28</formula>
    </cfRule>
  </conditionalFormatting>
  <conditionalFormatting sqref="H29">
    <cfRule type="cellIs" priority="22" dxfId="7" operator="notEqual">
      <formula>H28</formula>
    </cfRule>
  </conditionalFormatting>
  <conditionalFormatting sqref="G65">
    <cfRule type="cellIs" priority="19" dxfId="7" operator="notEqual">
      <formula>G64</formula>
    </cfRule>
  </conditionalFormatting>
  <conditionalFormatting sqref="H65">
    <cfRule type="cellIs" priority="18" dxfId="7" operator="notEqual">
      <formula>H64</formula>
    </cfRule>
  </conditionalFormatting>
  <conditionalFormatting sqref="E65">
    <cfRule type="cellIs" priority="21" dxfId="7" operator="notEqual">
      <formula>E64</formula>
    </cfRule>
  </conditionalFormatting>
  <conditionalFormatting sqref="F65">
    <cfRule type="cellIs" priority="20" dxfId="7" operator="notEqual">
      <formula>F64</formula>
    </cfRule>
  </conditionalFormatting>
  <conditionalFormatting sqref="AY80 AY47 AY11">
    <cfRule type="cellIs" priority="17" dxfId="32" operator="notEqual">
      <formula>0</formula>
    </cfRule>
  </conditionalFormatting>
  <conditionalFormatting sqref="D65">
    <cfRule type="cellIs" priority="16" dxfId="7" operator="notEqual">
      <formula>D64</formula>
    </cfRule>
  </conditionalFormatting>
  <conditionalFormatting sqref="C65">
    <cfRule type="cellIs" priority="15" dxfId="7" operator="notEqual">
      <formula>C64</formula>
    </cfRule>
  </conditionalFormatting>
  <conditionalFormatting sqref="D29">
    <cfRule type="cellIs" priority="14" dxfId="7" operator="notEqual">
      <formula>D28</formula>
    </cfRule>
  </conditionalFormatting>
  <conditionalFormatting sqref="C29">
    <cfRule type="cellIs" priority="13" dxfId="7" operator="notEqual">
      <formula>C28</formula>
    </cfRule>
  </conditionalFormatting>
  <conditionalFormatting sqref="I29">
    <cfRule type="cellIs" priority="12" dxfId="7" operator="notEqual">
      <formula>I28</formula>
    </cfRule>
  </conditionalFormatting>
  <conditionalFormatting sqref="I65">
    <cfRule type="cellIs" priority="11" dxfId="7" operator="notEqual">
      <formula>I64</formula>
    </cfRule>
  </conditionalFormatting>
  <conditionalFormatting sqref="J29">
    <cfRule type="cellIs" priority="10" dxfId="7" operator="notEqual">
      <formula>J28</formula>
    </cfRule>
  </conditionalFormatting>
  <conditionalFormatting sqref="J65">
    <cfRule type="cellIs" priority="9" dxfId="7" operator="notEqual">
      <formula>J64</formula>
    </cfRule>
  </conditionalFormatting>
  <conditionalFormatting sqref="K65">
    <cfRule type="cellIs" priority="8" dxfId="7" operator="notEqual">
      <formula>K64</formula>
    </cfRule>
  </conditionalFormatting>
  <conditionalFormatting sqref="U29">
    <cfRule type="cellIs" priority="7" dxfId="7" operator="notEqual">
      <formula>U28</formula>
    </cfRule>
  </conditionalFormatting>
  <conditionalFormatting sqref="U65">
    <cfRule type="cellIs" priority="6" dxfId="7" operator="notEqual">
      <formula>U64</formula>
    </cfRule>
  </conditionalFormatting>
  <conditionalFormatting sqref="V29">
    <cfRule type="cellIs" priority="5" dxfId="7" operator="notEqual">
      <formula>V28</formula>
    </cfRule>
  </conditionalFormatting>
  <conditionalFormatting sqref="V65">
    <cfRule type="cellIs" priority="4" dxfId="7" operator="notEqual">
      <formula>V64</formula>
    </cfRule>
  </conditionalFormatting>
  <conditionalFormatting sqref="W65">
    <cfRule type="cellIs" priority="3" dxfId="7" operator="notEqual">
      <formula>W64</formula>
    </cfRule>
  </conditionalFormatting>
  <conditionalFormatting sqref="AL29">
    <cfRule type="cellIs" priority="2" dxfId="7" operator="notEqual">
      <formula>AL28</formula>
    </cfRule>
  </conditionalFormatting>
  <conditionalFormatting sqref="AM29">
    <cfRule type="cellIs" priority="1" dxfId="7" operator="notEqual">
      <formula>AM28</formula>
    </cfRule>
  </conditionalFormatting>
  <printOptions/>
  <pageMargins left="0" right="0" top="0.75" bottom="0.75" header="0.3" footer="0.3"/>
  <pageSetup fitToHeight="1" fitToWidth="1" horizontalDpi="600" verticalDpi="600" orientation="landscape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00CC66"/>
    <pageSetUpPr fitToPage="1"/>
  </sheetPr>
  <dimension ref="A1:U1484"/>
  <sheetViews>
    <sheetView showGridLines="0" zoomScale="70" zoomScaleNormal="70" zoomScalePageLayoutView="0" workbookViewId="0" topLeftCell="A1">
      <selection activeCell="G59" sqref="G59"/>
    </sheetView>
  </sheetViews>
  <sheetFormatPr defaultColWidth="16.00390625" defaultRowHeight="12.75"/>
  <cols>
    <col min="1" max="1" width="44.8515625" style="5" customWidth="1"/>
    <col min="2" max="2" width="25.57421875" style="5" customWidth="1"/>
    <col min="3" max="3" width="25.28125" style="5" customWidth="1"/>
    <col min="4" max="4" width="2.7109375" style="4" customWidth="1"/>
    <col min="5" max="5" width="4.28125" style="5" customWidth="1"/>
    <col min="6" max="6" width="26.7109375" style="5" customWidth="1"/>
    <col min="7" max="7" width="19.00390625" style="5" customWidth="1"/>
    <col min="8" max="8" width="22.00390625" style="5" customWidth="1"/>
    <col min="9" max="9" width="20.421875" style="5" customWidth="1"/>
    <col min="10" max="10" width="26.28125" style="5" customWidth="1"/>
    <col min="11" max="11" width="21.8515625" style="5" bestFit="1" customWidth="1"/>
    <col min="12" max="12" width="23.8515625" style="5" customWidth="1"/>
    <col min="13" max="13" width="20.8515625" style="5" bestFit="1" customWidth="1"/>
    <col min="14" max="15" width="16.00390625" style="5" customWidth="1"/>
    <col min="16" max="16" width="16.28125" style="5" bestFit="1" customWidth="1"/>
    <col min="17" max="16384" width="16.00390625" style="5" customWidth="1"/>
  </cols>
  <sheetData>
    <row r="1" spans="1:13" ht="16.5" thickBot="1">
      <c r="A1" s="1" t="s">
        <v>0</v>
      </c>
      <c r="B1" s="2"/>
      <c r="C1" s="3">
        <f>'[1]Nov'!C1+1</f>
        <v>201612</v>
      </c>
      <c r="F1" s="3">
        <f>C1</f>
        <v>201612</v>
      </c>
      <c r="G1" s="6"/>
      <c r="H1" s="7" t="s">
        <v>1</v>
      </c>
      <c r="I1" s="8" t="s">
        <v>2</v>
      </c>
      <c r="J1" s="8" t="s">
        <v>2</v>
      </c>
      <c r="K1" s="8" t="s">
        <v>3</v>
      </c>
      <c r="L1" s="8" t="s">
        <v>3</v>
      </c>
      <c r="M1" s="6"/>
    </row>
    <row r="2" spans="3:13" ht="15.75">
      <c r="C2" s="9"/>
      <c r="F2" s="6"/>
      <c r="G2" s="6"/>
      <c r="H2" s="10" t="s">
        <v>4</v>
      </c>
      <c r="I2" s="11" t="s">
        <v>5</v>
      </c>
      <c r="J2" s="11" t="s">
        <v>5</v>
      </c>
      <c r="K2" s="11" t="s">
        <v>6</v>
      </c>
      <c r="L2" s="11" t="s">
        <v>6</v>
      </c>
      <c r="M2" s="6"/>
    </row>
    <row r="3" spans="1:13" ht="16.5" thickBot="1">
      <c r="A3" s="12" t="s">
        <v>7</v>
      </c>
      <c r="C3" s="13"/>
      <c r="D3" s="14"/>
      <c r="F3" s="15" t="s">
        <v>8</v>
      </c>
      <c r="G3" s="6"/>
      <c r="H3" s="16" t="s">
        <v>9</v>
      </c>
      <c r="I3" s="16" t="s">
        <v>10</v>
      </c>
      <c r="J3" s="16" t="s">
        <v>11</v>
      </c>
      <c r="K3" s="16" t="s">
        <v>10</v>
      </c>
      <c r="L3" s="16" t="s">
        <v>11</v>
      </c>
      <c r="M3" s="6"/>
    </row>
    <row r="4" spans="1:13" ht="15.75">
      <c r="A4" s="6" t="s">
        <v>12</v>
      </c>
      <c r="C4" s="17">
        <v>4585838.33</v>
      </c>
      <c r="D4" s="18"/>
      <c r="F4" s="6"/>
      <c r="G4" s="6"/>
      <c r="H4" s="19"/>
      <c r="I4" s="6"/>
      <c r="J4" s="6"/>
      <c r="L4" s="6"/>
      <c r="M4" s="6"/>
    </row>
    <row r="5" spans="1:13" ht="14.25" customHeight="1">
      <c r="A5" s="6" t="s">
        <v>13</v>
      </c>
      <c r="C5" s="17">
        <f>145873.85-2473.26-1179.48</f>
        <v>142221.11</v>
      </c>
      <c r="D5" s="18"/>
      <c r="F5" s="6"/>
      <c r="G5" s="6"/>
      <c r="H5" s="19"/>
      <c r="I5" s="20">
        <v>0.7053</v>
      </c>
      <c r="J5" s="20">
        <v>0.2947</v>
      </c>
      <c r="K5" s="21">
        <f>ROUND(G45/(G45+K43),4)</f>
        <v>0.6827</v>
      </c>
      <c r="L5" s="21">
        <f>1-K5</f>
        <v>0.3173</v>
      </c>
      <c r="M5" s="6"/>
    </row>
    <row r="6" spans="1:13" ht="16.5" thickBot="1">
      <c r="A6" s="22" t="s">
        <v>14</v>
      </c>
      <c r="C6" s="23">
        <f>-2336662.51-443634.8-73643.38-126752.8-142596.9-81755.56-102112.06</f>
        <v>-3307158.0099999993</v>
      </c>
      <c r="D6" s="18"/>
      <c r="F6" s="6"/>
      <c r="G6" s="6"/>
      <c r="H6" s="6"/>
      <c r="I6" s="6"/>
      <c r="J6" s="6"/>
      <c r="K6" s="6"/>
      <c r="L6" s="6"/>
      <c r="M6" s="6"/>
    </row>
    <row r="7" spans="1:13" ht="16.5" thickBot="1">
      <c r="A7" s="24" t="s">
        <v>15</v>
      </c>
      <c r="C7" s="25">
        <f>SUM(C4:C6)</f>
        <v>1420901.430000001</v>
      </c>
      <c r="D7" s="26"/>
      <c r="F7" s="27" t="s">
        <v>16</v>
      </c>
      <c r="G7" s="27"/>
      <c r="H7" s="28">
        <f>C34</f>
        <v>2177275.080000001</v>
      </c>
      <c r="I7" s="29">
        <f>H7*I5</f>
        <v>1535632.1139240009</v>
      </c>
      <c r="J7" s="29">
        <f>H7*J5</f>
        <v>641642.9660760004</v>
      </c>
      <c r="K7" s="29"/>
      <c r="L7" s="29"/>
      <c r="M7" s="6"/>
    </row>
    <row r="8" spans="1:13" ht="15.75">
      <c r="A8" s="5" t="s">
        <v>17</v>
      </c>
      <c r="C8" s="17">
        <f>252729.32</f>
        <v>252729.32</v>
      </c>
      <c r="D8" s="26"/>
      <c r="F8" s="6"/>
      <c r="G8" s="6"/>
      <c r="H8" s="30"/>
      <c r="I8" s="30"/>
      <c r="J8" s="30"/>
      <c r="K8" s="30"/>
      <c r="L8" s="30"/>
      <c r="M8" s="6"/>
    </row>
    <row r="9" spans="1:13" ht="15.75">
      <c r="A9" s="6" t="s">
        <v>18</v>
      </c>
      <c r="C9" s="17">
        <f>244.31+8982.55</f>
        <v>9226.859999999999</v>
      </c>
      <c r="D9" s="31"/>
      <c r="F9" s="27" t="s">
        <v>19</v>
      </c>
      <c r="G9" s="6"/>
      <c r="H9" s="29">
        <f>C55</f>
        <v>10101223.860000001</v>
      </c>
      <c r="I9" s="29"/>
      <c r="J9" s="29"/>
      <c r="K9" s="29">
        <f>H9*K5</f>
        <v>6896105.529222</v>
      </c>
      <c r="L9" s="29">
        <f>H9*L5</f>
        <v>3205118.330778001</v>
      </c>
      <c r="M9" s="6"/>
    </row>
    <row r="10" spans="1:13" ht="15.75">
      <c r="A10" s="22" t="s">
        <v>20</v>
      </c>
      <c r="C10" s="23">
        <f>-3418.47</f>
        <v>-3418.47</v>
      </c>
      <c r="D10" s="31"/>
      <c r="F10" s="32" t="s">
        <v>21</v>
      </c>
      <c r="G10" s="6"/>
      <c r="H10" s="29">
        <f>C56</f>
        <v>-111632.43</v>
      </c>
      <c r="I10" s="29"/>
      <c r="J10" s="29"/>
      <c r="K10" s="29">
        <f>H10</f>
        <v>-111632.43</v>
      </c>
      <c r="L10" s="29"/>
      <c r="M10" s="6"/>
    </row>
    <row r="11" spans="1:13" ht="15">
      <c r="A11" s="24" t="s">
        <v>22</v>
      </c>
      <c r="C11" s="25">
        <f>SUM(C8:C10)</f>
        <v>258537.71</v>
      </c>
      <c r="D11" s="31"/>
      <c r="F11" s="32" t="s">
        <v>23</v>
      </c>
      <c r="G11" s="6"/>
      <c r="H11" s="33">
        <f>C57</f>
        <v>-52205.05</v>
      </c>
      <c r="I11" s="29"/>
      <c r="J11" s="29"/>
      <c r="K11" s="33"/>
      <c r="L11" s="33">
        <f>H11</f>
        <v>-52205.05</v>
      </c>
      <c r="M11" s="6"/>
    </row>
    <row r="12" spans="1:13" ht="15.75">
      <c r="A12" s="5" t="s">
        <v>24</v>
      </c>
      <c r="C12" s="17">
        <f>897.99+205133.54</f>
        <v>206031.53</v>
      </c>
      <c r="D12" s="31"/>
      <c r="F12" s="32" t="s">
        <v>25</v>
      </c>
      <c r="G12" s="6"/>
      <c r="H12" s="29">
        <f>H9+H10+H11</f>
        <v>9937386.38</v>
      </c>
      <c r="I12" s="29"/>
      <c r="J12" s="29"/>
      <c r="K12" s="29">
        <f>SUM(K9:K11)</f>
        <v>6784473.099222001</v>
      </c>
      <c r="L12" s="29">
        <f>SUM(L9:L11)</f>
        <v>3152913.280778001</v>
      </c>
      <c r="M12" s="6"/>
    </row>
    <row r="13" spans="1:13" ht="16.5" thickBot="1">
      <c r="A13" s="22" t="s">
        <v>26</v>
      </c>
      <c r="C13" s="34">
        <v>0</v>
      </c>
      <c r="D13" s="31"/>
      <c r="F13" s="35"/>
      <c r="G13" s="36"/>
      <c r="H13" s="37"/>
      <c r="I13" s="38"/>
      <c r="J13" s="37"/>
      <c r="K13" s="30"/>
      <c r="L13" s="37"/>
      <c r="M13" s="6"/>
    </row>
    <row r="14" spans="1:13" ht="16.5" thickBot="1">
      <c r="A14" s="24" t="s">
        <v>27</v>
      </c>
      <c r="C14" s="25">
        <f>SUM(C12:C13)</f>
        <v>206031.53</v>
      </c>
      <c r="D14" s="39"/>
      <c r="F14" s="15" t="s">
        <v>1</v>
      </c>
      <c r="G14" s="40"/>
      <c r="H14" s="28">
        <f>H12+H7</f>
        <v>12114661.46</v>
      </c>
      <c r="I14" s="41">
        <f>SUM(I7:I13)</f>
        <v>1535632.1139240009</v>
      </c>
      <c r="J14" s="41">
        <f>SUM(J7:J13)</f>
        <v>641642.9660760004</v>
      </c>
      <c r="K14" s="41">
        <f>K12</f>
        <v>6784473.099222001</v>
      </c>
      <c r="L14" s="41">
        <f>L12</f>
        <v>3152913.280778001</v>
      </c>
      <c r="M14" s="6"/>
    </row>
    <row r="15" spans="1:13" ht="15.75">
      <c r="A15" s="5" t="s">
        <v>28</v>
      </c>
      <c r="C15" s="17">
        <f>1725.38+394007.99</f>
        <v>395733.37</v>
      </c>
      <c r="D15" s="31"/>
      <c r="F15" s="35"/>
      <c r="G15" s="36" t="s">
        <v>29</v>
      </c>
      <c r="H15" s="37">
        <f>H14-C60</f>
        <v>0</v>
      </c>
      <c r="I15" s="42"/>
      <c r="J15" s="37">
        <f>J7+I7-H7</f>
        <v>0</v>
      </c>
      <c r="K15" s="6"/>
      <c r="L15" s="37">
        <f>H12-K14-L14</f>
        <v>0</v>
      </c>
      <c r="M15" s="6"/>
    </row>
    <row r="16" spans="1:13" ht="15.75">
      <c r="A16" s="22" t="s">
        <v>30</v>
      </c>
      <c r="C16" s="34">
        <v>0</v>
      </c>
      <c r="D16" s="31"/>
      <c r="F16" s="43"/>
      <c r="G16" s="36"/>
      <c r="H16" s="44"/>
      <c r="I16" s="45"/>
      <c r="J16" s="44"/>
      <c r="K16" s="6"/>
      <c r="L16" s="44"/>
      <c r="M16" s="6"/>
    </row>
    <row r="17" spans="1:13" ht="15.75" thickBot="1">
      <c r="A17" s="24" t="s">
        <v>31</v>
      </c>
      <c r="C17" s="25">
        <f>SUM(C15:C16)</f>
        <v>395733.37</v>
      </c>
      <c r="D17" s="39"/>
      <c r="F17" s="35"/>
      <c r="G17" s="36"/>
      <c r="H17" s="44"/>
      <c r="I17" s="45"/>
      <c r="J17" s="46"/>
      <c r="K17" s="6"/>
      <c r="L17" s="44"/>
      <c r="M17" s="6"/>
    </row>
    <row r="18" spans="1:13" ht="16.5" thickBot="1">
      <c r="A18" s="5" t="s">
        <v>32</v>
      </c>
      <c r="C18" s="17">
        <f>283.63+6032.07+59912.64</f>
        <v>66228.34</v>
      </c>
      <c r="D18" s="31"/>
      <c r="F18" s="249" t="s">
        <v>33</v>
      </c>
      <c r="G18" s="250"/>
      <c r="H18" s="250"/>
      <c r="I18" s="251"/>
      <c r="J18" s="249" t="s">
        <v>34</v>
      </c>
      <c r="K18" s="250"/>
      <c r="L18" s="250"/>
      <c r="M18" s="251"/>
    </row>
    <row r="19" spans="1:13" ht="15.75">
      <c r="A19" s="47" t="s">
        <v>35</v>
      </c>
      <c r="C19" s="23">
        <v>-1184.09</v>
      </c>
      <c r="D19" s="31"/>
      <c r="F19" s="48" t="s">
        <v>36</v>
      </c>
      <c r="G19" s="11" t="s">
        <v>37</v>
      </c>
      <c r="H19" s="11" t="s">
        <v>37</v>
      </c>
      <c r="I19" s="11" t="s">
        <v>37</v>
      </c>
      <c r="J19" s="48" t="s">
        <v>36</v>
      </c>
      <c r="K19" s="11" t="s">
        <v>37</v>
      </c>
      <c r="L19" s="11" t="s">
        <v>37</v>
      </c>
      <c r="M19" s="49" t="s">
        <v>37</v>
      </c>
    </row>
    <row r="20" spans="1:13" ht="16.5" thickBot="1">
      <c r="A20" s="50" t="s">
        <v>38</v>
      </c>
      <c r="C20" s="25">
        <f>SUM(C18:C19)</f>
        <v>65044.25</v>
      </c>
      <c r="D20" s="31"/>
      <c r="F20" s="51" t="s">
        <v>39</v>
      </c>
      <c r="G20" s="16" t="s">
        <v>40</v>
      </c>
      <c r="H20" s="16" t="s">
        <v>41</v>
      </c>
      <c r="I20" s="16" t="s">
        <v>42</v>
      </c>
      <c r="J20" s="51" t="s">
        <v>39</v>
      </c>
      <c r="K20" s="16" t="s">
        <v>40</v>
      </c>
      <c r="L20" s="16" t="s">
        <v>41</v>
      </c>
      <c r="M20" s="16" t="s">
        <v>42</v>
      </c>
    </row>
    <row r="21" spans="1:13" ht="15.75">
      <c r="A21" s="47" t="s">
        <v>43</v>
      </c>
      <c r="C21" s="23">
        <f>1850-2977.75</f>
        <v>-1127.75</v>
      </c>
      <c r="D21" s="31"/>
      <c r="F21" s="52"/>
      <c r="G21" s="53"/>
      <c r="H21" s="53"/>
      <c r="I21" s="49"/>
      <c r="J21" s="54"/>
      <c r="K21" s="55"/>
      <c r="L21" s="55"/>
      <c r="M21" s="56"/>
    </row>
    <row r="22" spans="1:13" ht="18" customHeight="1">
      <c r="A22" s="57" t="s">
        <v>43</v>
      </c>
      <c r="C22" s="25">
        <f>SUM(C21)</f>
        <v>-1127.75</v>
      </c>
      <c r="D22" s="31"/>
      <c r="F22" s="58" t="s">
        <v>44</v>
      </c>
      <c r="G22" s="59"/>
      <c r="H22" s="59"/>
      <c r="I22" s="60"/>
      <c r="J22" s="58" t="s">
        <v>44</v>
      </c>
      <c r="K22" s="59"/>
      <c r="L22" s="59"/>
      <c r="M22" s="60"/>
    </row>
    <row r="23" spans="1:13" ht="15.75">
      <c r="A23" s="61" t="s">
        <v>45</v>
      </c>
      <c r="C23" s="25">
        <v>0</v>
      </c>
      <c r="D23" s="31"/>
      <c r="F23" s="62" t="s">
        <v>46</v>
      </c>
      <c r="G23" s="63">
        <v>24209007</v>
      </c>
      <c r="H23" s="64" t="s">
        <v>47</v>
      </c>
      <c r="I23" s="65">
        <v>3064302</v>
      </c>
      <c r="J23" s="62" t="s">
        <v>46</v>
      </c>
      <c r="K23" s="63">
        <v>12024731</v>
      </c>
      <c r="L23" s="64" t="s">
        <v>47</v>
      </c>
      <c r="M23" s="65">
        <v>1363733</v>
      </c>
    </row>
    <row r="24" spans="1:13" ht="15.75">
      <c r="A24" s="61" t="s">
        <v>48</v>
      </c>
      <c r="C24" s="66">
        <v>0</v>
      </c>
      <c r="D24" s="31"/>
      <c r="F24" s="62" t="s">
        <v>49</v>
      </c>
      <c r="G24" s="63">
        <v>35292</v>
      </c>
      <c r="H24" s="64" t="s">
        <v>47</v>
      </c>
      <c r="I24" s="65">
        <v>4466</v>
      </c>
      <c r="J24" s="62" t="s">
        <v>50</v>
      </c>
      <c r="K24" s="63">
        <v>3417191</v>
      </c>
      <c r="L24" s="64" t="s">
        <v>47</v>
      </c>
      <c r="M24" s="65">
        <v>387636</v>
      </c>
    </row>
    <row r="25" spans="1:13" ht="15.75">
      <c r="A25" s="61" t="s">
        <v>51</v>
      </c>
      <c r="C25" s="67">
        <v>0</v>
      </c>
      <c r="D25" s="31"/>
      <c r="F25" s="62" t="s">
        <v>50</v>
      </c>
      <c r="G25" s="63">
        <v>8576537</v>
      </c>
      <c r="H25" s="64" t="s">
        <v>47</v>
      </c>
      <c r="I25" s="65">
        <v>1016487</v>
      </c>
      <c r="J25" s="62" t="s">
        <v>52</v>
      </c>
      <c r="K25" s="63">
        <v>5267</v>
      </c>
      <c r="L25" s="64" t="s">
        <v>47</v>
      </c>
      <c r="M25" s="65">
        <v>597</v>
      </c>
    </row>
    <row r="26" spans="1:13" ht="15.75">
      <c r="A26" s="68" t="s">
        <v>53</v>
      </c>
      <c r="C26" s="69">
        <v>0</v>
      </c>
      <c r="D26" s="31"/>
      <c r="F26" s="62" t="s">
        <v>52</v>
      </c>
      <c r="G26" s="63">
        <v>0</v>
      </c>
      <c r="H26" s="64" t="s">
        <v>47</v>
      </c>
      <c r="I26" s="65">
        <v>0</v>
      </c>
      <c r="J26" s="62" t="s">
        <v>54</v>
      </c>
      <c r="K26" s="70">
        <v>0</v>
      </c>
      <c r="L26" s="64" t="s">
        <v>47</v>
      </c>
      <c r="M26" s="71">
        <v>0</v>
      </c>
    </row>
    <row r="27" spans="1:13" ht="15.75">
      <c r="A27" s="57" t="s">
        <v>55</v>
      </c>
      <c r="C27" s="25">
        <f>SUM(C23:C26)</f>
        <v>0</v>
      </c>
      <c r="D27" s="31"/>
      <c r="F27" s="62" t="s">
        <v>54</v>
      </c>
      <c r="G27" s="63">
        <v>234225</v>
      </c>
      <c r="H27" s="64" t="s">
        <v>47</v>
      </c>
      <c r="I27" s="65">
        <v>26972</v>
      </c>
      <c r="J27" s="62" t="s">
        <v>56</v>
      </c>
      <c r="K27" s="70">
        <v>0</v>
      </c>
      <c r="L27" s="64" t="s">
        <v>47</v>
      </c>
      <c r="M27" s="71">
        <f>K27*L27</f>
        <v>0</v>
      </c>
    </row>
    <row r="28" spans="1:13" ht="16.5" thickBot="1">
      <c r="A28" s="72" t="s">
        <v>57</v>
      </c>
      <c r="C28" s="66">
        <v>0</v>
      </c>
      <c r="D28" s="39"/>
      <c r="F28" s="62" t="s">
        <v>56</v>
      </c>
      <c r="G28" s="63">
        <v>69958</v>
      </c>
      <c r="H28" s="64" t="s">
        <v>47</v>
      </c>
      <c r="I28" s="65">
        <v>8055</v>
      </c>
      <c r="J28" s="58" t="s">
        <v>58</v>
      </c>
      <c r="K28" s="73">
        <f>SUM(K23:K27)</f>
        <v>15447189</v>
      </c>
      <c r="L28" s="74"/>
      <c r="M28" s="75">
        <f>SUM(M23:M27)</f>
        <v>1751966</v>
      </c>
    </row>
    <row r="29" spans="1:13" ht="17.25" thickBot="1" thickTop="1">
      <c r="A29" s="72" t="s">
        <v>59</v>
      </c>
      <c r="B29" s="6"/>
      <c r="C29" s="66">
        <v>0</v>
      </c>
      <c r="D29" s="31"/>
      <c r="F29" s="62" t="s">
        <v>60</v>
      </c>
      <c r="G29" s="63">
        <v>0</v>
      </c>
      <c r="H29" s="64" t="s">
        <v>47</v>
      </c>
      <c r="I29" s="65">
        <v>0</v>
      </c>
      <c r="J29" s="58"/>
      <c r="K29" s="76">
        <v>15447189</v>
      </c>
      <c r="L29" s="77" t="s">
        <v>29</v>
      </c>
      <c r="M29" s="71">
        <f>M28/K28</f>
        <v>0.11341649280008162</v>
      </c>
    </row>
    <row r="30" spans="1:13" ht="16.5" thickBot="1">
      <c r="A30" s="78" t="s">
        <v>61</v>
      </c>
      <c r="C30" s="28">
        <f>C7+C11+C14+C17+C20+C22+C27+C28+C29</f>
        <v>2345120.540000001</v>
      </c>
      <c r="D30" s="39"/>
      <c r="F30" s="62" t="s">
        <v>62</v>
      </c>
      <c r="G30" s="63">
        <v>111788</v>
      </c>
      <c r="H30" s="64" t="s">
        <v>47</v>
      </c>
      <c r="I30" s="65">
        <v>8289</v>
      </c>
      <c r="J30" s="62"/>
      <c r="K30" s="79">
        <f>K28-K29</f>
        <v>0</v>
      </c>
      <c r="L30" s="74"/>
      <c r="M30" s="80"/>
    </row>
    <row r="31" spans="1:13" ht="15.75">
      <c r="A31" s="5" t="s">
        <v>63</v>
      </c>
      <c r="C31" s="17">
        <f>-8645.53-8936.05</f>
        <v>-17581.58</v>
      </c>
      <c r="D31" s="81"/>
      <c r="F31" s="62" t="s">
        <v>64</v>
      </c>
      <c r="G31" s="63">
        <v>3806098</v>
      </c>
      <c r="H31" s="64" t="s">
        <v>47</v>
      </c>
      <c r="I31" s="65">
        <v>2037</v>
      </c>
      <c r="J31" s="82"/>
      <c r="K31" s="59"/>
      <c r="L31" s="74"/>
      <c r="M31" s="80"/>
    </row>
    <row r="32" spans="1:13" ht="16.5" thickBot="1">
      <c r="A32" s="78" t="s">
        <v>65</v>
      </c>
      <c r="B32" s="78" t="s">
        <v>66</v>
      </c>
      <c r="C32" s="83">
        <f>C30+C31</f>
        <v>2327538.960000001</v>
      </c>
      <c r="D32" s="84"/>
      <c r="F32" s="58" t="s">
        <v>58</v>
      </c>
      <c r="G32" s="73">
        <f>SUM(G23:G31)</f>
        <v>37042905</v>
      </c>
      <c r="H32" s="59"/>
      <c r="I32" s="75">
        <f>SUM(I23:I31)</f>
        <v>4130608</v>
      </c>
      <c r="J32" s="85"/>
      <c r="K32" s="86"/>
      <c r="L32" s="59"/>
      <c r="M32" s="87"/>
    </row>
    <row r="33" spans="1:13" ht="17.25" thickBot="1" thickTop="1">
      <c r="A33" s="5" t="s">
        <v>67</v>
      </c>
      <c r="C33" s="88">
        <f>-C5-C9-C13-C16-C19</f>
        <v>-150263.87999999998</v>
      </c>
      <c r="D33" s="31"/>
      <c r="F33" s="89"/>
      <c r="G33" s="76">
        <v>37042905</v>
      </c>
      <c r="H33" s="77" t="s">
        <v>29</v>
      </c>
      <c r="I33" s="90">
        <f>I32/G32</f>
        <v>0.11150874911133454</v>
      </c>
      <c r="J33" s="85"/>
      <c r="K33" s="86"/>
      <c r="L33" s="59"/>
      <c r="M33" s="60"/>
    </row>
    <row r="34" spans="1:13" ht="16.5" thickBot="1">
      <c r="A34" s="78" t="s">
        <v>68</v>
      </c>
      <c r="C34" s="28">
        <f>SUM(C32:C33)</f>
        <v>2177275.080000001</v>
      </c>
      <c r="D34" s="31"/>
      <c r="F34" s="82"/>
      <c r="G34" s="79">
        <f>G32-G33</f>
        <v>0</v>
      </c>
      <c r="H34" s="59"/>
      <c r="I34" s="60"/>
      <c r="J34" s="85"/>
      <c r="K34" s="91"/>
      <c r="L34" s="59"/>
      <c r="M34" s="60"/>
    </row>
    <row r="35" spans="1:13" ht="18" customHeight="1">
      <c r="A35" s="78"/>
      <c r="C35" s="92"/>
      <c r="D35" s="31"/>
      <c r="F35" s="52"/>
      <c r="G35" s="53"/>
      <c r="H35" s="53"/>
      <c r="I35" s="49"/>
      <c r="J35" s="58" t="s">
        <v>69</v>
      </c>
      <c r="K35" s="252"/>
      <c r="L35" s="252"/>
      <c r="M35" s="253"/>
    </row>
    <row r="36" spans="1:17" ht="15.75">
      <c r="A36" s="93" t="s">
        <v>70</v>
      </c>
      <c r="B36" s="78"/>
      <c r="C36" s="25"/>
      <c r="D36" s="31"/>
      <c r="F36" s="58" t="s">
        <v>69</v>
      </c>
      <c r="G36" s="59"/>
      <c r="H36" s="59"/>
      <c r="I36" s="60"/>
      <c r="J36" s="62" t="s">
        <v>46</v>
      </c>
      <c r="K36" s="94">
        <v>12024731</v>
      </c>
      <c r="L36" s="64" t="s">
        <v>47</v>
      </c>
      <c r="M36" s="65">
        <v>2875532</v>
      </c>
      <c r="P36" s="95"/>
      <c r="Q36" s="95"/>
    </row>
    <row r="37" spans="1:17" ht="15.75">
      <c r="A37" s="59" t="s">
        <v>71</v>
      </c>
      <c r="B37" s="96" t="s">
        <v>72</v>
      </c>
      <c r="C37" s="17">
        <v>14220206.2</v>
      </c>
      <c r="D37" s="31"/>
      <c r="F37" s="62" t="s">
        <v>46</v>
      </c>
      <c r="G37" s="94">
        <v>24209007</v>
      </c>
      <c r="H37" s="64" t="s">
        <v>47</v>
      </c>
      <c r="I37" s="65">
        <v>5766668</v>
      </c>
      <c r="J37" s="62" t="s">
        <v>50</v>
      </c>
      <c r="K37" s="94">
        <v>3417191</v>
      </c>
      <c r="L37" s="64" t="s">
        <v>47</v>
      </c>
      <c r="M37" s="65">
        <v>817349</v>
      </c>
      <c r="P37" s="95"/>
      <c r="Q37" s="95"/>
    </row>
    <row r="38" spans="1:17" ht="15.75">
      <c r="A38" s="97" t="s">
        <v>73</v>
      </c>
      <c r="B38" s="96" t="s">
        <v>72</v>
      </c>
      <c r="C38" s="17">
        <v>0</v>
      </c>
      <c r="D38" s="31"/>
      <c r="F38" s="62" t="s">
        <v>49</v>
      </c>
      <c r="G38" s="94">
        <v>35292</v>
      </c>
      <c r="H38" s="64" t="s">
        <v>47</v>
      </c>
      <c r="I38" s="65">
        <v>8406</v>
      </c>
      <c r="J38" s="62" t="s">
        <v>52</v>
      </c>
      <c r="K38" s="94">
        <v>5267</v>
      </c>
      <c r="L38" s="64" t="s">
        <v>47</v>
      </c>
      <c r="M38" s="65">
        <v>1260</v>
      </c>
      <c r="P38" s="95"/>
      <c r="Q38" s="95"/>
    </row>
    <row r="39" spans="1:17" ht="15.75">
      <c r="A39" s="59" t="s">
        <v>74</v>
      </c>
      <c r="B39" s="96" t="s">
        <v>75</v>
      </c>
      <c r="C39" s="17">
        <v>-38848.57</v>
      </c>
      <c r="D39" s="31"/>
      <c r="F39" s="62" t="s">
        <v>50</v>
      </c>
      <c r="G39" s="94">
        <v>8576537</v>
      </c>
      <c r="H39" s="64" t="s">
        <v>47</v>
      </c>
      <c r="I39" s="65">
        <v>2044253</v>
      </c>
      <c r="J39" s="62" t="s">
        <v>54</v>
      </c>
      <c r="K39" s="98">
        <f>K26</f>
        <v>0</v>
      </c>
      <c r="L39" s="64" t="s">
        <v>47</v>
      </c>
      <c r="M39" s="71">
        <v>0</v>
      </c>
      <c r="P39" s="95"/>
      <c r="Q39" s="95"/>
    </row>
    <row r="40" spans="1:17" ht="15.75">
      <c r="A40" s="59" t="s">
        <v>76</v>
      </c>
      <c r="B40" s="96" t="s">
        <v>77</v>
      </c>
      <c r="C40" s="17">
        <v>597472.4</v>
      </c>
      <c r="D40" s="31"/>
      <c r="F40" s="62" t="s">
        <v>52</v>
      </c>
      <c r="G40" s="94">
        <f>G26</f>
        <v>0</v>
      </c>
      <c r="H40" s="64" t="s">
        <v>47</v>
      </c>
      <c r="I40" s="65">
        <v>0</v>
      </c>
      <c r="J40" s="62" t="s">
        <v>56</v>
      </c>
      <c r="K40" s="98">
        <f>K27</f>
        <v>0</v>
      </c>
      <c r="L40" s="64" t="s">
        <v>47</v>
      </c>
      <c r="M40" s="71">
        <v>0</v>
      </c>
      <c r="P40" s="95"/>
      <c r="Q40" s="95"/>
    </row>
    <row r="41" spans="1:17" ht="15.75">
      <c r="A41" s="59" t="s">
        <v>78</v>
      </c>
      <c r="B41" s="99" t="s">
        <v>79</v>
      </c>
      <c r="C41" s="17">
        <v>24814.67</v>
      </c>
      <c r="D41" s="31"/>
      <c r="F41" s="62" t="s">
        <v>54</v>
      </c>
      <c r="G41" s="94">
        <v>234225</v>
      </c>
      <c r="H41" s="64" t="s">
        <v>47</v>
      </c>
      <c r="I41" s="65">
        <v>55764</v>
      </c>
      <c r="J41" s="62" t="s">
        <v>60</v>
      </c>
      <c r="K41" s="70">
        <v>0</v>
      </c>
      <c r="L41" s="64" t="s">
        <v>47</v>
      </c>
      <c r="M41" s="71">
        <v>0</v>
      </c>
      <c r="P41" s="95"/>
      <c r="Q41" s="95"/>
    </row>
    <row r="42" spans="1:17" ht="16.5" thickBot="1">
      <c r="A42" s="59" t="s">
        <v>80</v>
      </c>
      <c r="B42" s="96" t="s">
        <v>81</v>
      </c>
      <c r="C42" s="17">
        <v>1359169.39</v>
      </c>
      <c r="D42" s="39"/>
      <c r="F42" s="62" t="s">
        <v>56</v>
      </c>
      <c r="G42" s="94">
        <v>69958</v>
      </c>
      <c r="H42" s="64" t="s">
        <v>47</v>
      </c>
      <c r="I42" s="65">
        <v>16654</v>
      </c>
      <c r="J42" s="62" t="s">
        <v>62</v>
      </c>
      <c r="K42" s="100">
        <v>0</v>
      </c>
      <c r="L42" s="64" t="s">
        <v>47</v>
      </c>
      <c r="M42" s="71">
        <v>0</v>
      </c>
      <c r="P42" s="95"/>
      <c r="Q42" s="95"/>
    </row>
    <row r="43" spans="1:13" ht="16.5" thickBot="1">
      <c r="A43" s="101" t="s">
        <v>82</v>
      </c>
      <c r="B43" s="53"/>
      <c r="C43" s="28">
        <f>SUM(C37:C42)</f>
        <v>16162814.09</v>
      </c>
      <c r="D43" s="31"/>
      <c r="F43" s="62" t="s">
        <v>60</v>
      </c>
      <c r="G43" s="94">
        <f>G29</f>
        <v>0</v>
      </c>
      <c r="H43" s="64" t="s">
        <v>47</v>
      </c>
      <c r="I43" s="65">
        <v>0</v>
      </c>
      <c r="J43" s="58" t="s">
        <v>83</v>
      </c>
      <c r="K43" s="73">
        <f>SUM(K36:K42)</f>
        <v>15447189</v>
      </c>
      <c r="L43" s="74"/>
      <c r="M43" s="75">
        <f>SUM(M36:M42)</f>
        <v>3694141</v>
      </c>
    </row>
    <row r="44" spans="1:13" ht="16.5" thickBot="1">
      <c r="A44" s="102" t="s">
        <v>84</v>
      </c>
      <c r="B44" s="103" t="s">
        <v>85</v>
      </c>
      <c r="C44" s="17">
        <f>5174141.78-128963.75</f>
        <v>5045178.03</v>
      </c>
      <c r="D44" s="39"/>
      <c r="F44" s="62" t="s">
        <v>62</v>
      </c>
      <c r="G44" s="94">
        <v>111788</v>
      </c>
      <c r="H44" s="64" t="s">
        <v>47</v>
      </c>
      <c r="I44" s="65">
        <v>26610</v>
      </c>
      <c r="J44" s="104"/>
      <c r="K44" s="105">
        <v>15447189</v>
      </c>
      <c r="L44" s="106" t="s">
        <v>29</v>
      </c>
      <c r="M44" s="107">
        <f>M43/K43</f>
        <v>0.2391464880762448</v>
      </c>
    </row>
    <row r="45" spans="1:13" ht="16.5" thickBot="1">
      <c r="A45" s="108" t="s">
        <v>86</v>
      </c>
      <c r="B45" s="99" t="s">
        <v>72</v>
      </c>
      <c r="C45" s="109">
        <v>0</v>
      </c>
      <c r="D45" s="81"/>
      <c r="F45" s="58" t="s">
        <v>83</v>
      </c>
      <c r="G45" s="73">
        <f>SUM(G37:G44)</f>
        <v>33236807</v>
      </c>
      <c r="H45" s="74"/>
      <c r="I45" s="75">
        <f>SUM(I37:I44)</f>
        <v>7918355</v>
      </c>
      <c r="J45" s="110"/>
      <c r="K45" s="79">
        <f>K43-K44</f>
        <v>0</v>
      </c>
      <c r="L45" s="6"/>
      <c r="M45" s="110"/>
    </row>
    <row r="46" spans="1:13" ht="19.5" customHeight="1" thickBot="1" thickTop="1">
      <c r="A46" s="97" t="s">
        <v>87</v>
      </c>
      <c r="B46" s="99" t="s">
        <v>72</v>
      </c>
      <c r="C46" s="109">
        <v>0</v>
      </c>
      <c r="D46" s="84"/>
      <c r="F46" s="111"/>
      <c r="G46" s="105">
        <v>33236807</v>
      </c>
      <c r="H46" s="106" t="s">
        <v>29</v>
      </c>
      <c r="I46" s="112">
        <f>I45/G45</f>
        <v>0.23824054458660845</v>
      </c>
      <c r="J46" s="110"/>
      <c r="K46" s="113"/>
      <c r="L46" s="6"/>
      <c r="M46" s="114"/>
    </row>
    <row r="47" spans="1:13" ht="15.75">
      <c r="A47" s="5" t="s">
        <v>88</v>
      </c>
      <c r="B47" s="99" t="s">
        <v>72</v>
      </c>
      <c r="C47" s="17">
        <v>36128.68</v>
      </c>
      <c r="D47" s="31"/>
      <c r="F47" s="6"/>
      <c r="G47" s="79">
        <f>G45-G46</f>
        <v>0</v>
      </c>
      <c r="H47" s="6"/>
      <c r="I47" s="6"/>
      <c r="J47" s="110"/>
      <c r="K47" s="113"/>
      <c r="L47" s="6"/>
      <c r="M47" s="114"/>
    </row>
    <row r="48" spans="1:13" ht="16.5" thickBot="1">
      <c r="A48" s="97" t="s">
        <v>89</v>
      </c>
      <c r="B48" s="99" t="s">
        <v>72</v>
      </c>
      <c r="C48" s="17">
        <v>7000</v>
      </c>
      <c r="D48" s="31"/>
      <c r="F48" s="6"/>
      <c r="G48" s="6"/>
      <c r="H48" s="6"/>
      <c r="I48" s="6"/>
      <c r="J48" s="110"/>
      <c r="K48" s="113"/>
      <c r="L48" s="6"/>
      <c r="M48" s="6"/>
    </row>
    <row r="49" spans="1:13" ht="15.75">
      <c r="A49" s="59" t="s">
        <v>90</v>
      </c>
      <c r="B49" s="96" t="s">
        <v>91</v>
      </c>
      <c r="C49" s="17">
        <v>25557.85</v>
      </c>
      <c r="D49" s="31"/>
      <c r="F49" s="6"/>
      <c r="G49" s="113"/>
      <c r="H49" s="54" t="s">
        <v>10</v>
      </c>
      <c r="I49" s="55" t="s">
        <v>10</v>
      </c>
      <c r="J49" s="55" t="s">
        <v>11</v>
      </c>
      <c r="K49" s="115" t="s">
        <v>92</v>
      </c>
      <c r="L49" s="110"/>
      <c r="M49" s="6"/>
    </row>
    <row r="50" spans="1:13" ht="16.5" thickBot="1">
      <c r="A50" s="59" t="s">
        <v>93</v>
      </c>
      <c r="B50" s="96" t="s">
        <v>91</v>
      </c>
      <c r="C50" s="17">
        <v>4057.42</v>
      </c>
      <c r="D50" s="39"/>
      <c r="F50" s="15" t="s">
        <v>94</v>
      </c>
      <c r="G50" s="6"/>
      <c r="H50" s="116" t="s">
        <v>95</v>
      </c>
      <c r="I50" s="117" t="s">
        <v>2</v>
      </c>
      <c r="J50" s="117" t="s">
        <v>95</v>
      </c>
      <c r="K50" s="118" t="s">
        <v>2</v>
      </c>
      <c r="L50" s="6"/>
      <c r="M50" s="6"/>
    </row>
    <row r="51" spans="1:13" ht="15.75">
      <c r="A51" s="59" t="s">
        <v>96</v>
      </c>
      <c r="B51" s="96" t="s">
        <v>91</v>
      </c>
      <c r="C51" s="17">
        <v>9707.4</v>
      </c>
      <c r="D51" s="31"/>
      <c r="F51" s="6"/>
      <c r="G51" s="6"/>
      <c r="H51" s="119"/>
      <c r="I51" s="120"/>
      <c r="J51" s="120"/>
      <c r="K51" s="120"/>
      <c r="L51" s="8" t="s">
        <v>97</v>
      </c>
      <c r="M51" s="6"/>
    </row>
    <row r="52" spans="1:12" ht="15.75">
      <c r="A52" s="121" t="s">
        <v>98</v>
      </c>
      <c r="B52" s="99"/>
      <c r="C52" s="25">
        <f>-C33</f>
        <v>150263.87999999998</v>
      </c>
      <c r="D52" s="14"/>
      <c r="F52" s="6" t="s">
        <v>99</v>
      </c>
      <c r="G52" s="6"/>
      <c r="H52" s="122">
        <f>K12</f>
        <v>6784473.099222001</v>
      </c>
      <c r="I52" s="123">
        <f>I14</f>
        <v>1535632.1139240009</v>
      </c>
      <c r="J52" s="123">
        <f>L12</f>
        <v>3152913.280778001</v>
      </c>
      <c r="K52" s="123">
        <f>J14</f>
        <v>641642.9660760004</v>
      </c>
      <c r="L52" s="124">
        <f>SUM(H52:K52)</f>
        <v>12114661.460000003</v>
      </c>
    </row>
    <row r="53" spans="1:12" ht="16.5" thickBot="1">
      <c r="A53" s="125" t="s">
        <v>100</v>
      </c>
      <c r="B53" s="126" t="s">
        <v>101</v>
      </c>
      <c r="C53" s="17">
        <f>-3192967.01-8399426.89+627910.41</f>
        <v>-10964483.49</v>
      </c>
      <c r="D53" s="31"/>
      <c r="F53" s="5" t="s">
        <v>102</v>
      </c>
      <c r="H53" s="122">
        <f>-I45</f>
        <v>-7918355</v>
      </c>
      <c r="I53" s="123">
        <f>-I32</f>
        <v>-4130608</v>
      </c>
      <c r="J53" s="123">
        <f>-M43</f>
        <v>-3694141</v>
      </c>
      <c r="K53" s="123">
        <f>-M28</f>
        <v>-1751966</v>
      </c>
      <c r="L53" s="127">
        <f>SUM(H53:K53)</f>
        <v>-17495070</v>
      </c>
    </row>
    <row r="54" spans="1:12" ht="16.5" thickBot="1">
      <c r="A54" s="5" t="s">
        <v>103</v>
      </c>
      <c r="B54" s="99" t="s">
        <v>104</v>
      </c>
      <c r="C54" s="17">
        <v>-375000</v>
      </c>
      <c r="D54" s="31"/>
      <c r="F54" s="5" t="s">
        <v>105</v>
      </c>
      <c r="H54" s="128">
        <v>0</v>
      </c>
      <c r="I54" s="129">
        <v>0</v>
      </c>
      <c r="J54" s="129">
        <v>0</v>
      </c>
      <c r="K54" s="130">
        <v>0</v>
      </c>
      <c r="L54" s="131">
        <f>SUM(L52:L53)</f>
        <v>-5380408.539999997</v>
      </c>
    </row>
    <row r="55" spans="1:12" ht="16.5" thickBot="1">
      <c r="A55" s="132" t="s">
        <v>19</v>
      </c>
      <c r="B55" s="103"/>
      <c r="C55" s="133">
        <f>SUM(C43:C54)</f>
        <v>10101223.860000001</v>
      </c>
      <c r="D55" s="31"/>
      <c r="F55" s="5" t="s">
        <v>106</v>
      </c>
      <c r="H55" s="28">
        <f>_xlfn.IFERROR(H52+H53+H54,0)</f>
        <v>-1133881.9007779993</v>
      </c>
      <c r="I55" s="28">
        <f>I52+I53+I54</f>
        <v>-2594975.886075999</v>
      </c>
      <c r="J55" s="28">
        <f>_xlfn.IFERROR(J52+J53+J54,0)</f>
        <v>-541227.7192219989</v>
      </c>
      <c r="K55" s="28">
        <f>K52+K53+K54</f>
        <v>-1110323.0339239996</v>
      </c>
      <c r="L55" s="134">
        <f>SUM(H55:K55)</f>
        <v>-5380408.539999996</v>
      </c>
    </row>
    <row r="56" spans="1:20" ht="17.25" thickBot="1" thickTop="1">
      <c r="A56" s="5" t="s">
        <v>107</v>
      </c>
      <c r="B56" s="99" t="s">
        <v>72</v>
      </c>
      <c r="C56" s="17">
        <v>-111632.43</v>
      </c>
      <c r="D56" s="31"/>
      <c r="F56" s="135" t="s">
        <v>108</v>
      </c>
      <c r="H56" s="5" t="s">
        <v>109</v>
      </c>
      <c r="I56" s="136">
        <f>SUM(H55:I55)</f>
        <v>-3728857.7868539984</v>
      </c>
      <c r="J56" s="137" t="s">
        <v>110</v>
      </c>
      <c r="K56" s="5">
        <f>SUM(J55:K55)</f>
        <v>-1651550.7531459986</v>
      </c>
      <c r="L56" s="138">
        <f>ROUND(L54-L55,3)</f>
        <v>0</v>
      </c>
      <c r="T56" s="139"/>
    </row>
    <row r="57" spans="1:8" ht="16.5" thickTop="1">
      <c r="A57" s="5" t="s">
        <v>111</v>
      </c>
      <c r="B57" s="99" t="s">
        <v>72</v>
      </c>
      <c r="C57" s="17">
        <v>-52205.05</v>
      </c>
      <c r="D57" s="31"/>
      <c r="F57" s="140" t="s">
        <v>108</v>
      </c>
      <c r="H57" s="141"/>
    </row>
    <row r="58" spans="1:12" ht="16.5" thickBot="1">
      <c r="A58" s="78" t="s">
        <v>112</v>
      </c>
      <c r="B58" s="78"/>
      <c r="C58" s="133">
        <f>SUM(C55:C57)</f>
        <v>9937386.38</v>
      </c>
      <c r="D58" s="31"/>
      <c r="F58" s="140" t="s">
        <v>113</v>
      </c>
      <c r="H58" s="142"/>
      <c r="I58" s="143"/>
      <c r="J58" s="143"/>
      <c r="K58" s="144"/>
      <c r="L58" s="143"/>
    </row>
    <row r="59" spans="1:9" ht="17.25" thickBot="1" thickTop="1">
      <c r="A59" s="78"/>
      <c r="C59" s="92"/>
      <c r="D59" s="31"/>
      <c r="F59" s="145" t="s">
        <v>114</v>
      </c>
      <c r="G59" s="146" t="str">
        <f>IF(OR(AND(I56&gt;0,K56&gt;0),AND(I56&lt;0,K56&lt;0)),"OK","ERROR")</f>
        <v>OK</v>
      </c>
      <c r="H59" s="147" t="s">
        <v>115</v>
      </c>
      <c r="I59" s="148"/>
    </row>
    <row r="60" spans="1:10" ht="16.5" thickBot="1">
      <c r="A60" s="149"/>
      <c r="B60" s="149" t="s">
        <v>116</v>
      </c>
      <c r="C60" s="28">
        <f>C58+C34</f>
        <v>12114661.46</v>
      </c>
      <c r="D60" s="31"/>
      <c r="H60" s="150" t="s">
        <v>117</v>
      </c>
      <c r="I60" s="151" t="s">
        <v>118</v>
      </c>
      <c r="J60" s="136"/>
    </row>
    <row r="61" spans="1:10" ht="16.5" thickBot="1">
      <c r="A61" s="78"/>
      <c r="B61" s="149" t="s">
        <v>119</v>
      </c>
      <c r="C61" s="152">
        <v>12114661.46</v>
      </c>
      <c r="D61" s="39"/>
      <c r="H61" s="153">
        <f>SUM('[1]WA - Def-Amtz (current)'!AX5:AX10,'[1]WA - Def-Amtz (current)'!AX41:AX46,'[1]WA - Def-Amtz (current)'!AX76:AX79,'[1]ID - Def-Amtz (current)'!AY5:AY10,'[1]ID - Def-Amtz (current)'!AY42:AY47,'[1]ID - Def-Amtz (current)'!AY75:AY80)</f>
        <v>9666092.552962182</v>
      </c>
      <c r="I61" s="154">
        <f>SUM('[1]WA - Def-Amtz (current)'!AY5:AY10,'[1]WA - Def-Amtz (current)'!AY41:AY46,'[1]WA - Def-Amtz (current)'!AY76:AY79,'[1]ID - Def-Amtz (current)'!AZ5:AZ10,'[1]ID - Def-Amtz (current)'!AZ42:AZ47,'[1]ID - Def-Amtz (current)'!AZ75:AZ80)</f>
        <v>9666092.552962182</v>
      </c>
      <c r="J61" s="5">
        <f>H53+I53+J53+K53</f>
        <v>-17495070</v>
      </c>
    </row>
    <row r="62" spans="1:16" ht="15.75">
      <c r="A62" s="149"/>
      <c r="B62" s="149" t="s">
        <v>120</v>
      </c>
      <c r="C62" s="155">
        <f>ROUND(C60-C61,2)</f>
        <v>0</v>
      </c>
      <c r="G62" s="136"/>
      <c r="I62" s="156">
        <f>H61-I61</f>
        <v>0</v>
      </c>
      <c r="N62" s="136"/>
      <c r="O62" s="136"/>
      <c r="P62" s="157"/>
    </row>
    <row r="63" spans="1:19" ht="15.75">
      <c r="A63" s="158"/>
      <c r="C63" s="159"/>
      <c r="D63" s="31"/>
      <c r="S63" s="99"/>
    </row>
    <row r="64" spans="1:21" ht="15.75">
      <c r="A64" s="158"/>
      <c r="C64" s="160"/>
      <c r="D64" s="161"/>
      <c r="N64" s="121"/>
      <c r="U64" s="78"/>
    </row>
    <row r="65" spans="1:19" ht="15.75">
      <c r="A65" s="78"/>
      <c r="C65" s="160"/>
      <c r="D65" s="31"/>
      <c r="N65" s="121"/>
      <c r="S65" s="162"/>
    </row>
    <row r="66" spans="3:19" ht="15">
      <c r="C66" s="25"/>
      <c r="D66" s="31"/>
      <c r="N66" s="121"/>
      <c r="S66" s="163"/>
    </row>
    <row r="67" spans="4:19" ht="15">
      <c r="D67" s="31"/>
      <c r="N67" s="121"/>
      <c r="S67" s="164"/>
    </row>
    <row r="68" spans="4:19" ht="15">
      <c r="D68" s="31"/>
      <c r="N68" s="121"/>
      <c r="S68" s="163"/>
    </row>
    <row r="69" spans="4:14" ht="15">
      <c r="D69" s="39"/>
      <c r="N69" s="121"/>
    </row>
    <row r="70" spans="4:19" ht="15">
      <c r="D70" s="31"/>
      <c r="N70" s="121"/>
      <c r="S70" s="165"/>
    </row>
    <row r="71" ht="15">
      <c r="D71" s="31"/>
    </row>
    <row r="72" ht="15">
      <c r="D72" s="31"/>
    </row>
    <row r="73" spans="4:19" ht="15">
      <c r="D73" s="166"/>
      <c r="S73" s="167"/>
    </row>
    <row r="74" spans="18:20" ht="15">
      <c r="R74" s="99"/>
      <c r="S74" s="99"/>
      <c r="T74" s="99"/>
    </row>
    <row r="76" ht="15">
      <c r="U76" s="168"/>
    </row>
    <row r="1476" ht="15">
      <c r="C1476" s="5">
        <v>-2130</v>
      </c>
    </row>
    <row r="1484" ht="15">
      <c r="C1484" s="5">
        <f>7004298-2130</f>
        <v>7002168</v>
      </c>
    </row>
  </sheetData>
  <sheetProtection/>
  <mergeCells count="3">
    <mergeCell ref="F18:I18"/>
    <mergeCell ref="J18:M18"/>
    <mergeCell ref="K35:M35"/>
  </mergeCells>
  <conditionalFormatting sqref="C62 L56 I62">
    <cfRule type="cellIs" priority="6" dxfId="3" operator="equal" stopIfTrue="1">
      <formula>0</formula>
    </cfRule>
    <cfRule type="cellIs" priority="7" dxfId="2" operator="notEqual" stopIfTrue="1">
      <formula>0</formula>
    </cfRule>
  </conditionalFormatting>
  <conditionalFormatting sqref="G34 G47 K30 K45">
    <cfRule type="cellIs" priority="5" dxfId="0" operator="notEqual">
      <formula>0</formula>
    </cfRule>
  </conditionalFormatting>
  <conditionalFormatting sqref="C62">
    <cfRule type="cellIs" priority="3" dxfId="3" operator="equal" stopIfTrue="1">
      <formula>0</formula>
    </cfRule>
    <cfRule type="cellIs" priority="4" dxfId="2" operator="notEqual" stopIfTrue="1">
      <formula>0</formula>
    </cfRule>
  </conditionalFormatting>
  <conditionalFormatting sqref="K30">
    <cfRule type="cellIs" priority="2" dxfId="0" operator="notEqual">
      <formula>0</formula>
    </cfRule>
  </conditionalFormatting>
  <conditionalFormatting sqref="G59">
    <cfRule type="cellIs" priority="1" dxfId="0" operator="equal">
      <formula>"ERROR"</formula>
    </cfRule>
  </conditionalFormatting>
  <printOptions verticalCentered="1"/>
  <pageMargins left="0.5" right="0" top="0.25" bottom="0.5" header="0" footer="0.25"/>
  <pageSetup cellComments="asDisplayed" fitToHeight="1" fitToWidth="1" horizontalDpi="600" verticalDpi="600" orientation="landscape" scale="47" r:id="rId3"/>
  <headerFooter alignWithMargins="0">
    <oddFooter>&amp;L&amp;F&amp;C&amp;A&amp;R&amp;D&amp;T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brandon</dc:creator>
  <cp:keywords/>
  <dc:description/>
  <cp:lastModifiedBy>Kredel, Ashley (UTC)</cp:lastModifiedBy>
  <dcterms:created xsi:type="dcterms:W3CDTF">2017-01-23T15:43:27Z</dcterms:created>
  <dcterms:modified xsi:type="dcterms:W3CDTF">2017-01-24T19:43:22Z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CaseCompanyNam">
    <vt:lpwstr>Avista Corporation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170056</vt:lpwstr>
  </property>
  <property fmtid="{D5CDD505-2E9C-101B-9397-08002B2CF9AE}" pid="9" name="Visibili">
    <vt:lpwstr>Full Visibility</vt:lpwstr>
  </property>
  <property fmtid="{D5CDD505-2E9C-101B-9397-08002B2CF9AE}" pid="10" name="Dat">
    <vt:lpwstr>2017-01-23T00:00:00Z</vt:lpwstr>
  </property>
  <property fmtid="{D5CDD505-2E9C-101B-9397-08002B2CF9AE}" pid="11" name="Nickna">
    <vt:lpwstr/>
  </property>
  <property fmtid="{D5CDD505-2E9C-101B-9397-08002B2CF9AE}" pid="12" name="Proce">
    <vt:lpwstr/>
  </property>
  <property fmtid="{D5CDD505-2E9C-101B-9397-08002B2CF9AE}" pid="13" name="_docset_NoMedatataSyncRequir">
    <vt:lpwstr>False</vt:lpwstr>
  </property>
  <property fmtid="{D5CDD505-2E9C-101B-9397-08002B2CF9AE}" pid="14" name="DocumentGro">
    <vt:lpwstr/>
  </property>
  <property fmtid="{D5CDD505-2E9C-101B-9397-08002B2CF9AE}" pid="15" name="CaseTy">
    <vt:lpwstr>Staff Investigation</vt:lpwstr>
  </property>
  <property fmtid="{D5CDD505-2E9C-101B-9397-08002B2CF9AE}" pid="16" name="OpenedDa">
    <vt:lpwstr>2017-01-23T00:00:00Z</vt:lpwstr>
  </property>
  <property fmtid="{D5CDD505-2E9C-101B-9397-08002B2CF9AE}" pid="17" name="Pref">
    <vt:lpwstr>UG</vt:lpwstr>
  </property>
  <property fmtid="{D5CDD505-2E9C-101B-9397-08002B2CF9AE}" pid="18" name="IndustryCo">
    <vt:lpwstr>150</vt:lpwstr>
  </property>
  <property fmtid="{D5CDD505-2E9C-101B-9397-08002B2CF9AE}" pid="19" name="CaseStat">
    <vt:lpwstr>Closed</vt:lpwstr>
  </property>
</Properties>
</file>