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240" yWindow="50" windowWidth="21080" windowHeight="10040" firstSheet="2" activeTab="8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52511"/>
</workbook>
</file>

<file path=xl/calcChain.xml><?xml version="1.0" encoding="utf-8"?>
<calcChain xmlns="http://schemas.openxmlformats.org/spreadsheetml/2006/main">
  <c r="D18" i="9" l="1"/>
  <c r="D16" i="3" l="1"/>
  <c r="D13" i="3"/>
  <c r="D10" i="3"/>
  <c r="D12" i="3"/>
  <c r="D17" i="3"/>
  <c r="C11" i="1"/>
  <c r="C12" i="1"/>
  <c r="C12" i="3"/>
  <c r="C16" i="3"/>
  <c r="C13" i="3"/>
  <c r="C17" i="3"/>
  <c r="C10" i="3"/>
  <c r="D18" i="1"/>
  <c r="C44" i="9"/>
  <c r="C39" i="9"/>
  <c r="C31" i="9"/>
  <c r="C15" i="9"/>
  <c r="C42" i="1"/>
  <c r="C44" i="1"/>
  <c r="C39" i="1"/>
  <c r="C31" i="1"/>
  <c r="C11" i="8"/>
  <c r="G33" i="11"/>
  <c r="G17" i="11"/>
  <c r="G9" i="11"/>
  <c r="B21" i="11"/>
  <c r="B20" i="11"/>
  <c r="B22" i="2"/>
  <c r="B21" i="2"/>
  <c r="G34" i="2"/>
  <c r="G18" i="2" l="1"/>
  <c r="G10" i="2"/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G45" i="11" l="1"/>
  <c r="C45" i="1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D37" i="10" s="1"/>
  <c r="E36" i="9"/>
  <c r="D36" i="10" s="1"/>
  <c r="E35" i="9"/>
  <c r="D35" i="10" s="1"/>
  <c r="E34" i="9"/>
  <c r="D32" i="9"/>
  <c r="C32" i="9"/>
  <c r="E31" i="9"/>
  <c r="D31" i="10" s="1"/>
  <c r="E30" i="9"/>
  <c r="D30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0" i="1"/>
  <c r="C30" i="10" s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 l="1"/>
  <c r="D17" i="10" s="1"/>
  <c r="D19" i="3"/>
  <c r="D20" i="3" s="1"/>
  <c r="C58" i="9"/>
  <c r="C57" i="9"/>
  <c r="C12" i="10"/>
  <c r="C17" i="10" s="1"/>
  <c r="C19" i="3"/>
  <c r="C20" i="3" s="1"/>
  <c r="C57" i="1"/>
  <c r="C58" i="1"/>
  <c r="H45" i="11"/>
  <c r="H47" i="11" s="1"/>
  <c r="I44" i="11"/>
  <c r="C37" i="11"/>
  <c r="C47" i="11" s="1"/>
  <c r="D33" i="11"/>
  <c r="D27" i="9"/>
  <c r="D33" i="9" s="1"/>
  <c r="D42" i="9" s="1"/>
  <c r="E42" i="9" s="1"/>
  <c r="D42" i="10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D57" i="1"/>
  <c r="D58" i="1"/>
  <c r="C55" i="10"/>
  <c r="E38" i="1"/>
  <c r="E32" i="1"/>
  <c r="C29" i="10"/>
  <c r="C32" i="10" s="1"/>
  <c r="E25" i="1"/>
  <c r="E26" i="1" s="1"/>
  <c r="C27" i="1"/>
  <c r="E32" i="9"/>
  <c r="D32" i="10"/>
  <c r="E17" i="9"/>
  <c r="C36" i="10"/>
  <c r="C38" i="10" s="1"/>
  <c r="C25" i="10"/>
  <c r="C26" i="10" s="1"/>
  <c r="E55" i="1"/>
  <c r="E17" i="1"/>
  <c r="D12" i="7"/>
  <c r="D13" i="7"/>
  <c r="I40" i="2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F40" i="5"/>
  <c r="C33" i="9" l="1"/>
  <c r="C43" i="9" s="1"/>
  <c r="C33" i="1"/>
  <c r="C43" i="1" s="1"/>
  <c r="G45" i="5"/>
  <c r="G46" i="5" s="1"/>
  <c r="I45" i="11"/>
  <c r="I47" i="11" s="1"/>
  <c r="C34" i="5"/>
  <c r="C38" i="5" s="1"/>
  <c r="D37" i="11"/>
  <c r="D47" i="11" s="1"/>
  <c r="D58" i="10"/>
  <c r="D57" i="10"/>
  <c r="C58" i="10"/>
  <c r="C57" i="10"/>
  <c r="E27" i="9"/>
  <c r="E33" i="9" s="1"/>
  <c r="E43" i="9" s="1"/>
  <c r="E57" i="9"/>
  <c r="E58" i="9"/>
  <c r="D43" i="9"/>
  <c r="E42" i="1"/>
  <c r="C42" i="10" s="1"/>
  <c r="E58" i="1"/>
  <c r="E57" i="1"/>
  <c r="D12" i="8"/>
  <c r="E12" i="8" s="1"/>
  <c r="D27" i="10"/>
  <c r="D33" i="10" s="1"/>
  <c r="C27" i="10"/>
  <c r="C33" i="10" s="1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G46" i="2"/>
  <c r="H37" i="2"/>
  <c r="H45" i="2" s="1"/>
  <c r="I45" i="2" s="1"/>
  <c r="F45" i="5" s="1"/>
  <c r="F46" i="5" s="1"/>
  <c r="I37" i="2"/>
  <c r="G37" i="2"/>
  <c r="I32" i="2"/>
  <c r="G32" i="2"/>
  <c r="I20" i="2"/>
  <c r="G20" i="2"/>
  <c r="C46" i="2"/>
  <c r="D46" i="2"/>
  <c r="B46" i="2"/>
  <c r="D25" i="2"/>
  <c r="B25" i="2"/>
  <c r="E12" i="7" l="1"/>
  <c r="C51" i="9"/>
  <c r="C59" i="9"/>
  <c r="C60" i="9"/>
  <c r="C51" i="1"/>
  <c r="C60" i="1"/>
  <c r="C59" i="1"/>
  <c r="I46" i="2"/>
  <c r="I48" i="2" s="1"/>
  <c r="H46" i="2"/>
  <c r="H48" i="2" s="1"/>
  <c r="C34" i="2"/>
  <c r="D34" i="2" s="1"/>
  <c r="D43" i="10"/>
  <c r="D51" i="10" s="1"/>
  <c r="D59" i="9"/>
  <c r="D51" i="9"/>
  <c r="D60" i="9"/>
  <c r="C43" i="10"/>
  <c r="C60" i="10" s="1"/>
  <c r="D43" i="1"/>
  <c r="E33" i="1"/>
  <c r="E43" i="1" s="1"/>
  <c r="E51" i="9"/>
  <c r="E60" i="9"/>
  <c r="E59" i="9"/>
  <c r="G48" i="2"/>
  <c r="B48" i="2"/>
  <c r="B46" i="5"/>
  <c r="G48" i="5"/>
  <c r="F48" i="5"/>
  <c r="E10" i="7"/>
  <c r="B25" i="5"/>
  <c r="C48" i="5"/>
  <c r="C15" i="7" l="1"/>
  <c r="E15" i="7" s="1"/>
  <c r="D59" i="10"/>
  <c r="C51" i="10"/>
  <c r="C38" i="2"/>
  <c r="C48" i="2" s="1"/>
  <c r="D60" i="10"/>
  <c r="C59" i="10"/>
  <c r="D59" i="1"/>
  <c r="D60" i="1"/>
  <c r="D51" i="1"/>
  <c r="E59" i="1"/>
  <c r="E60" i="1"/>
  <c r="E51" i="1"/>
  <c r="D38" i="2" l="1"/>
  <c r="D48" i="2" s="1"/>
  <c r="B34" i="5"/>
  <c r="B38" i="5" s="1"/>
  <c r="B48" i="5" s="1"/>
</calcChain>
</file>

<file path=xl/sharedStrings.xml><?xml version="1.0" encoding="utf-8"?>
<sst xmlns="http://schemas.openxmlformats.org/spreadsheetml/2006/main" count="597" uniqueCount="231">
  <si>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</si>
  <si>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</si>
  <si>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</si>
  <si>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</si>
  <si>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</si>
  <si>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</si>
  <si>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</si>
  <si>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</si>
  <si>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</si>
  <si>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</si>
  <si>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</si>
  <si>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</si>
  <si>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</si>
  <si>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</si>
  <si>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</si>
  <si>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</si>
  <si>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</si>
  <si>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</si>
  <si>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</si>
  <si>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</si>
  <si>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</si>
  <si>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</si>
  <si>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</si>
  <si>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</si>
  <si>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</si>
  <si>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</si>
  <si>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</si>
  <si>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</si>
  <si>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</si>
  <si>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</si>
  <si>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</si>
  <si>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</si>
  <si>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</si>
  <si>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</si>
  <si>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</si>
  <si>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</si>
  <si>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</si>
  <si>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</si>
  <si>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</si>
  <si>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</si>
  <si>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</si>
  <si>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</si>
  <si>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</si>
  <si>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</si>
  <si>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</si>
  <si>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</si>
  <si>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</si>
  <si>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</si>
  <si>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</si>
  <si>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</si>
  <si>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</si>
  <si>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</si>
  <si>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</si>
  <si>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</si>
  <si>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</si>
  <si>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</si>
  <si>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</si>
  <si>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</si>
  <si>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</si>
  <si>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</si>
  <si>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</si>
  <si>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</si>
  <si>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</si>
  <si>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</si>
  <si>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</si>
  <si>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</si>
  <si>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</si>
  <si>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</si>
  <si>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</si>
  <si>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</si>
  <si>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</si>
  <si>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</si>
  <si>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</si>
  <si>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</si>
  <si>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</si>
  <si>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</si>
  <si>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</si>
  <si>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</si>
  <si>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</si>
  <si>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</si>
  <si>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</si>
  <si>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</si>
  <si>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</si>
  <si>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</si>
  <si>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</si>
  <si>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</si>
  <si>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</si>
  <si>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</si>
  <si>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</si>
  <si>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</si>
  <si>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</si>
  <si>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</si>
  <si>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</si>
  <si>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</si>
  <si>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</si>
  <si>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</si>
  <si>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</si>
  <si>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</si>
  <si>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</si>
  <si>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</si>
  <si>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</si>
  <si>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</si>
  <si>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</si>
  <si>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</si>
  <si>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</si>
  <si>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</si>
  <si>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</si>
  <si>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</si>
  <si>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</si>
  <si>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</si>
  <si>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</si>
  <si>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</si>
  <si>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</si>
  <si>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</si>
  <si>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</si>
  <si>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</si>
  <si>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</si>
  <si>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</si>
  <si>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</si>
  <si>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</si>
  <si>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</si>
  <si>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</si>
  <si>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</si>
  <si>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</si>
  <si>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</si>
  <si>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</si>
  <si>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</si>
  <si>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</si>
  <si>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</si>
  <si>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</si>
  <si>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</si>
  <si>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</si>
  <si>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</si>
  <si>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</si>
  <si>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</si>
  <si>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</si>
  <si>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</si>
  <si>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</si>
  <si>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</si>
  <si>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</si>
  <si>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</si>
  <si>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</si>
  <si>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</si>
  <si>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</si>
  <si>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</si>
  <si>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</si>
  <si>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</si>
  <si>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</si>
  <si>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</si>
  <si>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</si>
  <si>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</si>
  <si>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</si>
  <si>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</si>
  <si>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</si>
  <si>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</si>
  <si>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</si>
  <si>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</si>
  <si>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</si>
  <si>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</si>
  <si>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</si>
  <si>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</si>
  <si>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</si>
  <si>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</si>
  <si>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</si>
  <si>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</si>
  <si>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</si>
  <si>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</si>
  <si>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</si>
  <si>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</si>
  <si>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</si>
  <si>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</si>
  <si>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</si>
  <si>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</si>
  <si>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</si>
  <si>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</si>
  <si>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</si>
  <si>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</si>
  <si>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</si>
  <si>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</si>
  <si>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</si>
  <si>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</si>
  <si>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</si>
  <si>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</si>
  <si>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</si>
  <si>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</si>
  <si>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</si>
  <si>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</si>
  <si>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</si>
  <si>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</si>
  <si>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</si>
  <si>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</si>
  <si>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</si>
  <si>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</si>
  <si>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</si>
  <si>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</si>
  <si>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</si>
  <si>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</si>
  <si>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</si>
  <si>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</si>
  <si>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</si>
  <si>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</si>
  <si>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</si>
  <si>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</si>
  <si>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</si>
  <si>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</si>
  <si>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</si>
  <si>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</si>
  <si>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</si>
  <si>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</si>
  <si>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</si>
  <si>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</si>
  <si>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</si>
  <si>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</si>
  <si>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</si>
  <si>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</si>
  <si>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</si>
  <si>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</si>
  <si>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</si>
  <si>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</si>
  <si>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</si>
  <si>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</si>
  <si>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</si>
  <si>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</si>
  <si>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</si>
  <si>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</si>
  <si>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</si>
  <si>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</si>
  <si>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</si>
  <si>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</si>
  <si>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Ellensburg Telephone Company d/b/a FairPoint Communications</t>
  </si>
  <si>
    <t>EXHIBIT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</si>
</sst>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zoomScaleNormal="100" workbookViewId="0">
      <selection activeCell="F1" sqref="F1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1" spans="1:9" ht="18.5" x14ac:dyDescent="0.45">
      <c r="F1" s="85" t="s">
        <v>230</v>
      </c>
    </row>
    <row r="2" spans="1:9" x14ac:dyDescent="0.35">
      <c r="A2" t="s">
        <v>226</v>
      </c>
    </row>
    <row r="3" spans="1:9" x14ac:dyDescent="0.35">
      <c r="A3" s="74" t="s">
        <v>229</v>
      </c>
    </row>
    <row r="4" spans="1:9" x14ac:dyDescent="0.35">
      <c r="A4" s="13"/>
    </row>
    <row r="6" spans="1:9" x14ac:dyDescent="0.3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3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3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3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35">
      <c r="A10" s="19" t="s">
        <v>47</v>
      </c>
      <c r="B10" s="65">
        <v>66485.98</v>
      </c>
      <c r="C10" s="24"/>
      <c r="D10" s="75">
        <f>SUM(B10:C10)</f>
        <v>66485.98</v>
      </c>
      <c r="E10" s="19"/>
      <c r="F10" s="19" t="s">
        <v>83</v>
      </c>
      <c r="G10" s="65">
        <f>2282546.94+200232.81-437.01+10440+8980.49+28388.08+12847.57+2161.46+2622.25+907.51+1963.54+3856+10702.16+83631.33+57379.86+44707.42</f>
        <v>2750930.41</v>
      </c>
      <c r="H10" s="24"/>
      <c r="I10" s="75">
        <f>SUM(G10:H10)</f>
        <v>2750930.41</v>
      </c>
    </row>
    <row r="11" spans="1:9" x14ac:dyDescent="0.35">
      <c r="A11" s="19" t="s">
        <v>168</v>
      </c>
      <c r="B11" s="65">
        <v>0</v>
      </c>
      <c r="C11" s="24"/>
      <c r="D11" s="75">
        <f>SUM(B11:C11)</f>
        <v>0</v>
      </c>
      <c r="E11" s="19"/>
      <c r="F11" s="19" t="s">
        <v>86</v>
      </c>
      <c r="G11" s="65">
        <v>0</v>
      </c>
      <c r="H11" s="24"/>
      <c r="I11" s="75">
        <f t="shared" ref="I11:I19" si="0">SUM(G11:H11)</f>
        <v>0</v>
      </c>
    </row>
    <row r="12" spans="1:9" x14ac:dyDescent="0.35">
      <c r="A12" s="19" t="s">
        <v>48</v>
      </c>
      <c r="B12" s="24"/>
      <c r="C12" s="24"/>
      <c r="D12" s="18"/>
      <c r="E12" s="20"/>
      <c r="F12" s="19" t="s">
        <v>87</v>
      </c>
      <c r="G12" s="65">
        <v>9796.58</v>
      </c>
      <c r="H12" s="24"/>
      <c r="I12" s="75">
        <f t="shared" si="0"/>
        <v>9796.58</v>
      </c>
    </row>
    <row r="13" spans="1:9" x14ac:dyDescent="0.35">
      <c r="A13" s="19" t="s">
        <v>49</v>
      </c>
      <c r="B13" s="65">
        <v>1548903.71</v>
      </c>
      <c r="C13" s="24"/>
      <c r="D13" s="75">
        <f>SUM(B13:C13)</f>
        <v>1548903.71</v>
      </c>
      <c r="E13" s="19"/>
      <c r="F13" s="19" t="s">
        <v>88</v>
      </c>
      <c r="G13" s="65">
        <v>0</v>
      </c>
      <c r="H13" s="24"/>
      <c r="I13" s="75">
        <f t="shared" si="0"/>
        <v>0</v>
      </c>
    </row>
    <row r="14" spans="1:9" x14ac:dyDescent="0.35">
      <c r="A14" s="19" t="s">
        <v>52</v>
      </c>
      <c r="B14" s="65">
        <v>0</v>
      </c>
      <c r="C14" s="24"/>
      <c r="D14" s="75">
        <f t="shared" ref="D14:D15" si="1">SUM(B14:C14)</f>
        <v>0</v>
      </c>
      <c r="E14" s="19"/>
      <c r="F14" s="19" t="s">
        <v>89</v>
      </c>
      <c r="G14" s="65">
        <v>0</v>
      </c>
      <c r="H14" s="24"/>
      <c r="I14" s="75">
        <f t="shared" si="0"/>
        <v>0</v>
      </c>
    </row>
    <row r="15" spans="1:9" x14ac:dyDescent="0.35">
      <c r="A15" s="19" t="s">
        <v>50</v>
      </c>
      <c r="B15" s="65">
        <v>0</v>
      </c>
      <c r="C15" s="24"/>
      <c r="D15" s="75">
        <f t="shared" si="1"/>
        <v>0</v>
      </c>
      <c r="E15" s="19"/>
      <c r="F15" s="19" t="s">
        <v>90</v>
      </c>
      <c r="G15" s="65">
        <v>0</v>
      </c>
      <c r="H15" s="24"/>
      <c r="I15" s="75">
        <f t="shared" si="0"/>
        <v>0</v>
      </c>
    </row>
    <row r="16" spans="1:9" x14ac:dyDescent="0.35">
      <c r="A16" s="19" t="s">
        <v>51</v>
      </c>
      <c r="B16" s="24"/>
      <c r="C16" s="24"/>
      <c r="D16" s="18"/>
      <c r="E16" s="20"/>
      <c r="F16" s="19" t="s">
        <v>91</v>
      </c>
      <c r="G16" s="65">
        <v>0</v>
      </c>
      <c r="H16" s="24"/>
      <c r="I16" s="75">
        <f t="shared" si="0"/>
        <v>0</v>
      </c>
    </row>
    <row r="17" spans="1:9" x14ac:dyDescent="0.35">
      <c r="A17" s="19" t="s">
        <v>49</v>
      </c>
      <c r="B17" s="65">
        <v>84815.14</v>
      </c>
      <c r="C17" s="24"/>
      <c r="D17" s="75">
        <f>SUM(B17:C17)</f>
        <v>84815.14</v>
      </c>
      <c r="E17" s="20"/>
      <c r="F17" s="19" t="s">
        <v>92</v>
      </c>
      <c r="G17" s="65">
        <v>117.48</v>
      </c>
      <c r="H17" s="24"/>
      <c r="I17" s="75">
        <f t="shared" si="0"/>
        <v>117.48</v>
      </c>
    </row>
    <row r="18" spans="1:9" x14ac:dyDescent="0.35">
      <c r="A18" s="19" t="s">
        <v>52</v>
      </c>
      <c r="B18" s="65">
        <v>481256.16</v>
      </c>
      <c r="C18" s="24"/>
      <c r="D18" s="75">
        <f t="shared" ref="D18:D24" si="2">SUM(B18:C18)</f>
        <v>481256.16</v>
      </c>
      <c r="E18" s="19"/>
      <c r="F18" s="19" t="s">
        <v>93</v>
      </c>
      <c r="G18" s="65">
        <f>216000+8838.28+7485</f>
        <v>232323.28</v>
      </c>
      <c r="H18" s="24"/>
      <c r="I18" s="75">
        <f t="shared" si="0"/>
        <v>232323.28</v>
      </c>
    </row>
    <row r="19" spans="1:9" x14ac:dyDescent="0.35">
      <c r="A19" s="19" t="s">
        <v>50</v>
      </c>
      <c r="B19" s="65">
        <v>0</v>
      </c>
      <c r="C19" s="24"/>
      <c r="D19" s="75">
        <f t="shared" si="2"/>
        <v>0</v>
      </c>
      <c r="E19" s="19"/>
      <c r="F19" s="19" t="s">
        <v>94</v>
      </c>
      <c r="G19" s="66">
        <v>0</v>
      </c>
      <c r="H19" s="25"/>
      <c r="I19" s="76">
        <f t="shared" si="0"/>
        <v>0</v>
      </c>
    </row>
    <row r="20" spans="1:9" x14ac:dyDescent="0.35">
      <c r="A20" s="19" t="s">
        <v>53</v>
      </c>
      <c r="B20" s="65">
        <v>0</v>
      </c>
      <c r="C20" s="24"/>
      <c r="D20" s="75">
        <f t="shared" si="2"/>
        <v>0</v>
      </c>
      <c r="E20" s="19"/>
      <c r="F20" s="19" t="s">
        <v>125</v>
      </c>
      <c r="G20" s="75">
        <f>SUM(G10:G19)</f>
        <v>2993167.75</v>
      </c>
      <c r="H20" s="24"/>
      <c r="I20" s="75">
        <f t="shared" ref="I20" si="3">SUM(I10:I19)</f>
        <v>2993167.75</v>
      </c>
    </row>
    <row r="21" spans="1:9" x14ac:dyDescent="0.35">
      <c r="A21" s="19" t="s">
        <v>54</v>
      </c>
      <c r="B21" s="65">
        <f>348984.28+27086.15</f>
        <v>376070.43000000005</v>
      </c>
      <c r="C21" s="67"/>
      <c r="D21" s="75">
        <f t="shared" si="2"/>
        <v>376070.43000000005</v>
      </c>
      <c r="E21" s="19"/>
      <c r="F21" s="23" t="s">
        <v>96</v>
      </c>
      <c r="G21" s="14"/>
      <c r="H21" s="19"/>
      <c r="I21" s="15"/>
    </row>
    <row r="22" spans="1:9" x14ac:dyDescent="0.35">
      <c r="A22" s="19" t="s">
        <v>55</v>
      </c>
      <c r="B22" s="65">
        <f>8296.27+16022.89</f>
        <v>24319.16</v>
      </c>
      <c r="C22" s="24"/>
      <c r="D22" s="75">
        <f t="shared" si="2"/>
        <v>24319.16</v>
      </c>
      <c r="E22" s="19"/>
      <c r="F22" s="19" t="s">
        <v>97</v>
      </c>
      <c r="G22" s="65">
        <v>0</v>
      </c>
      <c r="H22" s="24"/>
      <c r="I22" s="75">
        <f>SUM(G22:H22)</f>
        <v>0</v>
      </c>
    </row>
    <row r="23" spans="1:9" x14ac:dyDescent="0.35">
      <c r="A23" s="19" t="s">
        <v>56</v>
      </c>
      <c r="B23" s="65">
        <v>324676.32</v>
      </c>
      <c r="C23" s="24"/>
      <c r="D23" s="75">
        <f t="shared" si="2"/>
        <v>324676.32</v>
      </c>
      <c r="E23" s="19"/>
      <c r="F23" s="19" t="s">
        <v>98</v>
      </c>
      <c r="G23" s="65">
        <v>0</v>
      </c>
      <c r="H23" s="24"/>
      <c r="I23" s="75">
        <f t="shared" ref="I23:I31" si="4">SUM(G23:H23)</f>
        <v>0</v>
      </c>
    </row>
    <row r="24" spans="1:9" x14ac:dyDescent="0.35">
      <c r="A24" s="19" t="s">
        <v>57</v>
      </c>
      <c r="B24" s="66">
        <v>39787</v>
      </c>
      <c r="C24" s="25"/>
      <c r="D24" s="76">
        <f t="shared" si="2"/>
        <v>39787</v>
      </c>
      <c r="E24" s="19"/>
      <c r="F24" s="19" t="s">
        <v>99</v>
      </c>
      <c r="G24" s="65">
        <v>0</v>
      </c>
      <c r="H24" s="24"/>
      <c r="I24" s="75">
        <f t="shared" si="4"/>
        <v>0</v>
      </c>
    </row>
    <row r="25" spans="1:9" x14ac:dyDescent="0.35">
      <c r="A25" s="19" t="s">
        <v>46</v>
      </c>
      <c r="B25" s="75">
        <f>B10+B11+B13+B14+B15+B17+B18+B19+B20+B21+B22+B23+B24</f>
        <v>2946313.9</v>
      </c>
      <c r="C25" s="77">
        <f>C21</f>
        <v>0</v>
      </c>
      <c r="D25" s="75">
        <f t="shared" ref="D25" si="5">D10+D11+D13+D14+D15+D17+D18+D19+D20+D21+D22+D23+D24</f>
        <v>2946313.9</v>
      </c>
      <c r="E25" s="19"/>
      <c r="F25" s="19" t="s">
        <v>100</v>
      </c>
      <c r="G25" s="65">
        <v>0</v>
      </c>
      <c r="H25" s="24"/>
      <c r="I25" s="75">
        <f t="shared" si="4"/>
        <v>0</v>
      </c>
    </row>
    <row r="26" spans="1:9" x14ac:dyDescent="0.35">
      <c r="A26" s="19"/>
      <c r="B26" s="36"/>
      <c r="C26" s="19"/>
      <c r="D26" s="15"/>
      <c r="E26" s="19"/>
      <c r="F26" s="19" t="s">
        <v>101</v>
      </c>
      <c r="G26" s="65">
        <v>0</v>
      </c>
      <c r="H26" s="24"/>
      <c r="I26" s="75">
        <f t="shared" si="4"/>
        <v>0</v>
      </c>
    </row>
    <row r="27" spans="1:9" x14ac:dyDescent="0.35">
      <c r="A27" s="23" t="s">
        <v>59</v>
      </c>
      <c r="B27" s="36"/>
      <c r="C27" s="20"/>
      <c r="D27" s="15"/>
      <c r="E27" s="19"/>
      <c r="F27" s="19" t="s">
        <v>102</v>
      </c>
      <c r="G27" s="65">
        <v>0</v>
      </c>
      <c r="H27" s="24"/>
      <c r="I27" s="75">
        <f t="shared" si="4"/>
        <v>0</v>
      </c>
    </row>
    <row r="28" spans="1:9" x14ac:dyDescent="0.35">
      <c r="A28" s="19" t="s">
        <v>64</v>
      </c>
      <c r="B28" s="37"/>
      <c r="C28" s="24"/>
      <c r="D28" s="18"/>
      <c r="E28" s="20"/>
      <c r="F28" s="19" t="s">
        <v>169</v>
      </c>
      <c r="G28" s="65">
        <v>0</v>
      </c>
      <c r="H28" s="24"/>
      <c r="I28" s="75">
        <f t="shared" si="4"/>
        <v>0</v>
      </c>
    </row>
    <row r="29" spans="1:9" x14ac:dyDescent="0.35">
      <c r="A29" s="19" t="s">
        <v>60</v>
      </c>
      <c r="B29" s="65">
        <v>26264.34</v>
      </c>
      <c r="C29" s="24"/>
      <c r="D29" s="75">
        <f>SUM(B29:C29)</f>
        <v>26264.34</v>
      </c>
      <c r="E29" s="19"/>
      <c r="F29" s="19" t="s">
        <v>103</v>
      </c>
      <c r="G29" s="65">
        <v>0</v>
      </c>
      <c r="H29" s="24"/>
      <c r="I29" s="75">
        <f t="shared" si="4"/>
        <v>0</v>
      </c>
    </row>
    <row r="30" spans="1:9" x14ac:dyDescent="0.35">
      <c r="A30" s="19" t="s">
        <v>61</v>
      </c>
      <c r="B30" s="65">
        <v>0</v>
      </c>
      <c r="C30" s="24"/>
      <c r="D30" s="75">
        <f>SUM(B30:C30)</f>
        <v>0</v>
      </c>
      <c r="E30" s="19"/>
      <c r="F30" s="19" t="s">
        <v>104</v>
      </c>
      <c r="G30" s="65">
        <v>0</v>
      </c>
      <c r="H30" s="24"/>
      <c r="I30" s="75">
        <f t="shared" si="4"/>
        <v>0</v>
      </c>
    </row>
    <row r="31" spans="1:9" x14ac:dyDescent="0.35">
      <c r="A31" s="19" t="s">
        <v>65</v>
      </c>
      <c r="B31" s="37"/>
      <c r="C31" s="24"/>
      <c r="D31" s="18"/>
      <c r="E31" s="20"/>
      <c r="F31" s="19" t="s">
        <v>105</v>
      </c>
      <c r="G31" s="66"/>
      <c r="H31" s="25"/>
      <c r="I31" s="76">
        <f t="shared" si="4"/>
        <v>0</v>
      </c>
    </row>
    <row r="32" spans="1:9" x14ac:dyDescent="0.35">
      <c r="A32" s="19" t="s">
        <v>62</v>
      </c>
      <c r="B32" s="65">
        <v>0</v>
      </c>
      <c r="C32" s="24"/>
      <c r="D32" s="75">
        <f>SUM(B32:C32)</f>
        <v>0</v>
      </c>
      <c r="E32" s="19"/>
      <c r="F32" s="19" t="s">
        <v>124</v>
      </c>
      <c r="G32" s="75">
        <f>SUM(G22:G31)</f>
        <v>0</v>
      </c>
      <c r="H32" s="24"/>
      <c r="I32" s="75">
        <f t="shared" ref="I32" si="6">SUM(I22:I31)</f>
        <v>0</v>
      </c>
    </row>
    <row r="33" spans="1:9" x14ac:dyDescent="0.35">
      <c r="A33" s="19" t="s">
        <v>63</v>
      </c>
      <c r="B33" s="65">
        <v>0</v>
      </c>
      <c r="C33" s="24"/>
      <c r="D33" s="75">
        <f t="shared" ref="D33:D37" si="7">SUM(B33:C33)</f>
        <v>0</v>
      </c>
      <c r="E33" s="19"/>
      <c r="F33" s="23" t="s">
        <v>107</v>
      </c>
      <c r="G33" s="14"/>
      <c r="H33" s="19"/>
      <c r="I33" s="15"/>
    </row>
    <row r="34" spans="1:9" x14ac:dyDescent="0.35">
      <c r="A34" s="19" t="s">
        <v>206</v>
      </c>
      <c r="B34" s="65">
        <v>6306479</v>
      </c>
      <c r="C34" s="78">
        <f>-1*(C46+C21)</f>
        <v>352704</v>
      </c>
      <c r="D34" s="75">
        <f t="shared" si="7"/>
        <v>6659183</v>
      </c>
      <c r="E34" s="19"/>
      <c r="F34" s="19" t="s">
        <v>108</v>
      </c>
      <c r="G34" s="65">
        <f>115645.8+2159758</f>
        <v>2275403.7999999998</v>
      </c>
      <c r="H34" s="24"/>
      <c r="I34" s="75">
        <f>SUM(G34:H34)</f>
        <v>2275403.7999999998</v>
      </c>
    </row>
    <row r="35" spans="1:9" x14ac:dyDescent="0.35">
      <c r="A35" s="19" t="s">
        <v>67</v>
      </c>
      <c r="B35" s="65">
        <v>0</v>
      </c>
      <c r="C35" s="24"/>
      <c r="D35" s="75">
        <f t="shared" si="7"/>
        <v>0</v>
      </c>
      <c r="E35" s="19"/>
      <c r="F35" s="19" t="s">
        <v>172</v>
      </c>
      <c r="G35" s="65">
        <v>-1247894</v>
      </c>
      <c r="H35" s="65">
        <v>7425</v>
      </c>
      <c r="I35" s="75">
        <f t="shared" ref="I35:I36" si="8">SUM(G35:H35)</f>
        <v>-1240469</v>
      </c>
    </row>
    <row r="36" spans="1:9" x14ac:dyDescent="0.35">
      <c r="A36" s="19" t="s">
        <v>68</v>
      </c>
      <c r="B36" s="65">
        <v>0</v>
      </c>
      <c r="C36" s="24"/>
      <c r="D36" s="75">
        <f t="shared" si="7"/>
        <v>0</v>
      </c>
      <c r="E36" s="19"/>
      <c r="F36" s="19" t="s">
        <v>109</v>
      </c>
      <c r="G36" s="66"/>
      <c r="H36" s="25"/>
      <c r="I36" s="76">
        <f t="shared" si="8"/>
        <v>0</v>
      </c>
    </row>
    <row r="37" spans="1:9" x14ac:dyDescent="0.35">
      <c r="A37" s="19" t="s">
        <v>69</v>
      </c>
      <c r="B37" s="66">
        <v>0</v>
      </c>
      <c r="C37" s="25"/>
      <c r="D37" s="76">
        <f t="shared" si="7"/>
        <v>0</v>
      </c>
      <c r="E37" s="19"/>
      <c r="F37" s="19" t="s">
        <v>110</v>
      </c>
      <c r="G37" s="75">
        <f>SUM(G34:G36)</f>
        <v>1027509.7999999998</v>
      </c>
      <c r="H37" s="75">
        <f t="shared" ref="H37:I37" si="9">SUM(H34:H36)</f>
        <v>7425</v>
      </c>
      <c r="I37" s="75">
        <f t="shared" si="9"/>
        <v>1034934.7999999998</v>
      </c>
    </row>
    <row r="38" spans="1:9" x14ac:dyDescent="0.35">
      <c r="A38" s="19" t="s">
        <v>70</v>
      </c>
      <c r="B38" s="75">
        <f>B29+B30+B32+B33+B34+B35+B36+B37</f>
        <v>6332743.3399999999</v>
      </c>
      <c r="C38" s="78">
        <f>C34</f>
        <v>352704</v>
      </c>
      <c r="D38" s="75">
        <f t="shared" ref="D38" si="10">D29+D30+D32+D33+D34+D35+D36+D37</f>
        <v>6685447.3399999999</v>
      </c>
      <c r="E38" s="19"/>
      <c r="F38" s="23" t="s">
        <v>111</v>
      </c>
      <c r="G38" s="14"/>
      <c r="H38" s="19"/>
      <c r="I38" s="15"/>
    </row>
    <row r="39" spans="1:9" x14ac:dyDescent="0.35">
      <c r="A39" s="19"/>
      <c r="B39" s="19"/>
      <c r="C39" s="19"/>
      <c r="D39" s="15"/>
      <c r="E39" s="19"/>
      <c r="F39" s="19" t="s">
        <v>112</v>
      </c>
      <c r="G39" s="65">
        <v>6851580</v>
      </c>
      <c r="H39" s="24"/>
      <c r="I39" s="75">
        <f>SUM(G39:H39)</f>
        <v>6851580</v>
      </c>
    </row>
    <row r="40" spans="1:9" x14ac:dyDescent="0.35">
      <c r="A40" s="23" t="s">
        <v>71</v>
      </c>
      <c r="B40" s="19"/>
      <c r="C40" s="19"/>
      <c r="D40" s="15"/>
      <c r="E40" s="19"/>
      <c r="F40" s="19" t="s">
        <v>113</v>
      </c>
      <c r="G40" s="65">
        <v>11476700.99</v>
      </c>
      <c r="H40" s="24"/>
      <c r="I40" s="75">
        <f t="shared" ref="I40:I45" si="11">SUM(G40:H40)</f>
        <v>11476700.99</v>
      </c>
    </row>
    <row r="41" spans="1:9" x14ac:dyDescent="0.35">
      <c r="A41" s="19" t="s">
        <v>222</v>
      </c>
      <c r="B41" s="65">
        <v>85200986</v>
      </c>
      <c r="C41" s="65">
        <v>-2219065</v>
      </c>
      <c r="D41" s="75">
        <f>SUM(B41:C41)</f>
        <v>82981921</v>
      </c>
      <c r="E41" s="19"/>
      <c r="F41" s="19" t="s">
        <v>114</v>
      </c>
      <c r="G41" s="65">
        <v>0</v>
      </c>
      <c r="H41" s="24"/>
      <c r="I41" s="75">
        <f t="shared" si="11"/>
        <v>0</v>
      </c>
    </row>
    <row r="42" spans="1:9" x14ac:dyDescent="0.35">
      <c r="A42" s="19" t="s">
        <v>73</v>
      </c>
      <c r="B42" s="65">
        <v>0</v>
      </c>
      <c r="C42" s="24"/>
      <c r="D42" s="75">
        <f t="shared" ref="D42:D45" si="12">SUM(B42:C42)</f>
        <v>0</v>
      </c>
      <c r="E42" s="19"/>
      <c r="F42" s="19" t="s">
        <v>115</v>
      </c>
      <c r="G42" s="65">
        <v>0</v>
      </c>
      <c r="H42" s="24"/>
      <c r="I42" s="75">
        <f t="shared" si="11"/>
        <v>0</v>
      </c>
    </row>
    <row r="43" spans="1:9" x14ac:dyDescent="0.35">
      <c r="A43" s="19" t="s">
        <v>74</v>
      </c>
      <c r="B43" s="65">
        <v>560139.53</v>
      </c>
      <c r="C43" s="24"/>
      <c r="D43" s="75">
        <f t="shared" si="12"/>
        <v>560139.53</v>
      </c>
      <c r="E43" s="19"/>
      <c r="F43" s="19" t="s">
        <v>116</v>
      </c>
      <c r="G43" s="65">
        <v>0</v>
      </c>
      <c r="H43" s="24"/>
      <c r="I43" s="75">
        <f t="shared" si="11"/>
        <v>0</v>
      </c>
    </row>
    <row r="44" spans="1:9" x14ac:dyDescent="0.35">
      <c r="A44" s="19" t="s">
        <v>75</v>
      </c>
      <c r="B44" s="65">
        <v>0</v>
      </c>
      <c r="C44" s="24"/>
      <c r="D44" s="75">
        <f t="shared" si="12"/>
        <v>0</v>
      </c>
      <c r="E44" s="19"/>
      <c r="F44" s="19" t="s">
        <v>117</v>
      </c>
      <c r="G44" s="65">
        <v>0</v>
      </c>
      <c r="H44" s="24"/>
      <c r="I44" s="75">
        <f t="shared" si="11"/>
        <v>0</v>
      </c>
    </row>
    <row r="45" spans="1:9" x14ac:dyDescent="0.35">
      <c r="A45" s="19" t="s">
        <v>126</v>
      </c>
      <c r="B45" s="66">
        <v>-79036499</v>
      </c>
      <c r="C45" s="66">
        <v>1866361</v>
      </c>
      <c r="D45" s="76">
        <f t="shared" si="12"/>
        <v>-77170138</v>
      </c>
      <c r="E45" s="19"/>
      <c r="F45" s="19" t="s">
        <v>207</v>
      </c>
      <c r="G45" s="66">
        <v>-6345274.9900000002</v>
      </c>
      <c r="H45" s="76">
        <f>-1*H37</f>
        <v>-7425</v>
      </c>
      <c r="I45" s="76">
        <f t="shared" si="11"/>
        <v>-6352699.9900000002</v>
      </c>
    </row>
    <row r="46" spans="1:9" x14ac:dyDescent="0.35">
      <c r="A46" s="19" t="s">
        <v>76</v>
      </c>
      <c r="B46" s="75">
        <f>B41+B42+B43+B44+B45</f>
        <v>6724626.5300000012</v>
      </c>
      <c r="C46" s="75">
        <f t="shared" ref="C46:D46" si="13">C41+C42+C43+C44+C45</f>
        <v>-352704</v>
      </c>
      <c r="D46" s="75">
        <f t="shared" si="13"/>
        <v>6371922.5300000012</v>
      </c>
      <c r="E46" s="19"/>
      <c r="F46" s="19" t="s">
        <v>119</v>
      </c>
      <c r="G46" s="75">
        <f>SUM(G39:G45)</f>
        <v>11983006.000000002</v>
      </c>
      <c r="H46" s="80">
        <f t="shared" ref="H46:I46" si="14">SUM(H39:H45)</f>
        <v>-7425</v>
      </c>
      <c r="I46" s="75">
        <f t="shared" si="14"/>
        <v>11975581.000000002</v>
      </c>
    </row>
    <row r="47" spans="1:9" x14ac:dyDescent="0.3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" thickBot="1" x14ac:dyDescent="0.4">
      <c r="A48" s="23" t="s">
        <v>198</v>
      </c>
      <c r="B48" s="79">
        <f>B25+B38+B46</f>
        <v>16003683.770000001</v>
      </c>
      <c r="C48" s="79">
        <f t="shared" ref="C48:D48" si="15">C25+C38+C46</f>
        <v>0</v>
      </c>
      <c r="D48" s="79">
        <f t="shared" si="15"/>
        <v>16003683.770000001</v>
      </c>
      <c r="E48" s="19"/>
      <c r="F48" s="23" t="s">
        <v>120</v>
      </c>
      <c r="G48" s="79">
        <f>G20+G32+G37+G46</f>
        <v>16003683.550000001</v>
      </c>
      <c r="H48" s="79">
        <f t="shared" ref="H48:I48" si="16">H20+H32+H37+H46</f>
        <v>0</v>
      </c>
      <c r="I48" s="79">
        <f t="shared" si="16"/>
        <v>16003683.550000001</v>
      </c>
    </row>
    <row r="49" spans="1:9" ht="15" thickTop="1" x14ac:dyDescent="0.3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35">
      <c r="A50" t="s">
        <v>171</v>
      </c>
    </row>
    <row r="51" spans="1:9" x14ac:dyDescent="0.35">
      <c r="A51" t="s">
        <v>208</v>
      </c>
    </row>
    <row r="52" spans="1:9" x14ac:dyDescent="0.35">
      <c r="A52" t="s">
        <v>129</v>
      </c>
    </row>
    <row r="53" spans="1:9" x14ac:dyDescent="0.35">
      <c r="A53" t="s">
        <v>209</v>
      </c>
    </row>
    <row r="54" spans="1:9" x14ac:dyDescent="0.35">
      <c r="A54" t="s">
        <v>210</v>
      </c>
    </row>
    <row r="55" spans="1:9" x14ac:dyDescent="0.35">
      <c r="A55" t="s">
        <v>223</v>
      </c>
    </row>
    <row r="56" spans="1:9" x14ac:dyDescent="0.35">
      <c r="A56" t="s">
        <v>224</v>
      </c>
    </row>
  </sheetData>
  <sheetProtection selectLockedCells="1"/>
  <pageMargins left="0.7" right="0.7" top="0.75" bottom="0.75" header="0.3" footer="0.3"/>
  <pageSetup scale="61" orientation="landscape" r:id="rId1"/>
  <headerFooter>
    <oddHeader>&amp;L&amp;"-,Bold"2014 State USF Petition Filing Requirement -WAC 480-123-110(e)
Prior Year Balance Sheet</oddHeader>
    <oddFooter>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workbookViewId="0">
      <selection activeCell="F1" sqref="F1"/>
    </sheetView>
  </sheetViews>
  <sheetFormatPr defaultRowHeight="14.5" x14ac:dyDescent="0.35"/>
  <cols>
    <col min="1" max="1" width="37.7265625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1" spans="1:9" ht="18.5" x14ac:dyDescent="0.45">
      <c r="A1" t="s">
        <v>226</v>
      </c>
      <c r="F1" s="85" t="s">
        <v>230</v>
      </c>
    </row>
    <row r="2" spans="1:9" x14ac:dyDescent="0.35">
      <c r="A2" s="74" t="s">
        <v>229</v>
      </c>
    </row>
    <row r="3" spans="1:9" x14ac:dyDescent="0.35">
      <c r="A3" s="13"/>
    </row>
    <row r="5" spans="1:9" x14ac:dyDescent="0.3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3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3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3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35">
      <c r="A9" s="19" t="s">
        <v>47</v>
      </c>
      <c r="B9" s="65">
        <v>91964.26</v>
      </c>
      <c r="C9" s="24"/>
      <c r="D9" s="38">
        <f>SUM(B9:C9)</f>
        <v>91964.26</v>
      </c>
      <c r="E9" s="19"/>
      <c r="F9" s="19" t="s">
        <v>83</v>
      </c>
      <c r="G9" s="65">
        <f>2007904.98-411.77+13560+8890.21+43143.93+12672.67+7895.36+3506.75+9781.58+10134.59+65699.25+56458.87+106257.41</f>
        <v>2345493.83</v>
      </c>
      <c r="H9" s="24"/>
      <c r="I9" s="38">
        <f>SUM(G9:H9)</f>
        <v>2345493.83</v>
      </c>
    </row>
    <row r="10" spans="1:9" x14ac:dyDescent="0.35">
      <c r="A10" s="19" t="s">
        <v>168</v>
      </c>
      <c r="B10" s="65">
        <v>0</v>
      </c>
      <c r="C10" s="24"/>
      <c r="D10" s="38">
        <f>SUM(B10:C10)</f>
        <v>0</v>
      </c>
      <c r="E10" s="19"/>
      <c r="F10" s="19" t="s">
        <v>86</v>
      </c>
      <c r="G10" s="65">
        <v>0</v>
      </c>
      <c r="H10" s="24"/>
      <c r="I10" s="38">
        <f t="shared" ref="I10:I18" si="0">SUM(G10:H10)</f>
        <v>0</v>
      </c>
    </row>
    <row r="11" spans="1:9" x14ac:dyDescent="0.35">
      <c r="A11" s="19" t="s">
        <v>48</v>
      </c>
      <c r="B11" s="24"/>
      <c r="C11" s="24"/>
      <c r="D11" s="18"/>
      <c r="E11" s="20"/>
      <c r="F11" s="19" t="s">
        <v>87</v>
      </c>
      <c r="G11" s="65">
        <v>9796.58</v>
      </c>
      <c r="H11" s="24"/>
      <c r="I11" s="38">
        <f t="shared" si="0"/>
        <v>9796.58</v>
      </c>
    </row>
    <row r="12" spans="1:9" x14ac:dyDescent="0.35">
      <c r="A12" s="19" t="s">
        <v>49</v>
      </c>
      <c r="B12" s="65">
        <v>1594803.12</v>
      </c>
      <c r="C12" s="24"/>
      <c r="D12" s="38">
        <f>SUM(B12:C12)</f>
        <v>1594803.12</v>
      </c>
      <c r="E12" s="19"/>
      <c r="F12" s="19" t="s">
        <v>88</v>
      </c>
      <c r="G12" s="65">
        <v>0</v>
      </c>
      <c r="H12" s="24"/>
      <c r="I12" s="38">
        <f t="shared" si="0"/>
        <v>0</v>
      </c>
    </row>
    <row r="13" spans="1:9" x14ac:dyDescent="0.35">
      <c r="A13" s="19" t="s">
        <v>52</v>
      </c>
      <c r="B13" s="65">
        <v>0</v>
      </c>
      <c r="C13" s="24"/>
      <c r="D13" s="38">
        <f t="shared" ref="D13:D14" si="1">SUM(B13:C13)</f>
        <v>0</v>
      </c>
      <c r="E13" s="19"/>
      <c r="F13" s="19" t="s">
        <v>89</v>
      </c>
      <c r="G13" s="65">
        <v>0</v>
      </c>
      <c r="H13" s="24"/>
      <c r="I13" s="38">
        <f t="shared" si="0"/>
        <v>0</v>
      </c>
    </row>
    <row r="14" spans="1:9" x14ac:dyDescent="0.35">
      <c r="A14" s="19" t="s">
        <v>50</v>
      </c>
      <c r="B14" s="65">
        <v>0</v>
      </c>
      <c r="C14" s="24"/>
      <c r="D14" s="38">
        <f t="shared" si="1"/>
        <v>0</v>
      </c>
      <c r="E14" s="19"/>
      <c r="F14" s="19" t="s">
        <v>90</v>
      </c>
      <c r="G14" s="65">
        <v>0</v>
      </c>
      <c r="H14" s="24"/>
      <c r="I14" s="38">
        <f t="shared" si="0"/>
        <v>0</v>
      </c>
    </row>
    <row r="15" spans="1:9" x14ac:dyDescent="0.35">
      <c r="A15" s="19" t="s">
        <v>51</v>
      </c>
      <c r="B15" s="24"/>
      <c r="C15" s="24"/>
      <c r="D15" s="18"/>
      <c r="E15" s="20"/>
      <c r="F15" s="19" t="s">
        <v>91</v>
      </c>
      <c r="G15" s="65">
        <v>0</v>
      </c>
      <c r="H15" s="24"/>
      <c r="I15" s="38">
        <f t="shared" si="0"/>
        <v>0</v>
      </c>
    </row>
    <row r="16" spans="1:9" x14ac:dyDescent="0.35">
      <c r="A16" s="19" t="s">
        <v>49</v>
      </c>
      <c r="B16" s="65">
        <v>62604.63</v>
      </c>
      <c r="C16" s="24"/>
      <c r="D16" s="38">
        <f>SUM(B16:C16)</f>
        <v>62604.63</v>
      </c>
      <c r="E16" s="20"/>
      <c r="F16" s="19" t="s">
        <v>92</v>
      </c>
      <c r="G16" s="65">
        <v>1087177.48</v>
      </c>
      <c r="H16" s="24"/>
      <c r="I16" s="38">
        <f t="shared" si="0"/>
        <v>1087177.48</v>
      </c>
    </row>
    <row r="17" spans="1:9" x14ac:dyDescent="0.35">
      <c r="A17" s="19" t="s">
        <v>52</v>
      </c>
      <c r="B17" s="65">
        <v>434659.22</v>
      </c>
      <c r="C17" s="24"/>
      <c r="D17" s="38">
        <f t="shared" ref="D17:D23" si="2">SUM(B17:C17)</f>
        <v>434659.22</v>
      </c>
      <c r="E17" s="19"/>
      <c r="F17" s="19" t="s">
        <v>93</v>
      </c>
      <c r="G17" s="65">
        <f>244800+12544.43+8715</f>
        <v>266059.43</v>
      </c>
      <c r="H17" s="24"/>
      <c r="I17" s="38">
        <f t="shared" si="0"/>
        <v>266059.43</v>
      </c>
    </row>
    <row r="18" spans="1:9" x14ac:dyDescent="0.35">
      <c r="A18" s="19" t="s">
        <v>50</v>
      </c>
      <c r="B18" s="65">
        <v>0</v>
      </c>
      <c r="C18" s="24"/>
      <c r="D18" s="38">
        <f t="shared" si="2"/>
        <v>0</v>
      </c>
      <c r="E18" s="19"/>
      <c r="F18" s="19" t="s">
        <v>94</v>
      </c>
      <c r="G18" s="66"/>
      <c r="H18" s="25"/>
      <c r="I18" s="39">
        <f t="shared" si="0"/>
        <v>0</v>
      </c>
    </row>
    <row r="19" spans="1:9" x14ac:dyDescent="0.35">
      <c r="A19" s="19" t="s">
        <v>53</v>
      </c>
      <c r="B19" s="65">
        <v>0</v>
      </c>
      <c r="C19" s="24"/>
      <c r="D19" s="38">
        <f t="shared" si="2"/>
        <v>0</v>
      </c>
      <c r="E19" s="19"/>
      <c r="F19" s="19" t="s">
        <v>125</v>
      </c>
      <c r="G19" s="38">
        <f>SUM(G9:G18)</f>
        <v>3708527.3200000003</v>
      </c>
      <c r="H19" s="24"/>
      <c r="I19" s="38">
        <f t="shared" ref="I19" si="3">SUM(I9:I18)</f>
        <v>3708527.3200000003</v>
      </c>
    </row>
    <row r="20" spans="1:9" x14ac:dyDescent="0.35">
      <c r="A20" s="19" t="s">
        <v>54</v>
      </c>
      <c r="B20" s="65">
        <f>387811.49+23883.95</f>
        <v>411695.44</v>
      </c>
      <c r="C20" s="67"/>
      <c r="D20" s="38">
        <f t="shared" si="2"/>
        <v>411695.44</v>
      </c>
      <c r="E20" s="19"/>
      <c r="F20" s="23" t="s">
        <v>96</v>
      </c>
      <c r="G20" s="14"/>
      <c r="H20" s="19"/>
      <c r="I20" s="15"/>
    </row>
    <row r="21" spans="1:9" x14ac:dyDescent="0.35">
      <c r="A21" s="19" t="s">
        <v>55</v>
      </c>
      <c r="B21" s="65">
        <f>22066.07+7797.37</f>
        <v>29863.439999999999</v>
      </c>
      <c r="C21" s="24"/>
      <c r="D21" s="38">
        <f t="shared" si="2"/>
        <v>29863.439999999999</v>
      </c>
      <c r="E21" s="19"/>
      <c r="F21" s="19" t="s">
        <v>97</v>
      </c>
      <c r="G21" s="65">
        <v>0</v>
      </c>
      <c r="H21" s="24"/>
      <c r="I21" s="38">
        <f>SUM(G21:H21)</f>
        <v>0</v>
      </c>
    </row>
    <row r="22" spans="1:9" x14ac:dyDescent="0.35">
      <c r="A22" s="19" t="s">
        <v>56</v>
      </c>
      <c r="B22" s="65">
        <v>293135.28999999998</v>
      </c>
      <c r="C22" s="24"/>
      <c r="D22" s="38">
        <f t="shared" si="2"/>
        <v>293135.28999999998</v>
      </c>
      <c r="E22" s="19"/>
      <c r="F22" s="19" t="s">
        <v>98</v>
      </c>
      <c r="G22" s="65">
        <v>0</v>
      </c>
      <c r="H22" s="24"/>
      <c r="I22" s="38">
        <f t="shared" ref="I22:I30" si="4">SUM(G22:H22)</f>
        <v>0</v>
      </c>
    </row>
    <row r="23" spans="1:9" x14ac:dyDescent="0.35">
      <c r="A23" s="19" t="s">
        <v>57</v>
      </c>
      <c r="B23" s="66">
        <v>31773</v>
      </c>
      <c r="C23" s="25"/>
      <c r="D23" s="39">
        <f t="shared" si="2"/>
        <v>31773</v>
      </c>
      <c r="E23" s="19"/>
      <c r="F23" s="19" t="s">
        <v>99</v>
      </c>
      <c r="G23" s="65">
        <v>0</v>
      </c>
      <c r="H23" s="24"/>
      <c r="I23" s="38">
        <f t="shared" si="4"/>
        <v>0</v>
      </c>
    </row>
    <row r="24" spans="1:9" x14ac:dyDescent="0.35">
      <c r="A24" s="19" t="s">
        <v>46</v>
      </c>
      <c r="B24" s="38">
        <f>B9+B10+B12+B13+B14+B16+B17+B18+B19+B20+B21+B22+B23</f>
        <v>2950498.4</v>
      </c>
      <c r="C24" s="57">
        <f>C20</f>
        <v>0</v>
      </c>
      <c r="D24" s="38">
        <f t="shared" ref="D24" si="5">D9+D10+D12+D13+D14+D16+D17+D18+D19+D20+D21+D22+D23</f>
        <v>2950498.4</v>
      </c>
      <c r="E24" s="19"/>
      <c r="F24" s="19" t="s">
        <v>100</v>
      </c>
      <c r="G24" s="65">
        <v>0</v>
      </c>
      <c r="H24" s="24"/>
      <c r="I24" s="38">
        <f t="shared" si="4"/>
        <v>0</v>
      </c>
    </row>
    <row r="25" spans="1:9" x14ac:dyDescent="0.35">
      <c r="A25" s="19"/>
      <c r="B25" s="36"/>
      <c r="C25" s="19"/>
      <c r="D25" s="15"/>
      <c r="E25" s="19"/>
      <c r="F25" s="19" t="s">
        <v>101</v>
      </c>
      <c r="G25" s="65">
        <v>0</v>
      </c>
      <c r="H25" s="24"/>
      <c r="I25" s="38">
        <f t="shared" si="4"/>
        <v>0</v>
      </c>
    </row>
    <row r="26" spans="1:9" x14ac:dyDescent="0.35">
      <c r="A26" s="23" t="s">
        <v>59</v>
      </c>
      <c r="B26" s="36"/>
      <c r="C26" s="20"/>
      <c r="D26" s="15"/>
      <c r="E26" s="19"/>
      <c r="F26" s="19" t="s">
        <v>102</v>
      </c>
      <c r="G26" s="65">
        <v>0</v>
      </c>
      <c r="H26" s="24"/>
      <c r="I26" s="38">
        <f t="shared" si="4"/>
        <v>0</v>
      </c>
    </row>
    <row r="27" spans="1:9" x14ac:dyDescent="0.35">
      <c r="A27" s="19" t="s">
        <v>64</v>
      </c>
      <c r="B27" s="37"/>
      <c r="C27" s="24"/>
      <c r="D27" s="18"/>
      <c r="E27" s="20"/>
      <c r="F27" s="19" t="s">
        <v>169</v>
      </c>
      <c r="G27" s="65">
        <v>0</v>
      </c>
      <c r="H27" s="24"/>
      <c r="I27" s="38">
        <f t="shared" si="4"/>
        <v>0</v>
      </c>
    </row>
    <row r="28" spans="1:9" x14ac:dyDescent="0.35">
      <c r="A28" s="19" t="s">
        <v>60</v>
      </c>
      <c r="B28" s="65">
        <v>-38363.39</v>
      </c>
      <c r="C28" s="24"/>
      <c r="D28" s="38">
        <f>SUM(B28:C28)</f>
        <v>-38363.39</v>
      </c>
      <c r="E28" s="19"/>
      <c r="F28" s="19" t="s">
        <v>103</v>
      </c>
      <c r="G28" s="65">
        <v>0</v>
      </c>
      <c r="H28" s="24"/>
      <c r="I28" s="38">
        <f t="shared" si="4"/>
        <v>0</v>
      </c>
    </row>
    <row r="29" spans="1:9" x14ac:dyDescent="0.35">
      <c r="A29" s="19" t="s">
        <v>61</v>
      </c>
      <c r="B29" s="65">
        <v>0</v>
      </c>
      <c r="C29" s="24"/>
      <c r="D29" s="38">
        <f>SUM(B29:C29)</f>
        <v>0</v>
      </c>
      <c r="E29" s="19"/>
      <c r="F29" s="19" t="s">
        <v>104</v>
      </c>
      <c r="G29" s="65">
        <v>0</v>
      </c>
      <c r="H29" s="24"/>
      <c r="I29" s="38">
        <f t="shared" si="4"/>
        <v>0</v>
      </c>
    </row>
    <row r="30" spans="1:9" x14ac:dyDescent="0.35">
      <c r="A30" s="19" t="s">
        <v>65</v>
      </c>
      <c r="B30" s="37"/>
      <c r="C30" s="24"/>
      <c r="D30" s="18"/>
      <c r="E30" s="20"/>
      <c r="F30" s="19" t="s">
        <v>105</v>
      </c>
      <c r="G30" s="66">
        <v>0</v>
      </c>
      <c r="H30" s="25"/>
      <c r="I30" s="39">
        <f t="shared" si="4"/>
        <v>0</v>
      </c>
    </row>
    <row r="31" spans="1:9" x14ac:dyDescent="0.35">
      <c r="A31" s="19" t="s">
        <v>62</v>
      </c>
      <c r="B31" s="65">
        <v>0</v>
      </c>
      <c r="C31" s="24"/>
      <c r="D31" s="38">
        <f>SUM(B31:C31)</f>
        <v>0</v>
      </c>
      <c r="E31" s="19"/>
      <c r="F31" s="19" t="s">
        <v>124</v>
      </c>
      <c r="G31" s="38">
        <f>SUM(G21:G30)</f>
        <v>0</v>
      </c>
      <c r="H31" s="24"/>
      <c r="I31" s="38">
        <f t="shared" ref="I31" si="6">SUM(I21:I30)</f>
        <v>0</v>
      </c>
    </row>
    <row r="32" spans="1:9" x14ac:dyDescent="0.35">
      <c r="A32" s="19" t="s">
        <v>63</v>
      </c>
      <c r="B32" s="65">
        <v>0</v>
      </c>
      <c r="C32" s="24"/>
      <c r="D32" s="38">
        <f t="shared" ref="D32:D36" si="7">SUM(B32:C32)</f>
        <v>0</v>
      </c>
      <c r="E32" s="19"/>
      <c r="F32" s="23" t="s">
        <v>107</v>
      </c>
      <c r="G32" s="14"/>
      <c r="H32" s="19"/>
      <c r="I32" s="15"/>
    </row>
    <row r="33" spans="1:9" x14ac:dyDescent="0.35">
      <c r="A33" s="19" t="s">
        <v>206</v>
      </c>
      <c r="B33" s="65">
        <v>6346607</v>
      </c>
      <c r="C33" s="80">
        <f>-1*(C45+C20)</f>
        <v>291001</v>
      </c>
      <c r="D33" s="38">
        <f t="shared" si="7"/>
        <v>6637608</v>
      </c>
      <c r="E33" s="19"/>
      <c r="F33" s="19" t="s">
        <v>108</v>
      </c>
      <c r="G33" s="65">
        <f>113352.5+2188684</f>
        <v>2302036.5</v>
      </c>
      <c r="H33" s="24"/>
      <c r="I33" s="38">
        <f>SUM(G33:H33)</f>
        <v>2302036.5</v>
      </c>
    </row>
    <row r="34" spans="1:9" x14ac:dyDescent="0.35">
      <c r="A34" s="19" t="s">
        <v>67</v>
      </c>
      <c r="B34" s="65">
        <v>0</v>
      </c>
      <c r="C34" s="24"/>
      <c r="D34" s="38">
        <f t="shared" si="7"/>
        <v>0</v>
      </c>
      <c r="E34" s="19"/>
      <c r="F34" s="19" t="s">
        <v>172</v>
      </c>
      <c r="G34" s="65">
        <v>-1353037</v>
      </c>
      <c r="H34" s="65">
        <v>7075</v>
      </c>
      <c r="I34" s="38">
        <f t="shared" ref="I34:I35" si="8">SUM(G34:H34)</f>
        <v>-1345962</v>
      </c>
    </row>
    <row r="35" spans="1:9" x14ac:dyDescent="0.35">
      <c r="A35" s="19" t="s">
        <v>68</v>
      </c>
      <c r="B35" s="65">
        <v>0</v>
      </c>
      <c r="C35" s="24"/>
      <c r="D35" s="38">
        <f t="shared" si="7"/>
        <v>0</v>
      </c>
      <c r="E35" s="19"/>
      <c r="F35" s="19" t="s">
        <v>109</v>
      </c>
      <c r="G35" s="66"/>
      <c r="H35" s="25"/>
      <c r="I35" s="39">
        <f t="shared" si="8"/>
        <v>0</v>
      </c>
    </row>
    <row r="36" spans="1:9" x14ac:dyDescent="0.35">
      <c r="A36" s="19" t="s">
        <v>69</v>
      </c>
      <c r="B36" s="66">
        <v>0</v>
      </c>
      <c r="C36" s="25"/>
      <c r="D36" s="39">
        <f t="shared" si="7"/>
        <v>0</v>
      </c>
      <c r="E36" s="19"/>
      <c r="F36" s="19" t="s">
        <v>110</v>
      </c>
      <c r="G36" s="38">
        <f>SUM(G33:G35)</f>
        <v>948999.5</v>
      </c>
      <c r="H36" s="38">
        <f t="shared" ref="H36:I36" si="9">SUM(H33:H35)</f>
        <v>7075</v>
      </c>
      <c r="I36" s="38">
        <f t="shared" si="9"/>
        <v>956074.5</v>
      </c>
    </row>
    <row r="37" spans="1:9" x14ac:dyDescent="0.35">
      <c r="A37" s="19" t="s">
        <v>70</v>
      </c>
      <c r="B37" s="38">
        <f>B28+B29+B31+B32+B33+B34+B35+B36</f>
        <v>6308243.6100000003</v>
      </c>
      <c r="C37" s="57">
        <f>C33</f>
        <v>291001</v>
      </c>
      <c r="D37" s="38">
        <f t="shared" ref="D37" si="10">D28+D29+D31+D32+D33+D34+D35+D36</f>
        <v>6599244.6100000003</v>
      </c>
      <c r="E37" s="19"/>
      <c r="F37" s="23" t="s">
        <v>111</v>
      </c>
      <c r="G37" s="14"/>
      <c r="H37" s="19"/>
      <c r="I37" s="15"/>
    </row>
    <row r="38" spans="1:9" x14ac:dyDescent="0.35">
      <c r="A38" s="19"/>
      <c r="B38" s="19"/>
      <c r="C38" s="19"/>
      <c r="D38" s="15"/>
      <c r="E38" s="19"/>
      <c r="F38" s="19" t="s">
        <v>112</v>
      </c>
      <c r="G38" s="65">
        <v>6851580</v>
      </c>
      <c r="H38" s="24"/>
      <c r="I38" s="38">
        <f>SUM(G38:H38)</f>
        <v>6851580</v>
      </c>
    </row>
    <row r="39" spans="1:9" x14ac:dyDescent="0.35">
      <c r="A39" s="23" t="s">
        <v>71</v>
      </c>
      <c r="B39" s="19"/>
      <c r="C39" s="19"/>
      <c r="D39" s="15"/>
      <c r="E39" s="19"/>
      <c r="F39" s="19" t="s">
        <v>113</v>
      </c>
      <c r="G39" s="65">
        <v>11476700.99</v>
      </c>
      <c r="H39" s="24"/>
      <c r="I39" s="38">
        <f t="shared" ref="I39:I44" si="11">SUM(G39:H39)</f>
        <v>11476700.99</v>
      </c>
    </row>
    <row r="40" spans="1:9" x14ac:dyDescent="0.35">
      <c r="A40" s="19" t="s">
        <v>222</v>
      </c>
      <c r="B40" s="65">
        <v>77967371</v>
      </c>
      <c r="C40" s="65">
        <v>-1653632</v>
      </c>
      <c r="D40" s="38">
        <f>SUM(B40:C40)</f>
        <v>76313739</v>
      </c>
      <c r="E40" s="19"/>
      <c r="F40" s="19" t="s">
        <v>114</v>
      </c>
      <c r="G40" s="65">
        <v>0</v>
      </c>
      <c r="H40" s="24"/>
      <c r="I40" s="38">
        <f t="shared" si="11"/>
        <v>0</v>
      </c>
    </row>
    <row r="41" spans="1:9" x14ac:dyDescent="0.35">
      <c r="A41" s="19" t="s">
        <v>73</v>
      </c>
      <c r="B41" s="65">
        <v>0</v>
      </c>
      <c r="C41" s="24"/>
      <c r="D41" s="38">
        <f t="shared" ref="D41:D44" si="12">SUM(B41:C41)</f>
        <v>0</v>
      </c>
      <c r="E41" s="19"/>
      <c r="F41" s="19" t="s">
        <v>115</v>
      </c>
      <c r="G41" s="65">
        <v>0</v>
      </c>
      <c r="H41" s="24"/>
      <c r="I41" s="38">
        <f t="shared" si="11"/>
        <v>0</v>
      </c>
    </row>
    <row r="42" spans="1:9" x14ac:dyDescent="0.35">
      <c r="A42" s="19" t="s">
        <v>74</v>
      </c>
      <c r="B42" s="65">
        <v>499483</v>
      </c>
      <c r="C42" s="24"/>
      <c r="D42" s="38">
        <f t="shared" si="12"/>
        <v>499483</v>
      </c>
      <c r="E42" s="19"/>
      <c r="F42" s="19" t="s">
        <v>116</v>
      </c>
      <c r="G42" s="65">
        <v>0</v>
      </c>
      <c r="H42" s="24"/>
      <c r="I42" s="38">
        <f t="shared" si="11"/>
        <v>0</v>
      </c>
    </row>
    <row r="43" spans="1:9" x14ac:dyDescent="0.35">
      <c r="A43" s="19" t="s">
        <v>75</v>
      </c>
      <c r="B43" s="65">
        <v>0</v>
      </c>
      <c r="C43" s="24"/>
      <c r="D43" s="38">
        <f t="shared" si="12"/>
        <v>0</v>
      </c>
      <c r="E43" s="19"/>
      <c r="F43" s="19" t="s">
        <v>117</v>
      </c>
      <c r="G43" s="65">
        <v>0</v>
      </c>
      <c r="H43" s="24"/>
      <c r="I43" s="38">
        <f t="shared" si="11"/>
        <v>0</v>
      </c>
    </row>
    <row r="44" spans="1:9" x14ac:dyDescent="0.35">
      <c r="A44" s="19" t="s">
        <v>126</v>
      </c>
      <c r="B44" s="66">
        <v>-73106673</v>
      </c>
      <c r="C44" s="66">
        <v>1362631</v>
      </c>
      <c r="D44" s="39">
        <f t="shared" si="12"/>
        <v>-71744042</v>
      </c>
      <c r="E44" s="19"/>
      <c r="F44" s="19" t="s">
        <v>207</v>
      </c>
      <c r="G44" s="66">
        <v>-8366884.46</v>
      </c>
      <c r="H44" s="83">
        <f>-1*H36</f>
        <v>-7075</v>
      </c>
      <c r="I44" s="39">
        <f t="shared" si="11"/>
        <v>-8373959.46</v>
      </c>
    </row>
    <row r="45" spans="1:9" x14ac:dyDescent="0.35">
      <c r="A45" s="19" t="s">
        <v>76</v>
      </c>
      <c r="B45" s="38">
        <f>B40+B41+B42+B43+B44</f>
        <v>5360181</v>
      </c>
      <c r="C45" s="38">
        <f t="shared" ref="C45:D45" si="13">C40+C41+C42+C43+C44</f>
        <v>-291001</v>
      </c>
      <c r="D45" s="38">
        <f t="shared" si="13"/>
        <v>5069180</v>
      </c>
      <c r="E45" s="19"/>
      <c r="F45" s="19" t="s">
        <v>119</v>
      </c>
      <c r="G45" s="38">
        <f>SUM(G38:G44)</f>
        <v>9961396.5300000012</v>
      </c>
      <c r="H45" s="56">
        <f t="shared" ref="H45:I45" si="14">SUM(H38:H44)</f>
        <v>-7075</v>
      </c>
      <c r="I45" s="38">
        <f t="shared" si="14"/>
        <v>9954321.5300000012</v>
      </c>
    </row>
    <row r="46" spans="1:9" x14ac:dyDescent="0.3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" thickBot="1" x14ac:dyDescent="0.4">
      <c r="A47" s="23" t="s">
        <v>198</v>
      </c>
      <c r="B47" s="40">
        <f>B24+B37+B45</f>
        <v>14618923.01</v>
      </c>
      <c r="C47" s="40">
        <f t="shared" ref="C47:D47" si="15">C24+C37+C45</f>
        <v>0</v>
      </c>
      <c r="D47" s="40">
        <f t="shared" si="15"/>
        <v>14618923.01</v>
      </c>
      <c r="E47" s="19"/>
      <c r="F47" s="23" t="s">
        <v>120</v>
      </c>
      <c r="G47" s="40">
        <f>G19+G31+G36+G45</f>
        <v>14618923.350000001</v>
      </c>
      <c r="H47" s="40">
        <f t="shared" ref="H47:I47" si="16">H19+H31+H36+H45</f>
        <v>0</v>
      </c>
      <c r="I47" s="40">
        <f t="shared" si="16"/>
        <v>14618923.350000001</v>
      </c>
    </row>
    <row r="48" spans="1:9" ht="15" thickTop="1" x14ac:dyDescent="0.3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35">
      <c r="A49" t="s">
        <v>171</v>
      </c>
    </row>
    <row r="50" spans="1:1" x14ac:dyDescent="0.35">
      <c r="A50" t="s">
        <v>208</v>
      </c>
    </row>
    <row r="51" spans="1:1" x14ac:dyDescent="0.35">
      <c r="A51" t="s">
        <v>129</v>
      </c>
    </row>
    <row r="52" spans="1:1" x14ac:dyDescent="0.35">
      <c r="A52" t="s">
        <v>209</v>
      </c>
    </row>
    <row r="53" spans="1:1" x14ac:dyDescent="0.35">
      <c r="A53" t="s">
        <v>210</v>
      </c>
    </row>
    <row r="54" spans="1:1" x14ac:dyDescent="0.35">
      <c r="A54" t="s">
        <v>223</v>
      </c>
    </row>
    <row r="55" spans="1:1" x14ac:dyDescent="0.35">
      <c r="A55" t="s">
        <v>224</v>
      </c>
    </row>
  </sheetData>
  <sheetProtection selectLockedCells="1"/>
  <pageMargins left="0.7" right="0.7" top="0.75" bottom="0.75" header="0.3" footer="0.3"/>
  <pageSetup scale="62" orientation="landscape" r:id="rId1"/>
  <headerFooter>
    <oddHeader>&amp;L&amp;"-,Bold"2014 State USF Petition Filing Requirement - WAC 480-123-110(e)
Current Year Balance Sheet</oddHeader>
    <oddFooter xml:space="preserve">&amp;CPage 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>
      <selection activeCell="E1" sqref="E1"/>
    </sheetView>
  </sheetViews>
  <sheetFormatPr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1" spans="1:7" ht="18.5" x14ac:dyDescent="0.45">
      <c r="E1" s="85" t="s">
        <v>230</v>
      </c>
    </row>
    <row r="2" spans="1:7" x14ac:dyDescent="0.35">
      <c r="A2" t="s">
        <v>226</v>
      </c>
    </row>
    <row r="3" spans="1:7" x14ac:dyDescent="0.35">
      <c r="A3" s="74" t="s">
        <v>229</v>
      </c>
    </row>
    <row r="4" spans="1:7" x14ac:dyDescent="0.35">
      <c r="A4" s="13"/>
    </row>
    <row r="6" spans="1:7" x14ac:dyDescent="0.3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3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3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3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35">
      <c r="A10" s="19" t="s">
        <v>47</v>
      </c>
      <c r="B10" s="38">
        <f>'PartABalance Sheet(PY)'!D10</f>
        <v>66485.98</v>
      </c>
      <c r="C10" s="38">
        <f>'PartABalance Sheet(CY) '!D9</f>
        <v>91964.26</v>
      </c>
      <c r="D10" s="19"/>
      <c r="E10" s="19" t="s">
        <v>83</v>
      </c>
      <c r="F10" s="38">
        <f>'PartABalance Sheet(PY)'!I10</f>
        <v>2750930.41</v>
      </c>
      <c r="G10" s="38">
        <f>'PartABalance Sheet(CY) '!I9</f>
        <v>2345493.83</v>
      </c>
    </row>
    <row r="11" spans="1:7" x14ac:dyDescent="0.35">
      <c r="A11" s="19" t="s">
        <v>168</v>
      </c>
      <c r="B11" s="38">
        <f>'PartABalance Sheet(PY)'!D11</f>
        <v>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3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9796.58</v>
      </c>
      <c r="G12" s="38">
        <f>'PartABalance Sheet(CY) '!I11</f>
        <v>9796.58</v>
      </c>
    </row>
    <row r="13" spans="1:7" x14ac:dyDescent="0.35">
      <c r="A13" s="19" t="s">
        <v>49</v>
      </c>
      <c r="B13" s="38">
        <f>'PartABalance Sheet(PY)'!D13</f>
        <v>1548903.71</v>
      </c>
      <c r="C13" s="38">
        <f>'PartABalance Sheet(CY) '!D12</f>
        <v>1594803.12</v>
      </c>
      <c r="D13" s="19"/>
      <c r="E13" s="19" t="s">
        <v>88</v>
      </c>
      <c r="F13" s="38">
        <f>'PartABalance Sheet(PY)'!I13</f>
        <v>0</v>
      </c>
      <c r="G13" s="38">
        <f>'PartABalance Sheet(CY) '!I12</f>
        <v>0</v>
      </c>
    </row>
    <row r="14" spans="1:7" x14ac:dyDescent="0.35">
      <c r="A14" s="19" t="s">
        <v>52</v>
      </c>
      <c r="B14" s="38">
        <f>'PartABalance Sheet(PY)'!D14</f>
        <v>0</v>
      </c>
      <c r="C14" s="38">
        <f>'PartABalance Sheet(CY) '!D13</f>
        <v>0</v>
      </c>
      <c r="D14" s="19"/>
      <c r="E14" s="19" t="s">
        <v>89</v>
      </c>
      <c r="F14" s="38">
        <f>'PartABalance Sheet(PY)'!I14</f>
        <v>0</v>
      </c>
      <c r="G14" s="38">
        <f>'PartABalance Sheet(CY) '!I13</f>
        <v>0</v>
      </c>
    </row>
    <row r="15" spans="1:7" x14ac:dyDescent="0.3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3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35">
      <c r="A17" s="19" t="s">
        <v>49</v>
      </c>
      <c r="B17" s="38">
        <f>'PartABalance Sheet(PY)'!D17</f>
        <v>84815.14</v>
      </c>
      <c r="C17" s="38">
        <f>'PartABalance Sheet(CY) '!D16</f>
        <v>62604.63</v>
      </c>
      <c r="D17" s="19"/>
      <c r="E17" s="19" t="s">
        <v>92</v>
      </c>
      <c r="F17" s="38">
        <f>'PartABalance Sheet(PY)'!I17</f>
        <v>117.48</v>
      </c>
      <c r="G17" s="38">
        <f>'PartABalance Sheet(CY) '!I16</f>
        <v>1087177.48</v>
      </c>
    </row>
    <row r="18" spans="1:7" x14ac:dyDescent="0.35">
      <c r="A18" s="19" t="s">
        <v>52</v>
      </c>
      <c r="B18" s="38">
        <f>'PartABalance Sheet(PY)'!D18</f>
        <v>481256.16</v>
      </c>
      <c r="C18" s="38">
        <f>'PartABalance Sheet(CY) '!D17</f>
        <v>434659.22</v>
      </c>
      <c r="D18" s="19"/>
      <c r="E18" s="19" t="s">
        <v>93</v>
      </c>
      <c r="F18" s="38">
        <f>'PartABalance Sheet(PY)'!I18</f>
        <v>232323.28</v>
      </c>
      <c r="G18" s="38">
        <f>'PartABalance Sheet(CY) '!I17</f>
        <v>266059.43</v>
      </c>
    </row>
    <row r="19" spans="1:7" x14ac:dyDescent="0.3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0</v>
      </c>
      <c r="G19" s="39">
        <f>'PartABalance Sheet(CY) '!I18</f>
        <v>0</v>
      </c>
    </row>
    <row r="20" spans="1:7" x14ac:dyDescent="0.3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2993167.75</v>
      </c>
      <c r="G20" s="41">
        <f>SUM(G10:G19)</f>
        <v>3708527.3200000003</v>
      </c>
    </row>
    <row r="21" spans="1:7" x14ac:dyDescent="0.35">
      <c r="A21" s="19" t="s">
        <v>54</v>
      </c>
      <c r="B21" s="38">
        <f>'PartABalance Sheet(PY)'!D21</f>
        <v>376070.43000000005</v>
      </c>
      <c r="C21" s="38">
        <f>'PartABalance Sheet(CY) '!D20</f>
        <v>411695.44</v>
      </c>
      <c r="D21" s="19"/>
      <c r="E21" s="23" t="s">
        <v>96</v>
      </c>
      <c r="F21" s="19"/>
      <c r="G21" s="15"/>
    </row>
    <row r="22" spans="1:7" x14ac:dyDescent="0.35">
      <c r="A22" s="19" t="s">
        <v>55</v>
      </c>
      <c r="B22" s="38">
        <f>'PartABalance Sheet(PY)'!D22</f>
        <v>24319.16</v>
      </c>
      <c r="C22" s="38">
        <f>'PartABalance Sheet(CY) '!D21</f>
        <v>29863.439999999999</v>
      </c>
      <c r="D22" s="19"/>
      <c r="E22" s="19" t="s">
        <v>97</v>
      </c>
      <c r="F22" s="38">
        <f>'PartABalance Sheet(PY)'!I22</f>
        <v>0</v>
      </c>
      <c r="G22" s="38">
        <f>'PartABalance Sheet(CY) '!I21</f>
        <v>0</v>
      </c>
    </row>
    <row r="23" spans="1:7" x14ac:dyDescent="0.35">
      <c r="A23" s="19" t="s">
        <v>56</v>
      </c>
      <c r="B23" s="38">
        <f>'PartABalance Sheet(PY)'!D23</f>
        <v>324676.32</v>
      </c>
      <c r="C23" s="38">
        <f>'PartABalance Sheet(CY) '!D22</f>
        <v>293135.28999999998</v>
      </c>
      <c r="D23" s="19"/>
      <c r="E23" s="19" t="s">
        <v>98</v>
      </c>
      <c r="F23" s="38">
        <f>'PartABalance Sheet(PY)'!I23</f>
        <v>0</v>
      </c>
      <c r="G23" s="38">
        <f>'PartABalance Sheet(CY) '!I22</f>
        <v>0</v>
      </c>
    </row>
    <row r="24" spans="1:7" x14ac:dyDescent="0.35">
      <c r="A24" s="19" t="s">
        <v>57</v>
      </c>
      <c r="B24" s="39">
        <f>'PartABalance Sheet(PY)'!D24</f>
        <v>39787</v>
      </c>
      <c r="C24" s="39">
        <f>'PartABalance Sheet(CY) '!D23</f>
        <v>31773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35">
      <c r="A25" s="19" t="s">
        <v>46</v>
      </c>
      <c r="B25" s="38">
        <f>B10+B11+B13+B14+B15+B17+B18+B19+B20+B21+B22+B23+B24</f>
        <v>2946313.9</v>
      </c>
      <c r="C25" s="38">
        <f>C10+C11+C13+C14+C15+C17+C18+C19+C20+C21+C22+C23+C24</f>
        <v>2950498.4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3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3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3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35">
      <c r="A29" s="19" t="s">
        <v>60</v>
      </c>
      <c r="B29" s="38">
        <f>'PartABalance Sheet(PY)'!D29</f>
        <v>26264.34</v>
      </c>
      <c r="C29" s="38">
        <f>'PartABalance Sheet(CY) '!D28</f>
        <v>-38363.39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3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3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3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0</v>
      </c>
      <c r="G32" s="38">
        <f>SUM(G22:G31)</f>
        <v>0</v>
      </c>
    </row>
    <row r="33" spans="1:7" x14ac:dyDescent="0.35">
      <c r="A33" s="19" t="s">
        <v>63</v>
      </c>
      <c r="B33" s="38">
        <f>'PartABalance Sheet(PY)'!D33</f>
        <v>0</v>
      </c>
      <c r="C33" s="38">
        <f>'PartABalance Sheet(CY) '!D32</f>
        <v>0</v>
      </c>
      <c r="D33" s="19"/>
      <c r="E33" s="23" t="s">
        <v>107</v>
      </c>
      <c r="F33" s="19"/>
      <c r="G33" s="15"/>
    </row>
    <row r="34" spans="1:7" x14ac:dyDescent="0.35">
      <c r="A34" s="19" t="s">
        <v>66</v>
      </c>
      <c r="B34" s="38">
        <f>'PartABalance Sheet(PY)'!D34</f>
        <v>6659183</v>
      </c>
      <c r="C34" s="38">
        <f>'PartABalance Sheet(CY) '!D33</f>
        <v>6637608</v>
      </c>
      <c r="D34" s="19"/>
      <c r="E34" s="19" t="s">
        <v>108</v>
      </c>
      <c r="F34" s="38">
        <f>'PartABalance Sheet(PY)'!I34</f>
        <v>2275403.7999999998</v>
      </c>
      <c r="G34" s="38">
        <f>'PartABalance Sheet(CY) '!I33</f>
        <v>2302036.5</v>
      </c>
    </row>
    <row r="35" spans="1:7" x14ac:dyDescent="0.35">
      <c r="A35" s="19" t="s">
        <v>67</v>
      </c>
      <c r="B35" s="38">
        <f>'PartABalance Sheet(PY)'!D35</f>
        <v>0</v>
      </c>
      <c r="C35" s="38">
        <f>'PartABalance Sheet(CY) '!D34</f>
        <v>0</v>
      </c>
      <c r="D35" s="19"/>
      <c r="E35" s="19" t="s">
        <v>128</v>
      </c>
      <c r="F35" s="38">
        <f>'PartABalance Sheet(PY)'!I35</f>
        <v>-1240469</v>
      </c>
      <c r="G35" s="38">
        <f>'PartABalance Sheet(CY) '!I34</f>
        <v>-1345962</v>
      </c>
    </row>
    <row r="36" spans="1:7" x14ac:dyDescent="0.35">
      <c r="A36" s="19" t="s">
        <v>68</v>
      </c>
      <c r="B36" s="38">
        <f>'PartABalance Sheet(PY)'!D36</f>
        <v>0</v>
      </c>
      <c r="C36" s="38">
        <f>'PartABalance Sheet(CY) '!D35</f>
        <v>0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3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1034934.7999999998</v>
      </c>
      <c r="G37" s="38">
        <f>SUM(G34:G36)</f>
        <v>956074.5</v>
      </c>
    </row>
    <row r="38" spans="1:7" x14ac:dyDescent="0.35">
      <c r="A38" s="19" t="s">
        <v>70</v>
      </c>
      <c r="B38" s="38">
        <f>B29+B30+B32+B33+B34+B35+B36+B37</f>
        <v>6685447.3399999999</v>
      </c>
      <c r="C38" s="38">
        <f>C29+C30+C32+C33+C34+C35+C36+C37</f>
        <v>6599244.6100000003</v>
      </c>
      <c r="D38" s="19"/>
      <c r="E38" s="23" t="s">
        <v>111</v>
      </c>
      <c r="F38" s="19"/>
      <c r="G38" s="15"/>
    </row>
    <row r="39" spans="1:7" x14ac:dyDescent="0.35">
      <c r="A39" s="19"/>
      <c r="B39" s="19"/>
      <c r="C39" s="19"/>
      <c r="D39" s="19"/>
      <c r="E39" s="19" t="s">
        <v>112</v>
      </c>
      <c r="F39" s="38">
        <f>'PartABalance Sheet(PY)'!I39</f>
        <v>6851580</v>
      </c>
      <c r="G39" s="38">
        <f>'PartABalance Sheet(CY) '!I38</f>
        <v>6851580</v>
      </c>
    </row>
    <row r="40" spans="1:7" x14ac:dyDescent="0.3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11476700.99</v>
      </c>
      <c r="G40" s="38">
        <f>'PartABalance Sheet(CY) '!I39</f>
        <v>11476700.99</v>
      </c>
    </row>
    <row r="41" spans="1:7" x14ac:dyDescent="0.35">
      <c r="A41" s="19" t="s">
        <v>72</v>
      </c>
      <c r="B41" s="38">
        <f>'PartABalance Sheet(PY)'!D41</f>
        <v>82981921</v>
      </c>
      <c r="C41" s="38">
        <f>'PartABalance Sheet(CY) '!D40</f>
        <v>76313739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3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35">
      <c r="A43" s="19" t="s">
        <v>74</v>
      </c>
      <c r="B43" s="38">
        <f>'PartABalance Sheet(PY)'!D43</f>
        <v>560139.53</v>
      </c>
      <c r="C43" s="38">
        <f>'PartABalance Sheet(CY) '!D42</f>
        <v>499483</v>
      </c>
      <c r="D43" s="19"/>
      <c r="E43" s="19" t="s">
        <v>116</v>
      </c>
      <c r="F43" s="38">
        <f>'PartABalance Sheet(PY)'!I43</f>
        <v>0</v>
      </c>
      <c r="G43" s="38">
        <f>'PartABalance Sheet(CY) '!I42</f>
        <v>0</v>
      </c>
    </row>
    <row r="44" spans="1:7" x14ac:dyDescent="0.3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35">
      <c r="A45" s="19" t="s">
        <v>137</v>
      </c>
      <c r="B45" s="39">
        <f>'PartABalance Sheet(PY)'!D45</f>
        <v>-77170138</v>
      </c>
      <c r="C45" s="39">
        <f>'PartABalance Sheet(CY) '!D44</f>
        <v>-71744042</v>
      </c>
      <c r="D45" s="19"/>
      <c r="E45" s="19" t="s">
        <v>118</v>
      </c>
      <c r="F45" s="39">
        <f>'PartABalance Sheet(PY)'!I45</f>
        <v>-6352699.9900000002</v>
      </c>
      <c r="G45" s="39">
        <f>'PartABalance Sheet(CY) '!I44</f>
        <v>-8373959.46</v>
      </c>
    </row>
    <row r="46" spans="1:7" x14ac:dyDescent="0.35">
      <c r="A46" s="19" t="s">
        <v>76</v>
      </c>
      <c r="B46" s="38">
        <f>SUM(B41:B45)</f>
        <v>6371922.5300000012</v>
      </c>
      <c r="C46" s="38">
        <f>SUM(C41:C45)</f>
        <v>5069180</v>
      </c>
      <c r="D46" s="19"/>
      <c r="E46" s="19" t="s">
        <v>119</v>
      </c>
      <c r="F46" s="38">
        <f>SUM(F39:F45)</f>
        <v>11975581.000000002</v>
      </c>
      <c r="G46" s="38">
        <f>SUM(G39:G45)</f>
        <v>9954321.5300000012</v>
      </c>
    </row>
    <row r="47" spans="1:7" x14ac:dyDescent="0.35">
      <c r="A47" s="19"/>
      <c r="B47" s="19"/>
      <c r="C47" s="19"/>
      <c r="D47" s="19"/>
      <c r="E47" s="19"/>
      <c r="F47" s="19"/>
      <c r="G47" s="15"/>
    </row>
    <row r="48" spans="1:7" ht="15" thickBot="1" x14ac:dyDescent="0.4">
      <c r="A48" s="23" t="s">
        <v>198</v>
      </c>
      <c r="B48" s="40">
        <f>B25+B38+B46</f>
        <v>16003683.770000001</v>
      </c>
      <c r="C48" s="40">
        <f>C25+C38+C46</f>
        <v>14618923.01</v>
      </c>
      <c r="D48" s="19"/>
      <c r="E48" s="23" t="s">
        <v>120</v>
      </c>
      <c r="F48" s="40">
        <f>F20+F32+F37+F46</f>
        <v>16003683.550000001</v>
      </c>
      <c r="G48" s="40">
        <f>G20+G32+G37+G46</f>
        <v>14618923.350000001</v>
      </c>
    </row>
    <row r="49" spans="1:7" ht="15" thickTop="1" x14ac:dyDescent="0.35">
      <c r="A49" s="21"/>
      <c r="B49" s="21"/>
      <c r="C49" s="21"/>
      <c r="D49" s="21"/>
      <c r="E49" s="21"/>
      <c r="F49" s="21"/>
      <c r="G49" s="16"/>
    </row>
    <row r="50" spans="1:7" x14ac:dyDescent="0.35">
      <c r="A50" t="s">
        <v>134</v>
      </c>
    </row>
    <row r="51" spans="1:7" x14ac:dyDescent="0.35">
      <c r="A51" t="s">
        <v>135</v>
      </c>
    </row>
    <row r="52" spans="1:7" x14ac:dyDescent="0.35">
      <c r="A52" t="s">
        <v>136</v>
      </c>
    </row>
    <row r="53" spans="1:7" x14ac:dyDescent="0.35">
      <c r="A53" t="s">
        <v>139</v>
      </c>
    </row>
    <row r="54" spans="1:7" x14ac:dyDescent="0.35">
      <c r="A54" t="s">
        <v>150</v>
      </c>
    </row>
  </sheetData>
  <sheetProtection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Adjusted Prior and Current Year Balance Sheet</oddHeader>
    <oddFooter xml:space="preserve">&amp;CPage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D1" sqref="D1"/>
    </sheetView>
  </sheetViews>
  <sheetFormatPr defaultRowHeight="14.5" x14ac:dyDescent="0.35"/>
  <cols>
    <col min="1" max="1" width="52.26953125" customWidth="1"/>
    <col min="2" max="2" width="6.26953125" customWidth="1"/>
    <col min="3" max="5" width="13.81640625" customWidth="1"/>
  </cols>
  <sheetData>
    <row r="1" spans="1:5" ht="18.5" x14ac:dyDescent="0.45">
      <c r="D1" s="85" t="s">
        <v>230</v>
      </c>
    </row>
    <row r="2" spans="1:5" x14ac:dyDescent="0.35">
      <c r="A2" t="s">
        <v>226</v>
      </c>
    </row>
    <row r="3" spans="1:5" x14ac:dyDescent="0.35">
      <c r="A3" s="74" t="s">
        <v>229</v>
      </c>
    </row>
    <row r="4" spans="1:5" x14ac:dyDescent="0.35">
      <c r="A4" s="13"/>
    </row>
    <row r="6" spans="1:5" x14ac:dyDescent="0.3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3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3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35">
      <c r="A9" s="19" t="s">
        <v>140</v>
      </c>
      <c r="B9" s="7"/>
      <c r="C9" s="7"/>
      <c r="D9" s="7"/>
      <c r="E9" s="15"/>
    </row>
    <row r="10" spans="1:5" x14ac:dyDescent="0.35">
      <c r="A10" s="19" t="s">
        <v>141</v>
      </c>
      <c r="B10" s="11">
        <v>18</v>
      </c>
      <c r="C10" s="75">
        <f>'PartABalance Sheet (Summary)'!B41</f>
        <v>82981921</v>
      </c>
      <c r="D10" s="75">
        <f>'PartABalance Sheet (Summary)'!C41</f>
        <v>76313739</v>
      </c>
      <c r="E10" s="75">
        <f>(C10+D10)/2</f>
        <v>79647830</v>
      </c>
    </row>
    <row r="11" spans="1:5" x14ac:dyDescent="0.3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35">
      <c r="A12" s="19" t="s">
        <v>143</v>
      </c>
      <c r="B12" s="11">
        <v>22</v>
      </c>
      <c r="C12" s="75">
        <f>'PartABalance Sheet (Summary)'!B45</f>
        <v>-77170138</v>
      </c>
      <c r="D12" s="75">
        <f>'PartABalance Sheet (Summary)'!C45</f>
        <v>-71744042</v>
      </c>
      <c r="E12" s="75">
        <f t="shared" ref="E12:E15" si="0">(C12+D12)/2</f>
        <v>-74457090</v>
      </c>
    </row>
    <row r="13" spans="1:5" x14ac:dyDescent="0.35">
      <c r="A13" s="19" t="s">
        <v>142</v>
      </c>
      <c r="B13" s="11">
        <v>6</v>
      </c>
      <c r="C13" s="75">
        <f>'PartABalance Sheet (Summary)'!B21</f>
        <v>376070.43000000005</v>
      </c>
      <c r="D13" s="75">
        <f>'PartABalance Sheet (Summary)'!C21</f>
        <v>411695.44</v>
      </c>
      <c r="E13" s="75">
        <f t="shared" si="0"/>
        <v>393882.93500000006</v>
      </c>
    </row>
    <row r="14" spans="1:5" x14ac:dyDescent="0.35">
      <c r="A14" s="19" t="s">
        <v>144</v>
      </c>
      <c r="B14" s="19"/>
      <c r="C14" s="65">
        <v>1240469</v>
      </c>
      <c r="D14" s="65">
        <v>1345962</v>
      </c>
      <c r="E14" s="65">
        <f t="shared" si="0"/>
        <v>1293215.5</v>
      </c>
    </row>
    <row r="15" spans="1:5" ht="15" thickBot="1" x14ac:dyDescent="0.4">
      <c r="A15" s="19" t="s">
        <v>213</v>
      </c>
      <c r="B15" s="19"/>
      <c r="C15" s="81">
        <f>SUM(C10:C14)</f>
        <v>7428322.4299999997</v>
      </c>
      <c r="D15" s="81">
        <f>SUM(D10:D14)</f>
        <v>6327354.4400000004</v>
      </c>
      <c r="E15" s="82">
        <f t="shared" si="0"/>
        <v>6877838.4350000005</v>
      </c>
    </row>
    <row r="16" spans="1:5" ht="15" thickTop="1" x14ac:dyDescent="0.35">
      <c r="A16" s="21"/>
      <c r="B16" s="21"/>
      <c r="C16" s="2"/>
      <c r="D16" s="2"/>
      <c r="E16" s="16"/>
    </row>
    <row r="18" spans="1:1" x14ac:dyDescent="0.35">
      <c r="A18" t="s">
        <v>134</v>
      </c>
    </row>
    <row r="19" spans="1:1" x14ac:dyDescent="0.35">
      <c r="A19" t="s">
        <v>174</v>
      </c>
    </row>
    <row r="20" spans="1:1" x14ac:dyDescent="0.35">
      <c r="A20" t="s">
        <v>145</v>
      </c>
    </row>
    <row r="21" spans="1:1" x14ac:dyDescent="0.35">
      <c r="A21" t="s">
        <v>175</v>
      </c>
    </row>
  </sheetData>
  <sheetProtection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Prior and Current Year Rate Base</oddHeader>
    <oddFooter xml:space="preserve">&amp;CPage 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C1" sqref="C1"/>
    </sheetView>
  </sheetViews>
  <sheetFormatPr defaultRowHeight="14.5" x14ac:dyDescent="0.35"/>
  <cols>
    <col min="1" max="1" width="52.26953125" customWidth="1"/>
    <col min="2" max="4" width="13.81640625" customWidth="1"/>
  </cols>
  <sheetData>
    <row r="1" spans="1:5" ht="18.5" x14ac:dyDescent="0.45">
      <c r="C1" s="85" t="s">
        <v>230</v>
      </c>
    </row>
    <row r="2" spans="1:5" x14ac:dyDescent="0.35">
      <c r="A2" t="s">
        <v>226</v>
      </c>
    </row>
    <row r="3" spans="1:5" x14ac:dyDescent="0.35">
      <c r="A3" s="74" t="s">
        <v>229</v>
      </c>
    </row>
    <row r="6" spans="1:5" x14ac:dyDescent="0.35">
      <c r="A6" s="7"/>
      <c r="B6" s="10" t="s">
        <v>78</v>
      </c>
      <c r="C6" s="10" t="s">
        <v>138</v>
      </c>
      <c r="D6" s="7"/>
      <c r="E6" s="4"/>
    </row>
    <row r="7" spans="1:5" x14ac:dyDescent="0.3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3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35">
      <c r="A9" s="22" t="s">
        <v>151</v>
      </c>
      <c r="B9" s="7"/>
      <c r="C9" s="38"/>
      <c r="D9" s="7"/>
      <c r="E9" s="15"/>
    </row>
    <row r="10" spans="1:5" x14ac:dyDescent="0.35">
      <c r="A10" s="19" t="s">
        <v>152</v>
      </c>
      <c r="B10" s="65">
        <v>9319</v>
      </c>
      <c r="C10" s="65">
        <v>8083</v>
      </c>
      <c r="D10" s="38">
        <f>C10-B10</f>
        <v>-1236</v>
      </c>
      <c r="E10" s="44">
        <f>D10/B10</f>
        <v>-0.13263225667990128</v>
      </c>
    </row>
    <row r="11" spans="1:5" x14ac:dyDescent="0.35">
      <c r="A11" s="19" t="s">
        <v>153</v>
      </c>
      <c r="B11" s="65">
        <v>4825</v>
      </c>
      <c r="C11" s="65">
        <f>746+3941</f>
        <v>4687</v>
      </c>
      <c r="D11" s="38">
        <f>C11-B11</f>
        <v>-138</v>
      </c>
      <c r="E11" s="44">
        <f t="shared" ref="E11:E12" si="0">D11/B11</f>
        <v>-2.8601036269430051E-2</v>
      </c>
    </row>
    <row r="12" spans="1:5" ht="15" thickBot="1" x14ac:dyDescent="0.4">
      <c r="A12" s="19" t="s">
        <v>154</v>
      </c>
      <c r="B12" s="40">
        <f>SUM(B10:B11)</f>
        <v>14144</v>
      </c>
      <c r="C12" s="40">
        <f t="shared" ref="C12:D12" si="1">SUM(C10:C11)</f>
        <v>12770</v>
      </c>
      <c r="D12" s="40">
        <f t="shared" si="1"/>
        <v>-1374</v>
      </c>
      <c r="E12" s="45">
        <f t="shared" si="0"/>
        <v>-9.7143665158371043E-2</v>
      </c>
    </row>
    <row r="13" spans="1:5" ht="15" thickTop="1" x14ac:dyDescent="0.35">
      <c r="A13" s="19"/>
      <c r="B13" s="13"/>
      <c r="C13" s="13"/>
      <c r="D13" s="13"/>
      <c r="E13" s="15"/>
    </row>
    <row r="14" spans="1:5" x14ac:dyDescent="0.35">
      <c r="A14" s="24"/>
      <c r="B14" s="17"/>
      <c r="C14" s="17"/>
      <c r="D14" s="17"/>
      <c r="E14" s="18"/>
    </row>
    <row r="15" spans="1:5" x14ac:dyDescent="0.35">
      <c r="A15" s="20"/>
      <c r="B15" s="28"/>
      <c r="C15" s="28"/>
      <c r="D15" s="28"/>
      <c r="E15" s="28"/>
    </row>
    <row r="16" spans="1:5" x14ac:dyDescent="0.3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3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" thickBot="1" x14ac:dyDescent="0.4">
      <c r="A18" s="23" t="s">
        <v>155</v>
      </c>
      <c r="B18" s="68">
        <v>7771</v>
      </c>
      <c r="C18" s="68">
        <v>7373</v>
      </c>
      <c r="D18" s="40">
        <f>C18-B18</f>
        <v>-398</v>
      </c>
      <c r="E18" s="45">
        <f>D18/B18</f>
        <v>-5.1216059709175137E-2</v>
      </c>
    </row>
    <row r="19" spans="1:5" ht="15" thickTop="1" x14ac:dyDescent="0.35">
      <c r="A19" s="19"/>
      <c r="B19" s="13"/>
      <c r="C19" s="13"/>
      <c r="D19" s="13"/>
      <c r="E19" s="15"/>
    </row>
    <row r="20" spans="1:5" x14ac:dyDescent="0.35">
      <c r="A20" s="24"/>
      <c r="B20" s="17"/>
      <c r="C20" s="17"/>
      <c r="D20" s="17"/>
      <c r="E20" s="18"/>
    </row>
    <row r="21" spans="1:5" x14ac:dyDescent="0.35">
      <c r="A21" s="20"/>
      <c r="B21" s="28"/>
      <c r="C21" s="28"/>
      <c r="D21" s="28"/>
      <c r="E21" s="28"/>
    </row>
    <row r="22" spans="1:5" x14ac:dyDescent="0.3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3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35">
      <c r="A24" s="23" t="s">
        <v>214</v>
      </c>
      <c r="B24" s="84"/>
      <c r="C24" s="84"/>
      <c r="D24" s="43"/>
      <c r="E24" s="15"/>
    </row>
    <row r="25" spans="1:5" ht="15" thickBot="1" x14ac:dyDescent="0.4">
      <c r="A25" s="19" t="s">
        <v>156</v>
      </c>
      <c r="B25" s="68">
        <v>1358776.51</v>
      </c>
      <c r="C25" s="68">
        <v>842994.41</v>
      </c>
      <c r="D25" s="40">
        <f>C25-B25</f>
        <v>-515782.1</v>
      </c>
      <c r="E25" s="45">
        <f>D25/B25</f>
        <v>-0.37959303550221074</v>
      </c>
    </row>
    <row r="26" spans="1:5" ht="15" thickTop="1" x14ac:dyDescent="0.35">
      <c r="A26" s="21"/>
      <c r="B26" s="30"/>
      <c r="C26" s="30"/>
      <c r="D26" s="30"/>
      <c r="E26" s="16"/>
    </row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Statistics - Prior and Current Year</oddHeader>
    <oddFooter xml:space="preserve">&amp;CPage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4" zoomScaleNormal="100" workbookViewId="0">
      <selection activeCell="D4" sqref="D4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4" spans="1:5" ht="18.5" x14ac:dyDescent="0.45">
      <c r="B4" t="s">
        <v>226</v>
      </c>
      <c r="D4" s="85" t="s">
        <v>230</v>
      </c>
    </row>
    <row r="5" spans="1:5" x14ac:dyDescent="0.35">
      <c r="B5" s="74" t="s">
        <v>229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35">
      <c r="A11" s="10">
        <v>1</v>
      </c>
      <c r="B11" s="7" t="s">
        <v>4</v>
      </c>
      <c r="C11" s="69">
        <f>3654551-19624</f>
        <v>3634927</v>
      </c>
      <c r="D11" s="33"/>
      <c r="E11" s="38">
        <f>SUM(C11:D11)</f>
        <v>3634927</v>
      </c>
    </row>
    <row r="12" spans="1:5" x14ac:dyDescent="0.35">
      <c r="A12" s="11">
        <v>2</v>
      </c>
      <c r="B12" s="19" t="s">
        <v>5</v>
      </c>
      <c r="C12" s="65">
        <f>7223209+19624</f>
        <v>7242833</v>
      </c>
      <c r="D12" s="24"/>
      <c r="E12" s="38">
        <f t="shared" ref="E12:E16" si="0">SUM(C12:D12)</f>
        <v>7242833</v>
      </c>
    </row>
    <row r="13" spans="1:5" x14ac:dyDescent="0.35">
      <c r="A13" s="11">
        <v>3</v>
      </c>
      <c r="B13" s="19" t="s">
        <v>6</v>
      </c>
      <c r="C13" s="65">
        <v>0</v>
      </c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148786</v>
      </c>
      <c r="D14" s="65"/>
      <c r="E14" s="38">
        <f t="shared" si="0"/>
        <v>148786</v>
      </c>
    </row>
    <row r="15" spans="1:5" x14ac:dyDescent="0.35">
      <c r="A15" s="11">
        <v>5</v>
      </c>
      <c r="B15" s="19" t="s">
        <v>8</v>
      </c>
      <c r="C15" s="65">
        <v>995041</v>
      </c>
      <c r="D15" s="65"/>
      <c r="E15" s="38">
        <f t="shared" si="0"/>
        <v>995041</v>
      </c>
    </row>
    <row r="16" spans="1:5" x14ac:dyDescent="0.35">
      <c r="A16" s="11">
        <v>6</v>
      </c>
      <c r="B16" s="19" t="s">
        <v>182</v>
      </c>
      <c r="C16" s="65">
        <v>-88470</v>
      </c>
      <c r="D16" s="65"/>
      <c r="E16" s="38">
        <f t="shared" si="0"/>
        <v>-88470</v>
      </c>
    </row>
    <row r="17" spans="1:6" x14ac:dyDescent="0.35">
      <c r="A17" s="11">
        <v>7</v>
      </c>
      <c r="B17" s="23" t="s">
        <v>181</v>
      </c>
      <c r="C17" s="46">
        <f>SUM(C11:C16)</f>
        <v>11933117</v>
      </c>
      <c r="D17" s="46">
        <f t="shared" ref="D17:E17" si="1">SUM(D11:D16)</f>
        <v>0</v>
      </c>
      <c r="E17" s="46">
        <f t="shared" si="1"/>
        <v>11933117</v>
      </c>
      <c r="F17" s="1"/>
    </row>
    <row r="18" spans="1:6" x14ac:dyDescent="0.35">
      <c r="A18" s="11">
        <v>8</v>
      </c>
      <c r="B18" s="19" t="s">
        <v>9</v>
      </c>
      <c r="C18" s="65">
        <v>4264688</v>
      </c>
      <c r="D18" s="65">
        <f>-256589+1280</f>
        <v>-255309</v>
      </c>
      <c r="E18" s="47">
        <f>SUM(C18:D18)</f>
        <v>4009379</v>
      </c>
    </row>
    <row r="19" spans="1:6" x14ac:dyDescent="0.35">
      <c r="A19" s="11">
        <v>9</v>
      </c>
      <c r="B19" s="19" t="s">
        <v>44</v>
      </c>
      <c r="C19" s="65">
        <v>1305809</v>
      </c>
      <c r="D19" s="65">
        <v>0</v>
      </c>
      <c r="E19" s="47">
        <f t="shared" ref="E19:E24" si="2">SUM(C19:D19)</f>
        <v>1305809</v>
      </c>
    </row>
    <row r="20" spans="1:6" x14ac:dyDescent="0.35">
      <c r="A20" s="11">
        <v>10</v>
      </c>
      <c r="B20" s="19" t="s">
        <v>10</v>
      </c>
      <c r="C20" s="65">
        <v>2813852</v>
      </c>
      <c r="D20" s="65">
        <v>-54854</v>
      </c>
      <c r="E20" s="47">
        <f t="shared" si="2"/>
        <v>2758998</v>
      </c>
    </row>
    <row r="21" spans="1:6" x14ac:dyDescent="0.35">
      <c r="A21" s="11">
        <v>11</v>
      </c>
      <c r="B21" s="19" t="s">
        <v>11</v>
      </c>
      <c r="C21" s="65">
        <v>0</v>
      </c>
      <c r="D21" s="65">
        <v>0</v>
      </c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1132150</v>
      </c>
      <c r="D22" s="65">
        <v>-53375</v>
      </c>
      <c r="E22" s="47">
        <f t="shared" si="2"/>
        <v>1078775</v>
      </c>
    </row>
    <row r="23" spans="1:6" x14ac:dyDescent="0.35">
      <c r="A23" s="11">
        <v>13</v>
      </c>
      <c r="B23" s="19" t="s">
        <v>13</v>
      </c>
      <c r="C23" s="65">
        <v>2334354</v>
      </c>
      <c r="D23" s="65">
        <v>-267923</v>
      </c>
      <c r="E23" s="47">
        <f t="shared" si="2"/>
        <v>2066431</v>
      </c>
    </row>
    <row r="24" spans="1:6" x14ac:dyDescent="0.35">
      <c r="A24" s="11" t="s">
        <v>177</v>
      </c>
      <c r="B24" s="19" t="s">
        <v>183</v>
      </c>
      <c r="C24" s="66">
        <v>0</v>
      </c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2334354</v>
      </c>
      <c r="D25" s="38">
        <f t="shared" ref="D25:E25" si="3">SUM(D23:D24)</f>
        <v>-267923</v>
      </c>
      <c r="E25" s="47">
        <f t="shared" si="3"/>
        <v>2066431</v>
      </c>
    </row>
    <row r="26" spans="1:6" x14ac:dyDescent="0.35">
      <c r="A26" s="11">
        <v>14</v>
      </c>
      <c r="B26" s="23" t="s">
        <v>180</v>
      </c>
      <c r="C26" s="46">
        <f>C18+C19+C20+C21+C22+C25</f>
        <v>11850853</v>
      </c>
      <c r="D26" s="46">
        <f t="shared" ref="D26:E26" si="4">D18+D19+D20+D21+D22+D25</f>
        <v>-631461</v>
      </c>
      <c r="E26" s="49">
        <f t="shared" si="4"/>
        <v>11219392</v>
      </c>
      <c r="F26" s="1"/>
    </row>
    <row r="27" spans="1:6" x14ac:dyDescent="0.35">
      <c r="A27" s="11">
        <v>15</v>
      </c>
      <c r="B27" s="19" t="s">
        <v>18</v>
      </c>
      <c r="C27" s="38">
        <f>C17-C26</f>
        <v>82264</v>
      </c>
      <c r="D27" s="38">
        <f t="shared" ref="D27:E27" si="5">D17-D26</f>
        <v>631461</v>
      </c>
      <c r="E27" s="38">
        <f t="shared" si="5"/>
        <v>713725</v>
      </c>
    </row>
    <row r="28" spans="1:6" x14ac:dyDescent="0.35">
      <c r="A28" s="11">
        <v>16</v>
      </c>
      <c r="B28" s="19" t="s">
        <v>184</v>
      </c>
      <c r="C28" s="65">
        <v>0</v>
      </c>
      <c r="D28" s="24"/>
      <c r="E28" s="38">
        <f>SUM(C28:D28)</f>
        <v>0</v>
      </c>
    </row>
    <row r="29" spans="1:6" x14ac:dyDescent="0.35">
      <c r="A29" s="11">
        <v>17</v>
      </c>
      <c r="B29" s="19" t="s">
        <v>14</v>
      </c>
      <c r="C29" s="65">
        <v>0</v>
      </c>
      <c r="D29" s="65"/>
      <c r="E29" s="38">
        <f t="shared" ref="E29:E31" si="6">SUM(C29:D29)</f>
        <v>0</v>
      </c>
    </row>
    <row r="30" spans="1:6" x14ac:dyDescent="0.35">
      <c r="A30" s="11">
        <v>18</v>
      </c>
      <c r="B30" s="19" t="s">
        <v>216</v>
      </c>
      <c r="C30" s="65">
        <v>194022</v>
      </c>
      <c r="D30" s="65"/>
      <c r="E30" s="38">
        <f t="shared" si="6"/>
        <v>194022</v>
      </c>
    </row>
    <row r="31" spans="1:6" x14ac:dyDescent="0.35">
      <c r="A31" s="11">
        <v>19</v>
      </c>
      <c r="B31" s="19" t="s">
        <v>17</v>
      </c>
      <c r="C31" s="65">
        <f>405371-241607</f>
        <v>163764</v>
      </c>
      <c r="D31" s="70">
        <v>-15739</v>
      </c>
      <c r="E31" s="38">
        <f t="shared" si="6"/>
        <v>148025</v>
      </c>
    </row>
    <row r="32" spans="1:6" x14ac:dyDescent="0.35">
      <c r="A32" s="11">
        <v>20</v>
      </c>
      <c r="B32" s="19" t="s">
        <v>16</v>
      </c>
      <c r="C32" s="43">
        <f>SUM(C29:C31)</f>
        <v>357786</v>
      </c>
      <c r="D32" s="43">
        <f t="shared" ref="D32:E32" si="7">SUM(D29:D31)</f>
        <v>-15739</v>
      </c>
      <c r="E32" s="50">
        <f t="shared" si="7"/>
        <v>342047</v>
      </c>
    </row>
    <row r="33" spans="1:5" x14ac:dyDescent="0.35">
      <c r="A33" s="11">
        <v>21</v>
      </c>
      <c r="B33" s="19" t="s">
        <v>27</v>
      </c>
      <c r="C33" s="43">
        <f>C27+C28-C32</f>
        <v>-275522</v>
      </c>
      <c r="D33" s="43">
        <f>D27+D28-D32</f>
        <v>647200</v>
      </c>
      <c r="E33" s="50">
        <f>E27+E28-E32</f>
        <v>371678</v>
      </c>
    </row>
    <row r="34" spans="1:5" x14ac:dyDescent="0.35">
      <c r="A34" s="11">
        <v>22</v>
      </c>
      <c r="B34" s="19" t="s">
        <v>19</v>
      </c>
      <c r="C34" s="65">
        <v>0</v>
      </c>
      <c r="D34" s="24"/>
      <c r="E34" s="38">
        <f>SUM(C34:D34)</f>
        <v>0</v>
      </c>
    </row>
    <row r="35" spans="1:5" x14ac:dyDescent="0.35">
      <c r="A35" s="11">
        <v>23</v>
      </c>
      <c r="B35" s="19" t="s">
        <v>20</v>
      </c>
      <c r="C35" s="65">
        <v>0</v>
      </c>
      <c r="D35" s="24"/>
      <c r="E35" s="38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0</v>
      </c>
      <c r="D36" s="24"/>
      <c r="E36" s="38">
        <f t="shared" si="8"/>
        <v>0</v>
      </c>
    </row>
    <row r="37" spans="1:5" x14ac:dyDescent="0.35">
      <c r="A37" s="11">
        <v>25</v>
      </c>
      <c r="B37" s="19" t="s">
        <v>199</v>
      </c>
      <c r="C37" s="65">
        <v>0</v>
      </c>
      <c r="D37" s="24"/>
      <c r="E37" s="38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0</v>
      </c>
      <c r="D38" s="51">
        <f t="shared" ref="D38:E38" si="9">SUM(D34:D37)</f>
        <v>0</v>
      </c>
      <c r="E38" s="50">
        <f t="shared" si="9"/>
        <v>0</v>
      </c>
    </row>
    <row r="39" spans="1:5" x14ac:dyDescent="0.35">
      <c r="A39" s="11">
        <v>27</v>
      </c>
      <c r="B39" s="19" t="s">
        <v>23</v>
      </c>
      <c r="C39" s="65">
        <f>425000-463464+5670</f>
        <v>-32794</v>
      </c>
      <c r="D39" s="24"/>
      <c r="E39" s="38">
        <f>SUM(C39:D39)</f>
        <v>-32794</v>
      </c>
    </row>
    <row r="40" spans="1:5" x14ac:dyDescent="0.35">
      <c r="A40" s="11">
        <v>28</v>
      </c>
      <c r="B40" s="19" t="s">
        <v>24</v>
      </c>
      <c r="C40" s="65"/>
      <c r="D40" s="24"/>
      <c r="E40" s="38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24"/>
      <c r="E41" s="38">
        <f t="shared" si="10"/>
        <v>0</v>
      </c>
    </row>
    <row r="42" spans="1:5" x14ac:dyDescent="0.35">
      <c r="A42" s="11">
        <v>30</v>
      </c>
      <c r="B42" s="19" t="s">
        <v>211</v>
      </c>
      <c r="C42" s="65">
        <f>1241692+3</f>
        <v>1241695</v>
      </c>
      <c r="D42" s="75">
        <f>-1*D33</f>
        <v>-647200</v>
      </c>
      <c r="E42" s="38">
        <f t="shared" si="10"/>
        <v>594495</v>
      </c>
    </row>
    <row r="43" spans="1:5" x14ac:dyDescent="0.35">
      <c r="A43" s="11">
        <v>31</v>
      </c>
      <c r="B43" s="19" t="s">
        <v>26</v>
      </c>
      <c r="C43" s="43">
        <f>C33-C38+C39+C40+C41+C42</f>
        <v>933379</v>
      </c>
      <c r="D43" s="43">
        <f t="shared" ref="D43:E43" si="11">D33-D38+D39+D40+D41+D42</f>
        <v>0</v>
      </c>
      <c r="E43" s="50">
        <f t="shared" si="11"/>
        <v>933379</v>
      </c>
    </row>
    <row r="44" spans="1:5" x14ac:dyDescent="0.35">
      <c r="A44" s="11">
        <v>32</v>
      </c>
      <c r="B44" s="19" t="s">
        <v>28</v>
      </c>
      <c r="C44" s="65">
        <f>C30</f>
        <v>194022</v>
      </c>
      <c r="D44" s="65"/>
      <c r="E44" s="38">
        <f>SUM(C44:D44)</f>
        <v>194022</v>
      </c>
    </row>
    <row r="45" spans="1:5" x14ac:dyDescent="0.35">
      <c r="A45" s="11">
        <v>33</v>
      </c>
      <c r="B45" s="19" t="s">
        <v>29</v>
      </c>
      <c r="C45" s="65">
        <v>-4924653.5599999996</v>
      </c>
      <c r="D45" s="24"/>
      <c r="E45" s="38">
        <f t="shared" ref="E45:E50" si="12">SUM(C45:D45)</f>
        <v>-4924653.5599999996</v>
      </c>
    </row>
    <row r="46" spans="1:5" x14ac:dyDescent="0.35">
      <c r="A46" s="11">
        <v>34</v>
      </c>
      <c r="B46" s="19" t="s">
        <v>30</v>
      </c>
      <c r="C46" s="65">
        <v>0</v>
      </c>
      <c r="D46" s="24"/>
      <c r="E46" s="38">
        <f t="shared" si="12"/>
        <v>0</v>
      </c>
    </row>
    <row r="47" spans="1:5" x14ac:dyDescent="0.35">
      <c r="A47" s="11">
        <v>35</v>
      </c>
      <c r="B47" s="19" t="s">
        <v>31</v>
      </c>
      <c r="C47" s="65">
        <v>0</v>
      </c>
      <c r="D47" s="24"/>
      <c r="E47" s="38">
        <f t="shared" si="12"/>
        <v>0</v>
      </c>
    </row>
    <row r="48" spans="1:5" x14ac:dyDescent="0.35">
      <c r="A48" s="11">
        <v>36</v>
      </c>
      <c r="B48" s="19" t="s">
        <v>32</v>
      </c>
      <c r="C48" s="65">
        <v>0</v>
      </c>
      <c r="D48" s="24"/>
      <c r="E48" s="38">
        <f t="shared" si="12"/>
        <v>0</v>
      </c>
    </row>
    <row r="49" spans="1:5" x14ac:dyDescent="0.35">
      <c r="A49" s="11">
        <v>37</v>
      </c>
      <c r="B49" s="19" t="s">
        <v>33</v>
      </c>
      <c r="C49" s="65">
        <v>2354000</v>
      </c>
      <c r="D49" s="24"/>
      <c r="E49" s="38">
        <f t="shared" si="12"/>
        <v>2354000</v>
      </c>
    </row>
    <row r="50" spans="1:5" x14ac:dyDescent="0.35">
      <c r="A50" s="11">
        <v>38</v>
      </c>
      <c r="B50" s="19" t="s">
        <v>34</v>
      </c>
      <c r="C50" s="65">
        <v>0</v>
      </c>
      <c r="D50" s="24"/>
      <c r="E50" s="38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-6345274.5599999996</v>
      </c>
      <c r="D51" s="51">
        <f t="shared" ref="D51:E51" si="13">(D43+D45+D46)-(D47+D48+D49+D50)</f>
        <v>0</v>
      </c>
      <c r="E51" s="50">
        <f t="shared" si="13"/>
        <v>-6345274.5599999996</v>
      </c>
    </row>
    <row r="52" spans="1:5" x14ac:dyDescent="0.35">
      <c r="A52" s="11">
        <v>40</v>
      </c>
      <c r="B52" s="19" t="s">
        <v>36</v>
      </c>
      <c r="C52" s="65">
        <v>0</v>
      </c>
      <c r="D52" s="24"/>
      <c r="E52" s="38">
        <f>SUM(C52:D52)</f>
        <v>0</v>
      </c>
    </row>
    <row r="53" spans="1:5" x14ac:dyDescent="0.35">
      <c r="A53" s="11">
        <v>41</v>
      </c>
      <c r="B53" s="19" t="s">
        <v>34</v>
      </c>
      <c r="C53" s="65">
        <v>0</v>
      </c>
      <c r="D53" s="24"/>
      <c r="E53" s="38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>
        <v>0</v>
      </c>
      <c r="D54" s="24"/>
      <c r="E54" s="38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/>
      <c r="D56" s="24"/>
      <c r="E56" s="38">
        <f>C56</f>
        <v>0</v>
      </c>
    </row>
    <row r="57" spans="1:5" x14ac:dyDescent="0.35">
      <c r="A57" s="11">
        <v>45</v>
      </c>
      <c r="B57" s="19" t="s">
        <v>40</v>
      </c>
      <c r="C57" s="58">
        <f>((C26+C32-C20-C21)/C17)</f>
        <v>0.78728692595572469</v>
      </c>
      <c r="D57" s="58" t="e">
        <f>((D26+D32-D20-D21)/D17)</f>
        <v>#DIV/0!</v>
      </c>
      <c r="E57" s="58">
        <f>((E26+E32-E20-E21)/E17)</f>
        <v>0.73764809311766577</v>
      </c>
    </row>
    <row r="58" spans="1:5" x14ac:dyDescent="0.35">
      <c r="A58" s="11">
        <v>46</v>
      </c>
      <c r="B58" s="19" t="s">
        <v>41</v>
      </c>
      <c r="C58" s="58">
        <f>((C26+C32+C38)/C17)</f>
        <v>1.0230888543202921</v>
      </c>
      <c r="D58" s="58" t="e">
        <f>((D26+D32+D38)/D17)</f>
        <v>#DIV/0!</v>
      </c>
      <c r="E58" s="58">
        <f>((E26+E32+E38)/E17)</f>
        <v>0.96885323423879943</v>
      </c>
    </row>
    <row r="59" spans="1:5" x14ac:dyDescent="0.35">
      <c r="A59" s="11">
        <v>47</v>
      </c>
      <c r="B59" s="19" t="s">
        <v>42</v>
      </c>
      <c r="C59" s="58" t="e">
        <f>((C43+C38)/C38)</f>
        <v>#DIV/0!</v>
      </c>
      <c r="D59" s="58" t="e">
        <f t="shared" ref="D59:E59" si="16">((D43+D38)/D38)</f>
        <v>#DIV/0!</v>
      </c>
      <c r="E59" s="58" t="e">
        <f t="shared" si="16"/>
        <v>#DIV/0!</v>
      </c>
    </row>
    <row r="60" spans="1:5" x14ac:dyDescent="0.35">
      <c r="A60" s="11">
        <v>48</v>
      </c>
      <c r="B60" s="19" t="s">
        <v>43</v>
      </c>
      <c r="C60" s="58" t="e">
        <f>(C43+C38+C20+C21)/C56</f>
        <v>#DIV/0!</v>
      </c>
      <c r="D60" s="58" t="e">
        <f t="shared" ref="D60:E60" si="17">(D43+D38+D20+D21)/D56</f>
        <v>#DIV/0!</v>
      </c>
      <c r="E60" s="58" t="e">
        <f t="shared" si="17"/>
        <v>#DIV/0!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year Adjusted Income Statement</oddHeader>
    <oddFooter xml:space="preserve">&amp;CPage 6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Normal="100" workbookViewId="0">
      <selection activeCell="D1" sqref="D1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1" spans="1:5" ht="18.5" x14ac:dyDescent="0.45">
      <c r="D1" s="85" t="s">
        <v>230</v>
      </c>
    </row>
    <row r="4" spans="1:5" x14ac:dyDescent="0.35">
      <c r="B4" t="s">
        <v>226</v>
      </c>
    </row>
    <row r="5" spans="1:5" x14ac:dyDescent="0.35">
      <c r="B5" s="74" t="s">
        <v>229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35">
      <c r="A11" s="10">
        <v>1</v>
      </c>
      <c r="B11" s="7" t="s">
        <v>4</v>
      </c>
      <c r="C11" s="69">
        <v>3551316</v>
      </c>
      <c r="D11" s="33"/>
      <c r="E11" s="38">
        <f>SUM(C11:D11)</f>
        <v>3551316</v>
      </c>
    </row>
    <row r="12" spans="1:5" x14ac:dyDescent="0.35">
      <c r="A12" s="11">
        <v>2</v>
      </c>
      <c r="B12" s="19" t="s">
        <v>5</v>
      </c>
      <c r="C12" s="65">
        <v>7655930</v>
      </c>
      <c r="D12" s="24"/>
      <c r="E12" s="38">
        <f t="shared" ref="E12:E16" si="0">SUM(C12:D12)</f>
        <v>7655930</v>
      </c>
    </row>
    <row r="13" spans="1:5" x14ac:dyDescent="0.35">
      <c r="A13" s="11">
        <v>3</v>
      </c>
      <c r="B13" s="19" t="s">
        <v>6</v>
      </c>
      <c r="C13" s="65">
        <v>0</v>
      </c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147170</v>
      </c>
      <c r="D14" s="65"/>
      <c r="E14" s="38">
        <f t="shared" si="0"/>
        <v>147170</v>
      </c>
    </row>
    <row r="15" spans="1:5" x14ac:dyDescent="0.35">
      <c r="A15" s="11">
        <v>5</v>
      </c>
      <c r="B15" s="19" t="s">
        <v>8</v>
      </c>
      <c r="C15" s="65">
        <f>889910+1272+103178</f>
        <v>994360</v>
      </c>
      <c r="D15" s="65"/>
      <c r="E15" s="38">
        <f t="shared" si="0"/>
        <v>994360</v>
      </c>
    </row>
    <row r="16" spans="1:5" x14ac:dyDescent="0.35">
      <c r="A16" s="11">
        <v>6</v>
      </c>
      <c r="B16" s="19" t="s">
        <v>182</v>
      </c>
      <c r="C16" s="65">
        <v>-21756</v>
      </c>
      <c r="D16" s="65"/>
      <c r="E16" s="38">
        <f t="shared" si="0"/>
        <v>-21756</v>
      </c>
    </row>
    <row r="17" spans="1:6" x14ac:dyDescent="0.35">
      <c r="A17" s="11">
        <v>7</v>
      </c>
      <c r="B17" s="23" t="s">
        <v>181</v>
      </c>
      <c r="C17" s="46">
        <f>SUM(C11:C16)</f>
        <v>12327020</v>
      </c>
      <c r="D17" s="52">
        <f t="shared" ref="D17:E17" si="1">SUM(D11:D16)</f>
        <v>0</v>
      </c>
      <c r="E17" s="49">
        <f t="shared" si="1"/>
        <v>12327020</v>
      </c>
      <c r="F17" s="1"/>
    </row>
    <row r="18" spans="1:6" x14ac:dyDescent="0.35">
      <c r="A18" s="11">
        <v>8</v>
      </c>
      <c r="B18" s="19" t="s">
        <v>9</v>
      </c>
      <c r="C18" s="65">
        <v>4476602</v>
      </c>
      <c r="D18" s="65">
        <f>-267327+1127</f>
        <v>-266200</v>
      </c>
      <c r="E18" s="47">
        <f>SUM(C18:D18)</f>
        <v>4210402</v>
      </c>
    </row>
    <row r="19" spans="1:6" x14ac:dyDescent="0.35">
      <c r="A19" s="11">
        <v>9</v>
      </c>
      <c r="B19" s="19" t="s">
        <v>44</v>
      </c>
      <c r="C19" s="65">
        <v>1302813</v>
      </c>
      <c r="D19" s="65">
        <v>0</v>
      </c>
      <c r="E19" s="47">
        <f t="shared" ref="E19:E24" si="2">SUM(C19:D19)</f>
        <v>1302813</v>
      </c>
    </row>
    <row r="20" spans="1:6" x14ac:dyDescent="0.35">
      <c r="A20" s="11">
        <v>10</v>
      </c>
      <c r="B20" s="19" t="s">
        <v>10</v>
      </c>
      <c r="C20" s="65">
        <v>2207440</v>
      </c>
      <c r="D20" s="65">
        <v>-68999</v>
      </c>
      <c r="E20" s="47">
        <f t="shared" si="2"/>
        <v>2138441</v>
      </c>
    </row>
    <row r="21" spans="1:6" x14ac:dyDescent="0.35">
      <c r="A21" s="11">
        <v>11</v>
      </c>
      <c r="B21" s="19" t="s">
        <v>11</v>
      </c>
      <c r="C21" s="65">
        <v>0</v>
      </c>
      <c r="D21" s="65"/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1030738</v>
      </c>
      <c r="D22" s="65">
        <v>-54145</v>
      </c>
      <c r="E22" s="47">
        <f t="shared" si="2"/>
        <v>976593</v>
      </c>
    </row>
    <row r="23" spans="1:6" x14ac:dyDescent="0.35">
      <c r="A23" s="11">
        <v>13</v>
      </c>
      <c r="B23" s="19" t="s">
        <v>13</v>
      </c>
      <c r="C23" s="65">
        <v>1945301</v>
      </c>
      <c r="D23" s="65">
        <v>-219652</v>
      </c>
      <c r="E23" s="47">
        <f t="shared" si="2"/>
        <v>1725649</v>
      </c>
    </row>
    <row r="24" spans="1:6" x14ac:dyDescent="0.35">
      <c r="A24" s="11" t="s">
        <v>177</v>
      </c>
      <c r="B24" s="19" t="s">
        <v>183</v>
      </c>
      <c r="C24" s="66">
        <v>0</v>
      </c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1945301</v>
      </c>
      <c r="D25" s="38">
        <f t="shared" ref="D25:E25" si="3">SUM(D23:D24)</f>
        <v>-219652</v>
      </c>
      <c r="E25" s="47">
        <f t="shared" si="3"/>
        <v>1725649</v>
      </c>
    </row>
    <row r="26" spans="1:6" x14ac:dyDescent="0.35">
      <c r="A26" s="11">
        <v>14</v>
      </c>
      <c r="B26" s="23" t="s">
        <v>180</v>
      </c>
      <c r="C26" s="46">
        <f>C18+C19+C20+C21+C22+C25</f>
        <v>10962894</v>
      </c>
      <c r="D26" s="46">
        <f t="shared" ref="D26:E26" si="4">D18+D19+D20+D21+D22+D25</f>
        <v>-608996</v>
      </c>
      <c r="E26" s="49">
        <f t="shared" si="4"/>
        <v>10353898</v>
      </c>
      <c r="F26" s="1"/>
    </row>
    <row r="27" spans="1:6" x14ac:dyDescent="0.35">
      <c r="A27" s="11">
        <v>15</v>
      </c>
      <c r="B27" s="19" t="s">
        <v>18</v>
      </c>
      <c r="C27" s="38">
        <f>C17-C26</f>
        <v>1364126</v>
      </c>
      <c r="D27" s="38">
        <f t="shared" ref="D27:E27" si="5">D17-D26</f>
        <v>608996</v>
      </c>
      <c r="E27" s="47">
        <f t="shared" si="5"/>
        <v>1973122</v>
      </c>
    </row>
    <row r="28" spans="1:6" x14ac:dyDescent="0.35">
      <c r="A28" s="11">
        <v>16</v>
      </c>
      <c r="B28" s="19" t="s">
        <v>184</v>
      </c>
      <c r="C28" s="65">
        <v>0</v>
      </c>
      <c r="D28" s="24"/>
      <c r="E28" s="47">
        <f>SUM(C28:D28)</f>
        <v>0</v>
      </c>
    </row>
    <row r="29" spans="1:6" x14ac:dyDescent="0.35">
      <c r="A29" s="11">
        <v>17</v>
      </c>
      <c r="B29" s="19" t="s">
        <v>14</v>
      </c>
      <c r="C29" s="65">
        <v>0</v>
      </c>
      <c r="D29" s="65"/>
      <c r="E29" s="47">
        <f t="shared" ref="E29:E31" si="6">SUM(C29:D29)</f>
        <v>0</v>
      </c>
    </row>
    <row r="30" spans="1:6" x14ac:dyDescent="0.35">
      <c r="A30" s="11">
        <v>18</v>
      </c>
      <c r="B30" s="19" t="s">
        <v>216</v>
      </c>
      <c r="C30" s="65">
        <v>544640</v>
      </c>
      <c r="D30" s="65">
        <v>-20348</v>
      </c>
      <c r="E30" s="47">
        <f t="shared" si="6"/>
        <v>524292</v>
      </c>
    </row>
    <row r="31" spans="1:6" x14ac:dyDescent="0.35">
      <c r="A31" s="11">
        <v>19</v>
      </c>
      <c r="B31" s="19" t="s">
        <v>17</v>
      </c>
      <c r="C31" s="65">
        <f>560410-97129</f>
        <v>463281</v>
      </c>
      <c r="D31" s="70"/>
      <c r="E31" s="47">
        <f t="shared" si="6"/>
        <v>463281</v>
      </c>
    </row>
    <row r="32" spans="1:6" x14ac:dyDescent="0.35">
      <c r="A32" s="11">
        <v>20</v>
      </c>
      <c r="B32" s="19" t="s">
        <v>16</v>
      </c>
      <c r="C32" s="43">
        <f>SUM(C29:C31)</f>
        <v>1007921</v>
      </c>
      <c r="D32" s="43">
        <f t="shared" ref="D32:E32" si="7">SUM(D29:D31)</f>
        <v>-20348</v>
      </c>
      <c r="E32" s="50">
        <f t="shared" si="7"/>
        <v>987573</v>
      </c>
    </row>
    <row r="33" spans="1:5" x14ac:dyDescent="0.35">
      <c r="A33" s="11">
        <v>21</v>
      </c>
      <c r="B33" s="19" t="s">
        <v>27</v>
      </c>
      <c r="C33" s="43">
        <f>C27+C28-C32</f>
        <v>356205</v>
      </c>
      <c r="D33" s="43">
        <f>D27+D28-D32</f>
        <v>629344</v>
      </c>
      <c r="E33" s="50">
        <f>E27+E28-E32</f>
        <v>985549</v>
      </c>
    </row>
    <row r="34" spans="1:5" x14ac:dyDescent="0.35">
      <c r="A34" s="11">
        <v>22</v>
      </c>
      <c r="B34" s="19" t="s">
        <v>19</v>
      </c>
      <c r="C34" s="65">
        <v>0</v>
      </c>
      <c r="D34" s="53"/>
      <c r="E34" s="47">
        <f>SUM(C34:D34)</f>
        <v>0</v>
      </c>
    </row>
    <row r="35" spans="1:5" x14ac:dyDescent="0.35">
      <c r="A35" s="11">
        <v>23</v>
      </c>
      <c r="B35" s="19" t="s">
        <v>20</v>
      </c>
      <c r="C35" s="65">
        <v>0</v>
      </c>
      <c r="D35" s="53"/>
      <c r="E35" s="47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0</v>
      </c>
      <c r="D36" s="53"/>
      <c r="E36" s="47">
        <f t="shared" si="8"/>
        <v>0</v>
      </c>
    </row>
    <row r="37" spans="1:5" x14ac:dyDescent="0.35">
      <c r="A37" s="11">
        <v>25</v>
      </c>
      <c r="B37" s="19" t="s">
        <v>199</v>
      </c>
      <c r="C37" s="65">
        <v>0</v>
      </c>
      <c r="D37" s="53"/>
      <c r="E37" s="47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0</v>
      </c>
      <c r="D38" s="51">
        <f t="shared" ref="D38:E38" si="9">SUM(D34:D37)</f>
        <v>0</v>
      </c>
      <c r="E38" s="50">
        <f t="shared" si="9"/>
        <v>0</v>
      </c>
    </row>
    <row r="39" spans="1:5" x14ac:dyDescent="0.35">
      <c r="A39" s="11">
        <v>27</v>
      </c>
      <c r="B39" s="19" t="s">
        <v>23</v>
      </c>
      <c r="C39" s="65">
        <f>293734-542420-28926</f>
        <v>-277612</v>
      </c>
      <c r="D39" s="53"/>
      <c r="E39" s="54">
        <f>SUM(C39:D39)</f>
        <v>-277612</v>
      </c>
    </row>
    <row r="40" spans="1:5" x14ac:dyDescent="0.35">
      <c r="A40" s="11">
        <v>28</v>
      </c>
      <c r="B40" s="19" t="s">
        <v>24</v>
      </c>
      <c r="C40" s="65">
        <v>0</v>
      </c>
      <c r="D40" s="53"/>
      <c r="E40" s="54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>
        <v>0</v>
      </c>
      <c r="D41" s="53"/>
      <c r="E41" s="54">
        <f t="shared" si="10"/>
        <v>0</v>
      </c>
    </row>
    <row r="42" spans="1:5" x14ac:dyDescent="0.35">
      <c r="A42" s="11">
        <v>30</v>
      </c>
      <c r="B42" s="19" t="s">
        <v>211</v>
      </c>
      <c r="C42" s="65">
        <v>1338797</v>
      </c>
      <c r="D42" s="78">
        <f>-1*D33</f>
        <v>-629344</v>
      </c>
      <c r="E42" s="54">
        <f t="shared" si="10"/>
        <v>709453</v>
      </c>
    </row>
    <row r="43" spans="1:5" x14ac:dyDescent="0.35">
      <c r="A43" s="11">
        <v>31</v>
      </c>
      <c r="B43" s="19" t="s">
        <v>26</v>
      </c>
      <c r="C43" s="43">
        <f>C33-C38+C39+C40+C41+C42</f>
        <v>1417390</v>
      </c>
      <c r="D43" s="43">
        <f t="shared" ref="D43:E43" si="11">D33-D38+D39+D40+D41+D42</f>
        <v>0</v>
      </c>
      <c r="E43" s="50">
        <f t="shared" si="11"/>
        <v>1417390</v>
      </c>
    </row>
    <row r="44" spans="1:5" x14ac:dyDescent="0.35">
      <c r="A44" s="11">
        <v>32</v>
      </c>
      <c r="B44" s="19" t="s">
        <v>28</v>
      </c>
      <c r="C44" s="65">
        <f>C30</f>
        <v>544640</v>
      </c>
      <c r="D44" s="65"/>
      <c r="E44" s="54">
        <f>SUM(C44:D44)</f>
        <v>544640</v>
      </c>
    </row>
    <row r="45" spans="1:5" x14ac:dyDescent="0.35">
      <c r="A45" s="11">
        <v>33</v>
      </c>
      <c r="B45" s="19" t="s">
        <v>29</v>
      </c>
      <c r="C45" s="65">
        <v>-6345275</v>
      </c>
      <c r="D45" s="53"/>
      <c r="E45" s="54">
        <f t="shared" ref="E45:E50" si="12">SUM(C45:D45)</f>
        <v>-6345275</v>
      </c>
    </row>
    <row r="46" spans="1:5" x14ac:dyDescent="0.35">
      <c r="A46" s="11">
        <v>34</v>
      </c>
      <c r="B46" s="19" t="s">
        <v>30</v>
      </c>
      <c r="C46" s="65">
        <v>0</v>
      </c>
      <c r="D46" s="53"/>
      <c r="E46" s="54">
        <f t="shared" si="12"/>
        <v>0</v>
      </c>
    </row>
    <row r="47" spans="1:5" x14ac:dyDescent="0.35">
      <c r="A47" s="11">
        <v>35</v>
      </c>
      <c r="B47" s="19" t="s">
        <v>31</v>
      </c>
      <c r="C47" s="65">
        <v>0</v>
      </c>
      <c r="D47" s="53"/>
      <c r="E47" s="54">
        <f t="shared" si="12"/>
        <v>0</v>
      </c>
    </row>
    <row r="48" spans="1:5" x14ac:dyDescent="0.35">
      <c r="A48" s="11">
        <v>36</v>
      </c>
      <c r="B48" s="19" t="s">
        <v>32</v>
      </c>
      <c r="C48" s="65">
        <v>0</v>
      </c>
      <c r="D48" s="53"/>
      <c r="E48" s="54">
        <f t="shared" si="12"/>
        <v>0</v>
      </c>
    </row>
    <row r="49" spans="1:5" x14ac:dyDescent="0.35">
      <c r="A49" s="11">
        <v>37</v>
      </c>
      <c r="B49" s="19" t="s">
        <v>33</v>
      </c>
      <c r="C49" s="65">
        <v>3439000</v>
      </c>
      <c r="D49" s="53"/>
      <c r="E49" s="54">
        <f t="shared" si="12"/>
        <v>3439000</v>
      </c>
    </row>
    <row r="50" spans="1:5" x14ac:dyDescent="0.35">
      <c r="A50" s="11">
        <v>38</v>
      </c>
      <c r="B50" s="19" t="s">
        <v>34</v>
      </c>
      <c r="C50" s="65">
        <v>0</v>
      </c>
      <c r="D50" s="53"/>
      <c r="E50" s="54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-8366885</v>
      </c>
      <c r="D51" s="51">
        <f t="shared" ref="D51:E51" si="13">(D43+D45+D46)-(D47+D48+D49+D50)</f>
        <v>0</v>
      </c>
      <c r="E51" s="50">
        <f t="shared" si="13"/>
        <v>-8366885</v>
      </c>
    </row>
    <row r="52" spans="1:5" x14ac:dyDescent="0.35">
      <c r="A52" s="11">
        <v>40</v>
      </c>
      <c r="B52" s="19" t="s">
        <v>36</v>
      </c>
      <c r="C52" s="65">
        <v>0</v>
      </c>
      <c r="D52" s="53"/>
      <c r="E52" s="54">
        <f>SUM(C52:D52)</f>
        <v>0</v>
      </c>
    </row>
    <row r="53" spans="1:5" x14ac:dyDescent="0.35">
      <c r="A53" s="11">
        <v>41</v>
      </c>
      <c r="B53" s="19" t="s">
        <v>34</v>
      </c>
      <c r="C53" s="65">
        <v>0</v>
      </c>
      <c r="D53" s="53"/>
      <c r="E53" s="54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>
        <v>0</v>
      </c>
      <c r="D54" s="53"/>
      <c r="E54" s="54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/>
      <c r="D56" s="53"/>
      <c r="E56" s="47">
        <f>C56</f>
        <v>0</v>
      </c>
    </row>
    <row r="57" spans="1:5" x14ac:dyDescent="0.35">
      <c r="A57" s="11">
        <v>45</v>
      </c>
      <c r="B57" s="19" t="s">
        <v>40</v>
      </c>
      <c r="C57" s="61">
        <f>((C26+C32-C20-C21)/C17)</f>
        <v>0.79203043395727435</v>
      </c>
      <c r="D57" s="61" t="e">
        <f>((D26+D32-D20-D21)/D17)</f>
        <v>#DIV/0!</v>
      </c>
      <c r="E57" s="61">
        <f>((E26+E32-E20-E21)/E17)</f>
        <v>0.74657378668972707</v>
      </c>
    </row>
    <row r="58" spans="1:5" x14ac:dyDescent="0.35">
      <c r="A58" s="11">
        <v>46</v>
      </c>
      <c r="B58" s="19" t="s">
        <v>41</v>
      </c>
      <c r="C58" s="61">
        <f>((C26+C32+C38)/C17)</f>
        <v>0.97110372174296788</v>
      </c>
      <c r="D58" s="61" t="e">
        <f>((D26+D32+D38)/D17)</f>
        <v>#DIV/0!</v>
      </c>
      <c r="E58" s="61">
        <f>((E26+E32+E38)/E17)</f>
        <v>0.92004969570910078</v>
      </c>
    </row>
    <row r="59" spans="1:5" x14ac:dyDescent="0.35">
      <c r="A59" s="11">
        <v>47</v>
      </c>
      <c r="B59" s="19" t="s">
        <v>42</v>
      </c>
      <c r="C59" s="61" t="e">
        <f>((C43+C38)/C38)</f>
        <v>#DIV/0!</v>
      </c>
      <c r="D59" s="61" t="e">
        <f t="shared" ref="D59:E59" si="16">((D43+D38)/D38)</f>
        <v>#DIV/0!</v>
      </c>
      <c r="E59" s="61" t="e">
        <f t="shared" si="16"/>
        <v>#DIV/0!</v>
      </c>
    </row>
    <row r="60" spans="1:5" x14ac:dyDescent="0.35">
      <c r="A60" s="11">
        <v>48</v>
      </c>
      <c r="B60" s="19" t="s">
        <v>43</v>
      </c>
      <c r="C60" s="61" t="e">
        <f>(C43+C38+C20+C21)/C56</f>
        <v>#DIV/0!</v>
      </c>
      <c r="D60" s="61" t="e">
        <f t="shared" ref="D60:E60" si="17">(D43+D38+D20+D21)/D56</f>
        <v>#DIV/0!</v>
      </c>
      <c r="E60" s="61" t="e">
        <f t="shared" si="17"/>
        <v>#DIV/0!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Current Year Adjusted Income Statement</oddHeader>
    <oddFooter xml:space="preserve">&amp;CPage 7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zoomScaleNormal="100" workbookViewId="0">
      <selection activeCell="C1" sqref="C1"/>
    </sheetView>
  </sheetViews>
  <sheetFormatPr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1" spans="1:4" ht="18.5" x14ac:dyDescent="0.45">
      <c r="C1" s="85" t="s">
        <v>230</v>
      </c>
    </row>
    <row r="4" spans="1:4" x14ac:dyDescent="0.35">
      <c r="B4" t="s">
        <v>196</v>
      </c>
    </row>
    <row r="5" spans="1:4" x14ac:dyDescent="0.35">
      <c r="B5" s="74" t="s">
        <v>229</v>
      </c>
    </row>
    <row r="8" spans="1:4" x14ac:dyDescent="0.35">
      <c r="A8" s="7"/>
      <c r="B8" s="7"/>
      <c r="C8" s="10" t="s">
        <v>131</v>
      </c>
      <c r="D8" s="31" t="s">
        <v>131</v>
      </c>
    </row>
    <row r="9" spans="1:4" x14ac:dyDescent="0.3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35">
      <c r="A10" s="12"/>
      <c r="B10" s="12"/>
      <c r="C10" s="12">
        <v>2012</v>
      </c>
      <c r="D10" s="6">
        <v>2013</v>
      </c>
    </row>
    <row r="11" spans="1:4" x14ac:dyDescent="0.35">
      <c r="A11" s="10">
        <v>1</v>
      </c>
      <c r="B11" s="7" t="s">
        <v>4</v>
      </c>
      <c r="C11" s="42">
        <f>'PartBIncomeStmt(PY)'!E11</f>
        <v>3634927</v>
      </c>
      <c r="D11" s="47">
        <f>'PartBIncomeStmt(CY) '!E11</f>
        <v>3551316</v>
      </c>
    </row>
    <row r="12" spans="1:4" x14ac:dyDescent="0.35">
      <c r="A12" s="11">
        <v>2</v>
      </c>
      <c r="B12" s="19" t="s">
        <v>5</v>
      </c>
      <c r="C12" s="38">
        <f>'PartBIncomeStmt(PY)'!E12</f>
        <v>7242833</v>
      </c>
      <c r="D12" s="47">
        <f>'PartBIncomeStmt(CY) '!E12</f>
        <v>7655930</v>
      </c>
    </row>
    <row r="13" spans="1:4" x14ac:dyDescent="0.35">
      <c r="A13" s="11">
        <v>3</v>
      </c>
      <c r="B13" s="19" t="s">
        <v>6</v>
      </c>
      <c r="C13" s="38">
        <f>'PartBIncomeStmt(PY)'!E13</f>
        <v>0</v>
      </c>
      <c r="D13" s="47">
        <f>'PartBIncomeStmt(CY) '!E13</f>
        <v>0</v>
      </c>
    </row>
    <row r="14" spans="1:4" x14ac:dyDescent="0.35">
      <c r="A14" s="11">
        <v>4</v>
      </c>
      <c r="B14" s="19" t="s">
        <v>7</v>
      </c>
      <c r="C14" s="38">
        <f>'PartBIncomeStmt(PY)'!E14</f>
        <v>148786</v>
      </c>
      <c r="D14" s="47">
        <f>'PartBIncomeStmt(CY) '!E14</f>
        <v>147170</v>
      </c>
    </row>
    <row r="15" spans="1:4" x14ac:dyDescent="0.35">
      <c r="A15" s="11">
        <v>5</v>
      </c>
      <c r="B15" s="19" t="s">
        <v>8</v>
      </c>
      <c r="C15" s="38">
        <f>'PartBIncomeStmt(PY)'!E15</f>
        <v>995041</v>
      </c>
      <c r="D15" s="47">
        <f>'PartBIncomeStmt(CY) '!E15</f>
        <v>994360</v>
      </c>
    </row>
    <row r="16" spans="1:4" x14ac:dyDescent="0.35">
      <c r="A16" s="11">
        <v>6</v>
      </c>
      <c r="B16" s="19" t="s">
        <v>182</v>
      </c>
      <c r="C16" s="38">
        <f>'PartBIncomeStmt(PY)'!E16</f>
        <v>-88470</v>
      </c>
      <c r="D16" s="47">
        <f>'PartBIncomeStmt(CY) '!E16</f>
        <v>-21756</v>
      </c>
    </row>
    <row r="17" spans="1:5" x14ac:dyDescent="0.35">
      <c r="A17" s="11">
        <v>7</v>
      </c>
      <c r="B17" s="23" t="s">
        <v>181</v>
      </c>
      <c r="C17" s="46">
        <f>SUM(C11:C16)</f>
        <v>11933117</v>
      </c>
      <c r="D17" s="49">
        <f t="shared" ref="D17" si="0">SUM(D11:D16)</f>
        <v>12327020</v>
      </c>
      <c r="E17" s="1"/>
    </row>
    <row r="18" spans="1:5" x14ac:dyDescent="0.35">
      <c r="A18" s="11">
        <v>8</v>
      </c>
      <c r="B18" s="19" t="s">
        <v>9</v>
      </c>
      <c r="C18" s="38">
        <f>'PartBIncomeStmt(PY)'!E18</f>
        <v>4009379</v>
      </c>
      <c r="D18" s="47">
        <f>'PartBIncomeStmt(CY) '!E18</f>
        <v>4210402</v>
      </c>
    </row>
    <row r="19" spans="1:5" x14ac:dyDescent="0.35">
      <c r="A19" s="11">
        <v>9</v>
      </c>
      <c r="B19" s="19" t="s">
        <v>44</v>
      </c>
      <c r="C19" s="38">
        <f>'PartBIncomeStmt(PY)'!E19</f>
        <v>1305809</v>
      </c>
      <c r="D19" s="47">
        <f>'PartBIncomeStmt(CY) '!E19</f>
        <v>1302813</v>
      </c>
    </row>
    <row r="20" spans="1:5" x14ac:dyDescent="0.35">
      <c r="A20" s="11">
        <v>10</v>
      </c>
      <c r="B20" s="19" t="s">
        <v>10</v>
      </c>
      <c r="C20" s="38">
        <f>'PartBIncomeStmt(PY)'!E20</f>
        <v>2758998</v>
      </c>
      <c r="D20" s="47">
        <f>'PartBIncomeStmt(CY) '!E20</f>
        <v>2138441</v>
      </c>
    </row>
    <row r="21" spans="1:5" x14ac:dyDescent="0.35">
      <c r="A21" s="11">
        <v>11</v>
      </c>
      <c r="B21" s="19" t="s">
        <v>11</v>
      </c>
      <c r="C21" s="38">
        <f>'PartBIncomeStmt(PY)'!E21</f>
        <v>0</v>
      </c>
      <c r="D21" s="47">
        <f>'PartBIncomeStmt(CY) '!E21</f>
        <v>0</v>
      </c>
    </row>
    <row r="22" spans="1:5" x14ac:dyDescent="0.35">
      <c r="A22" s="11">
        <v>12</v>
      </c>
      <c r="B22" s="19" t="s">
        <v>12</v>
      </c>
      <c r="C22" s="38">
        <f>'PartBIncomeStmt(PY)'!E22</f>
        <v>1078775</v>
      </c>
      <c r="D22" s="47">
        <f>'PartBIncomeStmt(CY) '!E22</f>
        <v>976593</v>
      </c>
    </row>
    <row r="23" spans="1:5" x14ac:dyDescent="0.35">
      <c r="A23" s="11">
        <v>13</v>
      </c>
      <c r="B23" s="19" t="s">
        <v>13</v>
      </c>
      <c r="C23" s="38">
        <f>'PartBIncomeStmt(PY)'!E23</f>
        <v>2066431</v>
      </c>
      <c r="D23" s="47">
        <f>'PartBIncomeStmt(CY) '!E23</f>
        <v>1725649</v>
      </c>
    </row>
    <row r="24" spans="1:5" x14ac:dyDescent="0.3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35">
      <c r="A25" s="11" t="s">
        <v>178</v>
      </c>
      <c r="B25" s="19" t="s">
        <v>179</v>
      </c>
      <c r="C25" s="38">
        <f>SUM(C23:C24)</f>
        <v>2066431</v>
      </c>
      <c r="D25" s="47">
        <f t="shared" ref="D25" si="1">SUM(D23:D24)</f>
        <v>1725649</v>
      </c>
    </row>
    <row r="26" spans="1:5" x14ac:dyDescent="0.35">
      <c r="A26" s="11">
        <v>14</v>
      </c>
      <c r="B26" s="23" t="s">
        <v>180</v>
      </c>
      <c r="C26" s="46">
        <f>C18+C19+C20+C21+C22+C25</f>
        <v>11219392</v>
      </c>
      <c r="D26" s="49">
        <f t="shared" ref="D26" si="2">D18+D19+D20+D21+D22+D25</f>
        <v>10353898</v>
      </c>
      <c r="E26" s="1"/>
    </row>
    <row r="27" spans="1:5" x14ac:dyDescent="0.35">
      <c r="A27" s="11">
        <v>15</v>
      </c>
      <c r="B27" s="19" t="s">
        <v>18</v>
      </c>
      <c r="C27" s="38">
        <f>C17-C26</f>
        <v>713725</v>
      </c>
      <c r="D27" s="47">
        <f t="shared" ref="D27" si="3">D17-D26</f>
        <v>1973122</v>
      </c>
    </row>
    <row r="28" spans="1:5" x14ac:dyDescent="0.3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35">
      <c r="A29" s="11">
        <v>17</v>
      </c>
      <c r="B29" s="19" t="s">
        <v>14</v>
      </c>
      <c r="C29" s="38">
        <f>'PartBIncomeStmt(PY)'!E29</f>
        <v>0</v>
      </c>
      <c r="D29" s="47">
        <f>'PartBIncomeStmt(CY) '!E29</f>
        <v>0</v>
      </c>
    </row>
    <row r="30" spans="1:5" x14ac:dyDescent="0.35">
      <c r="A30" s="11">
        <v>18</v>
      </c>
      <c r="B30" s="19" t="s">
        <v>15</v>
      </c>
      <c r="C30" s="38">
        <f>'PartBIncomeStmt(PY)'!E30</f>
        <v>194022</v>
      </c>
      <c r="D30" s="47">
        <f>'PartBIncomeStmt(CY) '!E30</f>
        <v>524292</v>
      </c>
    </row>
    <row r="31" spans="1:5" x14ac:dyDescent="0.35">
      <c r="A31" s="11">
        <v>19</v>
      </c>
      <c r="B31" s="19" t="s">
        <v>17</v>
      </c>
      <c r="C31" s="38">
        <f>'PartBIncomeStmt(PY)'!E31</f>
        <v>148025</v>
      </c>
      <c r="D31" s="47">
        <f>'PartBIncomeStmt(CY) '!E31</f>
        <v>463281</v>
      </c>
    </row>
    <row r="32" spans="1:5" x14ac:dyDescent="0.35">
      <c r="A32" s="11">
        <v>20</v>
      </c>
      <c r="B32" s="19" t="s">
        <v>16</v>
      </c>
      <c r="C32" s="43">
        <f>SUM(C29:C31)</f>
        <v>342047</v>
      </c>
      <c r="D32" s="50">
        <f t="shared" ref="D32" si="4">SUM(D29:D31)</f>
        <v>987573</v>
      </c>
    </row>
    <row r="33" spans="1:4" x14ac:dyDescent="0.35">
      <c r="A33" s="11">
        <v>21</v>
      </c>
      <c r="B33" s="19" t="s">
        <v>27</v>
      </c>
      <c r="C33" s="43">
        <f>C27+C28-C32</f>
        <v>371678</v>
      </c>
      <c r="D33" s="50">
        <f>D27+D28-D32</f>
        <v>985549</v>
      </c>
    </row>
    <row r="34" spans="1:4" x14ac:dyDescent="0.35">
      <c r="A34" s="11">
        <v>22</v>
      </c>
      <c r="B34" s="19" t="s">
        <v>19</v>
      </c>
      <c r="C34" s="38">
        <f>'PartBIncomeStmt(PY)'!E34</f>
        <v>0</v>
      </c>
      <c r="D34" s="47">
        <f>'PartBIncomeStmt(CY) '!E34</f>
        <v>0</v>
      </c>
    </row>
    <row r="35" spans="1:4" x14ac:dyDescent="0.3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35">
      <c r="A36" s="11">
        <v>24</v>
      </c>
      <c r="B36" s="19" t="s">
        <v>21</v>
      </c>
      <c r="C36" s="38">
        <f>'PartBIncomeStmt(PY)'!E36</f>
        <v>0</v>
      </c>
      <c r="D36" s="47">
        <f>'PartBIncomeStmt(CY) '!E36</f>
        <v>0</v>
      </c>
    </row>
    <row r="37" spans="1:4" x14ac:dyDescent="0.3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35">
      <c r="A38" s="11">
        <v>26</v>
      </c>
      <c r="B38" s="19" t="s">
        <v>22</v>
      </c>
      <c r="C38" s="43">
        <f>SUM(C34:C37)</f>
        <v>0</v>
      </c>
      <c r="D38" s="50">
        <f t="shared" ref="D38" si="5">SUM(D34:D37)</f>
        <v>0</v>
      </c>
    </row>
    <row r="39" spans="1:4" x14ac:dyDescent="0.35">
      <c r="A39" s="11">
        <v>27</v>
      </c>
      <c r="B39" s="19" t="s">
        <v>23</v>
      </c>
      <c r="C39" s="38">
        <f>'PartBIncomeStmt(PY)'!E39</f>
        <v>-32794</v>
      </c>
      <c r="D39" s="47">
        <f>'PartBIncomeStmt(CY) '!E39</f>
        <v>-277612</v>
      </c>
    </row>
    <row r="40" spans="1:4" x14ac:dyDescent="0.3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3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35">
      <c r="A42" s="11">
        <v>30</v>
      </c>
      <c r="B42" s="19" t="s">
        <v>25</v>
      </c>
      <c r="C42" s="38">
        <f>'PartBIncomeStmt(PY)'!E42</f>
        <v>594495</v>
      </c>
      <c r="D42" s="47">
        <f>'PartBIncomeStmt(CY) '!E42</f>
        <v>709453</v>
      </c>
    </row>
    <row r="43" spans="1:4" x14ac:dyDescent="0.35">
      <c r="A43" s="11">
        <v>31</v>
      </c>
      <c r="B43" s="19" t="s">
        <v>26</v>
      </c>
      <c r="C43" s="43">
        <f>C33-C38+C39+C40+C41+C42</f>
        <v>933379</v>
      </c>
      <c r="D43" s="50">
        <f t="shared" ref="D43" si="6">D33-D38+D39+D40+D41+D42</f>
        <v>1417390</v>
      </c>
    </row>
    <row r="44" spans="1:4" x14ac:dyDescent="0.35">
      <c r="A44" s="11">
        <v>32</v>
      </c>
      <c r="B44" s="19" t="s">
        <v>28</v>
      </c>
      <c r="C44" s="38">
        <f>'PartBIncomeStmt(PY)'!E44</f>
        <v>194022</v>
      </c>
      <c r="D44" s="47">
        <f>'PartBIncomeStmt(CY) '!E44</f>
        <v>544640</v>
      </c>
    </row>
    <row r="45" spans="1:4" x14ac:dyDescent="0.35">
      <c r="A45" s="11">
        <v>33</v>
      </c>
      <c r="B45" s="19" t="s">
        <v>29</v>
      </c>
      <c r="C45" s="38">
        <f>'PartBIncomeStmt(PY)'!E45</f>
        <v>-4924653.5599999996</v>
      </c>
      <c r="D45" s="47">
        <f>'PartBIncomeStmt(CY) '!E45</f>
        <v>-6345275</v>
      </c>
    </row>
    <row r="46" spans="1:4" x14ac:dyDescent="0.35">
      <c r="A46" s="11">
        <v>34</v>
      </c>
      <c r="B46" s="19" t="s">
        <v>30</v>
      </c>
      <c r="C46" s="38"/>
      <c r="D46" s="47">
        <f>'PartBIncomeStmt(CY) '!E46</f>
        <v>0</v>
      </c>
    </row>
    <row r="47" spans="1:4" x14ac:dyDescent="0.3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3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35">
      <c r="A49" s="11">
        <v>37</v>
      </c>
      <c r="B49" s="19" t="s">
        <v>33</v>
      </c>
      <c r="C49" s="38">
        <f>'PartBIncomeStmt(PY)'!E49</f>
        <v>2354000</v>
      </c>
      <c r="D49" s="47">
        <f>'PartBIncomeStmt(CY) '!E49</f>
        <v>3439000</v>
      </c>
    </row>
    <row r="50" spans="1:4" x14ac:dyDescent="0.3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35">
      <c r="A51" s="11">
        <v>39</v>
      </c>
      <c r="B51" s="19" t="s">
        <v>35</v>
      </c>
      <c r="C51" s="43">
        <f>(C43+C45+C46)-(C47+C48+C49+C50)</f>
        <v>-6345274.5599999996</v>
      </c>
      <c r="D51" s="50">
        <f t="shared" ref="D51" si="7">(D43+D45+D46)-(D47+D48+D49+D50)</f>
        <v>-8366885</v>
      </c>
    </row>
    <row r="52" spans="1:4" x14ac:dyDescent="0.3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3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3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3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35">
      <c r="A56" s="11">
        <v>44</v>
      </c>
      <c r="B56" s="19" t="s">
        <v>39</v>
      </c>
      <c r="C56" s="38">
        <f>'PartBIncomeStmt(PY)'!E56</f>
        <v>0</v>
      </c>
      <c r="D56" s="47">
        <f>'PartBIncomeStmt(CY) '!E56</f>
        <v>0</v>
      </c>
    </row>
    <row r="57" spans="1:4" x14ac:dyDescent="0.35">
      <c r="A57" s="11">
        <v>45</v>
      </c>
      <c r="B57" s="19" t="s">
        <v>40</v>
      </c>
      <c r="C57" s="61">
        <f>((C26+C32-C20-C21)/C17)</f>
        <v>0.73764809311766577</v>
      </c>
      <c r="D57" s="61">
        <f>((D26+D32-D20-D21)/D17)</f>
        <v>0.74657378668972707</v>
      </c>
    </row>
    <row r="58" spans="1:4" x14ac:dyDescent="0.35">
      <c r="A58" s="11">
        <v>46</v>
      </c>
      <c r="B58" s="19" t="s">
        <v>41</v>
      </c>
      <c r="C58" s="61">
        <f>((C26+C32+C38)/C17)</f>
        <v>0.96885323423879943</v>
      </c>
      <c r="D58" s="61">
        <f>((D26+D32+D38)/D17)</f>
        <v>0.92004969570910078</v>
      </c>
    </row>
    <row r="59" spans="1:4" x14ac:dyDescent="0.35">
      <c r="A59" s="11">
        <v>47</v>
      </c>
      <c r="B59" s="19" t="s">
        <v>42</v>
      </c>
      <c r="C59" s="61" t="e">
        <f>((C43+C38)/C38)</f>
        <v>#DIV/0!</v>
      </c>
      <c r="D59" s="61" t="e">
        <f t="shared" ref="D59" si="9">((D43+D38)/D38)</f>
        <v>#DIV/0!</v>
      </c>
    </row>
    <row r="60" spans="1:4" x14ac:dyDescent="0.35">
      <c r="A60" s="11">
        <v>48</v>
      </c>
      <c r="B60" s="19" t="s">
        <v>43</v>
      </c>
      <c r="C60" s="55" t="e">
        <f>(C43+C38+C20+C21)/C56</f>
        <v>#DIV/0!</v>
      </c>
      <c r="D60" s="61" t="e">
        <f t="shared" ref="D60" si="10">(D43+D38+D20+D21)/D56</f>
        <v>#DIV/0!</v>
      </c>
    </row>
    <row r="61" spans="1:4" x14ac:dyDescent="0.35">
      <c r="A61" s="21"/>
      <c r="B61" s="21"/>
      <c r="C61" s="21"/>
      <c r="D61" s="16"/>
    </row>
    <row r="63" spans="1:4" x14ac:dyDescent="0.35">
      <c r="B63" t="s">
        <v>221</v>
      </c>
      <c r="C63" s="60" t="s">
        <v>45</v>
      </c>
      <c r="D63" s="60" t="s">
        <v>203</v>
      </c>
    </row>
    <row r="64" spans="1:4" x14ac:dyDescent="0.35">
      <c r="B64" t="s">
        <v>204</v>
      </c>
      <c r="C64" s="71"/>
      <c r="D64" s="71"/>
    </row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and Current Year Income Statement</oddHeader>
    <oddFooter xml:space="preserve">&amp;CPage 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Normal="100" workbookViewId="0">
      <selection activeCell="D2" sqref="D2"/>
    </sheetView>
  </sheetViews>
  <sheetFormatPr defaultRowHeight="14.5" x14ac:dyDescent="0.35"/>
  <cols>
    <col min="1" max="1" width="36.54296875" bestFit="1" customWidth="1"/>
    <col min="3" max="4" width="13.81640625" customWidth="1"/>
  </cols>
  <sheetData>
    <row r="1" spans="1:4" ht="18.5" x14ac:dyDescent="0.45">
      <c r="C1" s="85" t="s">
        <v>230</v>
      </c>
    </row>
    <row r="3" spans="1:4" x14ac:dyDescent="0.35">
      <c r="A3" t="s">
        <v>226</v>
      </c>
    </row>
    <row r="4" spans="1:4" x14ac:dyDescent="0.35">
      <c r="A4" s="74" t="s">
        <v>229</v>
      </c>
    </row>
    <row r="7" spans="1:4" x14ac:dyDescent="0.35">
      <c r="A7" s="7"/>
      <c r="B7" s="7"/>
      <c r="C7" s="7"/>
      <c r="D7" s="4"/>
    </row>
    <row r="8" spans="1:4" x14ac:dyDescent="0.3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35">
      <c r="A9" s="21"/>
      <c r="B9" s="12" t="s">
        <v>186</v>
      </c>
      <c r="C9" s="29"/>
      <c r="D9" s="35"/>
    </row>
    <row r="10" spans="1:4" x14ac:dyDescent="0.35">
      <c r="A10" s="7" t="s">
        <v>187</v>
      </c>
      <c r="B10" s="32" t="s">
        <v>188</v>
      </c>
      <c r="C10" s="69">
        <f>220351.48+195661.03+752255.75+521774.5+40113.45+1197.84+53306.92-48595</f>
        <v>1736065.97</v>
      </c>
      <c r="D10" s="72">
        <f>205112.08+179193.18+665449.98+499661.29+40031.95-2.12+150850.35-81528</f>
        <v>1658768.71</v>
      </c>
    </row>
    <row r="11" spans="1:4" x14ac:dyDescent="0.35">
      <c r="A11" s="19" t="s">
        <v>189</v>
      </c>
      <c r="B11" s="34" t="s">
        <v>190</v>
      </c>
      <c r="C11" s="53"/>
      <c r="D11" s="64"/>
    </row>
    <row r="12" spans="1:4" x14ac:dyDescent="0.35">
      <c r="A12" s="19" t="s">
        <v>191</v>
      </c>
      <c r="B12" s="11"/>
      <c r="C12" s="65">
        <f>596844.88+827940.51-207056.63+67902.16+229393</f>
        <v>1515023.9200000002</v>
      </c>
      <c r="D12" s="72">
        <f>149102.34+681094.26-53583.12+151620.77</f>
        <v>928234.25</v>
      </c>
    </row>
    <row r="13" spans="1:4" x14ac:dyDescent="0.35">
      <c r="A13" s="19" t="s">
        <v>192</v>
      </c>
      <c r="B13" s="11"/>
      <c r="C13" s="65">
        <f>733853.42-316061</f>
        <v>417792.42000000004</v>
      </c>
      <c r="D13" s="72">
        <f>540126.57-184647+49335</f>
        <v>404814.56999999995</v>
      </c>
    </row>
    <row r="14" spans="1:4" x14ac:dyDescent="0.35">
      <c r="A14" s="19" t="s">
        <v>193</v>
      </c>
      <c r="B14" s="11">
        <v>5083</v>
      </c>
      <c r="C14" s="53"/>
      <c r="D14" s="64"/>
    </row>
    <row r="15" spans="1:4" x14ac:dyDescent="0.35">
      <c r="A15" s="19" t="s">
        <v>191</v>
      </c>
      <c r="B15" s="11"/>
      <c r="C15" s="65">
        <v>577049.42000000004</v>
      </c>
      <c r="D15" s="72">
        <v>450062.47</v>
      </c>
    </row>
    <row r="16" spans="1:4" x14ac:dyDescent="0.35">
      <c r="A16" s="19" t="s">
        <v>192</v>
      </c>
      <c r="B16" s="11"/>
      <c r="C16" s="65">
        <f>1291916.22+1144063.06-1071016-164436</f>
        <v>1200527.2800000003</v>
      </c>
      <c r="D16" s="72">
        <f>1102261.71+1150477.17-659820+444013</f>
        <v>2036931.88</v>
      </c>
    </row>
    <row r="17" spans="1:4" x14ac:dyDescent="0.35">
      <c r="A17" s="19" t="s">
        <v>227</v>
      </c>
      <c r="B17" s="12" t="s">
        <v>194</v>
      </c>
      <c r="C17" s="66">
        <f>19624+1233948+542802</f>
        <v>1796374</v>
      </c>
      <c r="D17" s="73">
        <f>1233948+943170</f>
        <v>2177118</v>
      </c>
    </row>
    <row r="18" spans="1:4" x14ac:dyDescent="0.35">
      <c r="A18" s="19" t="s">
        <v>195</v>
      </c>
      <c r="B18" s="7"/>
      <c r="C18" s="41">
        <f>C10+C12+C13+C15+C16+C17</f>
        <v>7242833.0100000007</v>
      </c>
      <c r="D18" s="41">
        <f>D10+D12+D13+D15+D16+D17</f>
        <v>7655929.8799999999</v>
      </c>
    </row>
    <row r="19" spans="1:4" x14ac:dyDescent="0.35">
      <c r="A19" s="20" t="s">
        <v>205</v>
      </c>
      <c r="B19" s="19"/>
      <c r="C19" s="43">
        <f>'PartBIncomeStmt(PY)'!E12</f>
        <v>7242833</v>
      </c>
      <c r="D19" s="43">
        <f>'PartBIncomeStmt(CY) '!E12</f>
        <v>7655930</v>
      </c>
    </row>
    <row r="20" spans="1:4" ht="15" thickBot="1" x14ac:dyDescent="0.4">
      <c r="A20" s="63" t="s">
        <v>163</v>
      </c>
      <c r="B20" s="21"/>
      <c r="C20" s="62">
        <f>C18-C19</f>
        <v>1.0000000707805157E-2</v>
      </c>
      <c r="D20" s="40">
        <f>D18-D19</f>
        <v>-0.12000000011175871</v>
      </c>
    </row>
    <row r="21" spans="1:4" ht="15" thickTop="1" x14ac:dyDescent="0.35"/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 (e)
Network Access Services Revenue
Prior and Current Year</oddHeader>
    <oddFooter xml:space="preserve">&amp;CPage 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3DC183B7D2BB4DAB20CA4211276CCD" ma:contentTypeVersion="175" ma:contentTypeDescription="" ma:contentTypeScope="" ma:versionID="7457da9c5d84d645f1a2af6098bee3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2014-07-31T07:00:00+00:00</OpenedDate>
    <Date1 xmlns="dc463f71-b30c-4ab2-9473-d307f9d35888">2014-07-31T07:00:00+00:00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Ellensburg Telephone Company</CaseCompanyNames>
    <DocketNumber xmlns="dc463f71-b30c-4ab2-9473-d307f9d35888">143022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C36A623-7F4F-43FE-B583-DA24B6FA7035}"/>
</file>

<file path=customXml/itemProps2.xml><?xml version="1.0" encoding="utf-8"?>
<ds:datastoreItem xmlns:ds="http://schemas.openxmlformats.org/officeDocument/2006/customXml" ds:itemID="{EA346423-31E1-4C95-A633-A98678E0E0F8}"/>
</file>

<file path=customXml/itemProps3.xml><?xml version="1.0" encoding="utf-8"?>
<ds:datastoreItem xmlns:ds="http://schemas.openxmlformats.org/officeDocument/2006/customXml" ds:itemID="{F4002B1D-3DB4-4FA7-8243-A13111E67AD6}"/>
</file>

<file path=customXml/itemProps4.xml><?xml version="1.0" encoding="utf-8"?>
<ds:datastoreItem xmlns:ds="http://schemas.openxmlformats.org/officeDocument/2006/customXml" ds:itemID="{E0A21A8D-32E8-473B-B494-4A81F53BC3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2014-07-31T16:30:13Z</cp:lastPrinted>
  <dcterms:created xsi:type="dcterms:W3CDTF">2014-05-21T17:51:51Z</dcterms:created>
  <dcterms:modified xsi:type="dcterms:W3CDTF">2014-08-04T18:11:56Z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0x0101006E56B4D1795A2E4DB2F0B01679ED314A00EC3DC183B7D2BB4DAB20CA4211276CCD</vt:lpwstr>
  </property>
  <property fmtid="{D5CDD505-2E9C-101B-9397-08002B2CF9AE}" pid="3" name="_docset_NoMedatataSyncRequired">
    <vt:lpwstr>False</vt:lpwstr>
  </property>
</Properties>
</file>