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wrk\15_cng\CA07 - UG-200568\dir\exh\"/>
    </mc:Choice>
  </mc:AlternateContent>
  <xr:revisionPtr revIDLastSave="0" documentId="13_ncr:1_{0EC0389C-BF62-4415-97C3-BD1F392B77A2}" xr6:coauthVersionLast="45" xr6:coauthVersionMax="45" xr10:uidLastSave="{00000000-0000-0000-0000-000000000000}"/>
  <bookViews>
    <workbookView xWindow="-120" yWindow="-120" windowWidth="29040" windowHeight="15225" xr2:uid="{42783F83-4DCC-4AD4-91F1-A371C4488D95}"/>
  </bookViews>
  <sheets>
    <sheet name="Exh BGM-6" sheetId="1" r:id="rId1"/>
    <sheet name="MCP-6 - 2020 Plant Additions" sheetId="2" r:id="rId2"/>
    <sheet name="MCP-6 - 2020 Plant Addi (Depr )" sheetId="6" r:id="rId3"/>
    <sheet name="MCP-6 - 2019 Plant Additions" sheetId="3" r:id="rId4"/>
    <sheet name="Pro Forma Plant Additions (CA)" sheetId="4" r:id="rId5"/>
    <sheet name="Pro Forma Plant Additions (A1)" sheetId="5" r:id="rId6"/>
    <sheet name="Pro Forma Plant Additions (A2)" sheetId="7" r:id="rId7"/>
    <sheet name="Pro Forma Plant Additions (A3)"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'Exh BGM-6'!$A$1:$I$41</definedName>
    <definedName name="_xlnm._FilterDatabase" localSheetId="2" hidden="1">'MCP-6 - 2020 Plant Addi (Depr )'!$A$7:$K$195</definedName>
    <definedName name="_xlnm._FilterDatabase" localSheetId="1" hidden="1">'MCP-6 - 2020 Plant Additions'!$A$7:$O$195</definedName>
    <definedName name="_Order1">255</definedName>
    <definedName name="_Order2">255</definedName>
    <definedName name="_Regression_Int">1</definedName>
    <definedName name="AccessDatabase">"I:\COMTREL\FINICLE\TradeSummary.mdb"</definedName>
    <definedName name="AS2DocOpenMode">"AS2DocumentEdit"</definedName>
    <definedName name="CASE">'[1]Named Ranges'!$C$4</definedName>
    <definedName name="CASE_E">'[2]Named Ranges E'!$C$4</definedName>
    <definedName name="CASE_GAS">'[3]Named Ranges G'!$C$4</definedName>
    <definedName name="CBWorkbookPriority">-2060790043</definedName>
    <definedName name="Comp">'[1]Named Ranges'!$C$8</definedName>
    <definedName name="Comp_E">'[2]Named Ranges E'!$C$8</definedName>
    <definedName name="Comp_GAS">'[3]Named Ranges G'!$C$8</definedName>
    <definedName name="DOCKETNUMBER">'[1]Named Ranges'!$C$6</definedName>
    <definedName name="DOCKETNUMBER_E">'[2]Named Ranges E'!$C$6</definedName>
    <definedName name="DOCKETNUMBER_GAS">'[3]Named Ranges G'!$C$6</definedName>
    <definedName name="first_day">'[4]Historic Data'!$K$3</definedName>
    <definedName name="FIT">'[1]Named Ranges'!$C$3</definedName>
    <definedName name="FIT_E">'[2]Named Ranges E'!$C$3</definedName>
    <definedName name="FIT_GAS">'[3]Named Ranges G'!$C$3</definedName>
    <definedName name="HTML_CodePage">1252</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ID_Gas">'[5]DEBT CALC'!#REF!</definedName>
    <definedName name="_xlnm.Print_Area" localSheetId="0">'Exh BGM-6'!$A$2:$S$73</definedName>
    <definedName name="_xlnm.Print_Area" localSheetId="5">'Pro Forma Plant Additions (A1)'!$A$1:$F$32</definedName>
    <definedName name="_xlnm.Print_Area" localSheetId="6">'Pro Forma Plant Additions (A2)'!$A$1:$F$32</definedName>
    <definedName name="_xlnm.Print_Area" localSheetId="7">'Pro Forma Plant Additions (A3)'!$A$1:$F$32</definedName>
    <definedName name="_xlnm.Print_Area" localSheetId="4">'Pro Forma Plant Additions (CA)'!$A$1:$F$32</definedName>
    <definedName name="Print_for_Checking">'[5]ADJ SUMMARY'!#REF!:'[5]ADJ SUMMARY'!#REF!</definedName>
    <definedName name="_xlnm.Print_Titles" localSheetId="0">'Exh BGM-6'!$2:$2</definedName>
    <definedName name="_xlnm.Print_Titles" localSheetId="3">'MCP-6 - 2019 Plant Additions'!$A:$A,'MCP-6 - 2019 Plant Additions'!$1:$7</definedName>
    <definedName name="_xlnm.Print_Titles" localSheetId="2">'MCP-6 - 2020 Plant Addi (Depr )'!$A:$A,'MCP-6 - 2020 Plant Addi (Depr )'!$1:$7</definedName>
    <definedName name="_xlnm.Print_Titles" localSheetId="1">'MCP-6 - 2020 Plant Additions'!$A:$A,'MCP-6 - 2020 Plant Additions'!$1:$7</definedName>
    <definedName name="SAPBEXhrIndnt">"Wide"</definedName>
    <definedName name="SAPsysID">"708C5W7SBKP804JT78WJ0JNKI"</definedName>
    <definedName name="SAPwbID">"ARS"</definedName>
    <definedName name="Summary">#REF!</definedName>
    <definedName name="TableName">"Dummy"</definedName>
    <definedName name="TESTYEAR">'[1]Named Ranges'!$C$5</definedName>
    <definedName name="TESTYEAR_E">'[2]Named Ranges E'!$C$5</definedName>
    <definedName name="TESTYEAR_GAS">'[3]Named Ranges G'!$C$5</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WA_Gas">'[5]DEBT CALC'!#REF!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5" l="1"/>
  <c r="E32" i="8"/>
  <c r="C11" i="8"/>
  <c r="E32" i="7"/>
  <c r="C11" i="7"/>
  <c r="V48" i="1"/>
  <c r="V47" i="1"/>
  <c r="V33" i="1"/>
  <c r="W33" i="1" s="1"/>
  <c r="V22" i="1"/>
  <c r="W22" i="1" s="1"/>
  <c r="V21" i="1"/>
  <c r="W21" i="1" s="1"/>
  <c r="V9" i="1"/>
  <c r="W9" i="1" s="1"/>
  <c r="F221" i="6"/>
  <c r="F220" i="6"/>
  <c r="F219" i="6"/>
  <c r="F218" i="6"/>
  <c r="F217" i="6"/>
  <c r="F216" i="6"/>
  <c r="F215" i="6"/>
  <c r="F214" i="6"/>
  <c r="F213" i="6"/>
  <c r="F212" i="6"/>
  <c r="F211" i="6"/>
  <c r="F210" i="6"/>
  <c r="F209" i="6"/>
  <c r="F208" i="6"/>
  <c r="F207" i="6"/>
  <c r="F206" i="6"/>
  <c r="V4" i="1"/>
  <c r="W4" i="1" s="1"/>
  <c r="I221" i="6"/>
  <c r="H221" i="6"/>
  <c r="I220" i="6"/>
  <c r="H220" i="6"/>
  <c r="I219" i="6"/>
  <c r="H219" i="6"/>
  <c r="I218" i="6"/>
  <c r="I217" i="6"/>
  <c r="H217" i="6"/>
  <c r="I216" i="6"/>
  <c r="H216" i="6"/>
  <c r="I215" i="6"/>
  <c r="I214" i="6"/>
  <c r="I213" i="6"/>
  <c r="H213" i="6"/>
  <c r="I212" i="6"/>
  <c r="I211" i="6"/>
  <c r="I210" i="6"/>
  <c r="I209" i="6"/>
  <c r="I208" i="6"/>
  <c r="H208" i="6"/>
  <c r="J208" i="6" s="1"/>
  <c r="I207" i="6"/>
  <c r="H207" i="6"/>
  <c r="G194" i="6"/>
  <c r="G193" i="6"/>
  <c r="F193" i="6"/>
  <c r="G192" i="6"/>
  <c r="E191" i="6"/>
  <c r="E195" i="6" s="1"/>
  <c r="G190" i="6"/>
  <c r="G189" i="6"/>
  <c r="G188" i="6"/>
  <c r="G187" i="6"/>
  <c r="G186" i="6"/>
  <c r="G185" i="6"/>
  <c r="G184" i="6"/>
  <c r="G183" i="6"/>
  <c r="G182" i="6"/>
  <c r="G181" i="6"/>
  <c r="G180" i="6"/>
  <c r="G179" i="6"/>
  <c r="G178" i="6"/>
  <c r="F178" i="6"/>
  <c r="G177" i="6"/>
  <c r="F177" i="6"/>
  <c r="G176" i="6"/>
  <c r="F176" i="6"/>
  <c r="G175" i="6"/>
  <c r="F175" i="6"/>
  <c r="G174" i="6"/>
  <c r="G173" i="6"/>
  <c r="F173" i="6"/>
  <c r="G172" i="6"/>
  <c r="G171" i="6"/>
  <c r="G170" i="6"/>
  <c r="G169" i="6"/>
  <c r="G168" i="6"/>
  <c r="G167" i="6"/>
  <c r="G166" i="6"/>
  <c r="G165" i="6"/>
  <c r="G164" i="6"/>
  <c r="G163" i="6"/>
  <c r="G162" i="6"/>
  <c r="F162" i="6"/>
  <c r="H161" i="6"/>
  <c r="H218" i="6" s="1"/>
  <c r="G161" i="6"/>
  <c r="G160" i="6"/>
  <c r="G159" i="6"/>
  <c r="G158" i="6"/>
  <c r="F158" i="6"/>
  <c r="G157" i="6"/>
  <c r="F157" i="6"/>
  <c r="G156" i="6"/>
  <c r="G155" i="6"/>
  <c r="G154" i="6"/>
  <c r="G153" i="6"/>
  <c r="F153" i="6"/>
  <c r="G152" i="6"/>
  <c r="F152" i="6"/>
  <c r="G151" i="6"/>
  <c r="F151" i="6"/>
  <c r="G150" i="6"/>
  <c r="F150" i="6"/>
  <c r="G149" i="6"/>
  <c r="G148" i="6"/>
  <c r="G147" i="6"/>
  <c r="E146" i="6"/>
  <c r="G146" i="6" s="1"/>
  <c r="G145" i="6"/>
  <c r="G144" i="6"/>
  <c r="G143" i="6"/>
  <c r="G142" i="6"/>
  <c r="G141" i="6"/>
  <c r="G140" i="6"/>
  <c r="G139" i="6"/>
  <c r="G138" i="6"/>
  <c r="G137" i="6"/>
  <c r="G136" i="6"/>
  <c r="G135" i="6"/>
  <c r="G134" i="6"/>
  <c r="G133" i="6"/>
  <c r="G132" i="6"/>
  <c r="G131" i="6"/>
  <c r="H131" i="6" s="1"/>
  <c r="G130" i="6"/>
  <c r="H130" i="6" s="1"/>
  <c r="G129" i="6"/>
  <c r="H129" i="6" s="1"/>
  <c r="G128" i="6"/>
  <c r="G127" i="6"/>
  <c r="H127" i="6" s="1"/>
  <c r="H126" i="6"/>
  <c r="G126" i="6"/>
  <c r="G125" i="6"/>
  <c r="H125" i="6" s="1"/>
  <c r="H124" i="6"/>
  <c r="G124" i="6"/>
  <c r="G123" i="6"/>
  <c r="H123" i="6" s="1"/>
  <c r="H209" i="6" s="1"/>
  <c r="H122" i="6"/>
  <c r="G122" i="6"/>
  <c r="G121" i="6"/>
  <c r="H121" i="6" s="1"/>
  <c r="H120" i="6"/>
  <c r="G120" i="6"/>
  <c r="G119" i="6"/>
  <c r="G118" i="6"/>
  <c r="G117" i="6"/>
  <c r="G116" i="6"/>
  <c r="G115" i="6"/>
  <c r="G114" i="6"/>
  <c r="H114" i="6" s="1"/>
  <c r="G113" i="6"/>
  <c r="G112" i="6"/>
  <c r="H112" i="6" s="1"/>
  <c r="G111" i="6"/>
  <c r="G110" i="6"/>
  <c r="G109" i="6"/>
  <c r="H109" i="6" s="1"/>
  <c r="G108" i="6"/>
  <c r="G107" i="6"/>
  <c r="H107" i="6" s="1"/>
  <c r="G106" i="6"/>
  <c r="H105" i="6"/>
  <c r="G105" i="6"/>
  <c r="G104" i="6"/>
  <c r="G103" i="6"/>
  <c r="H103" i="6" s="1"/>
  <c r="G102" i="6"/>
  <c r="G101" i="6"/>
  <c r="H101" i="6" s="1"/>
  <c r="G100" i="6"/>
  <c r="E99" i="6"/>
  <c r="H99" i="6" s="1"/>
  <c r="G98" i="6"/>
  <c r="H97" i="6"/>
  <c r="G97" i="6"/>
  <c r="G96" i="6"/>
  <c r="H95" i="6"/>
  <c r="E95" i="6"/>
  <c r="G95" i="6" s="1"/>
  <c r="G94" i="6"/>
  <c r="H93" i="6"/>
  <c r="G93" i="6"/>
  <c r="G92" i="6"/>
  <c r="G91" i="6"/>
  <c r="H91" i="6" s="1"/>
  <c r="G90" i="6"/>
  <c r="G89" i="6"/>
  <c r="H89" i="6" s="1"/>
  <c r="G88" i="6"/>
  <c r="G87" i="6"/>
  <c r="H87" i="6" s="1"/>
  <c r="G86" i="6"/>
  <c r="H85" i="6"/>
  <c r="G85" i="6"/>
  <c r="G84" i="6"/>
  <c r="G83" i="6"/>
  <c r="H83" i="6" s="1"/>
  <c r="G82" i="6"/>
  <c r="G81" i="6"/>
  <c r="H81" i="6" s="1"/>
  <c r="H214" i="6" s="1"/>
  <c r="J214" i="6" s="1"/>
  <c r="G80" i="6"/>
  <c r="G79" i="6"/>
  <c r="H79" i="6" s="1"/>
  <c r="G78" i="6"/>
  <c r="H77" i="6"/>
  <c r="G77" i="6"/>
  <c r="G76" i="6"/>
  <c r="G75" i="6"/>
  <c r="H74" i="6"/>
  <c r="G74" i="6"/>
  <c r="E73" i="6"/>
  <c r="G73" i="6" s="1"/>
  <c r="D205" i="6" s="1"/>
  <c r="G72" i="6"/>
  <c r="G71" i="6"/>
  <c r="G70" i="6"/>
  <c r="H70" i="6" s="1"/>
  <c r="H69" i="6"/>
  <c r="G69" i="6"/>
  <c r="G68" i="6"/>
  <c r="H68" i="6" s="1"/>
  <c r="H67" i="6"/>
  <c r="G67" i="6"/>
  <c r="G66" i="6"/>
  <c r="G65" i="6"/>
  <c r="H64" i="6"/>
  <c r="G64" i="6"/>
  <c r="G63" i="6"/>
  <c r="G62" i="6"/>
  <c r="G61" i="6"/>
  <c r="E61" i="6"/>
  <c r="G60" i="6"/>
  <c r="G59" i="6"/>
  <c r="G58" i="6"/>
  <c r="G57" i="6"/>
  <c r="G56" i="6"/>
  <c r="G55" i="6"/>
  <c r="G54" i="6"/>
  <c r="G53" i="6"/>
  <c r="G52" i="6"/>
  <c r="H52" i="6" s="1"/>
  <c r="F51" i="6"/>
  <c r="G51" i="6" s="1"/>
  <c r="E50" i="6"/>
  <c r="G50" i="6" s="1"/>
  <c r="H49" i="6"/>
  <c r="G49" i="6"/>
  <c r="F48" i="6"/>
  <c r="G48" i="6" s="1"/>
  <c r="G47" i="6"/>
  <c r="G46" i="6"/>
  <c r="C46" i="6"/>
  <c r="G45" i="6"/>
  <c r="C45" i="6"/>
  <c r="G44" i="6"/>
  <c r="F43" i="6"/>
  <c r="G43" i="6" s="1"/>
  <c r="F42" i="6"/>
  <c r="G42" i="6" s="1"/>
  <c r="F41" i="6"/>
  <c r="G41" i="6" s="1"/>
  <c r="H41" i="6" s="1"/>
  <c r="H215" i="6" s="1"/>
  <c r="J215" i="6" s="1"/>
  <c r="G40" i="6"/>
  <c r="G39" i="6"/>
  <c r="G38" i="6"/>
  <c r="G37" i="6"/>
  <c r="E37" i="6"/>
  <c r="G36" i="6"/>
  <c r="H36" i="6" s="1"/>
  <c r="G35" i="6"/>
  <c r="G34" i="6"/>
  <c r="F33" i="6"/>
  <c r="G33" i="6" s="1"/>
  <c r="F32" i="6"/>
  <c r="G32" i="6" s="1"/>
  <c r="G29" i="6"/>
  <c r="H29" i="6" s="1"/>
  <c r="F28" i="6"/>
  <c r="G28" i="6" s="1"/>
  <c r="F27" i="6"/>
  <c r="G27" i="6" s="1"/>
  <c r="E26" i="6"/>
  <c r="G26" i="6" s="1"/>
  <c r="G25" i="6"/>
  <c r="H25" i="6" s="1"/>
  <c r="F24" i="6"/>
  <c r="G24" i="6" s="1"/>
  <c r="G23" i="6"/>
  <c r="H23" i="6" s="1"/>
  <c r="F22" i="6"/>
  <c r="G22" i="6" s="1"/>
  <c r="G21" i="6"/>
  <c r="F20" i="6"/>
  <c r="E20" i="6"/>
  <c r="G19" i="6"/>
  <c r="F18" i="6"/>
  <c r="G18" i="6" s="1"/>
  <c r="G17" i="6"/>
  <c r="F16" i="6"/>
  <c r="G16" i="6" s="1"/>
  <c r="F15" i="6"/>
  <c r="G15" i="6" s="1"/>
  <c r="F14" i="6"/>
  <c r="G14" i="6" s="1"/>
  <c r="F13" i="6"/>
  <c r="G13" i="6" s="1"/>
  <c r="E13" i="6"/>
  <c r="G12" i="6"/>
  <c r="H12" i="6" s="1"/>
  <c r="F11" i="6"/>
  <c r="G11" i="6" s="1"/>
  <c r="E11" i="6"/>
  <c r="G10" i="6"/>
  <c r="H10" i="6" s="1"/>
  <c r="F9" i="6"/>
  <c r="G9" i="6" s="1"/>
  <c r="E8" i="6"/>
  <c r="G8" i="6" s="1"/>
  <c r="H139" i="3"/>
  <c r="E32" i="5"/>
  <c r="C11" i="5"/>
  <c r="E32" i="4"/>
  <c r="E18" i="4"/>
  <c r="E19" i="4" s="1"/>
  <c r="C11" i="4"/>
  <c r="E9" i="4"/>
  <c r="E16" i="4" s="1"/>
  <c r="H151" i="3"/>
  <c r="J151" i="3" s="1"/>
  <c r="H150" i="3"/>
  <c r="J150" i="3" s="1"/>
  <c r="H149" i="3"/>
  <c r="J149" i="3" s="1"/>
  <c r="H148" i="3"/>
  <c r="J148" i="3" s="1"/>
  <c r="H147" i="3"/>
  <c r="J147" i="3" s="1"/>
  <c r="H146" i="3"/>
  <c r="J146" i="3" s="1"/>
  <c r="H145" i="3"/>
  <c r="J145" i="3" s="1"/>
  <c r="H144" i="3"/>
  <c r="J144" i="3" s="1"/>
  <c r="H143" i="3"/>
  <c r="J143" i="3" s="1"/>
  <c r="H141" i="3"/>
  <c r="J141" i="3" s="1"/>
  <c r="H138" i="3"/>
  <c r="J138" i="3" s="1"/>
  <c r="E126" i="3"/>
  <c r="M125" i="3"/>
  <c r="G125" i="3"/>
  <c r="M124" i="3"/>
  <c r="G124" i="3"/>
  <c r="M123" i="3"/>
  <c r="G123" i="3"/>
  <c r="M122" i="3"/>
  <c r="F122" i="3"/>
  <c r="G122" i="3" s="1"/>
  <c r="M121" i="3"/>
  <c r="F121" i="3"/>
  <c r="G121" i="3" s="1"/>
  <c r="M120" i="3"/>
  <c r="F120" i="3"/>
  <c r="G120" i="3" s="1"/>
  <c r="M119" i="3"/>
  <c r="F119" i="3"/>
  <c r="G119" i="3" s="1"/>
  <c r="M118" i="3"/>
  <c r="I118" i="3"/>
  <c r="H118" i="3"/>
  <c r="H126" i="3" s="1"/>
  <c r="G118" i="3"/>
  <c r="M117" i="3"/>
  <c r="G117" i="3"/>
  <c r="F117" i="3"/>
  <c r="M116" i="3"/>
  <c r="F116" i="3"/>
  <c r="G116" i="3" s="1"/>
  <c r="M115" i="3"/>
  <c r="F115" i="3"/>
  <c r="G115" i="3" s="1"/>
  <c r="M114" i="3"/>
  <c r="G114" i="3"/>
  <c r="M113" i="3"/>
  <c r="G113" i="3"/>
  <c r="M112" i="3"/>
  <c r="G112" i="3"/>
  <c r="M111" i="3"/>
  <c r="G111" i="3"/>
  <c r="M110" i="3"/>
  <c r="G110" i="3"/>
  <c r="M109" i="3"/>
  <c r="G109" i="3"/>
  <c r="M108" i="3"/>
  <c r="G108" i="3"/>
  <c r="M107" i="3"/>
  <c r="G107" i="3"/>
  <c r="M106" i="3"/>
  <c r="G106" i="3"/>
  <c r="M105" i="3"/>
  <c r="G105" i="3"/>
  <c r="M104" i="3"/>
  <c r="M103" i="3"/>
  <c r="M102" i="3"/>
  <c r="F102" i="3"/>
  <c r="G102" i="3" s="1"/>
  <c r="M101" i="3"/>
  <c r="F101" i="3"/>
  <c r="G101" i="3" s="1"/>
  <c r="M100" i="3"/>
  <c r="F100" i="3"/>
  <c r="G100" i="3" s="1"/>
  <c r="M99" i="3"/>
  <c r="G99" i="3"/>
  <c r="M98" i="3"/>
  <c r="G98" i="3"/>
  <c r="M97" i="3"/>
  <c r="G97" i="3"/>
  <c r="M96" i="3"/>
  <c r="F96" i="3"/>
  <c r="G96" i="3" s="1"/>
  <c r="M95" i="3"/>
  <c r="M94" i="3"/>
  <c r="E94" i="3"/>
  <c r="M93" i="3"/>
  <c r="G93" i="3"/>
  <c r="M92" i="3"/>
  <c r="M91" i="3"/>
  <c r="G91" i="3"/>
  <c r="M90" i="3"/>
  <c r="I90" i="3"/>
  <c r="H90" i="3"/>
  <c r="G90" i="3"/>
  <c r="M89" i="3"/>
  <c r="G89" i="3"/>
  <c r="M88" i="3"/>
  <c r="G88" i="3"/>
  <c r="M87" i="3"/>
  <c r="G87" i="3"/>
  <c r="M86" i="3"/>
  <c r="G86" i="3"/>
  <c r="M85" i="3"/>
  <c r="G85" i="3"/>
  <c r="M84" i="3"/>
  <c r="G84" i="3"/>
  <c r="M83" i="3"/>
  <c r="M82" i="3"/>
  <c r="G82" i="3"/>
  <c r="M81" i="3"/>
  <c r="G81" i="3"/>
  <c r="M80" i="3"/>
  <c r="I80" i="3"/>
  <c r="H80" i="3"/>
  <c r="G80" i="3"/>
  <c r="M79" i="3"/>
  <c r="G79" i="3"/>
  <c r="M78" i="3"/>
  <c r="I78" i="3"/>
  <c r="G78" i="3"/>
  <c r="H78" i="3" s="1"/>
  <c r="H140" i="3" s="1"/>
  <c r="J140" i="3" s="1"/>
  <c r="M77" i="3"/>
  <c r="G77" i="3"/>
  <c r="M76" i="3"/>
  <c r="M75" i="3"/>
  <c r="M74" i="3"/>
  <c r="G74" i="3"/>
  <c r="M73" i="3"/>
  <c r="G73" i="3"/>
  <c r="M72" i="3"/>
  <c r="I72" i="3"/>
  <c r="G72" i="3"/>
  <c r="H72" i="3" s="1"/>
  <c r="M71" i="3"/>
  <c r="M70" i="3"/>
  <c r="M69" i="3"/>
  <c r="G69" i="3"/>
  <c r="M68" i="3"/>
  <c r="M67" i="3"/>
  <c r="G67" i="3"/>
  <c r="M66" i="3"/>
  <c r="G66" i="3"/>
  <c r="M65" i="3"/>
  <c r="G65" i="3"/>
  <c r="M64" i="3"/>
  <c r="G64" i="3"/>
  <c r="M63" i="3"/>
  <c r="G63" i="3"/>
  <c r="M62" i="3"/>
  <c r="G62" i="3"/>
  <c r="M61" i="3"/>
  <c r="G61" i="3"/>
  <c r="M60" i="3"/>
  <c r="I60" i="3"/>
  <c r="F60" i="3"/>
  <c r="G60" i="3" s="1"/>
  <c r="H60" i="3" s="1"/>
  <c r="H142" i="3" s="1"/>
  <c r="J142" i="3" s="1"/>
  <c r="M59" i="3"/>
  <c r="I59" i="3"/>
  <c r="G59" i="3"/>
  <c r="H59" i="3" s="1"/>
  <c r="M58" i="3"/>
  <c r="G58" i="3"/>
  <c r="M57" i="3"/>
  <c r="G57" i="3"/>
  <c r="M56" i="3"/>
  <c r="G56" i="3"/>
  <c r="M55" i="3"/>
  <c r="I55" i="3"/>
  <c r="H55" i="3"/>
  <c r="G55" i="3"/>
  <c r="M54" i="3"/>
  <c r="G54" i="3"/>
  <c r="M53" i="3"/>
  <c r="G53" i="3"/>
  <c r="M52" i="3"/>
  <c r="M51" i="3"/>
  <c r="G51" i="3"/>
  <c r="M50" i="3"/>
  <c r="G50" i="3"/>
  <c r="M49" i="3"/>
  <c r="G49" i="3"/>
  <c r="M48" i="3"/>
  <c r="M47" i="3"/>
  <c r="G47" i="3"/>
  <c r="M46" i="3"/>
  <c r="G46" i="3"/>
  <c r="M45" i="3"/>
  <c r="G45" i="3"/>
  <c r="M44" i="3"/>
  <c r="G44" i="3"/>
  <c r="M43" i="3"/>
  <c r="F43" i="3"/>
  <c r="G43" i="3" s="1"/>
  <c r="M42" i="3"/>
  <c r="F42" i="3"/>
  <c r="G42" i="3" s="1"/>
  <c r="M41" i="3"/>
  <c r="G41" i="3"/>
  <c r="M40" i="3"/>
  <c r="G40" i="3"/>
  <c r="M39" i="3"/>
  <c r="G39" i="3"/>
  <c r="M38" i="3"/>
  <c r="G38" i="3"/>
  <c r="M37" i="3"/>
  <c r="G37" i="3"/>
  <c r="M36" i="3"/>
  <c r="G36" i="3"/>
  <c r="M35" i="3"/>
  <c r="G35" i="3"/>
  <c r="M34" i="3"/>
  <c r="I34" i="3"/>
  <c r="H34" i="3"/>
  <c r="G34" i="3"/>
  <c r="M33" i="3"/>
  <c r="G33" i="3"/>
  <c r="M32" i="3"/>
  <c r="M31" i="3"/>
  <c r="M30" i="3"/>
  <c r="M29" i="3"/>
  <c r="M28" i="3"/>
  <c r="M27" i="3"/>
  <c r="M26" i="3"/>
  <c r="M25" i="3"/>
  <c r="M24" i="3"/>
  <c r="M23" i="3"/>
  <c r="M22" i="3"/>
  <c r="M21" i="3"/>
  <c r="M20" i="3"/>
  <c r="E20" i="3"/>
  <c r="E130" i="3" s="1"/>
  <c r="M19" i="3"/>
  <c r="M18" i="3"/>
  <c r="I18" i="3"/>
  <c r="H18" i="3"/>
  <c r="H20" i="3" s="1"/>
  <c r="G18" i="3"/>
  <c r="M17" i="3"/>
  <c r="F17" i="3"/>
  <c r="G17" i="3" s="1"/>
  <c r="M16" i="3"/>
  <c r="F16" i="3"/>
  <c r="G16" i="3" s="1"/>
  <c r="M15" i="3"/>
  <c r="F15" i="3"/>
  <c r="G15" i="3" s="1"/>
  <c r="M14" i="3"/>
  <c r="F14" i="3"/>
  <c r="G14" i="3" s="1"/>
  <c r="M13" i="3"/>
  <c r="F13" i="3"/>
  <c r="G13" i="3" s="1"/>
  <c r="M12" i="3"/>
  <c r="F12" i="3"/>
  <c r="G12" i="3" s="1"/>
  <c r="M11" i="3"/>
  <c r="F11" i="3"/>
  <c r="G11" i="3" s="1"/>
  <c r="M10" i="3"/>
  <c r="G10" i="3"/>
  <c r="F10" i="3"/>
  <c r="M9" i="3"/>
  <c r="F9" i="3"/>
  <c r="G9" i="3" s="1"/>
  <c r="M8" i="3"/>
  <c r="L8" i="3"/>
  <c r="F8" i="3"/>
  <c r="G8" i="3" s="1"/>
  <c r="H221" i="2"/>
  <c r="J221" i="2" s="1"/>
  <c r="H220" i="2"/>
  <c r="J220" i="2" s="1"/>
  <c r="H219" i="2"/>
  <c r="J219" i="2" s="1"/>
  <c r="H218" i="2"/>
  <c r="J218" i="2" s="1"/>
  <c r="H217" i="2"/>
  <c r="J217" i="2" s="1"/>
  <c r="H215" i="2"/>
  <c r="J215" i="2" s="1"/>
  <c r="H214" i="2"/>
  <c r="J214" i="2" s="1"/>
  <c r="H213" i="2"/>
  <c r="J213" i="2" s="1"/>
  <c r="H208" i="2"/>
  <c r="J208" i="2" s="1"/>
  <c r="H207" i="2"/>
  <c r="J207" i="2" s="1"/>
  <c r="E195" i="2"/>
  <c r="M194" i="2"/>
  <c r="N194" i="2" s="1"/>
  <c r="O194" i="2" s="1"/>
  <c r="G194" i="2"/>
  <c r="O193" i="2"/>
  <c r="M193" i="2"/>
  <c r="N193" i="2" s="1"/>
  <c r="G193" i="2"/>
  <c r="F193" i="2"/>
  <c r="N192" i="2"/>
  <c r="O192" i="2" s="1"/>
  <c r="M192" i="2"/>
  <c r="G192" i="2"/>
  <c r="N191" i="2"/>
  <c r="O191" i="2" s="1"/>
  <c r="M191" i="2"/>
  <c r="G191" i="2"/>
  <c r="E191" i="2"/>
  <c r="M190" i="2"/>
  <c r="N190" i="2" s="1"/>
  <c r="O190" i="2" s="1"/>
  <c r="G190" i="2"/>
  <c r="M189" i="2"/>
  <c r="N189" i="2" s="1"/>
  <c r="O189" i="2" s="1"/>
  <c r="G189" i="2"/>
  <c r="M188" i="2"/>
  <c r="N188" i="2" s="1"/>
  <c r="O188" i="2" s="1"/>
  <c r="G188" i="2"/>
  <c r="M187" i="2"/>
  <c r="N187" i="2" s="1"/>
  <c r="O187" i="2" s="1"/>
  <c r="G187" i="2"/>
  <c r="M186" i="2"/>
  <c r="N186" i="2" s="1"/>
  <c r="O186" i="2" s="1"/>
  <c r="G186" i="2"/>
  <c r="O185" i="2"/>
  <c r="M185" i="2"/>
  <c r="N185" i="2" s="1"/>
  <c r="G185" i="2"/>
  <c r="M184" i="2"/>
  <c r="N184" i="2" s="1"/>
  <c r="O184" i="2" s="1"/>
  <c r="G184" i="2"/>
  <c r="O183" i="2"/>
  <c r="M183" i="2"/>
  <c r="N183" i="2" s="1"/>
  <c r="G183" i="2"/>
  <c r="M182" i="2"/>
  <c r="N182" i="2" s="1"/>
  <c r="O182" i="2" s="1"/>
  <c r="G182" i="2"/>
  <c r="M181" i="2"/>
  <c r="N181" i="2" s="1"/>
  <c r="O181" i="2" s="1"/>
  <c r="G181" i="2"/>
  <c r="M180" i="2"/>
  <c r="N180" i="2" s="1"/>
  <c r="O180" i="2" s="1"/>
  <c r="G180" i="2"/>
  <c r="M179" i="2"/>
  <c r="N179" i="2" s="1"/>
  <c r="O179" i="2" s="1"/>
  <c r="G179" i="2"/>
  <c r="M178" i="2"/>
  <c r="N178" i="2" s="1"/>
  <c r="O178" i="2" s="1"/>
  <c r="G178" i="2"/>
  <c r="F178" i="2"/>
  <c r="N177" i="2"/>
  <c r="O177" i="2" s="1"/>
  <c r="M177" i="2"/>
  <c r="G177" i="2"/>
  <c r="F177" i="2"/>
  <c r="M176" i="2"/>
  <c r="N176" i="2" s="1"/>
  <c r="O176" i="2" s="1"/>
  <c r="G176" i="2"/>
  <c r="F176" i="2"/>
  <c r="N175" i="2"/>
  <c r="O175" i="2" s="1"/>
  <c r="M175" i="2"/>
  <c r="G175" i="2"/>
  <c r="F175" i="2"/>
  <c r="M174" i="2"/>
  <c r="N174" i="2" s="1"/>
  <c r="O174" i="2" s="1"/>
  <c r="G174" i="2"/>
  <c r="M173" i="2"/>
  <c r="N173" i="2" s="1"/>
  <c r="O173" i="2" s="1"/>
  <c r="G173" i="2"/>
  <c r="F173" i="2"/>
  <c r="M172" i="2"/>
  <c r="N172" i="2" s="1"/>
  <c r="O172" i="2" s="1"/>
  <c r="G172" i="2"/>
  <c r="N171" i="2"/>
  <c r="O171" i="2" s="1"/>
  <c r="M171" i="2"/>
  <c r="G171" i="2"/>
  <c r="N170" i="2"/>
  <c r="O170" i="2" s="1"/>
  <c r="M170" i="2"/>
  <c r="G170" i="2"/>
  <c r="M169" i="2"/>
  <c r="N169" i="2" s="1"/>
  <c r="O169" i="2" s="1"/>
  <c r="G169" i="2"/>
  <c r="M168" i="2"/>
  <c r="N168" i="2" s="1"/>
  <c r="O168" i="2" s="1"/>
  <c r="G168" i="2"/>
  <c r="N167" i="2"/>
  <c r="O167" i="2" s="1"/>
  <c r="M167" i="2"/>
  <c r="G167" i="2"/>
  <c r="N166" i="2"/>
  <c r="O166" i="2" s="1"/>
  <c r="M166" i="2"/>
  <c r="G166" i="2"/>
  <c r="M165" i="2"/>
  <c r="N165" i="2" s="1"/>
  <c r="O165" i="2" s="1"/>
  <c r="G165" i="2"/>
  <c r="M164" i="2"/>
  <c r="N164" i="2" s="1"/>
  <c r="O164" i="2" s="1"/>
  <c r="G164" i="2"/>
  <c r="N163" i="2"/>
  <c r="O163" i="2" s="1"/>
  <c r="M163" i="2"/>
  <c r="G163" i="2"/>
  <c r="N162" i="2"/>
  <c r="O162" i="2" s="1"/>
  <c r="M162" i="2"/>
  <c r="G162" i="2"/>
  <c r="F162" i="2"/>
  <c r="O161" i="2"/>
  <c r="M161" i="2"/>
  <c r="N161" i="2" s="1"/>
  <c r="G161" i="2"/>
  <c r="H161" i="2" s="1"/>
  <c r="H195" i="2" s="1"/>
  <c r="M160" i="2"/>
  <c r="N160" i="2" s="1"/>
  <c r="O160" i="2" s="1"/>
  <c r="G160" i="2"/>
  <c r="M159" i="2"/>
  <c r="N159" i="2" s="1"/>
  <c r="O159" i="2" s="1"/>
  <c r="G159" i="2"/>
  <c r="N158" i="2"/>
  <c r="O158" i="2" s="1"/>
  <c r="M158" i="2"/>
  <c r="G158" i="2"/>
  <c r="F158" i="2"/>
  <c r="M157" i="2"/>
  <c r="N157" i="2" s="1"/>
  <c r="O157" i="2" s="1"/>
  <c r="G157" i="2"/>
  <c r="F157" i="2"/>
  <c r="N156" i="2"/>
  <c r="O156" i="2" s="1"/>
  <c r="M156" i="2"/>
  <c r="G156" i="2"/>
  <c r="M155" i="2"/>
  <c r="N155" i="2" s="1"/>
  <c r="O155" i="2" s="1"/>
  <c r="G155" i="2"/>
  <c r="M154" i="2"/>
  <c r="N154" i="2" s="1"/>
  <c r="O154" i="2" s="1"/>
  <c r="G154" i="2"/>
  <c r="N153" i="2"/>
  <c r="O153" i="2" s="1"/>
  <c r="M153" i="2"/>
  <c r="G153" i="2"/>
  <c r="F153" i="2"/>
  <c r="O152" i="2"/>
  <c r="M152" i="2"/>
  <c r="N152" i="2" s="1"/>
  <c r="G152" i="2"/>
  <c r="F152" i="2"/>
  <c r="N151" i="2"/>
  <c r="O151" i="2" s="1"/>
  <c r="M151" i="2"/>
  <c r="G151" i="2"/>
  <c r="F151" i="2"/>
  <c r="O150" i="2"/>
  <c r="M150" i="2"/>
  <c r="N150" i="2" s="1"/>
  <c r="G150" i="2"/>
  <c r="F150" i="2"/>
  <c r="N149" i="2"/>
  <c r="O149" i="2" s="1"/>
  <c r="M149" i="2"/>
  <c r="G149" i="2"/>
  <c r="N148" i="2"/>
  <c r="O148" i="2" s="1"/>
  <c r="M148" i="2"/>
  <c r="G148" i="2"/>
  <c r="M147" i="2"/>
  <c r="N147" i="2" s="1"/>
  <c r="O147" i="2" s="1"/>
  <c r="G147" i="2"/>
  <c r="M146" i="2"/>
  <c r="N146" i="2" s="1"/>
  <c r="O146" i="2" s="1"/>
  <c r="N145" i="2"/>
  <c r="O145" i="2" s="1"/>
  <c r="M145" i="2"/>
  <c r="G145" i="2"/>
  <c r="M144" i="2"/>
  <c r="N144" i="2" s="1"/>
  <c r="O144" i="2" s="1"/>
  <c r="G144" i="2"/>
  <c r="M143" i="2"/>
  <c r="N143" i="2" s="1"/>
  <c r="O143" i="2" s="1"/>
  <c r="G143" i="2"/>
  <c r="N142" i="2"/>
  <c r="O142" i="2" s="1"/>
  <c r="M142" i="2"/>
  <c r="G142" i="2"/>
  <c r="N141" i="2"/>
  <c r="O141" i="2" s="1"/>
  <c r="M141" i="2"/>
  <c r="G141" i="2"/>
  <c r="M140" i="2"/>
  <c r="N140" i="2" s="1"/>
  <c r="O140" i="2" s="1"/>
  <c r="G140" i="2"/>
  <c r="M139" i="2"/>
  <c r="N139" i="2" s="1"/>
  <c r="O139" i="2" s="1"/>
  <c r="G139" i="2"/>
  <c r="N138" i="2"/>
  <c r="O138" i="2" s="1"/>
  <c r="M138" i="2"/>
  <c r="G138" i="2"/>
  <c r="N137" i="2"/>
  <c r="O137" i="2" s="1"/>
  <c r="M137" i="2"/>
  <c r="G137" i="2"/>
  <c r="M136" i="2"/>
  <c r="N136" i="2" s="1"/>
  <c r="O136" i="2" s="1"/>
  <c r="G136" i="2"/>
  <c r="M135" i="2"/>
  <c r="N135" i="2" s="1"/>
  <c r="O135" i="2" s="1"/>
  <c r="G135" i="2"/>
  <c r="N134" i="2"/>
  <c r="O134" i="2" s="1"/>
  <c r="M134" i="2"/>
  <c r="G134" i="2"/>
  <c r="N133" i="2"/>
  <c r="O133" i="2" s="1"/>
  <c r="M133" i="2"/>
  <c r="G133" i="2"/>
  <c r="M132" i="2"/>
  <c r="N132" i="2" s="1"/>
  <c r="O132" i="2" s="1"/>
  <c r="G132" i="2"/>
  <c r="M131" i="2"/>
  <c r="N131" i="2" s="1"/>
  <c r="O131" i="2" s="1"/>
  <c r="H131" i="2"/>
  <c r="G131" i="2"/>
  <c r="M130" i="2"/>
  <c r="N130" i="2" s="1"/>
  <c r="O130" i="2" s="1"/>
  <c r="G130" i="2"/>
  <c r="H130" i="2" s="1"/>
  <c r="N129" i="2"/>
  <c r="O129" i="2" s="1"/>
  <c r="M129" i="2"/>
  <c r="G129" i="2"/>
  <c r="H129" i="2" s="1"/>
  <c r="O128" i="2"/>
  <c r="M128" i="2"/>
  <c r="N128" i="2" s="1"/>
  <c r="G128" i="2"/>
  <c r="M127" i="2"/>
  <c r="N127" i="2" s="1"/>
  <c r="O127" i="2" s="1"/>
  <c r="G127" i="2"/>
  <c r="H127" i="2" s="1"/>
  <c r="N126" i="2"/>
  <c r="O126" i="2" s="1"/>
  <c r="M126" i="2"/>
  <c r="G126" i="2"/>
  <c r="H126" i="2" s="1"/>
  <c r="O125" i="2"/>
  <c r="M125" i="2"/>
  <c r="N125" i="2" s="1"/>
  <c r="G125" i="2"/>
  <c r="H125" i="2" s="1"/>
  <c r="N124" i="2"/>
  <c r="O124" i="2" s="1"/>
  <c r="M124" i="2"/>
  <c r="G124" i="2"/>
  <c r="H124" i="2" s="1"/>
  <c r="M123" i="2"/>
  <c r="N123" i="2" s="1"/>
  <c r="O123" i="2" s="1"/>
  <c r="G123" i="2"/>
  <c r="H123" i="2" s="1"/>
  <c r="M122" i="2"/>
  <c r="N122" i="2" s="1"/>
  <c r="O122" i="2" s="1"/>
  <c r="H122" i="2"/>
  <c r="G122" i="2"/>
  <c r="M121" i="2"/>
  <c r="N121" i="2" s="1"/>
  <c r="O121" i="2" s="1"/>
  <c r="G121" i="2"/>
  <c r="H121" i="2" s="1"/>
  <c r="N120" i="2"/>
  <c r="O120" i="2" s="1"/>
  <c r="M120" i="2"/>
  <c r="G120" i="2"/>
  <c r="H120" i="2" s="1"/>
  <c r="M119" i="2"/>
  <c r="N119" i="2" s="1"/>
  <c r="O119" i="2" s="1"/>
  <c r="G119" i="2"/>
  <c r="M118" i="2"/>
  <c r="N118" i="2" s="1"/>
  <c r="O118" i="2" s="1"/>
  <c r="G118" i="2"/>
  <c r="M117" i="2"/>
  <c r="N117" i="2" s="1"/>
  <c r="O117" i="2" s="1"/>
  <c r="G117" i="2"/>
  <c r="O116" i="2"/>
  <c r="M116" i="2"/>
  <c r="N116" i="2" s="1"/>
  <c r="G116" i="2"/>
  <c r="M115" i="2"/>
  <c r="N115" i="2" s="1"/>
  <c r="O115" i="2" s="1"/>
  <c r="G115" i="2"/>
  <c r="O114" i="2"/>
  <c r="M114" i="2"/>
  <c r="N114" i="2" s="1"/>
  <c r="G114" i="2"/>
  <c r="H114" i="2" s="1"/>
  <c r="N113" i="2"/>
  <c r="O113" i="2" s="1"/>
  <c r="M113" i="2"/>
  <c r="G113" i="2"/>
  <c r="M112" i="2"/>
  <c r="N112" i="2" s="1"/>
  <c r="O112" i="2" s="1"/>
  <c r="H112" i="2"/>
  <c r="G112" i="2"/>
  <c r="M111" i="2"/>
  <c r="N111" i="2" s="1"/>
  <c r="O111" i="2" s="1"/>
  <c r="G111" i="2"/>
  <c r="M110" i="2"/>
  <c r="N110" i="2" s="1"/>
  <c r="O110" i="2" s="1"/>
  <c r="G110" i="2"/>
  <c r="O109" i="2"/>
  <c r="M109" i="2"/>
  <c r="N109" i="2" s="1"/>
  <c r="G109" i="2"/>
  <c r="H109" i="2" s="1"/>
  <c r="N108" i="2"/>
  <c r="O108" i="2" s="1"/>
  <c r="M108" i="2"/>
  <c r="G108" i="2"/>
  <c r="N107" i="2"/>
  <c r="O107" i="2" s="1"/>
  <c r="M107" i="2"/>
  <c r="G107" i="2"/>
  <c r="H107" i="2" s="1"/>
  <c r="M106" i="2"/>
  <c r="N106" i="2" s="1"/>
  <c r="O106" i="2" s="1"/>
  <c r="G106" i="2"/>
  <c r="O105" i="2"/>
  <c r="M105" i="2"/>
  <c r="N105" i="2" s="1"/>
  <c r="G105" i="2"/>
  <c r="H105" i="2" s="1"/>
  <c r="N104" i="2"/>
  <c r="O104" i="2" s="1"/>
  <c r="M104" i="2"/>
  <c r="G104" i="2"/>
  <c r="M103" i="2"/>
  <c r="N103" i="2" s="1"/>
  <c r="O103" i="2" s="1"/>
  <c r="H103" i="2"/>
  <c r="G103" i="2"/>
  <c r="M102" i="2"/>
  <c r="N102" i="2" s="1"/>
  <c r="O102" i="2" s="1"/>
  <c r="G102" i="2"/>
  <c r="M101" i="2"/>
  <c r="N101" i="2" s="1"/>
  <c r="O101" i="2" s="1"/>
  <c r="G101" i="2"/>
  <c r="H101" i="2" s="1"/>
  <c r="N100" i="2"/>
  <c r="O100" i="2" s="1"/>
  <c r="M100" i="2"/>
  <c r="G100" i="2"/>
  <c r="N99" i="2"/>
  <c r="O99" i="2" s="1"/>
  <c r="M99" i="2"/>
  <c r="H99" i="2"/>
  <c r="E99" i="2"/>
  <c r="G99" i="2" s="1"/>
  <c r="M98" i="2"/>
  <c r="N98" i="2" s="1"/>
  <c r="O98" i="2" s="1"/>
  <c r="G98" i="2"/>
  <c r="M97" i="2"/>
  <c r="N97" i="2" s="1"/>
  <c r="O97" i="2" s="1"/>
  <c r="H97" i="2"/>
  <c r="G97" i="2"/>
  <c r="M96" i="2"/>
  <c r="N96" i="2" s="1"/>
  <c r="O96" i="2" s="1"/>
  <c r="G96" i="2"/>
  <c r="M95" i="2"/>
  <c r="N95" i="2" s="1"/>
  <c r="O95" i="2" s="1"/>
  <c r="E95" i="2"/>
  <c r="M94" i="2"/>
  <c r="N94" i="2" s="1"/>
  <c r="O94" i="2" s="1"/>
  <c r="G94" i="2"/>
  <c r="O93" i="2"/>
  <c r="M93" i="2"/>
  <c r="N93" i="2" s="1"/>
  <c r="G93" i="2"/>
  <c r="H93" i="2" s="1"/>
  <c r="N92" i="2"/>
  <c r="O92" i="2" s="1"/>
  <c r="M92" i="2"/>
  <c r="G92" i="2"/>
  <c r="M91" i="2"/>
  <c r="N91" i="2" s="1"/>
  <c r="O91" i="2" s="1"/>
  <c r="H91" i="2"/>
  <c r="G91" i="2"/>
  <c r="M90" i="2"/>
  <c r="N90" i="2" s="1"/>
  <c r="O90" i="2" s="1"/>
  <c r="G90" i="2"/>
  <c r="M89" i="2"/>
  <c r="N89" i="2" s="1"/>
  <c r="O89" i="2" s="1"/>
  <c r="G89" i="2"/>
  <c r="H89" i="2" s="1"/>
  <c r="N88" i="2"/>
  <c r="O88" i="2" s="1"/>
  <c r="M88" i="2"/>
  <c r="G88" i="2"/>
  <c r="N87" i="2"/>
  <c r="O87" i="2" s="1"/>
  <c r="M87" i="2"/>
  <c r="G87" i="2"/>
  <c r="H87" i="2" s="1"/>
  <c r="M86" i="2"/>
  <c r="N86" i="2" s="1"/>
  <c r="O86" i="2" s="1"/>
  <c r="G86" i="2"/>
  <c r="M85" i="2"/>
  <c r="N85" i="2" s="1"/>
  <c r="O85" i="2" s="1"/>
  <c r="G85" i="2"/>
  <c r="H85" i="2" s="1"/>
  <c r="N84" i="2"/>
  <c r="O84" i="2" s="1"/>
  <c r="M84" i="2"/>
  <c r="G84" i="2"/>
  <c r="N83" i="2"/>
  <c r="O83" i="2" s="1"/>
  <c r="M83" i="2"/>
  <c r="G83" i="2"/>
  <c r="H83" i="2" s="1"/>
  <c r="O82" i="2"/>
  <c r="M82" i="2"/>
  <c r="N82" i="2" s="1"/>
  <c r="G82" i="2"/>
  <c r="M81" i="2"/>
  <c r="N81" i="2" s="1"/>
  <c r="O81" i="2" s="1"/>
  <c r="G81" i="2"/>
  <c r="H81" i="2" s="1"/>
  <c r="N80" i="2"/>
  <c r="O80" i="2" s="1"/>
  <c r="M80" i="2"/>
  <c r="G80" i="2"/>
  <c r="N79" i="2"/>
  <c r="O79" i="2" s="1"/>
  <c r="M79" i="2"/>
  <c r="G79" i="2"/>
  <c r="H79" i="2" s="1"/>
  <c r="M78" i="2"/>
  <c r="N78" i="2" s="1"/>
  <c r="O78" i="2" s="1"/>
  <c r="G78" i="2"/>
  <c r="M77" i="2"/>
  <c r="N77" i="2" s="1"/>
  <c r="O77" i="2" s="1"/>
  <c r="G77" i="2"/>
  <c r="H77" i="2" s="1"/>
  <c r="N76" i="2"/>
  <c r="O76" i="2" s="1"/>
  <c r="M76" i="2"/>
  <c r="G76" i="2"/>
  <c r="N75" i="2"/>
  <c r="O75" i="2" s="1"/>
  <c r="M75" i="2"/>
  <c r="G75" i="2"/>
  <c r="M74" i="2"/>
  <c r="N74" i="2" s="1"/>
  <c r="O74" i="2" s="1"/>
  <c r="H74" i="2"/>
  <c r="G74" i="2"/>
  <c r="M73" i="2"/>
  <c r="N73" i="2" s="1"/>
  <c r="O73" i="2" s="1"/>
  <c r="E73" i="2"/>
  <c r="G73" i="2" s="1"/>
  <c r="N72" i="2"/>
  <c r="O72" i="2" s="1"/>
  <c r="M72" i="2"/>
  <c r="G72" i="2"/>
  <c r="N71" i="2"/>
  <c r="O71" i="2" s="1"/>
  <c r="M71" i="2"/>
  <c r="G71" i="2"/>
  <c r="M70" i="2"/>
  <c r="N70" i="2" s="1"/>
  <c r="O70" i="2" s="1"/>
  <c r="H70" i="2"/>
  <c r="G70" i="2"/>
  <c r="M69" i="2"/>
  <c r="N69" i="2" s="1"/>
  <c r="O69" i="2" s="1"/>
  <c r="G69" i="2"/>
  <c r="H69" i="2" s="1"/>
  <c r="M68" i="2"/>
  <c r="N68" i="2" s="1"/>
  <c r="O68" i="2" s="1"/>
  <c r="H68" i="2"/>
  <c r="G68" i="2"/>
  <c r="M67" i="2"/>
  <c r="N67" i="2" s="1"/>
  <c r="O67" i="2" s="1"/>
  <c r="G67" i="2"/>
  <c r="H67" i="2" s="1"/>
  <c r="N66" i="2"/>
  <c r="O66" i="2" s="1"/>
  <c r="M66" i="2"/>
  <c r="G66" i="2"/>
  <c r="M65" i="2"/>
  <c r="N65" i="2" s="1"/>
  <c r="O65" i="2" s="1"/>
  <c r="G65" i="2"/>
  <c r="M64" i="2"/>
  <c r="N64" i="2" s="1"/>
  <c r="O64" i="2" s="1"/>
  <c r="H64" i="2"/>
  <c r="G64" i="2"/>
  <c r="M63" i="2"/>
  <c r="N63" i="2" s="1"/>
  <c r="O63" i="2" s="1"/>
  <c r="G63" i="2"/>
  <c r="M62" i="2"/>
  <c r="N62" i="2" s="1"/>
  <c r="O62" i="2" s="1"/>
  <c r="G62" i="2"/>
  <c r="M61" i="2"/>
  <c r="N61" i="2" s="1"/>
  <c r="O61" i="2" s="1"/>
  <c r="E61" i="2"/>
  <c r="G61" i="2" s="1"/>
  <c r="M60" i="2"/>
  <c r="N60" i="2" s="1"/>
  <c r="O60" i="2" s="1"/>
  <c r="G60" i="2"/>
  <c r="N59" i="2"/>
  <c r="O59" i="2" s="1"/>
  <c r="M59" i="2"/>
  <c r="G59" i="2"/>
  <c r="N58" i="2"/>
  <c r="O58" i="2" s="1"/>
  <c r="M58" i="2"/>
  <c r="G58" i="2"/>
  <c r="M57" i="2"/>
  <c r="N57" i="2" s="1"/>
  <c r="O57" i="2" s="1"/>
  <c r="G57" i="2"/>
  <c r="M56" i="2"/>
  <c r="N56" i="2" s="1"/>
  <c r="O56" i="2" s="1"/>
  <c r="G56" i="2"/>
  <c r="N55" i="2"/>
  <c r="O55" i="2" s="1"/>
  <c r="M55" i="2"/>
  <c r="G55" i="2"/>
  <c r="N54" i="2"/>
  <c r="O54" i="2" s="1"/>
  <c r="M54" i="2"/>
  <c r="G54" i="2"/>
  <c r="M53" i="2"/>
  <c r="N53" i="2" s="1"/>
  <c r="O53" i="2" s="1"/>
  <c r="G53" i="2"/>
  <c r="M52" i="2"/>
  <c r="N52" i="2" s="1"/>
  <c r="O52" i="2" s="1"/>
  <c r="H52" i="2"/>
  <c r="G52" i="2"/>
  <c r="M51" i="2"/>
  <c r="N51" i="2" s="1"/>
  <c r="O51" i="2" s="1"/>
  <c r="F51" i="2"/>
  <c r="G51" i="2" s="1"/>
  <c r="N50" i="2"/>
  <c r="O50" i="2" s="1"/>
  <c r="M50" i="2"/>
  <c r="G50" i="2"/>
  <c r="E50" i="2"/>
  <c r="O49" i="2"/>
  <c r="M49" i="2"/>
  <c r="N49" i="2" s="1"/>
  <c r="G49" i="2"/>
  <c r="H49" i="2" s="1"/>
  <c r="M48" i="2"/>
  <c r="N48" i="2" s="1"/>
  <c r="O48" i="2" s="1"/>
  <c r="G48" i="2"/>
  <c r="F48" i="2"/>
  <c r="M47" i="2"/>
  <c r="N47" i="2" s="1"/>
  <c r="O47" i="2" s="1"/>
  <c r="G47" i="2"/>
  <c r="G46" i="2"/>
  <c r="C46" i="2"/>
  <c r="M46" i="2" s="1"/>
  <c r="G45" i="2"/>
  <c r="C45" i="2"/>
  <c r="M45" i="2" s="1"/>
  <c r="M44" i="2"/>
  <c r="N44" i="2" s="1"/>
  <c r="O44" i="2" s="1"/>
  <c r="G44" i="2"/>
  <c r="O43" i="2"/>
  <c r="M43" i="2"/>
  <c r="N43" i="2" s="1"/>
  <c r="G43" i="2"/>
  <c r="F43" i="2"/>
  <c r="N42" i="2"/>
  <c r="O42" i="2" s="1"/>
  <c r="M42" i="2"/>
  <c r="G42" i="2"/>
  <c r="F42" i="2"/>
  <c r="M41" i="2"/>
  <c r="N41" i="2" s="1"/>
  <c r="O41" i="2" s="1"/>
  <c r="F41" i="2"/>
  <c r="G41" i="2" s="1"/>
  <c r="H41" i="2" s="1"/>
  <c r="H212" i="2" s="1"/>
  <c r="J212" i="2" s="1"/>
  <c r="M40" i="2"/>
  <c r="N40" i="2" s="1"/>
  <c r="O40" i="2" s="1"/>
  <c r="G40" i="2"/>
  <c r="O39" i="2"/>
  <c r="M39" i="2"/>
  <c r="N39" i="2" s="1"/>
  <c r="G39" i="2"/>
  <c r="M38" i="2"/>
  <c r="N38" i="2" s="1"/>
  <c r="O38" i="2" s="1"/>
  <c r="G38" i="2"/>
  <c r="O37" i="2"/>
  <c r="M37" i="2"/>
  <c r="N37" i="2" s="1"/>
  <c r="G37" i="2"/>
  <c r="E37" i="2"/>
  <c r="E146" i="2" s="1"/>
  <c r="G146" i="2" s="1"/>
  <c r="N36" i="2"/>
  <c r="O36" i="2" s="1"/>
  <c r="M36" i="2"/>
  <c r="G36" i="2"/>
  <c r="H36" i="2" s="1"/>
  <c r="M35" i="2"/>
  <c r="N35" i="2" s="1"/>
  <c r="O35" i="2" s="1"/>
  <c r="G35" i="2"/>
  <c r="M34" i="2"/>
  <c r="N34" i="2" s="1"/>
  <c r="O34" i="2" s="1"/>
  <c r="G34" i="2"/>
  <c r="M33" i="2"/>
  <c r="N33" i="2" s="1"/>
  <c r="O33" i="2" s="1"/>
  <c r="F33" i="2"/>
  <c r="G33" i="2" s="1"/>
  <c r="N32" i="2"/>
  <c r="O32" i="2" s="1"/>
  <c r="M32" i="2"/>
  <c r="F32" i="2"/>
  <c r="G32" i="2" s="1"/>
  <c r="M31" i="2"/>
  <c r="N31" i="2" s="1"/>
  <c r="O31" i="2" s="1"/>
  <c r="N30" i="2"/>
  <c r="O30" i="2" s="1"/>
  <c r="M30" i="2"/>
  <c r="M29" i="2"/>
  <c r="N29" i="2" s="1"/>
  <c r="O29" i="2" s="1"/>
  <c r="G29" i="2"/>
  <c r="H29" i="2" s="1"/>
  <c r="N28" i="2"/>
  <c r="O28" i="2" s="1"/>
  <c r="M28" i="2"/>
  <c r="F28" i="2"/>
  <c r="G28" i="2" s="1"/>
  <c r="N27" i="2"/>
  <c r="O27" i="2" s="1"/>
  <c r="M27" i="2"/>
  <c r="F27" i="2"/>
  <c r="G27" i="2" s="1"/>
  <c r="O26" i="2"/>
  <c r="M26" i="2"/>
  <c r="N26" i="2" s="1"/>
  <c r="G26" i="2"/>
  <c r="E26" i="2"/>
  <c r="N25" i="2"/>
  <c r="O25" i="2" s="1"/>
  <c r="M25" i="2"/>
  <c r="G25" i="2"/>
  <c r="H25" i="2" s="1"/>
  <c r="M24" i="2"/>
  <c r="N24" i="2" s="1"/>
  <c r="O24" i="2" s="1"/>
  <c r="F24" i="2"/>
  <c r="G24" i="2" s="1"/>
  <c r="M23" i="2"/>
  <c r="N23" i="2" s="1"/>
  <c r="O23" i="2" s="1"/>
  <c r="G23" i="2"/>
  <c r="H23" i="2" s="1"/>
  <c r="M22" i="2"/>
  <c r="N22" i="2" s="1"/>
  <c r="O22" i="2" s="1"/>
  <c r="F22" i="2"/>
  <c r="G22" i="2" s="1"/>
  <c r="M21" i="2"/>
  <c r="N21" i="2" s="1"/>
  <c r="O21" i="2" s="1"/>
  <c r="G21" i="2"/>
  <c r="M20" i="2"/>
  <c r="N20" i="2" s="1"/>
  <c r="O20" i="2" s="1"/>
  <c r="G20" i="2"/>
  <c r="F20" i="2"/>
  <c r="E20" i="2"/>
  <c r="M19" i="2"/>
  <c r="N19" i="2" s="1"/>
  <c r="O19" i="2" s="1"/>
  <c r="G19" i="2"/>
  <c r="M18" i="2"/>
  <c r="N18" i="2" s="1"/>
  <c r="O18" i="2" s="1"/>
  <c r="F18" i="2"/>
  <c r="G18" i="2" s="1"/>
  <c r="M17" i="2"/>
  <c r="N17" i="2" s="1"/>
  <c r="O17" i="2" s="1"/>
  <c r="G17" i="2"/>
  <c r="M16" i="2"/>
  <c r="N16" i="2" s="1"/>
  <c r="O16" i="2" s="1"/>
  <c r="F16" i="2"/>
  <c r="G16" i="2" s="1"/>
  <c r="M15" i="2"/>
  <c r="N15" i="2" s="1"/>
  <c r="O15" i="2" s="1"/>
  <c r="G15" i="2"/>
  <c r="F15" i="2"/>
  <c r="M14" i="2"/>
  <c r="N14" i="2" s="1"/>
  <c r="O14" i="2" s="1"/>
  <c r="F14" i="2"/>
  <c r="G14" i="2" s="1"/>
  <c r="N13" i="2"/>
  <c r="O13" i="2" s="1"/>
  <c r="M13" i="2"/>
  <c r="F13" i="2"/>
  <c r="E13" i="2"/>
  <c r="G13" i="2" s="1"/>
  <c r="M12" i="2"/>
  <c r="N12" i="2" s="1"/>
  <c r="O12" i="2" s="1"/>
  <c r="G12" i="2"/>
  <c r="H12" i="2" s="1"/>
  <c r="N11" i="2"/>
  <c r="O11" i="2" s="1"/>
  <c r="M11" i="2"/>
  <c r="F11" i="2"/>
  <c r="E11" i="2"/>
  <c r="O10" i="2"/>
  <c r="M10" i="2"/>
  <c r="N10" i="2" s="1"/>
  <c r="G10" i="2"/>
  <c r="H10" i="2" s="1"/>
  <c r="N9" i="2"/>
  <c r="O9" i="2" s="1"/>
  <c r="M9" i="2"/>
  <c r="G9" i="2"/>
  <c r="F9" i="2"/>
  <c r="M8" i="2"/>
  <c r="N8" i="2" s="1"/>
  <c r="O8" i="2" s="1"/>
  <c r="E8" i="2"/>
  <c r="G8" i="2" s="1"/>
  <c r="S69" i="1"/>
  <c r="L69" i="1"/>
  <c r="O37" i="1"/>
  <c r="N37" i="1"/>
  <c r="O33" i="1"/>
  <c r="N33" i="1"/>
  <c r="K33" i="1"/>
  <c r="O32" i="1"/>
  <c r="N32" i="1"/>
  <c r="O25" i="1"/>
  <c r="N25" i="1"/>
  <c r="O6" i="1"/>
  <c r="N6" i="1"/>
  <c r="N7" i="1" s="1"/>
  <c r="O4" i="1"/>
  <c r="N4" i="1"/>
  <c r="N5" i="1" s="1"/>
  <c r="V57" i="1" l="1"/>
  <c r="W57" i="1" s="1"/>
  <c r="X57" i="1" s="1"/>
  <c r="G94" i="3"/>
  <c r="G126" i="3"/>
  <c r="J213" i="6"/>
  <c r="J216" i="6"/>
  <c r="J217" i="6"/>
  <c r="J218" i="6"/>
  <c r="J219" i="6"/>
  <c r="V7" i="1"/>
  <c r="W7" i="1" s="1"/>
  <c r="V31" i="1"/>
  <c r="W31" i="1" s="1"/>
  <c r="V63" i="1"/>
  <c r="W63" i="1" s="1"/>
  <c r="X63" i="1" s="1"/>
  <c r="J221" i="6"/>
  <c r="V50" i="1"/>
  <c r="W50" i="1" s="1"/>
  <c r="X50" i="1" s="1"/>
  <c r="V66" i="1"/>
  <c r="W66" i="1" s="1"/>
  <c r="X66" i="1" s="1"/>
  <c r="V12" i="1"/>
  <c r="V35" i="1"/>
  <c r="W35" i="1" s="1"/>
  <c r="V62" i="1"/>
  <c r="W62" i="1" s="1"/>
  <c r="X62" i="1" s="1"/>
  <c r="J209" i="6"/>
  <c r="J220" i="6"/>
  <c r="V19" i="1"/>
  <c r="W19" i="1" s="1"/>
  <c r="V23" i="1"/>
  <c r="W23" i="1" s="1"/>
  <c r="V60" i="1"/>
  <c r="W60" i="1" s="1"/>
  <c r="X60" i="1" s="1"/>
  <c r="W12" i="1"/>
  <c r="J207" i="6"/>
  <c r="V10" i="1"/>
  <c r="W10" i="1" s="1"/>
  <c r="V13" i="1"/>
  <c r="W13" i="1" s="1"/>
  <c r="V25" i="1"/>
  <c r="W25" i="1" s="1"/>
  <c r="V37" i="1"/>
  <c r="W37" i="1" s="1"/>
  <c r="W48" i="1"/>
  <c r="X48" i="1" s="1"/>
  <c r="V51" i="1"/>
  <c r="W51" i="1" s="1"/>
  <c r="X51" i="1" s="1"/>
  <c r="V54" i="1"/>
  <c r="W54" i="1" s="1"/>
  <c r="X54" i="1" s="1"/>
  <c r="V61" i="1"/>
  <c r="W61" i="1" s="1"/>
  <c r="X61" i="1" s="1"/>
  <c r="V64" i="1"/>
  <c r="W64" i="1" s="1"/>
  <c r="X64" i="1" s="1"/>
  <c r="V67" i="1"/>
  <c r="W67" i="1" s="1"/>
  <c r="X67" i="1" s="1"/>
  <c r="W47" i="1"/>
  <c r="X47" i="1" s="1"/>
  <c r="N45" i="2"/>
  <c r="O45" i="2" s="1"/>
  <c r="F18" i="4"/>
  <c r="F23" i="4" s="1"/>
  <c r="G20" i="6"/>
  <c r="V6" i="1"/>
  <c r="W6" i="1" s="1"/>
  <c r="V11" i="1"/>
  <c r="W11" i="1" s="1"/>
  <c r="V15" i="1"/>
  <c r="W15" i="1" s="1"/>
  <c r="V27" i="1"/>
  <c r="W27" i="1" s="1"/>
  <c r="V32" i="1"/>
  <c r="W32" i="1" s="1"/>
  <c r="V39" i="1"/>
  <c r="W39" i="1" s="1"/>
  <c r="V49" i="1"/>
  <c r="W49" i="1" s="1"/>
  <c r="X49" i="1" s="1"/>
  <c r="V52" i="1"/>
  <c r="W52" i="1" s="1"/>
  <c r="X52" i="1" s="1"/>
  <c r="V55" i="1"/>
  <c r="W55" i="1" s="1"/>
  <c r="X55" i="1" s="1"/>
  <c r="V58" i="1"/>
  <c r="W58" i="1" s="1"/>
  <c r="X58" i="1" s="1"/>
  <c r="V65" i="1"/>
  <c r="W65" i="1" s="1"/>
  <c r="X65" i="1" s="1"/>
  <c r="V5" i="1"/>
  <c r="W5" i="1" s="1"/>
  <c r="V17" i="1"/>
  <c r="W17" i="1" s="1"/>
  <c r="V29" i="1"/>
  <c r="W29" i="1" s="1"/>
  <c r="V41" i="1"/>
  <c r="W41" i="1" s="1"/>
  <c r="V53" i="1"/>
  <c r="W53" i="1" s="1"/>
  <c r="X53" i="1" s="1"/>
  <c r="V56" i="1"/>
  <c r="W56" i="1" s="1"/>
  <c r="X56" i="1" s="1"/>
  <c r="V59" i="1"/>
  <c r="W59" i="1" s="1"/>
  <c r="X59" i="1" s="1"/>
  <c r="H30" i="2"/>
  <c r="L4" i="1"/>
  <c r="D205" i="2"/>
  <c r="K22" i="1"/>
  <c r="H212" i="6"/>
  <c r="J212" i="6" s="1"/>
  <c r="H146" i="6"/>
  <c r="G30" i="6"/>
  <c r="H210" i="6"/>
  <c r="J210" i="6" s="1"/>
  <c r="H30" i="6"/>
  <c r="H211" i="6"/>
  <c r="J211" i="6" s="1"/>
  <c r="E30" i="6"/>
  <c r="E199" i="6" s="1"/>
  <c r="G191" i="6"/>
  <c r="G195" i="6" s="1"/>
  <c r="G99" i="6"/>
  <c r="H195" i="6"/>
  <c r="E20" i="4"/>
  <c r="E21" i="4" s="1"/>
  <c r="E22" i="4" s="1"/>
  <c r="E25" i="4" s="1"/>
  <c r="E12" i="4"/>
  <c r="H206" i="2"/>
  <c r="N46" i="2"/>
  <c r="O46" i="2" s="1"/>
  <c r="L27" i="1"/>
  <c r="L12" i="1"/>
  <c r="L19" i="1"/>
  <c r="L5" i="1"/>
  <c r="X5" i="1" s="1"/>
  <c r="K35" i="1"/>
  <c r="K32" i="1"/>
  <c r="L15" i="1"/>
  <c r="L10" i="1"/>
  <c r="K41" i="1"/>
  <c r="K9" i="1"/>
  <c r="K11" i="1"/>
  <c r="K13" i="1"/>
  <c r="K17" i="1"/>
  <c r="K21" i="1"/>
  <c r="L22" i="1"/>
  <c r="S22" i="1" s="1"/>
  <c r="L25" i="1"/>
  <c r="K29" i="1"/>
  <c r="L32" i="1"/>
  <c r="L33" i="1"/>
  <c r="X33" i="1" s="1"/>
  <c r="L35" i="1"/>
  <c r="S35" i="1" s="1"/>
  <c r="G195" i="2"/>
  <c r="L41" i="1"/>
  <c r="K31" i="1"/>
  <c r="K27" i="1"/>
  <c r="K25" i="1"/>
  <c r="E30" i="2"/>
  <c r="E199" i="2" s="1"/>
  <c r="K6" i="1"/>
  <c r="K7" i="1"/>
  <c r="L9" i="1"/>
  <c r="X9" i="1" s="1"/>
  <c r="L11" i="1"/>
  <c r="L13" i="1"/>
  <c r="L17" i="1"/>
  <c r="L21" i="1"/>
  <c r="S21" i="1" s="1"/>
  <c r="K23" i="1"/>
  <c r="L29" i="1"/>
  <c r="K37" i="1"/>
  <c r="K39" i="1"/>
  <c r="H210" i="2"/>
  <c r="J210" i="2" s="1"/>
  <c r="K4" i="1"/>
  <c r="K5" i="1"/>
  <c r="L6" i="1"/>
  <c r="X6" i="1" s="1"/>
  <c r="L7" i="1"/>
  <c r="K10" i="1"/>
  <c r="K12" i="1"/>
  <c r="K15" i="1"/>
  <c r="K19" i="1"/>
  <c r="L23" i="1"/>
  <c r="S23" i="1" s="1"/>
  <c r="L31" i="1"/>
  <c r="X31" i="1" s="1"/>
  <c r="L37" i="1"/>
  <c r="L39" i="1"/>
  <c r="G11" i="2"/>
  <c r="G30" i="2" s="1"/>
  <c r="H211" i="2"/>
  <c r="J211" i="2" s="1"/>
  <c r="H95" i="2"/>
  <c r="H146" i="2" s="1"/>
  <c r="H199" i="2" s="1"/>
  <c r="G95" i="2"/>
  <c r="H216" i="2"/>
  <c r="J216" i="2" s="1"/>
  <c r="H137" i="3"/>
  <c r="E137" i="3"/>
  <c r="J139" i="3"/>
  <c r="E136" i="3"/>
  <c r="E138" i="3" s="1"/>
  <c r="G20" i="3"/>
  <c r="G130" i="3" s="1"/>
  <c r="H94" i="3"/>
  <c r="H130" i="3" s="1"/>
  <c r="X19" i="1" l="1"/>
  <c r="X7" i="1"/>
  <c r="E9" i="7"/>
  <c r="X22" i="1"/>
  <c r="X39" i="1"/>
  <c r="X15" i="1"/>
  <c r="X37" i="1"/>
  <c r="X41" i="1"/>
  <c r="X17" i="1"/>
  <c r="X32" i="1"/>
  <c r="X11" i="1"/>
  <c r="X25" i="1"/>
  <c r="X35" i="1"/>
  <c r="E9" i="8"/>
  <c r="X4" i="1"/>
  <c r="E9" i="5"/>
  <c r="X27" i="1"/>
  <c r="X70" i="1"/>
  <c r="X13" i="1"/>
  <c r="X12" i="1"/>
  <c r="X29" i="1"/>
  <c r="X21" i="1"/>
  <c r="X23" i="1"/>
  <c r="X10" i="1"/>
  <c r="L43" i="1"/>
  <c r="L72" i="1" s="1"/>
  <c r="G199" i="2"/>
  <c r="G199" i="6"/>
  <c r="H199" i="6"/>
  <c r="H206" i="6"/>
  <c r="K130" i="3"/>
  <c r="J137" i="3"/>
  <c r="J152" i="3" s="1"/>
  <c r="H152" i="3"/>
  <c r="H154" i="3" s="1"/>
  <c r="S43" i="1"/>
  <c r="S72" i="1" s="1"/>
  <c r="H209" i="2"/>
  <c r="J209" i="2" s="1"/>
  <c r="J206" i="2"/>
  <c r="K152" i="3" l="1"/>
  <c r="E16" i="7"/>
  <c r="H9" i="7"/>
  <c r="E12" i="7"/>
  <c r="E16" i="8"/>
  <c r="H9" i="8"/>
  <c r="E12" i="8"/>
  <c r="X43" i="1"/>
  <c r="X72" i="1" s="1"/>
  <c r="E18" i="7"/>
  <c r="E18" i="8"/>
  <c r="E18" i="5"/>
  <c r="E16" i="5"/>
  <c r="H9" i="5"/>
  <c r="E12" i="5"/>
  <c r="H12" i="5" s="1"/>
  <c r="J222" i="2"/>
  <c r="H222" i="6"/>
  <c r="H224" i="6" s="1"/>
  <c r="J206" i="6"/>
  <c r="J222" i="6" s="1"/>
  <c r="H222" i="2"/>
  <c r="H224" i="2" s="1"/>
  <c r="X75" i="1" l="1"/>
  <c r="F18" i="8"/>
  <c r="F23" i="8" s="1"/>
  <c r="H18" i="8"/>
  <c r="L18" i="8" s="1"/>
  <c r="E19" i="8"/>
  <c r="H16" i="5"/>
  <c r="E20" i="5"/>
  <c r="H16" i="8"/>
  <c r="E20" i="8"/>
  <c r="H16" i="7"/>
  <c r="E20" i="7"/>
  <c r="E19" i="5"/>
  <c r="H19" i="5" s="1"/>
  <c r="H18" i="5"/>
  <c r="J18" i="5" s="1"/>
  <c r="F18" i="5"/>
  <c r="F23" i="5" s="1"/>
  <c r="I23" i="5" s="1"/>
  <c r="H12" i="8"/>
  <c r="H12" i="7"/>
  <c r="K222" i="6"/>
  <c r="F18" i="7"/>
  <c r="F23" i="7" s="1"/>
  <c r="I23" i="7" s="1"/>
  <c r="H18" i="7"/>
  <c r="E19" i="7"/>
  <c r="K222" i="2"/>
  <c r="H19" i="7" l="1"/>
  <c r="I23" i="8"/>
  <c r="E21" i="8"/>
  <c r="H20" i="8"/>
  <c r="H19" i="8"/>
  <c r="J18" i="7"/>
  <c r="J18" i="8"/>
  <c r="L12" i="8"/>
  <c r="E21" i="7"/>
  <c r="H20" i="7"/>
  <c r="E21" i="5"/>
  <c r="H20" i="5"/>
  <c r="E22" i="7" l="1"/>
  <c r="H21" i="7"/>
  <c r="E22" i="5"/>
  <c r="H21" i="5"/>
  <c r="E22" i="8"/>
  <c r="H21" i="8"/>
  <c r="E25" i="7" l="1"/>
  <c r="H22" i="7"/>
  <c r="E25" i="8"/>
  <c r="H22" i="8"/>
  <c r="E25" i="5"/>
  <c r="H25" i="5" s="1"/>
  <c r="H22" i="5"/>
  <c r="H25" i="7" l="1"/>
  <c r="H25" i="8"/>
</calcChain>
</file>

<file path=xl/sharedStrings.xml><?xml version="1.0" encoding="utf-8"?>
<sst xmlns="http://schemas.openxmlformats.org/spreadsheetml/2006/main" count="1464" uniqueCount="430">
  <si>
    <t>Work Order</t>
  </si>
  <si>
    <t>AWEC-63 Response</t>
  </si>
  <si>
    <t>AWEC-65 Response</t>
  </si>
  <si>
    <t>Note:</t>
  </si>
  <si>
    <t>Funding Project #</t>
  </si>
  <si>
    <t>Brief Summary</t>
  </si>
  <si>
    <t>Is project in service? AWEC-62 Response</t>
  </si>
  <si>
    <t>Removal Cost Estimate (Approved Budget)</t>
  </si>
  <si>
    <t>Removal Cost Estimate (Working Version)</t>
  </si>
  <si>
    <t>Amount/Cost of Assets Retired</t>
  </si>
  <si>
    <t>Cascade Prop. In Service (2020 GRC)</t>
  </si>
  <si>
    <t>2020 GRC Cost</t>
  </si>
  <si>
    <t>2019 GRC Cost</t>
  </si>
  <si>
    <t>Major Addition?</t>
  </si>
  <si>
    <t>AWEC Proposed Pro Forma</t>
  </si>
  <si>
    <t>Wallula Gate</t>
  </si>
  <si>
    <t xml:space="preserve">The Wallula Gate Project includes installing a new gate station at the southernmost point of the Company’s Attalia pipeline.  The current feed to the Attalia line is to the far north and is undersized to handle the largest load on the line at the southern end.  This new gate station and HP pipeline will bring a new feed and HP pipe closer to the large loads in the southern system.  </t>
  </si>
  <si>
    <t>No</t>
  </si>
  <si>
    <t>N/A</t>
  </si>
  <si>
    <t xml:space="preserve">See FP-302596. </t>
  </si>
  <si>
    <t>Book cost to be retired not calculated yet.</t>
  </si>
  <si>
    <t>Walla Walla Gate</t>
  </si>
  <si>
    <t xml:space="preserve">The Walla Walla Gate Station Project is a reinforcement project designed to eliminate the need for the district to bypass during cold weather events and to address the supply issues presented by the ongoing growth in the southern area of Walla Walla.  events.  This area is the outer edge of the Walla Walla distribution system, farthest from existing high-pressure pipelines and regulation.  </t>
  </si>
  <si>
    <t>See FP-306998.</t>
  </si>
  <si>
    <t>Walla Walla 6" Distribution</t>
  </si>
  <si>
    <t xml:space="preserve">The Walla Walla 6” Distribution Project is needed to reinforce the existing 4” gas main that has reached maximum capacity based on current models and historic gas usage.  The project includes installing approximately 1,800 feet of new 6” gas main to loop with the 4” main.  </t>
  </si>
  <si>
    <t>Yes</t>
  </si>
  <si>
    <t>Mount Vernon Reg Station</t>
  </si>
  <si>
    <t>The Mount Vernon Reg Station Project includes replacement and relocation of two existing pressure regulation stations and metering equipment in Anacortes, Washington.  The replacement of these stations is necessary due to equipment maintenance issues, accessibility of the stations, and the existing facilities being undersized for the increased load in the area.</t>
  </si>
  <si>
    <t>Gibralter 4" PE Main</t>
  </si>
  <si>
    <t>The Gibraltar 4” PE Project includes installing approximately 2,800 feet of 4” PE main.  The existing 2” steel main is undersized for the area and represents a bottleneck in the system that will be resolved by increasing the pipe size in this area.</t>
  </si>
  <si>
    <t>Othello Gate</t>
  </si>
  <si>
    <t xml:space="preserve">The Othello Gate Station Project includes upgrading the gate station equipment to accommodate the increase in the NWP Othello lateral pipe and pressure.  These upgrades are required due to insufficient capacity in the lateral and at the gate station to accommodate increased industrial load and overall historical flows. </t>
  </si>
  <si>
    <t>See FP-318987</t>
  </si>
  <si>
    <t>Bellingham 8" HP</t>
  </si>
  <si>
    <t>The Bellingham 8” HP Project involved relocating the existing 10” HP main attached to the Bellingham State Street Bridge due to the City of Bellingham rebuilding the State Street Bridge.  The project was started in early 2019, and the project was completed in January 2020.</t>
  </si>
  <si>
    <t>Kennewick Odorizer</t>
  </si>
  <si>
    <t>Replacing a vintage odorizer with obsolete parts with a new odorizer that performs correctly and can be safely maintained.  Kennewick</t>
  </si>
  <si>
    <t>Moses Lake Reinforcement</t>
  </si>
  <si>
    <t xml:space="preserve">The Moses Lake 4” PE project includes installing approximately 1,800 feet of new 4” PE pipe to loop the northwestern Moses Lake system and improving the pressures to above design criteria during peak usage.  This system reinforcement will also improve capacity to allow for ongoing growth in this area of Moses Lake.  </t>
  </si>
  <si>
    <t>Arlington Gate</t>
  </si>
  <si>
    <t xml:space="preserve">The Arlington Gate Project includes upgrading the existing Arlington Gate station, taking over regulation from NWP, and upgrading the outlet pipe from the station to meet current winter capacities and to accommodate increased gas load in the Arlington system.  </t>
  </si>
  <si>
    <t>Not part of AWEC-62</t>
  </si>
  <si>
    <t>See FP-300233</t>
  </si>
  <si>
    <t>Bremerton Office</t>
  </si>
  <si>
    <t>The Bremerton Office Project includes remodeling the existing district office located at 6313 Kitsap Way, Bremerton, Washington, 98312.  The office remodel is necessary to accommodate added district staff and to reconfigure the outdated space to better meet the current needs of the district operations.</t>
  </si>
  <si>
    <t>Aberdeen HP</t>
  </si>
  <si>
    <t>The Aberdeen 6” HP Project includes installing two miles of 6” HP steel pipe that will provide a second feed to the City of Aberdeen. This project will increase capacity of the Aberdeen system to meet current winter capacity constraints and enable future expansion    near the Aberdeen Port.</t>
  </si>
  <si>
    <t>Bremerton Reg Station</t>
  </si>
  <si>
    <t xml:space="preserve">Bremerton Reg Station Project includes installing one new regulator station to eliminate five smaller regulator stations that are difficult to access and maintain and have a history of leaks. </t>
  </si>
  <si>
    <t>Richland Odorizer</t>
  </si>
  <si>
    <r>
      <t xml:space="preserve">Replacing a vintage odorizer with obsolete parts with a new odorizer that performs correctly and can be safely maintained.  Richland </t>
    </r>
    <r>
      <rPr>
        <b/>
        <sz val="12"/>
        <color rgb="FFC00000"/>
        <rFont val="Times New Roman"/>
        <family val="1"/>
      </rPr>
      <t>[Project cancelled.]</t>
    </r>
  </si>
  <si>
    <t>N/A Project Cancelled</t>
  </si>
  <si>
    <t>Total  Major Projects</t>
  </si>
  <si>
    <t>Growth Capital</t>
  </si>
  <si>
    <t>FP-101194-Reg Station Growth Washingotn</t>
  </si>
  <si>
    <t>n/a</t>
  </si>
  <si>
    <t>FP-101210 Gas Meters-Total Company CNGC</t>
  </si>
  <si>
    <t>FP-317628 MAIN-GROWTH-WALLA WALLA DISTRICT</t>
  </si>
  <si>
    <t>FP-317630 SERV-GROWTH-WALLA WALLA DISTRICT</t>
  </si>
  <si>
    <t>FP-317632 MAIN-GROWTH-WENATCHEE DISTRICT</t>
  </si>
  <si>
    <t>FP-317634 SERV-GROWTH-WENATCHEE DISTRICT</t>
  </si>
  <si>
    <t>FP-317636 MAIN-GROWTH-YAKIMA DISTRICT</t>
  </si>
  <si>
    <t>FP-317638 SERV-GROWTH-YAKIMA DISTRICT</t>
  </si>
  <si>
    <t>FP-317640 MAIN-GROWTH-ABERDEEN DISTRICT</t>
  </si>
  <si>
    <t>FP-317642 SERV-GROWTH-ABERDEEN DISTRICT</t>
  </si>
  <si>
    <t>FP-317644-MAIN-GROWTH-BELLINGHAM DISTRICT</t>
  </si>
  <si>
    <t>FP-317646 SERV-GROWTH-BELLINGHAM DISTRICT</t>
  </si>
  <si>
    <t>FP-317648-MAIN-GROWTH-BREMERTON DISTRICT</t>
  </si>
  <si>
    <t>FP-317650 SERV-GROWTH-BREMERTON DISTRICT</t>
  </si>
  <si>
    <t>FP-317652 MAIN-GROWTH-LONGVIEW DISTRICT</t>
  </si>
  <si>
    <t>FP-317654 SERV-GROWTH-LONGVIEW DISTRICT</t>
  </si>
  <si>
    <t>FP-317656 MAIN-GROWTH-MT VERNON DISTRICT</t>
  </si>
  <si>
    <t>FP-317658 SERV-GROWTH-MT VERNON DISTRICT</t>
  </si>
  <si>
    <t>FP-317750 MAIN-GROWTH-KENNEWICK DISTRICT</t>
  </si>
  <si>
    <t>FP-317752 SERV-GROWTH-KENNEWICK DISTRICT</t>
  </si>
  <si>
    <t>FP-319072 GR; 6" HP&amp;PE;W.RICH; 1.7mi KEENE RD</t>
  </si>
  <si>
    <t>Total Growth Projects</t>
  </si>
  <si>
    <t>Grand Total</t>
  </si>
  <si>
    <t xml:space="preserve">           Cascade Natural Gas</t>
  </si>
  <si>
    <t xml:space="preserve"> Proposed Plant Additions</t>
  </si>
  <si>
    <t>12 Months ended December 31, 2019</t>
  </si>
  <si>
    <t>(A)</t>
  </si>
  <si>
    <t>(B)</t>
  </si>
  <si>
    <t>(C)</t>
  </si>
  <si>
    <t>(D)</t>
  </si>
  <si>
    <t>( E )</t>
  </si>
  <si>
    <t>(F)=(D)*( E )</t>
  </si>
  <si>
    <t>(G)</t>
  </si>
  <si>
    <t>(H)</t>
  </si>
  <si>
    <t>(I)</t>
  </si>
  <si>
    <t>Line No.</t>
  </si>
  <si>
    <t xml:space="preserve">Function            </t>
  </si>
  <si>
    <t xml:space="preserve">Funding Project - Description      </t>
  </si>
  <si>
    <t xml:space="preserve">Account No. </t>
  </si>
  <si>
    <t xml:space="preserve">2020 Total - The Company's budget and plant accounting software  </t>
  </si>
  <si>
    <t>WA Alloc</t>
  </si>
  <si>
    <t xml:space="preserve">WA                     </t>
  </si>
  <si>
    <t>Proposed Adjustment</t>
  </si>
  <si>
    <t>Notes</t>
  </si>
  <si>
    <t>Estimated In-Service Date</t>
  </si>
  <si>
    <t>Gas Intangible</t>
  </si>
  <si>
    <t>FP-101480 UG Implement Maximo Ph 1 CNG Direct</t>
  </si>
  <si>
    <t>FP-200663 UG-GIS Enhancements CNGC</t>
  </si>
  <si>
    <t>FP-302596 WALLULA GATE; GTN</t>
  </si>
  <si>
    <t>FP-302621 LV CUSTOMER WEB SITE - DIRECT</t>
  </si>
  <si>
    <t>FP-306998 SOUTH WALLA GATE-WILLIAMS COSTS</t>
  </si>
  <si>
    <t>FP-316019 UG GIS ESRI UPGRADE - CNG DIRECT</t>
  </si>
  <si>
    <t>FP-316047 UG GIS LANDBASE - CNG DIRECT COST</t>
  </si>
  <si>
    <t>FP-316102 UG-GIS Pipeline Inspection System</t>
  </si>
  <si>
    <t>FP-316182 UG 2018 CC&amp;B UPGRADE - CNG DIRECT</t>
  </si>
  <si>
    <t>FP-316269 UG WEBLOGIC FOR JDE - CNG DIRE</t>
  </si>
  <si>
    <t>FP-316284 GIS High Acc Trans Line Surv Enhanc</t>
  </si>
  <si>
    <t>FP-316289 PowerPlan Lease CNG</t>
  </si>
  <si>
    <t>FP-316361 UG 2018 SCADA ENHANCE-CNG DIRECT</t>
  </si>
  <si>
    <t>FP-316451 UG Purch RabMQ Software CNG Direct</t>
  </si>
  <si>
    <t>FP-317101 UG-JDEdwards AS400 to Oracle DB</t>
  </si>
  <si>
    <t>FP-317322 ARLINGTON GATE UPGR; WILLIAMS COSTS</t>
  </si>
  <si>
    <t>FP-317617 UG-Migrate Aligne CNG Direct</t>
  </si>
  <si>
    <t>FP-318808 GR-OTHELLO-GT-OTHELLO GATE NWP</t>
  </si>
  <si>
    <t>FP-318822 Impl myWorld Leak Survey at CNGC</t>
  </si>
  <si>
    <t>FP-318846 UG-Impl 2Ring Dashboard for CSC-CNG</t>
  </si>
  <si>
    <t>FP-318893 UG-Impl GIS Offline Mobile Maps-CNG</t>
  </si>
  <si>
    <t>FP-318987 GR-OTHELLO-NWP LAT FA COSTS</t>
  </si>
  <si>
    <t>Total Intangible Plant</t>
  </si>
  <si>
    <t>RESULTS OF OPERATIONS SUMMARY SHEET</t>
  </si>
  <si>
    <t>Gas Distribution</t>
  </si>
  <si>
    <t>FP-101163 Gas Work Equipment-CNGC</t>
  </si>
  <si>
    <t>FP-101164 IT Network Equipment-CNG</t>
  </si>
  <si>
    <t>FP-101191 - MAIN-REINFORCE-WASHINGTON</t>
  </si>
  <si>
    <t>FP-101192 - MAIN-RELO-REPL-WASHINGTON</t>
  </si>
  <si>
    <t>FP-101196 - R STA-RELO-REPL-WASHINGTON</t>
  </si>
  <si>
    <t>FP-101197 - SERV-GROWTH-WASHINGTON</t>
  </si>
  <si>
    <t>FP-101200 - IND M&amp;R-GROWTH-WASHINGTON</t>
  </si>
  <si>
    <t>FP-101201 - IND M&amp;R-REMOVE&amp;REPL-WASHINGTON</t>
  </si>
  <si>
    <t>FP-101215 Gas Vehicles-CNGC</t>
  </si>
  <si>
    <t>FP-101259 Gas Regulators-Total Company CNGC</t>
  </si>
  <si>
    <t>FP-101275 - SERV-RELO-REPL-WASHINGTON</t>
  </si>
  <si>
    <t>FP-200043 RPL 8" TRANSMISSION BELFAIR</t>
  </si>
  <si>
    <t>FP-200662 Personal Computers &amp; Peripherals</t>
  </si>
  <si>
    <t>FP-300233 - ARLINGTON 6" HP REINFORCEMENT</t>
  </si>
  <si>
    <t>FP-302369 - GB - GROUNDBED WASHINGTON</t>
  </si>
  <si>
    <t>FP-306980 ERT Replacement 2020</t>
  </si>
  <si>
    <t>FP-306988 - Walla Walla Mains High Press Steel</t>
  </si>
  <si>
    <t>FP-309960 Anacortes Upgrade</t>
  </si>
  <si>
    <t>FP-312009 - RP;R-130 (R-25) BURBANK</t>
  </si>
  <si>
    <t>FP-316027 C/M RPL; 2" HP; NOOKSACK; 732'</t>
  </si>
  <si>
    <t>C</t>
  </si>
  <si>
    <t>FP-316033 C/M RPL; 3" HP; ZILLAH; 873'</t>
  </si>
  <si>
    <t>FP-316034 - MAOP; 8" HP; OTHE; 11,500' W LEE RD</t>
  </si>
  <si>
    <t>FP-316035 C/M RPL; 4" HP; ARLINGTON; 4,700'</t>
  </si>
  <si>
    <t xml:space="preserve">FP-316043 MAOP; 8" HP; BELLINGHAM; 1,800' </t>
  </si>
  <si>
    <t>FP-316044 C/M RPL; 8" HP; BREMERTON; 7,373'</t>
  </si>
  <si>
    <t>FP-316046 - MAOP; 8" HP; YAKI; 4,500' YAKIMA RI</t>
  </si>
  <si>
    <t>FP-316146 RP; R-178 (R-137) FERNDALE</t>
  </si>
  <si>
    <t>FP-316403 CRM; 6" ST; TOPPENISH, 800'</t>
  </si>
  <si>
    <t>FP-316429 - RF; 6" HP; ABER; 12,500' BASICH BLV</t>
  </si>
  <si>
    <t>FP-316570 C/M RPL; 12" STL HP, LONG/KELSO PH4</t>
  </si>
  <si>
    <t>FP-316580 C/M RPL; 2,6,8" HP; ANACORTES; PH3</t>
  </si>
  <si>
    <t>FP-316586 - RP; R-187 ARLINGTON GATE</t>
  </si>
  <si>
    <t>FP-316587 - RF; WALLULA GATE; R-127 &amp; O-14</t>
  </si>
  <si>
    <t>FP-316589 RF; S WALLA GATE; R-4 &amp; O-2</t>
  </si>
  <si>
    <t>FP-316670 - RF; 12" HP; KENN; WALLULA HP LINE</t>
  </si>
  <si>
    <t>FP-316822 - RP; O-4(O-4) LAWR; DIRINJECT</t>
  </si>
  <si>
    <t>FP-316823 - RP; O-12(O-5) DEMI; DIRINJECT</t>
  </si>
  <si>
    <t>FP-316923 -C/M RPL 8" MARCH POINT LINE PHASE 2</t>
  </si>
  <si>
    <t>FP-317060 - FRL; 10" HP; BELL; 2900' STATEBRIDG</t>
  </si>
  <si>
    <t>FP-317519 RP; 2" ST; SHELTON; 7,034' PH 3 SEC</t>
  </si>
  <si>
    <t>FP-317528 RP; 3/4" SL; SHELTON; PH 3 SEC 1 SE</t>
  </si>
  <si>
    <t>FP-317535 GR; R-128 BURB;TIE-IN TO ATTAL</t>
  </si>
  <si>
    <t>FP-317609 GR; R-80 ABER; BASICH BLV</t>
  </si>
  <si>
    <t>FP-317629 MAIN-REPLACE-WALLA WALLA DISTRICT</t>
  </si>
  <si>
    <t>FP-317631 SERV-REPLACE-WALLA WALLA DISTRICT</t>
  </si>
  <si>
    <t>FP-317633 MAIN-REPLACE-WENATCHEE DISTRICT</t>
  </si>
  <si>
    <t>FP-317635 SERV-REPLACE-WENATCHEE DISTRICT</t>
  </si>
  <si>
    <t>FP-317637 MAIN-REPLACE-YAKIMA DISTRICT</t>
  </si>
  <si>
    <t>FP-317639 SERV-REPLACE-YAKIMA DISTRICT</t>
  </si>
  <si>
    <t>FP-317641 MAIN-REPLACE-ABERDEEN DISTRICT</t>
  </si>
  <si>
    <t>FP-317643 SERV-REPLACE-ABERDEEN DISTRICT</t>
  </si>
  <si>
    <t>FP-317645 MAIN-REPLACE-BELLINGHAM DISTRICT</t>
  </si>
  <si>
    <t>FP-317647 SERV-REPLACE-BELLINGHAM DISTRICT</t>
  </si>
  <si>
    <t>FP-317649 MAIN-REPLACE-BREMERTON DISTRICT</t>
  </si>
  <si>
    <t>FP-317651 SERV-REPLACE-BREMERTON DISTRICT</t>
  </si>
  <si>
    <t>FP-317653 MAIN-REPLACE-LONGVIEW DISTRICT</t>
  </si>
  <si>
    <t>FP-317655 SERV-REPLACE-LONGVIEW DISTRICT</t>
  </si>
  <si>
    <t>FP-317657 MAIN-REPLACE-MT VERNON DISTRICT</t>
  </si>
  <si>
    <t>FP-317659 SERV-REPLACE-MT VERNON DISTRICT</t>
  </si>
  <si>
    <t>FP-317744 Tools &amp; Minor Work Equip CNG WA</t>
  </si>
  <si>
    <t>FP-317751 MAIN-REPLACE-KENNEWICK DISTRICT</t>
  </si>
  <si>
    <t>FP-317753 SERV-REPLACE-KENNEWICK DISTRICT</t>
  </si>
  <si>
    <t>FP-318092 HPSS Replacements CNG WA</t>
  </si>
  <si>
    <t>FP-318186 Sys Safety &amp; Integ Main Repl CNG WA</t>
  </si>
  <si>
    <t>FP-318187 Sys Safety &amp; Integ Svcs Rpl CNG WA</t>
  </si>
  <si>
    <t>FP-318325 CRM, RP; 3/4" SL; ANACORT; PH 7 S 2</t>
  </si>
  <si>
    <t>FP-318482 RF; 4"; PE; Moses Lake 1,800'</t>
  </si>
  <si>
    <t>FP-318566 RP-Brem-R-Werener&amp;Twin View R-21</t>
  </si>
  <si>
    <t>FP-318588 RP-GIBRALT-4"PE2125'</t>
  </si>
  <si>
    <t>FP-318690 RF-Walla-1800' 6"S/6"PE Larch Ave</t>
  </si>
  <si>
    <t>FP-318742 RP-MTVE-R-N TEXAS RD R-47</t>
  </si>
  <si>
    <t>FP-318746 RF-WALLA-R-OLD MILTON HWY-2" STD</t>
  </si>
  <si>
    <t>FP-318747 RF-WALLA-R-PLAZA WAY-2" STD</t>
  </si>
  <si>
    <t>FP-318829 GR-OTHELLO-GT-OTHELLO GATE RS</t>
  </si>
  <si>
    <t>FP-319029 RP-MTVE-MTR-N TEXAS RD</t>
  </si>
  <si>
    <t xml:space="preserve">FP-319056 RP; O-TBD (O-08); RICH </t>
  </si>
  <si>
    <t xml:space="preserve">FP-319063 RP; O-TBD (O-03); KENN </t>
  </si>
  <si>
    <t>FP-319086 GR; 4"; PE; WRIC; 2946; PARA</t>
  </si>
  <si>
    <t>FP-319095 Odorizer site imprvmts Walla Walla</t>
  </si>
  <si>
    <t>FP-319099 Repl Fence R-1 Reg Stn Walla Walla</t>
  </si>
  <si>
    <t>FP-319106 C/M RPL; 8" HP; YAKIMA; PH2</t>
  </si>
  <si>
    <t>FP-319111 MAOP MAIN RPL CNG WA</t>
  </si>
  <si>
    <t>FP-319112 MAOP SERV RPL CNG WA</t>
  </si>
  <si>
    <t>FP-319168 Ext Main Noll Rd Poulsbo</t>
  </si>
  <si>
    <t>FP-319180 GR; 4" PE; LONG; 4,600' KELSO SCHOO</t>
  </si>
  <si>
    <t>FP-319193 MN,ILLAHEE PRESERVE,BREMERTON,WA</t>
  </si>
  <si>
    <t>FP-319209 GR; 4" HP; KALA; 2,500' SPENCER CRE</t>
  </si>
  <si>
    <t>FP-319238 MN,13559' SOUND VIEW,BREMERTON,WA</t>
  </si>
  <si>
    <t>FP-319247 RL;2"ST;YAKI;2,000'</t>
  </si>
  <si>
    <t>FP-319256 GR; 2" PE; PROS; 2,500'</t>
  </si>
  <si>
    <t>FP-319257 GR;4" SL; PROS; 1500 PATERSON RD</t>
  </si>
  <si>
    <t>Gas General</t>
  </si>
  <si>
    <t>FP-101204 - GP TRAN. VEHICLE - WASHINGTO</t>
  </si>
  <si>
    <t>FP-101288 Purchase calibration field kit</t>
  </si>
  <si>
    <t>FP-101413 REPLACE WAREHOUSE FENCE WALLA WALLA</t>
  </si>
  <si>
    <t>FP-306967 District Office Access Control Sys</t>
  </si>
  <si>
    <t>FP-316445 Toughbook Replacements-CNG</t>
  </si>
  <si>
    <t>FP-316832 Office Structure &amp; Eq-Kennewick GO</t>
  </si>
  <si>
    <t>FP-316915 Pur replacement display devices</t>
  </si>
  <si>
    <t>FP-317290 Building remodel for Bellingham Dis</t>
  </si>
  <si>
    <t>FP-317291 - Roof replacement/Parking lot - Bell</t>
  </si>
  <si>
    <t>FP-317387 MGP site restoration</t>
  </si>
  <si>
    <t>FP-318192 Fixed Network Equipment-CNG</t>
  </si>
  <si>
    <t>FP-318197 Gas SCADA Equipment-CNG</t>
  </si>
  <si>
    <t>FP-318317 Sensit PMD Trainer</t>
  </si>
  <si>
    <t>FP-318319 Sensit GLT Trainer</t>
  </si>
  <si>
    <t>FP-318352 Bremerton District Office Remodel</t>
  </si>
  <si>
    <t>FP-318706 Repl Cisco VoIP Telephone-CNG</t>
  </si>
  <si>
    <t>FP-318797 Instl District Strge Fclty Kelso</t>
  </si>
  <si>
    <t>FP-318801 Instl Asphalt in Storage Area Kelso</t>
  </si>
  <si>
    <t>FP-318889 New Transfer Prover</t>
  </si>
  <si>
    <t>FP-318904 Transfer Prover Upgrade Bellingham</t>
  </si>
  <si>
    <t>FP-318914 Transfer Prover upgrade Longview</t>
  </si>
  <si>
    <t>FP-318918 Transfer Prover Upgrade Kennewick</t>
  </si>
  <si>
    <t>FP-318957 Two Meter Shop Table Lifts</t>
  </si>
  <si>
    <t>FP-318958 Meter Shop Leak Tester</t>
  </si>
  <si>
    <t>FP-318959 Clamp on Check Meter</t>
  </si>
  <si>
    <t>FP-319025 Auto Floor Scrubber</t>
  </si>
  <si>
    <t>FP-319043 Mueller Equipment</t>
  </si>
  <si>
    <t>FP-319044 CONST SERV - NEW BLDG ADD - MT VERN</t>
  </si>
  <si>
    <t>FP-319045 TAP TRUCK HYDRAULIC SYSTEM</t>
  </si>
  <si>
    <t xml:space="preserve">FP-319048 Mueller Equipment </t>
  </si>
  <si>
    <t xml:space="preserve">FP-319052 BUILDING UPGARDES </t>
  </si>
  <si>
    <t>FP-319053 NEW WELDER YAK FAB SHOP</t>
  </si>
  <si>
    <t>FP-319090 Replace Shop Roof Walla Walla</t>
  </si>
  <si>
    <t>FP-319091 Repl Asphalt Park Lot Walla Walla</t>
  </si>
  <si>
    <t>FP-319092 Replace Roof Old Barn Walla Walla</t>
  </si>
  <si>
    <t>FP-319093 Rplc Fence 324 Rose St Walla Walla</t>
  </si>
  <si>
    <t>FP-319094 Instl Electronic Gate Walla Walla</t>
  </si>
  <si>
    <t>FP-319098 Rplc Ovrhd Shop Door Walla Walla</t>
  </si>
  <si>
    <t>FP-319100 Purch Threading Machine Walla Walla</t>
  </si>
  <si>
    <t>FP-319101 Pur Xtndble Squze Tool Walla Walla</t>
  </si>
  <si>
    <t>FP-319102 Purch Storage Cabinet Walla Walla</t>
  </si>
  <si>
    <t>FP-319120 Instl Cement Floor Barn Walla Walla</t>
  </si>
  <si>
    <t>FP-319132 Purch Swamp Cooler Wld Shp Wla Wla</t>
  </si>
  <si>
    <t>FP-319143 Purch 2 Squeeze Tools Walla Walla</t>
  </si>
  <si>
    <t>FP-319146  OFFICE REMODEL</t>
  </si>
  <si>
    <t>FP-319147 Purchase Air Compressor Walla Walla</t>
  </si>
  <si>
    <t>FP-319284  12" Mueller Shell Cutter and Stoppe</t>
  </si>
  <si>
    <t>FP-319289  PURCHASE FUME EXTRACTOR BREMERTON</t>
  </si>
  <si>
    <t>Total Distribution Plant</t>
  </si>
  <si>
    <t>Total</t>
  </si>
  <si>
    <t>Notes:</t>
  </si>
  <si>
    <t>FERC</t>
  </si>
  <si>
    <t>Budgeted 2019</t>
  </si>
  <si>
    <t>Depr. Rate</t>
  </si>
  <si>
    <t>Depreciation</t>
  </si>
  <si>
    <t>CRM</t>
  </si>
  <si>
    <t>Acct</t>
  </si>
  <si>
    <t>Investment</t>
  </si>
  <si>
    <t>UG-150762</t>
  </si>
  <si>
    <t>Expense</t>
  </si>
  <si>
    <t>Totals</t>
  </si>
  <si>
    <t>12 Months ended December 31, 2018</t>
  </si>
  <si>
    <t xml:space="preserve">2019 Total - Figures exported from "Power Plan" the company's budget and plant accounting software  </t>
  </si>
  <si>
    <t xml:space="preserve"> </t>
  </si>
  <si>
    <t>FP-101480 - UG-Work Asset Management</t>
  </si>
  <si>
    <t>FP-200064 - UG-Customer Self-Service Web/IVR</t>
  </si>
  <si>
    <t>FP-200663 - UG-GIS Enhancements</t>
  </si>
  <si>
    <t>FP-315865 - UG ThoughtSpot Implementation Project</t>
  </si>
  <si>
    <t>FP-316447 - UG PragmaField Implementation</t>
  </si>
  <si>
    <t>FP-317047 - UG Gas Scada Implement DR System</t>
  </si>
  <si>
    <t>FP-317050 - UG Gas SCADA Upgrade Autosol EFM</t>
  </si>
  <si>
    <t>FP-317101 - UG-JDEdwards AS400 to Oracle DB</t>
  </si>
  <si>
    <t>FP-317103 - UG-PowerPlan Upgrade to 2018.X</t>
  </si>
  <si>
    <t>FP-317297 - UG PragmaFIELD/Dispatcher Licences</t>
  </si>
  <si>
    <t>FP-317322 Arlington Gate Upgrade; Williams Costs</t>
  </si>
  <si>
    <t>FP-101170 - MAIN-GROWTH-OREGON</t>
  </si>
  <si>
    <t>FP-101172 - MAIN-RELO-REPL-OREGON</t>
  </si>
  <si>
    <t>FP-101176 - SERV-GROWTH-OREGON</t>
  </si>
  <si>
    <t>FP-101177 - SERV-RELO-REPL-OREGON</t>
  </si>
  <si>
    <t>FP-101178 - STD M&amp;R-GROWTH-OREGON</t>
  </si>
  <si>
    <t>FP-101179 - STD M&amp;R-RELO-REPL-OREGON</t>
  </si>
  <si>
    <t>FP-101180 - IND M&amp;R-GROWTH-OREGON</t>
  </si>
  <si>
    <t>FP-101181 - IND M&amp;R-REMOVE&amp;REPLACE-OREGON</t>
  </si>
  <si>
    <t>FP-101184 - GP TRAN.VEHICLE - OREGON</t>
  </si>
  <si>
    <t>FP-101186 - GP POWER EQUIP - OREGON</t>
  </si>
  <si>
    <t>PF-101187 - GP COMM EQUIP - OREGON</t>
  </si>
  <si>
    <t>FP-101190 - MAIN-GROWTH-WASHINGTON</t>
  </si>
  <si>
    <t>G</t>
  </si>
  <si>
    <t>FP-101194 - R STA-GROWTH-WASHINGTON</t>
  </si>
  <si>
    <t>FP-101198 - STD M&amp;R-GROWTH-WASHINGTON</t>
  </si>
  <si>
    <t>FP-101199 - STD M&amp;R-RELO-REPL-WASHINGTON</t>
  </si>
  <si>
    <t>FP-101210 - PRE-CAP MTR-GROWTH-INTERSTAT</t>
  </si>
  <si>
    <t>FP-101259 - PRE-CAP REG-GROWTH-INTERSTAT</t>
  </si>
  <si>
    <t>FP-101505 - ARLINGTON GATE UPGRADE</t>
  </si>
  <si>
    <t>FP-200686 - CRM LONGVIEW PIPE REPLACEMENT</t>
  </si>
  <si>
    <t>FP-200687 - CRM ANACORTES PIPE REPLACEMENT</t>
  </si>
  <si>
    <t>FP-200688 - BEND PIPE REPL</t>
  </si>
  <si>
    <t>FP-300363 - CRM SHELTON PIPE REPLACEMENT</t>
  </si>
  <si>
    <t>FP-302370 - GB - GROUNDBED OREGON</t>
  </si>
  <si>
    <t>FP-302588 - HILDEBRAND BLVD 6" HP MAIN</t>
  </si>
  <si>
    <t>FP-302594 - CRM KELSO PIPE REPLACEMENT</t>
  </si>
  <si>
    <t>FP-302596 - WALLULA GATE STATION; GTN</t>
  </si>
  <si>
    <t>FP-306987 - BURLINGTON REIN. @ PETERSON ROAD</t>
  </si>
  <si>
    <t>FP-306998 - NEW SOUTH WALLA WALLA GATE</t>
  </si>
  <si>
    <t>FP-307212 - CRM KELSO GRADE ST BRIDGE RELOCATE</t>
  </si>
  <si>
    <t>FP-307221 - 8" YAKIMA HP PIPELINE</t>
  </si>
  <si>
    <t>FP-308023 - ERT REPLACEMENT 2019</t>
  </si>
  <si>
    <t>FP-312009 - RP;REG STA R-25 BURBANK</t>
  </si>
  <si>
    <t>FP-316034 - CRM; 4" HP; OTHELLO; 9,801'</t>
  </si>
  <si>
    <t>FP-316043 - MAOP; 8" HP; BELLINGHAM;1,800'</t>
  </si>
  <si>
    <t>FP-316045 - MAOP; 8" HP; KALAMA; 600'</t>
  </si>
  <si>
    <t>FP-316046 - CRM; 8" HP; YAKIMA; 3,727'</t>
  </si>
  <si>
    <t xml:space="preserve"> C</t>
  </si>
  <si>
    <t>FP-316153 - MAOP; 4,6"; BELLINGHAM; 407'</t>
  </si>
  <si>
    <t>FP-316158 - RP; R-TBD(R-4) MONTESANO</t>
  </si>
  <si>
    <t>FP-316243 - RF; 4" PE; BEND; 1,200' ARCHIE BRIG</t>
  </si>
  <si>
    <t>FP-316299 -RP; R-154 (R-26) BREMERTON</t>
  </si>
  <si>
    <t>FP-316401 - RP; 2,4" BRIDGE XINGS, BAKER CITY</t>
  </si>
  <si>
    <t>FP-316407 - RF; 4" PE; BEND; 1,500' NW NEWPORT</t>
  </si>
  <si>
    <t>FP-316431 - RF; 6" PE; ABER; 1,200' OAK ST</t>
  </si>
  <si>
    <t>FP-316569 - C/M RPL; 12" STL HP, LONG/KELSO PH3</t>
  </si>
  <si>
    <t>FP-316573 - RPL; 4" HP, MADRAS PH2</t>
  </si>
  <si>
    <t>FP-316575 - RPL; 6" HP, BEND HP PH2</t>
  </si>
  <si>
    <t>FP-316579 - CRM; 2,6,8" HP; ANACORTES; PH2</t>
  </si>
  <si>
    <t>FP-316586 - RP; R-TBD ARLINGTON GATE</t>
  </si>
  <si>
    <t>FP-316587 - RF; R-TBD; WALLULA GATE STATION</t>
  </si>
  <si>
    <t>FP-316822 - RP; O-11(O-4) LAWR; BELLINGHAM</t>
  </si>
  <si>
    <t>FP-316823 - RP; O-12 (O-5) DEMI; BELLINGHAM</t>
  </si>
  <si>
    <t>FP-316845 - O-9 Replacement South Hermiston Gat</t>
  </si>
  <si>
    <t>FP-316865 - RP; 8" HP; CHIC; 30' V-08 &amp; HP MAIN</t>
  </si>
  <si>
    <t>FP-316923 - CRM RPL 8" MARCH POINT PH 2</t>
  </si>
  <si>
    <t>FP-316939 - R-1 Burlington Outlet Piping</t>
  </si>
  <si>
    <t>FP-316940 - R-162 Burlington Replacement</t>
  </si>
  <si>
    <t>FP-316958 - FRL 400' 6" PWX MN, CRESENT HARBOR</t>
  </si>
  <si>
    <t>FP-316978 - RF; REG STA R-124, STEPTOE, KENN</t>
  </si>
  <si>
    <t>FP-317060 - FRL; 10" HP; BELL; 2000'</t>
  </si>
  <si>
    <t>FP-317219 - RP; 8" BRIDGE XING, WALLA WALLA</t>
  </si>
  <si>
    <t>FP-317307 - Repl MN/Bore @Purcell Blvd Bend</t>
  </si>
  <si>
    <t>FP-317332 - 1780' 4" PE &amp; Steel MN Burbank Simp</t>
  </si>
  <si>
    <t>FP-101164 - General Purpose Communication Equip</t>
  </si>
  <si>
    <t>FP-101206 - GP POWER EQUIP - WASHINGTON</t>
  </si>
  <si>
    <t>FP-101207 - GP COMM EQUIP - WASHINGTON</t>
  </si>
  <si>
    <t>FP-101213 - GP BUILDINGS - INTERSTATE</t>
  </si>
  <si>
    <t>FP-101215 - GP TRAN. VEHICLE - INTERSTAT</t>
  </si>
  <si>
    <t>FP-101216 - GP TOOLS - INTERSTATE</t>
  </si>
  <si>
    <t>FP-101237 - GP TOOLS - PENDLETON</t>
  </si>
  <si>
    <t>FP-101255 - GP TOOLS - ONTARIO</t>
  </si>
  <si>
    <t>FP-101261 - GP TOOLS - WENATCHEE</t>
  </si>
  <si>
    <t>FP-101269 - GP OFFICE EQUIP - YAKIMA</t>
  </si>
  <si>
    <t>FP-101305 - GP OFFICE EQUIP - MT. VERNON</t>
  </si>
  <si>
    <t>FP-101307 - GP TOOLS - MT. VERNON</t>
  </si>
  <si>
    <t>FP-101326 - GP TOOLS _ BREMERTON</t>
  </si>
  <si>
    <t>FP-101344 - GP TOOLS - LONGVIEW</t>
  </si>
  <si>
    <t>FP-101362 - GP TOOLS - ABERDEEN</t>
  </si>
  <si>
    <t>FP-101398 - GP TOOLS - TRI - CITIES</t>
  </si>
  <si>
    <t>FP-101416 - GP TOOLS - WALLAWALLA</t>
  </si>
  <si>
    <t>FP-101451 - GP TOOLS - YAKIMA</t>
  </si>
  <si>
    <t>FP-200661 - Data Center &amp; Network Equipment</t>
  </si>
  <si>
    <t>FP-200662 - Personal Computers &amp; Peripherals</t>
  </si>
  <si>
    <t>FP-306967 - DISTRICT OFFICE ACCESS CONTROL SYS</t>
  </si>
  <si>
    <t>FP-307020 - Longview - New Operations Bldg 2018</t>
  </si>
  <si>
    <t>FP-316832 - Office Structures &amp; Equip-GO</t>
  </si>
  <si>
    <t>FP-316853 - Verizon 3G Modem Replacement</t>
  </si>
  <si>
    <t>FP-316915 - Pur replacment display devices</t>
  </si>
  <si>
    <t>FP-317120 - Purch Training Props for Sunnyside</t>
  </si>
  <si>
    <t>FP-317191 - Security System - Yakima facility</t>
  </si>
  <si>
    <t>FP-317290 - Building remodel for Bellingham Dis</t>
  </si>
  <si>
    <t>Growth</t>
  </si>
  <si>
    <t xml:space="preserve">Total </t>
  </si>
  <si>
    <t>Cascade Natural Gas Corporation</t>
  </si>
  <si>
    <t>UG 20_____</t>
  </si>
  <si>
    <t>MCP WP-1.15</t>
  </si>
  <si>
    <t>Pro Forma Plant Additions</t>
  </si>
  <si>
    <t>Twelve Months Ended December 31, 2019</t>
  </si>
  <si>
    <t>A</t>
  </si>
  <si>
    <t>B</t>
  </si>
  <si>
    <t>D</t>
  </si>
  <si>
    <t>E</t>
  </si>
  <si>
    <t>Ln.</t>
  </si>
  <si>
    <t>Investment from MCP-6</t>
  </si>
  <si>
    <t>2019 Property Tax Rate [1]</t>
  </si>
  <si>
    <t>Property Tax</t>
  </si>
  <si>
    <t>Total Investment</t>
  </si>
  <si>
    <t>Ln 1</t>
  </si>
  <si>
    <t>Depreciation Expense</t>
  </si>
  <si>
    <t>From Exhibit No. MCP-6</t>
  </si>
  <si>
    <t xml:space="preserve">   Accumulated Depr. (Avg)</t>
  </si>
  <si>
    <t>Ln 6 / 2</t>
  </si>
  <si>
    <t>Accum Tax depreciation</t>
  </si>
  <si>
    <t>Ln 5 *3.75%</t>
  </si>
  <si>
    <t>Deferred Tax</t>
  </si>
  <si>
    <t>(Ln 8 - Ln 6) * .21</t>
  </si>
  <si>
    <t xml:space="preserve">   Accum Def Tax (Avg)</t>
  </si>
  <si>
    <t>Ln 9 / 2</t>
  </si>
  <si>
    <t>FIT</t>
  </si>
  <si>
    <t>Ln 6 * .21</t>
  </si>
  <si>
    <t>Rate Bate</t>
  </si>
  <si>
    <t>2020 New Customer Revenue Adjustment</t>
  </si>
  <si>
    <t>Exhibit IDM-7, Column (Y), Line 584</t>
  </si>
  <si>
    <t>[1]</t>
  </si>
  <si>
    <t>2019 Assessment (Final)</t>
  </si>
  <si>
    <t>Actual taxes to be paid in 2019</t>
  </si>
  <si>
    <t>Effective Tax Rate</t>
  </si>
  <si>
    <t>Budgeted 2020</t>
  </si>
  <si>
    <t>UG-200278</t>
  </si>
  <si>
    <t>OR</t>
  </si>
  <si>
    <t>Not Descrete</t>
  </si>
  <si>
    <t>FP#</t>
  </si>
  <si>
    <t>FERC Account</t>
  </si>
  <si>
    <t>Depr.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</si>
</sst>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00%"/>
    <numFmt numFmtId="165" formatCode="&quot;$&quot;#,##0"/>
    <numFmt numFmtId="166" formatCode="#,##0.0000000"/>
    <numFmt numFmtId="167" formatCode="0.0%"/>
  </numFmts>
  <fonts count="13"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b/>
      <sz val="12"/>
      <color rgb="FFC00000"/>
      <name val="Times New Roman"/>
      <family val="1"/>
    </font>
    <font>
      <sz val="10"/>
      <name val="Arial"/>
      <family val="2"/>
    </font>
    <font>
      <sz val="12"/>
      <name val="Times New Roman"/>
      <family val="1"/>
    </font>
    <font>
      <b/>
      <sz val="11"/>
      <color theme="1"/>
      <name val="Times New Roman"/>
      <family val="1"/>
    </font>
    <font>
      <sz val="11"/>
      <color theme="1"/>
      <name val="Times New Roman"/>
      <family val="1"/>
    </font>
    <font>
      <b/>
      <sz val="12"/>
      <name val="Times New Roman"/>
      <family val="1"/>
    </font>
    <font>
      <sz val="11"/>
      <name val="Calibri"/>
      <family val="2"/>
      <scheme val="minor"/>
    </font>
    <font>
      <u/>
      <sz val="12"/>
      <color theme="1"/>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right style="thin">
        <color indexed="64"/>
      </right>
      <top style="thin">
        <color auto="1"/>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style="thin">
        <color auto="1"/>
      </left>
      <right/>
      <top/>
      <bottom style="thin">
        <color indexed="64"/>
      </bottom>
      <diagonal/>
    </border>
    <border>
      <left style="thin">
        <color indexed="64"/>
      </left>
      <right/>
      <top/>
      <bottom/>
      <diagonal/>
    </border>
    <border>
      <left style="thick">
        <color auto="1"/>
      </left>
      <right style="thick">
        <color auto="1"/>
      </right>
      <top/>
      <bottom/>
      <diagonal/>
    </border>
    <border>
      <left style="thick">
        <color auto="1"/>
      </left>
      <right style="thick">
        <color auto="1"/>
      </right>
      <top style="thin">
        <color indexed="64"/>
      </top>
      <bottom/>
      <diagonal/>
    </border>
    <border>
      <left/>
      <right style="thick">
        <color indexed="64"/>
      </right>
      <top/>
      <bottom/>
      <diagonal/>
    </border>
    <border>
      <left style="thick">
        <color auto="1"/>
      </left>
      <right style="thick">
        <color auto="1"/>
      </right>
      <top style="thin">
        <color indexed="64"/>
      </top>
      <bottom style="double">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6" fillId="0" borderId="0"/>
    <xf numFmtId="0" fontId="6" fillId="0" borderId="0"/>
  </cellStyleXfs>
  <cellXfs count="175">
    <xf numFmtId="0" fontId="0" fillId="0" borderId="0" xfId="0"/>
    <xf numFmtId="0" fontId="2" fillId="0" borderId="0" xfId="0" applyFont="1" applyAlignment="1">
      <alignment horizontal="center" vertical="center" wrapText="1"/>
    </xf>
    <xf numFmtId="43" fontId="2" fillId="0" borderId="0" xfId="1" applyFont="1" applyFill="1" applyAlignment="1">
      <alignment horizontal="center" vertical="center" wrapText="1"/>
    </xf>
    <xf numFmtId="0" fontId="2" fillId="2" borderId="1" xfId="0" applyFont="1" applyFill="1" applyBorder="1" applyAlignment="1">
      <alignment horizontal="center" wrapText="1"/>
    </xf>
    <xf numFmtId="0" fontId="2" fillId="2" borderId="1" xfId="0" applyFont="1" applyFill="1" applyBorder="1" applyAlignment="1">
      <alignment wrapText="1"/>
    </xf>
    <xf numFmtId="43" fontId="2" fillId="2" borderId="1" xfId="1" applyFont="1" applyFill="1" applyBorder="1" applyAlignment="1">
      <alignment horizontal="center" wrapText="1"/>
    </xf>
    <xf numFmtId="0" fontId="2" fillId="0" borderId="0" xfId="0" applyFont="1" applyAlignment="1">
      <alignment vertical="center" wrapText="1"/>
    </xf>
    <xf numFmtId="0" fontId="3" fillId="0" borderId="2" xfId="0" applyFont="1" applyBorder="1" applyAlignment="1">
      <alignment horizontal="center"/>
    </xf>
    <xf numFmtId="0" fontId="3" fillId="0" borderId="3" xfId="0" applyFont="1" applyBorder="1" applyAlignment="1">
      <alignment horizontal="center"/>
    </xf>
    <xf numFmtId="0" fontId="4" fillId="0" borderId="3" xfId="0" applyFont="1" applyBorder="1"/>
    <xf numFmtId="0" fontId="3" fillId="0" borderId="3" xfId="0" applyFont="1" applyBorder="1" applyAlignment="1">
      <alignment vertical="center"/>
    </xf>
    <xf numFmtId="0" fontId="3" fillId="0" borderId="3" xfId="0" applyFont="1" applyBorder="1" applyAlignment="1">
      <alignment horizontal="center" vertical="center"/>
    </xf>
    <xf numFmtId="43" fontId="3" fillId="0" borderId="3" xfId="1" applyFont="1" applyFill="1" applyBorder="1" applyAlignment="1">
      <alignment vertical="center"/>
    </xf>
    <xf numFmtId="0" fontId="3" fillId="0" borderId="4" xfId="0" applyFont="1" applyBorder="1" applyAlignment="1">
      <alignment vertical="center"/>
    </xf>
    <xf numFmtId="0" fontId="3" fillId="0" borderId="3" xfId="0" applyFont="1" applyBorder="1"/>
    <xf numFmtId="0" fontId="3" fillId="0" borderId="5" xfId="0" applyFont="1" applyBorder="1"/>
    <xf numFmtId="0" fontId="3" fillId="0" borderId="0" xfId="0" applyFont="1"/>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vertical="center"/>
    </xf>
    <xf numFmtId="43" fontId="3" fillId="0" borderId="0" xfId="1" applyFont="1" applyFill="1" applyBorder="1" applyAlignment="1">
      <alignment horizontal="center" vertical="center"/>
    </xf>
    <xf numFmtId="43" fontId="3" fillId="0" borderId="7" xfId="1" applyFont="1" applyFill="1" applyBorder="1" applyAlignment="1">
      <alignment horizontal="center" vertical="center"/>
    </xf>
    <xf numFmtId="14" fontId="3" fillId="0" borderId="0" xfId="0" applyNumberFormat="1" applyFont="1"/>
    <xf numFmtId="41" fontId="3" fillId="0" borderId="0" xfId="0" applyNumberFormat="1" applyFont="1"/>
    <xf numFmtId="41" fontId="3" fillId="0" borderId="8" xfId="0" applyNumberFormat="1" applyFont="1" applyBorder="1"/>
    <xf numFmtId="0" fontId="3" fillId="0" borderId="7"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wrapText="1"/>
    </xf>
    <xf numFmtId="0" fontId="3" fillId="0" borderId="10" xfId="0" applyFont="1" applyBorder="1" applyAlignment="1">
      <alignment vertical="center"/>
    </xf>
    <xf numFmtId="43" fontId="3" fillId="0" borderId="10" xfId="1" applyFont="1" applyFill="1" applyBorder="1" applyAlignment="1">
      <alignment horizontal="center" vertical="center"/>
    </xf>
    <xf numFmtId="0" fontId="3" fillId="0" borderId="11" xfId="0" applyFont="1" applyBorder="1" applyAlignment="1">
      <alignment horizontal="center" vertical="center"/>
    </xf>
    <xf numFmtId="14" fontId="3" fillId="0" borderId="10" xfId="0" applyNumberFormat="1" applyFont="1" applyBorder="1"/>
    <xf numFmtId="41" fontId="3" fillId="0" borderId="10" xfId="0" applyNumberFormat="1" applyFont="1" applyBorder="1"/>
    <xf numFmtId="0" fontId="3" fillId="0" borderId="10" xfId="0" applyFont="1" applyBorder="1"/>
    <xf numFmtId="41" fontId="3" fillId="0" borderId="12" xfId="0" applyNumberFormat="1" applyFont="1" applyBorder="1"/>
    <xf numFmtId="41" fontId="3" fillId="0" borderId="3" xfId="0" applyNumberFormat="1" applyFont="1" applyBorder="1"/>
    <xf numFmtId="41" fontId="3" fillId="0" borderId="5" xfId="0" applyNumberFormat="1" applyFont="1" applyBorder="1"/>
    <xf numFmtId="0" fontId="3" fillId="0" borderId="0" xfId="0" applyFont="1" applyAlignment="1">
      <alignment vertical="center" wrapText="1"/>
    </xf>
    <xf numFmtId="0" fontId="3" fillId="0" borderId="11" xfId="0" applyFont="1" applyBorder="1" applyAlignment="1">
      <alignment vertical="center"/>
    </xf>
    <xf numFmtId="43" fontId="3" fillId="0" borderId="10" xfId="1" applyFont="1" applyFill="1" applyBorder="1" applyAlignment="1">
      <alignment vertical="center"/>
    </xf>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3" fillId="0" borderId="7" xfId="0" applyFont="1" applyBorder="1" applyAlignment="1">
      <alignment horizontal="center" vertical="center"/>
    </xf>
    <xf numFmtId="43" fontId="3" fillId="0" borderId="0" xfId="1" applyFont="1" applyFill="1" applyBorder="1" applyAlignment="1">
      <alignment vertical="center"/>
    </xf>
    <xf numFmtId="14" fontId="2" fillId="0" borderId="0" xfId="0" applyNumberFormat="1" applyFont="1"/>
    <xf numFmtId="41" fontId="2" fillId="0" borderId="0" xfId="0" applyNumberFormat="1" applyFont="1"/>
    <xf numFmtId="0" fontId="3" fillId="0" borderId="10" xfId="0" applyFont="1" applyBorder="1" applyAlignment="1">
      <alignment horizontal="center" vertical="center" wrapText="1"/>
    </xf>
    <xf numFmtId="0" fontId="3" fillId="3" borderId="10" xfId="0" applyFont="1" applyFill="1" applyBorder="1" applyAlignment="1">
      <alignment horizontal="center" vertical="center" wrapText="1"/>
    </xf>
    <xf numFmtId="14" fontId="2" fillId="0" borderId="10" xfId="0" applyNumberFormat="1" applyFont="1" applyBorder="1"/>
    <xf numFmtId="41" fontId="2" fillId="0" borderId="10" xfId="0" applyNumberFormat="1" applyFont="1" applyBorder="1"/>
    <xf numFmtId="0" fontId="3" fillId="3" borderId="3" xfId="0" applyFont="1" applyFill="1" applyBorder="1" applyAlignment="1">
      <alignment horizontal="center" vertical="center"/>
    </xf>
    <xf numFmtId="0" fontId="3" fillId="0" borderId="10" xfId="0" applyFont="1" applyBorder="1" applyAlignment="1">
      <alignment vertical="center" wrapText="1"/>
    </xf>
    <xf numFmtId="0" fontId="3" fillId="0" borderId="13" xfId="0" applyFont="1" applyBorder="1" applyAlignment="1">
      <alignment horizontal="center"/>
    </xf>
    <xf numFmtId="0" fontId="3" fillId="0" borderId="14" xfId="0" applyFont="1" applyBorder="1" applyAlignment="1">
      <alignment horizontal="center" vertical="center"/>
    </xf>
    <xf numFmtId="0" fontId="3" fillId="2" borderId="15" xfId="0" applyFont="1" applyFill="1" applyBorder="1" applyAlignment="1">
      <alignment horizontal="center" vertic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horizontal="center" vertical="center"/>
    </xf>
    <xf numFmtId="43" fontId="3" fillId="2" borderId="0" xfId="1" applyFont="1" applyFill="1" applyBorder="1" applyAlignment="1">
      <alignment vertical="center"/>
    </xf>
    <xf numFmtId="41" fontId="3" fillId="2" borderId="8" xfId="0" applyNumberFormat="1" applyFont="1" applyFill="1" applyBorder="1"/>
    <xf numFmtId="0" fontId="2" fillId="2" borderId="14" xfId="0" applyFont="1" applyFill="1" applyBorder="1" applyAlignment="1">
      <alignment vertical="center"/>
    </xf>
    <xf numFmtId="0" fontId="3" fillId="2" borderId="10" xfId="0" applyFont="1" applyFill="1" applyBorder="1"/>
    <xf numFmtId="0" fontId="4" fillId="2" borderId="10" xfId="0" applyFont="1" applyFill="1" applyBorder="1"/>
    <xf numFmtId="0" fontId="3" fillId="2" borderId="10" xfId="0" applyFont="1" applyFill="1" applyBorder="1" applyAlignment="1">
      <alignment vertical="center"/>
    </xf>
    <xf numFmtId="0" fontId="3" fillId="2" borderId="10" xfId="0" applyFont="1" applyFill="1" applyBorder="1" applyAlignment="1">
      <alignment horizontal="center" vertical="center"/>
    </xf>
    <xf numFmtId="43" fontId="3" fillId="2" borderId="10" xfId="1" applyFont="1" applyFill="1" applyBorder="1" applyAlignment="1">
      <alignment vertical="center"/>
    </xf>
    <xf numFmtId="41" fontId="2" fillId="2" borderId="10" xfId="0" applyNumberFormat="1" applyFont="1" applyFill="1" applyBorder="1"/>
    <xf numFmtId="41" fontId="2" fillId="2" borderId="12" xfId="0" applyNumberFormat="1" applyFont="1" applyFill="1" applyBorder="1"/>
    <xf numFmtId="0" fontId="2" fillId="2" borderId="0" xfId="0" applyFont="1" applyFill="1" applyAlignment="1">
      <alignment vertical="center"/>
    </xf>
    <xf numFmtId="0" fontId="4" fillId="2" borderId="0" xfId="0" applyFont="1" applyFill="1"/>
    <xf numFmtId="41" fontId="2" fillId="2" borderId="0" xfId="0" applyNumberFormat="1" applyFont="1" applyFill="1"/>
    <xf numFmtId="0" fontId="4" fillId="0" borderId="0" xfId="0" applyFont="1"/>
    <xf numFmtId="43" fontId="3" fillId="0" borderId="0" xfId="1" applyFont="1" applyFill="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0" xfId="0" applyFont="1" applyAlignment="1">
      <alignment horizontal="center"/>
    </xf>
    <xf numFmtId="0" fontId="7" fillId="0" borderId="0" xfId="4" applyFont="1"/>
    <xf numFmtId="39" fontId="7" fillId="0" borderId="0" xfId="4" applyNumberFormat="1" applyFont="1"/>
    <xf numFmtId="0" fontId="3" fillId="0" borderId="10" xfId="0" applyFont="1" applyBorder="1" applyAlignment="1">
      <alignment horizontal="center"/>
    </xf>
    <xf numFmtId="39" fontId="7" fillId="0" borderId="10" xfId="4" applyNumberFormat="1" applyFont="1" applyBorder="1"/>
    <xf numFmtId="0" fontId="3" fillId="2" borderId="1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wrapText="1"/>
    </xf>
    <xf numFmtId="0" fontId="3" fillId="2" borderId="3" xfId="0" applyFont="1" applyFill="1" applyBorder="1" applyAlignment="1">
      <alignment vertical="center"/>
    </xf>
    <xf numFmtId="43" fontId="3" fillId="2" borderId="3" xfId="1" applyFont="1" applyFill="1" applyBorder="1" applyAlignment="1">
      <alignment vertical="center"/>
    </xf>
    <xf numFmtId="0" fontId="3" fillId="2" borderId="3" xfId="0" applyFont="1" applyFill="1" applyBorder="1"/>
    <xf numFmtId="41" fontId="3" fillId="2" borderId="5" xfId="0" applyNumberFormat="1" applyFont="1" applyFill="1" applyBorder="1"/>
    <xf numFmtId="0" fontId="4" fillId="2" borderId="0" xfId="0" applyFont="1" applyFill="1" applyAlignment="1">
      <alignment wrapText="1"/>
    </xf>
    <xf numFmtId="0" fontId="4" fillId="2" borderId="0" xfId="0" applyFont="1" applyFill="1" applyAlignment="1">
      <alignment vertical="center"/>
    </xf>
    <xf numFmtId="0" fontId="4" fillId="2" borderId="0" xfId="0" applyFont="1" applyFill="1" applyAlignment="1">
      <alignment horizontal="center" vertical="center"/>
    </xf>
    <xf numFmtId="43" fontId="4" fillId="2" borderId="0" xfId="1" applyFont="1" applyFill="1" applyBorder="1" applyAlignment="1">
      <alignment vertical="center"/>
    </xf>
    <xf numFmtId="41" fontId="8" fillId="2" borderId="0" xfId="0" applyNumberFormat="1" applyFont="1" applyFill="1"/>
    <xf numFmtId="41" fontId="8" fillId="2" borderId="8" xfId="0" applyNumberFormat="1" applyFont="1" applyFill="1" applyBorder="1"/>
    <xf numFmtId="41" fontId="9" fillId="2" borderId="3" xfId="0" applyNumberFormat="1" applyFont="1" applyFill="1" applyBorder="1"/>
    <xf numFmtId="41" fontId="9" fillId="2" borderId="5" xfId="0" applyNumberFormat="1" applyFont="1" applyFill="1" applyBorder="1"/>
    <xf numFmtId="0" fontId="3" fillId="2" borderId="0" xfId="0" applyFont="1" applyFill="1" applyAlignment="1">
      <alignment horizontal="center"/>
    </xf>
    <xf numFmtId="0" fontId="3" fillId="2" borderId="14" xfId="0" applyFont="1" applyFill="1" applyBorder="1" applyAlignment="1">
      <alignment horizontal="center" vertical="center"/>
    </xf>
    <xf numFmtId="0" fontId="3" fillId="2" borderId="10" xfId="0" applyFont="1" applyFill="1" applyBorder="1" applyAlignment="1">
      <alignment horizontal="center"/>
    </xf>
    <xf numFmtId="0" fontId="3" fillId="2" borderId="10" xfId="0" applyFont="1" applyFill="1" applyBorder="1" applyAlignment="1">
      <alignment wrapText="1"/>
    </xf>
    <xf numFmtId="41" fontId="9" fillId="2" borderId="10" xfId="0" applyNumberFormat="1" applyFont="1" applyFill="1" applyBorder="1"/>
    <xf numFmtId="41" fontId="9" fillId="2" borderId="12" xfId="0" applyNumberFormat="1" applyFont="1" applyFill="1" applyBorder="1"/>
    <xf numFmtId="39" fontId="3" fillId="0" borderId="0" xfId="0" applyNumberFormat="1" applyFont="1"/>
    <xf numFmtId="0" fontId="11" fillId="0" borderId="0" xfId="0" applyFont="1" applyAlignment="1">
      <alignment horizontal="center"/>
    </xf>
    <xf numFmtId="14" fontId="3" fillId="0" borderId="0" xfId="0" applyNumberFormat="1" applyFont="1" applyAlignment="1">
      <alignment horizontal="center"/>
    </xf>
    <xf numFmtId="0" fontId="2" fillId="0" borderId="0" xfId="0" applyFont="1" applyAlignment="1">
      <alignment horizontal="center" vertical="center"/>
    </xf>
    <xf numFmtId="0" fontId="10" fillId="0" borderId="0" xfId="6" applyFont="1" applyAlignment="1">
      <alignment horizontal="center" vertical="center" wrapText="1"/>
    </xf>
    <xf numFmtId="43" fontId="10" fillId="0" borderId="0" xfId="1" applyFont="1" applyFill="1" applyBorder="1" applyAlignment="1">
      <alignment horizontal="center" vertical="center" wrapText="1"/>
    </xf>
    <xf numFmtId="43" fontId="10" fillId="0" borderId="16" xfId="1" applyFont="1" applyFill="1" applyBorder="1" applyAlignment="1">
      <alignment horizontal="center" vertical="center" wrapText="1"/>
    </xf>
    <xf numFmtId="14" fontId="10" fillId="0" borderId="0" xfId="6" applyNumberFormat="1" applyFont="1" applyAlignment="1">
      <alignment horizontal="center" vertical="center" wrapText="1"/>
    </xf>
    <xf numFmtId="43" fontId="7" fillId="0" borderId="0" xfId="1" applyFont="1" applyFill="1"/>
    <xf numFmtId="43" fontId="7" fillId="0" borderId="16" xfId="1" applyFont="1" applyFill="1" applyBorder="1"/>
    <xf numFmtId="10" fontId="7" fillId="0" borderId="0" xfId="4" applyNumberFormat="1" applyFont="1"/>
    <xf numFmtId="0" fontId="7" fillId="0" borderId="0" xfId="4" applyFont="1" applyAlignment="1">
      <alignment horizontal="center"/>
    </xf>
    <xf numFmtId="14" fontId="3" fillId="0" borderId="0" xfId="2" applyNumberFormat="1" applyFont="1" applyFill="1"/>
    <xf numFmtId="44" fontId="3" fillId="0" borderId="0" xfId="2" applyFont="1" applyFill="1"/>
    <xf numFmtId="0" fontId="7" fillId="0" borderId="0" xfId="6" applyFont="1"/>
    <xf numFmtId="0" fontId="10" fillId="0" borderId="0" xfId="6" applyFont="1" applyAlignment="1">
      <alignment horizontal="right"/>
    </xf>
    <xf numFmtId="43" fontId="7" fillId="0" borderId="3" xfId="1" applyFont="1" applyFill="1" applyBorder="1"/>
    <xf numFmtId="43" fontId="7" fillId="0" borderId="17" xfId="1" applyFont="1" applyFill="1" applyBorder="1"/>
    <xf numFmtId="39" fontId="7" fillId="0" borderId="17" xfId="1" applyNumberFormat="1" applyFont="1" applyFill="1" applyBorder="1"/>
    <xf numFmtId="0" fontId="7" fillId="0" borderId="0" xfId="6" applyFont="1" applyAlignment="1">
      <alignment horizontal="center"/>
    </xf>
    <xf numFmtId="14" fontId="7" fillId="0" borderId="0" xfId="1" applyNumberFormat="1" applyFont="1" applyFill="1" applyBorder="1"/>
    <xf numFmtId="43" fontId="7" fillId="0" borderId="0" xfId="1" applyFont="1" applyFill="1" applyBorder="1"/>
    <xf numFmtId="39" fontId="7" fillId="0" borderId="0" xfId="6" applyNumberFormat="1" applyFont="1"/>
    <xf numFmtId="14" fontId="7" fillId="0" borderId="0" xfId="6" applyNumberFormat="1" applyFont="1"/>
    <xf numFmtId="10" fontId="7" fillId="0" borderId="0" xfId="6" applyNumberFormat="1" applyFont="1"/>
    <xf numFmtId="14" fontId="7" fillId="0" borderId="0" xfId="4" applyNumberFormat="1" applyFont="1"/>
    <xf numFmtId="43" fontId="7" fillId="0" borderId="18" xfId="1" applyFont="1" applyFill="1" applyBorder="1"/>
    <xf numFmtId="43" fontId="3" fillId="0" borderId="18" xfId="1" applyFont="1" applyFill="1" applyBorder="1"/>
    <xf numFmtId="43" fontId="3" fillId="0" borderId="16" xfId="1" applyFont="1" applyFill="1" applyBorder="1"/>
    <xf numFmtId="10" fontId="7" fillId="0" borderId="0" xfId="3" applyNumberFormat="1" applyFont="1" applyFill="1"/>
    <xf numFmtId="39" fontId="7" fillId="0" borderId="16" xfId="1" applyNumberFormat="1" applyFont="1" applyFill="1" applyBorder="1"/>
    <xf numFmtId="39" fontId="10" fillId="0" borderId="17" xfId="1" applyNumberFormat="1" applyFont="1" applyFill="1" applyBorder="1"/>
    <xf numFmtId="39" fontId="10" fillId="0" borderId="19" xfId="1" applyNumberFormat="1" applyFont="1" applyFill="1" applyBorder="1"/>
    <xf numFmtId="14" fontId="10" fillId="0" borderId="0" xfId="1" applyNumberFormat="1" applyFont="1" applyFill="1" applyBorder="1"/>
    <xf numFmtId="43" fontId="7" fillId="0" borderId="0" xfId="4" applyNumberFormat="1" applyFont="1"/>
    <xf numFmtId="0" fontId="7" fillId="0" borderId="0" xfId="4" applyFont="1" applyAlignment="1">
      <alignment horizontal="right"/>
    </xf>
    <xf numFmtId="14" fontId="7" fillId="0" borderId="0" xfId="4" applyNumberFormat="1" applyFont="1" applyAlignment="1">
      <alignment horizontal="center"/>
    </xf>
    <xf numFmtId="4" fontId="7" fillId="0" borderId="0" xfId="4" applyNumberFormat="1" applyFont="1"/>
    <xf numFmtId="43" fontId="10" fillId="0" borderId="16" xfId="1" applyFont="1" applyBorder="1" applyAlignment="1">
      <alignment horizontal="center" vertical="center" wrapText="1"/>
    </xf>
    <xf numFmtId="39" fontId="7" fillId="0" borderId="0" xfId="1" applyNumberFormat="1" applyFont="1" applyFill="1" applyBorder="1"/>
    <xf numFmtId="10" fontId="3" fillId="0" borderId="0" xfId="3" applyNumberFormat="1" applyFont="1" applyFill="1"/>
    <xf numFmtId="39" fontId="10" fillId="0" borderId="0" xfId="1" applyNumberFormat="1" applyFont="1" applyFill="1" applyBorder="1"/>
    <xf numFmtId="43" fontId="7" fillId="0" borderId="10" xfId="1" applyFont="1" applyFill="1" applyBorder="1"/>
    <xf numFmtId="43" fontId="7" fillId="0" borderId="0" xfId="1" applyFont="1"/>
    <xf numFmtId="0" fontId="10" fillId="0" borderId="0" xfId="5" applyFont="1"/>
    <xf numFmtId="0" fontId="12" fillId="0" borderId="0" xfId="0" applyFont="1" applyAlignment="1">
      <alignment horizontal="center"/>
    </xf>
    <xf numFmtId="44" fontId="3" fillId="0" borderId="0" xfId="0" applyNumberFormat="1" applyFont="1"/>
    <xf numFmtId="164" fontId="3" fillId="0" borderId="0" xfId="0" applyNumberFormat="1" applyFont="1"/>
    <xf numFmtId="40" fontId="3" fillId="0" borderId="0" xfId="0" applyNumberFormat="1" applyFont="1"/>
    <xf numFmtId="165" fontId="3" fillId="0" borderId="0" xfId="0" applyNumberFormat="1" applyFont="1"/>
    <xf numFmtId="4" fontId="3" fillId="0" borderId="0" xfId="0" applyNumberFormat="1" applyFont="1"/>
    <xf numFmtId="4" fontId="3" fillId="5" borderId="0" xfId="0" applyNumberFormat="1" applyFont="1" applyFill="1"/>
    <xf numFmtId="44" fontId="3" fillId="0" borderId="0" xfId="2" applyFont="1" applyFill="1" applyAlignment="1"/>
    <xf numFmtId="10" fontId="3" fillId="0" borderId="0" xfId="0" applyNumberFormat="1" applyFont="1"/>
    <xf numFmtId="39" fontId="3" fillId="0" borderId="5" xfId="2" applyNumberFormat="1" applyFont="1" applyFill="1" applyBorder="1" applyAlignment="1"/>
    <xf numFmtId="0" fontId="3" fillId="0" borderId="15" xfId="0" applyFont="1" applyBorder="1" applyAlignment="1">
      <alignment horizontal="center"/>
    </xf>
    <xf numFmtId="4" fontId="3" fillId="0" borderId="12" xfId="0" applyNumberFormat="1" applyFont="1" applyBorder="1"/>
    <xf numFmtId="0" fontId="3" fillId="0" borderId="14" xfId="0" applyFont="1" applyBorder="1" applyAlignment="1">
      <alignment horizontal="center"/>
    </xf>
    <xf numFmtId="166" fontId="3" fillId="0" borderId="12" xfId="0" applyNumberFormat="1" applyFont="1" applyBorder="1"/>
    <xf numFmtId="0" fontId="7" fillId="5" borderId="0" xfId="4" applyFont="1" applyFill="1" applyAlignment="1">
      <alignment horizontal="center"/>
    </xf>
    <xf numFmtId="0" fontId="3" fillId="5" borderId="0" xfId="0" applyFont="1" applyFill="1" applyAlignment="1">
      <alignment horizontal="center"/>
    </xf>
    <xf numFmtId="0" fontId="7" fillId="5" borderId="0" xfId="4" applyFont="1" applyFill="1"/>
    <xf numFmtId="10" fontId="7" fillId="5" borderId="0" xfId="3" applyNumberFormat="1" applyFont="1" applyFill="1"/>
    <xf numFmtId="4" fontId="7" fillId="5" borderId="0" xfId="4" applyNumberFormat="1" applyFont="1" applyFill="1"/>
    <xf numFmtId="0" fontId="3" fillId="5" borderId="0" xfId="0" applyFont="1" applyFill="1"/>
    <xf numFmtId="10" fontId="3" fillId="5" borderId="0" xfId="3" applyNumberFormat="1" applyFont="1" applyFill="1"/>
    <xf numFmtId="167" fontId="3" fillId="0" borderId="0" xfId="0" applyNumberFormat="1" applyFont="1"/>
    <xf numFmtId="0" fontId="10" fillId="4" borderId="0" xfId="5" applyFont="1" applyFill="1" applyAlignment="1">
      <alignment horizontal="center"/>
    </xf>
    <xf numFmtId="0" fontId="3" fillId="0" borderId="0" xfId="0" applyFont="1" applyAlignment="1">
      <alignment horizontal="center"/>
    </xf>
    <xf numFmtId="0" fontId="10" fillId="4" borderId="0" xfId="7" applyFont="1" applyFill="1" applyAlignment="1">
      <alignment horizontal="center"/>
    </xf>
    <xf numFmtId="0" fontId="3" fillId="4" borderId="0" xfId="0" applyFont="1" applyFill="1" applyAlignment="1">
      <alignment horizontal="center"/>
    </xf>
    <xf numFmtId="0" fontId="10" fillId="0" borderId="0" xfId="5" applyFont="1" applyAlignment="1">
      <alignment horizontal="center"/>
    </xf>
  </cellXfs>
  <cellStyles count="8">
    <cellStyle name="Comma" xfId="1" builtinId="3"/>
    <cellStyle name="Currency" xfId="2" builtinId="4"/>
    <cellStyle name="Normal" xfId="0" builtinId="0"/>
    <cellStyle name="Normal 2 11" xfId="6" xr:uid="{175B4A74-DBB2-4A02-AF89-9A21B496DB77}"/>
    <cellStyle name="Normal 604" xfId="4" xr:uid="{FF4CB66F-8077-427C-8D67-50CE82D33AFA}"/>
    <cellStyle name="Normal 89" xfId="5" xr:uid="{6382449D-32AB-48D7-AB77-3AB65BC085A6}"/>
    <cellStyle name="Normal 89 2" xfId="7" xr:uid="{D9851802-15A1-4E30-838F-7689EC6A572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GrpRevnu\PUBLIC\%23%202019%20GRC\Original%20Filing\Dirty%20Workpapers%202019%20GRC\%23NEW-PSE-WP-SEF-4.00G-GAS-MODEL-19GRC-06-2019%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GrpRevnu\PUBLIC\%23%202019%20GRC\Attrition%20Change\190529-30-PSE-WP-SEF-4.00E-ELECTRIC-MODEL-19GRC-09-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rk/22_pse/3022-64%20UE-190529/3022-64%20UE-190529/br/Mullins%20Exh%20BGM-10%20-%20Natural%20Gas%20Rev%20Req.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ept\Rates\WEATHER%20DATA\Weather%20Normalization\2016\WA%2065%20HDD%20NOAA\2016-12%20WA%20Weather%20Normalization%2065%20HDD%20-%20Cop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rad\Desktop\avista\3046-9%20-%202018%20GRC\dir\_wps\_fnl\UE-170485%20-%20UG-170486_Exh%20BGM-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rk/15_cng/CA07%20-%20UG-200568/dir/wps/Revenue%20Requiremn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Dept\Rates\WA%20Rate%20Case%202020%20UG-200568\Testimony\Peters\Rev.%20Requirement%20Back-Up\CNG%202020%20Approved%20Budget%20by%20State%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xh%20BGM-3%20-%20AWEC%20Revenue%20Requiremen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rk/15_cng/C03%20-%20UG-190210/init/190210%20CNGC%20Peters%20Exh%20MCP%202-6%20and%20WP-1,%203.2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C, Def, ConvF"/>
      <sheetName val="COC-Restating"/>
      <sheetName val="Summary"/>
      <sheetName val="Detailed Summary"/>
      <sheetName val="Common Adj"/>
      <sheetName val="Gas Adj"/>
      <sheetName val="Named Ranges"/>
      <sheetName val="Dirty Only ==&gt;"/>
      <sheetName val="ETR GRC vs CBR TBPI 100%"/>
      <sheetName val="ETR GRC vs CBR"/>
      <sheetName val="Check ETR"/>
      <sheetName val="FIT Adj"/>
      <sheetName val="Verify"/>
      <sheetName val="ARAM"/>
      <sheetName val="Matrix"/>
      <sheetName val="Sheet1"/>
    </sheetNames>
    <sheetDataSet>
      <sheetData sheetId="0"/>
      <sheetData sheetId="1"/>
      <sheetData sheetId="2"/>
      <sheetData sheetId="3"/>
      <sheetData sheetId="4"/>
      <sheetData sheetId="5"/>
      <sheetData sheetId="6">
        <row r="3">
          <cell r="C3">
            <v>0.21</v>
          </cell>
        </row>
        <row r="4">
          <cell r="C4" t="str">
            <v>2019 GENERAL RATE CASE</v>
          </cell>
        </row>
        <row r="5">
          <cell r="C5" t="str">
            <v>12 MONTHS ENDED DECEMBER 31, 2018</v>
          </cell>
        </row>
        <row r="6">
          <cell r="C6" t="str">
            <v>UG_________</v>
          </cell>
        </row>
        <row r="8">
          <cell r="C8" t="str">
            <v>PUGET SOUND ENERGY - NATURAL GAS</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s"/>
      <sheetName val="COC, Def, ConvF"/>
      <sheetName val="Summary"/>
      <sheetName val="Detailed Summary"/>
      <sheetName val="COC-Restating"/>
      <sheetName val="Common Adj"/>
      <sheetName val="Electric Adj"/>
      <sheetName val="Power Cost Bridge to A-1"/>
      <sheetName val="Named Ranges E"/>
    </sheetNames>
    <sheetDataSet>
      <sheetData sheetId="0"/>
      <sheetData sheetId="1">
        <row r="12">
          <cell r="M12">
            <v>8.4790000000000004E-3</v>
          </cell>
        </row>
      </sheetData>
      <sheetData sheetId="2"/>
      <sheetData sheetId="3">
        <row r="14">
          <cell r="AG14">
            <v>2005372296.2612319</v>
          </cell>
        </row>
      </sheetData>
      <sheetData sheetId="4">
        <row r="12">
          <cell r="E12">
            <v>2.9399999999999999E-2</v>
          </cell>
        </row>
      </sheetData>
      <sheetData sheetId="5">
        <row r="26">
          <cell r="H26">
            <v>-18227053.410000004</v>
          </cell>
        </row>
      </sheetData>
      <sheetData sheetId="6">
        <row r="16">
          <cell r="M16">
            <v>1433345.375</v>
          </cell>
        </row>
      </sheetData>
      <sheetData sheetId="7"/>
      <sheetData sheetId="8">
        <row r="3">
          <cell r="C3">
            <v>0.21</v>
          </cell>
        </row>
        <row r="4">
          <cell r="C4" t="str">
            <v>2019 GENERAL RATE CASE</v>
          </cell>
        </row>
        <row r="5">
          <cell r="C5" t="str">
            <v>12 MONTHS ENDED DECEMBER 31, 2018</v>
          </cell>
        </row>
        <row r="6">
          <cell r="C6" t="str">
            <v>UE-__________</v>
          </cell>
        </row>
        <row r="8">
          <cell r="C8" t="str">
            <v>PUGET SOUND ENERGY - ELECTRIC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 No. BGM-10 (1)"/>
      <sheetName val="Exh. No. BGM-10 (1A)"/>
      <sheetName val="BGM-10 (2)  Detailed Summary"/>
      <sheetName val="BGM-10 (3) Common Adj"/>
      <sheetName val="Impacts"/>
      <sheetName val="Rllfwd"/>
      <sheetName val="COC, Def, ConvF"/>
      <sheetName val="COC-Restating"/>
      <sheetName val="Summary"/>
      <sheetName val="Gas Adj"/>
      <sheetName val="Named Ranges G"/>
    </sheetNames>
    <sheetDataSet>
      <sheetData sheetId="0"/>
      <sheetData sheetId="1"/>
      <sheetData sheetId="2">
        <row r="10">
          <cell r="A10" t="str">
            <v>LINE</v>
          </cell>
        </row>
      </sheetData>
      <sheetData sheetId="3"/>
      <sheetData sheetId="4"/>
      <sheetData sheetId="5"/>
      <sheetData sheetId="6">
        <row r="20">
          <cell r="C20">
            <v>0.75409700000000002</v>
          </cell>
        </row>
      </sheetData>
      <sheetData sheetId="7"/>
      <sheetData sheetId="8"/>
      <sheetData sheetId="9"/>
      <sheetData sheetId="10">
        <row r="3">
          <cell r="C3">
            <v>0.21</v>
          </cell>
        </row>
        <row r="4">
          <cell r="C4" t="str">
            <v>2019 GENERAL RATE CASE</v>
          </cell>
        </row>
        <row r="5">
          <cell r="C5" t="str">
            <v>12 MONTHS ENDED DECEMBER 31, 2018</v>
          </cell>
        </row>
        <row r="6">
          <cell r="C6" t="str">
            <v>UG-190530</v>
          </cell>
        </row>
        <row r="8">
          <cell r="C8" t="str">
            <v>PUGET SOUND ENERGY - NATURAL GAS - AWEC REPLY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D Sum "/>
      <sheetName val="Mo Backcast "/>
      <sheetName val="FOR 2012 PGA"/>
      <sheetName val="Historic Data"/>
      <sheetName val="Bell-03"/>
      <sheetName val="Brem-03"/>
      <sheetName val="Walla-03"/>
      <sheetName val="Yak-03"/>
      <sheetName val="Bell-04"/>
      <sheetName val="Brem-04"/>
      <sheetName val="Walla-04"/>
      <sheetName val="Yak-04"/>
      <sheetName val="Bend-01"/>
      <sheetName val="Baker Ont-01"/>
      <sheetName val="Pend-01"/>
      <sheetName val="Bend-04 11 cl2"/>
      <sheetName val="Baker Ont-04 11 cl2"/>
      <sheetName val="Pend-04 11 cl2"/>
    </sheetNames>
    <sheetDataSet>
      <sheetData sheetId="0" refreshError="1"/>
      <sheetData sheetId="1" refreshError="1"/>
      <sheetData sheetId="2"/>
      <sheetData sheetId="3" refreshError="1"/>
      <sheetData sheetId="4">
        <row r="3">
          <cell r="K3">
            <v>42736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 No. BGM-3 2"/>
      <sheetName val="Exh. No. BGM-3 3"/>
      <sheetName val="Exh. No. BGM-3 4"/>
      <sheetName val="Acerno_Cache_XXXXX"/>
      <sheetName val="Workpapers-&gt;"/>
      <sheetName val="ADJ SUMMARY"/>
      <sheetName val="LEAD SHEETS-DO NOT ENTER"/>
      <sheetName val="ROO INPUT"/>
      <sheetName val="DEBT CALC"/>
      <sheetName val="COMPARISON"/>
      <sheetName val="PROPOSED RATES-2018-NOT USED"/>
      <sheetName val="RETAIL REVENUE CREDIT-not used"/>
      <sheetName val="PROPOSED RATES-2019-not used"/>
    </sheetNames>
    <sheetDataSet>
      <sheetData sheetId="0">
        <row r="24">
          <cell r="E24">
            <v>196.52699999999999</v>
          </cell>
        </row>
      </sheetData>
      <sheetData sheetId="1">
        <row r="24">
          <cell r="E24">
            <v>0.61941299999999999</v>
          </cell>
        </row>
      </sheetData>
      <sheetData sheetId="2">
        <row r="7">
          <cell r="F7" t="str">
            <v xml:space="preserve">Deferred </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Exh. No. BGM-3"/>
      <sheetName val="AWEC Response"/>
      <sheetName val="MCP-6 - 2020 Plant Additions"/>
      <sheetName val="MCP-6 - 2019 Plant Additions"/>
      <sheetName val="Cover Page MCP-8"/>
      <sheetName val="Exh MCP-8 - ROO Summary Sheet"/>
      <sheetName val="Cover Page MCP-9"/>
      <sheetName val="Exh MCP-9 - Rev Req Calc"/>
      <sheetName val="Cover Page MCP-4"/>
      <sheetName val="Exh MCP-4 - Conversion Factor"/>
      <sheetName val="Cover Page MCP-10"/>
      <sheetName val="Exh MCP-10 - Summary of Adj"/>
      <sheetName val="Cover Page MCP-6"/>
      <sheetName val="MCP-6 - Supporting Explanations"/>
      <sheetName val="Workpaper - Support Documents &gt;"/>
      <sheetName val="Index"/>
      <sheetName val="Operating Report"/>
      <sheetName val="Rate Base"/>
      <sheetName val="Plant in Serv &amp; Accum Depr"/>
      <sheetName val="Adv for Const. &amp; Def Tax"/>
      <sheetName val="Capital Structure Calculation"/>
      <sheetName val="State Allocation Formulas"/>
      <sheetName val="Adjustment Workpapers---&gt;"/>
      <sheetName val="Annualize CRM Adjustment"/>
      <sheetName val="Advertising Adj"/>
      <sheetName val="Restate Revenues Adjustment"/>
      <sheetName val="EOP Revenue Adjustment"/>
      <sheetName val="EOP Depreciation Expense Adj"/>
      <sheetName val="Restate &amp; Pro Forma Wage Adjust"/>
      <sheetName val="Executive Incentives"/>
      <sheetName val="Interest Coord. Adj."/>
      <sheetName val="Pro Forma Plant Additions"/>
      <sheetName val="MAOP UG-160787 Deferral"/>
      <sheetName val=" Working Capital (AMA)"/>
    </sheetNames>
    <sheetDataSet>
      <sheetData sheetId="0" refreshError="1"/>
      <sheetData sheetId="1" refreshError="1"/>
      <sheetData sheetId="2" refreshError="1"/>
      <sheetData sheetId="3" refreshError="1"/>
      <sheetData sheetId="4">
        <row r="130">
          <cell r="H130">
            <v>32794040.464584999</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ow r="16">
          <cell r="C16">
            <v>0.74299999999999999</v>
          </cell>
        </row>
        <row r="21">
          <cell r="C21">
            <v>0.75170000000000003</v>
          </cell>
        </row>
      </sheetData>
      <sheetData sheetId="23" refreshError="1"/>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Budget by State -w- FERC"/>
      <sheetName val="2020 Budget by State"/>
      <sheetName val="Sheet1"/>
    </sheetNames>
    <sheetDataSet>
      <sheetData sheetId="0">
        <row r="4">
          <cell r="E4" t="str">
            <v>FP-101413</v>
          </cell>
          <cell r="F4" t="str">
            <v>GP BUILDINGS - WALLAWALLA</v>
          </cell>
        </row>
        <row r="5">
          <cell r="E5" t="str">
            <v>FP-101416</v>
          </cell>
          <cell r="F5" t="str">
            <v>GP TOOLS - WALLAWALLA</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Figure 1"/>
      <sheetName val="Table 4, 5"/>
      <sheetName val="Table 6"/>
      <sheetName val="Table 7"/>
      <sheetName val="Exh. No. BGM-3 (1)"/>
      <sheetName val="Exh. No. BGM-3 (2)"/>
      <sheetName val=" ROO Summary Sheet"/>
      <sheetName val="Rev Req Calc"/>
      <sheetName val="Summary of Adj"/>
      <sheetName val=" Conversion Factor"/>
      <sheetName val="AWEC-20 DEPR Study"/>
      <sheetName val="Workpaper - Support Documents &gt;"/>
      <sheetName val="Index"/>
      <sheetName val="Operating Report"/>
      <sheetName val="Rate Base"/>
      <sheetName val="Plant in Serv &amp; Accum Depr"/>
      <sheetName val="Adv for Const. &amp; Def Tax"/>
      <sheetName val="Capital Structure Calculation"/>
      <sheetName val="State Allocation Formulas"/>
      <sheetName val="Adjustment Workpapers---&gt;"/>
      <sheetName val="Annualize CRM Adjustment"/>
      <sheetName val="Advertising Adj"/>
      <sheetName val="Restate Revenues Adjustment"/>
      <sheetName val="EOP Revenue Adjustment"/>
      <sheetName val="EOP Depreciation Expense Adj"/>
      <sheetName val="Restate &amp; Pro Forma Wage Adjust"/>
      <sheetName val="Executive Incentives"/>
      <sheetName val="Interest Coord. Adj."/>
      <sheetName val="Pro Forma Plant Additions"/>
      <sheetName val="MCP-6 - 2020 Plant Additions"/>
      <sheetName val="MCP-6 - Supporting Explanations"/>
      <sheetName val="MAOP UG-160787 Deferral"/>
      <sheetName val=" Working Capital (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1">
          <cell r="C21">
            <v>0.75170000000000003</v>
          </cell>
        </row>
      </sheetData>
      <sheetData sheetId="20" refreshError="1"/>
      <sheetData sheetId="21" refreshError="1"/>
      <sheetData sheetId="22" refreshError="1"/>
      <sheetData sheetId="23" refreshError="1"/>
      <sheetData sheetId="24" refreshError="1"/>
      <sheetData sheetId="25">
        <row r="17">
          <cell r="E17">
            <v>1.4999999999999999E-2</v>
          </cell>
        </row>
        <row r="20">
          <cell r="E20">
            <v>1.6399999999999998E-2</v>
          </cell>
        </row>
        <row r="22">
          <cell r="E22">
            <v>1.52E-2</v>
          </cell>
        </row>
        <row r="23">
          <cell r="E23">
            <v>2.81E-2</v>
          </cell>
        </row>
        <row r="24">
          <cell r="E24">
            <v>3.56E-2</v>
          </cell>
        </row>
        <row r="26">
          <cell r="E26">
            <v>1.9699999999999999E-2</v>
          </cell>
        </row>
        <row r="27">
          <cell r="E27">
            <v>3.3599999999999998E-2</v>
          </cell>
        </row>
        <row r="28">
          <cell r="E28">
            <v>3.4700000000000002E-2</v>
          </cell>
        </row>
        <row r="30">
          <cell r="E30">
            <v>2.6099999999999998E-2</v>
          </cell>
        </row>
        <row r="32">
          <cell r="E32">
            <v>2.1600000000000001E-2</v>
          </cell>
        </row>
        <row r="33">
          <cell r="E33">
            <v>1.7000000000000001E-2</v>
          </cell>
        </row>
        <row r="36">
          <cell r="E36">
            <v>1.44E-2</v>
          </cell>
        </row>
        <row r="44">
          <cell r="E44">
            <v>0.1066</v>
          </cell>
        </row>
        <row r="47">
          <cell r="E47">
            <v>9.6300000000000011E-2</v>
          </cell>
        </row>
        <row r="51">
          <cell r="E51">
            <v>5.5300000000000002E-2</v>
          </cell>
        </row>
      </sheetData>
      <sheetData sheetId="26" refreshError="1"/>
      <sheetData sheetId="27" refreshError="1"/>
      <sheetData sheetId="28" refreshError="1"/>
      <sheetData sheetId="29" refreshError="1"/>
      <sheetData sheetId="30">
        <row r="199">
          <cell r="H199">
            <v>66105637.284975991</v>
          </cell>
        </row>
        <row r="222">
          <cell r="J222">
            <v>2842570.6583268726</v>
          </cell>
        </row>
      </sheetData>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MCP-2"/>
      <sheetName val="Exh MCP-2 - ROO Summary Sheet"/>
      <sheetName val="Cover Page MCP-3"/>
      <sheetName val="Exh MCP-3 - Rev Req Calc"/>
      <sheetName val="Cover Page MCP-4"/>
      <sheetName val="Exh MCP-4 - Conversion Factor"/>
      <sheetName val="Cover Page MCP-5"/>
      <sheetName val="Exh MCP-5 - Summary of Adj"/>
      <sheetName val="Cover Page MCP-6"/>
      <sheetName val="MCP-6 - Supporting Explanations"/>
      <sheetName val="Workpaper - Support Documents &gt;"/>
      <sheetName val="Index"/>
      <sheetName val="Operating Report"/>
      <sheetName val="Rate Base"/>
      <sheetName val="Plant in Serv &amp; Accum Depr"/>
      <sheetName val="Adv for Const. &amp; Def Tax"/>
      <sheetName val="Capital Structure Calculation"/>
      <sheetName val="State Allocation Formulas"/>
      <sheetName val="Adjustment Workpapers---&gt;"/>
      <sheetName val="Annualize CRM Adjustment"/>
      <sheetName val="Advertising Adj"/>
      <sheetName val="Restate Revenues Adjustment"/>
      <sheetName val="EOP Revenue Adjustment"/>
      <sheetName val="EOP Depreciation Expense Adj"/>
      <sheetName val="Restate &amp; Pro Forma Wage Adjust"/>
      <sheetName val="Executive Incentives"/>
      <sheetName val="Interest Coord. Adj."/>
      <sheetName val="Pro Forma Plant Additions"/>
      <sheetName val="MAOP UG-160787 Deferral"/>
      <sheetName val=" Working Capital (AMA)"/>
      <sheetName val="Working Capital (EOP)"/>
    </sheetNames>
    <sheetDataSet>
      <sheetData sheetId="0"/>
      <sheetData sheetId="1"/>
      <sheetData sheetId="2"/>
      <sheetData sheetId="3"/>
      <sheetData sheetId="4"/>
      <sheetData sheetId="5"/>
      <sheetData sheetId="6"/>
      <sheetData sheetId="7"/>
      <sheetData sheetId="8"/>
      <sheetData sheetId="9">
        <row r="8">
          <cell r="A8">
            <v>1</v>
          </cell>
        </row>
        <row r="10">
          <cell r="A10">
            <v>2</v>
          </cell>
        </row>
        <row r="12">
          <cell r="A12">
            <v>3</v>
          </cell>
        </row>
        <row r="14">
          <cell r="A14">
            <v>4</v>
          </cell>
        </row>
        <row r="16">
          <cell r="A16">
            <v>5</v>
          </cell>
        </row>
        <row r="18">
          <cell r="A18">
            <v>6</v>
          </cell>
        </row>
        <row r="20">
          <cell r="A20">
            <v>7</v>
          </cell>
        </row>
        <row r="22">
          <cell r="A22">
            <v>8</v>
          </cell>
        </row>
        <row r="24">
          <cell r="A24">
            <v>9</v>
          </cell>
        </row>
        <row r="26">
          <cell r="A26">
            <v>10</v>
          </cell>
        </row>
      </sheetData>
      <sheetData sheetId="10"/>
      <sheetData sheetId="11"/>
      <sheetData sheetId="12"/>
      <sheetData sheetId="13"/>
      <sheetData sheetId="14"/>
      <sheetData sheetId="15"/>
      <sheetData sheetId="16"/>
      <sheetData sheetId="17">
        <row r="16">
          <cell r="C16">
            <v>0.74490000000000001</v>
          </cell>
        </row>
        <row r="21">
          <cell r="C21">
            <v>0.74850000000000005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C7A-7318-4281-9D33-B1B1D3DC4F64}">
  <dimension ref="A1:X87"/>
  <sheetViews>
    <sheetView tabSelected="1" view="pageBreakPreview" zoomScale="85" zoomScaleNormal="85" zoomScaleSheetLayoutView="85" workbookViewId="0"/>
  </sheetViews>
  <sheetFormatPr defaultColWidth="9.140625" defaultRowHeight="15.75" x14ac:dyDescent="0.25"/>
  <cols>
    <col min="1" max="1" width="9.42578125" style="77" customWidth="1"/>
    <col min="2" max="2" width="17.28515625" style="77" bestFit="1" customWidth="1"/>
    <col min="3" max="3" width="99" style="16" customWidth="1"/>
    <col min="4" max="4" width="11.7109375" style="20" hidden="1" customWidth="1"/>
    <col min="5" max="5" width="14" style="18" customWidth="1"/>
    <col min="6" max="6" width="16.85546875" style="18" hidden="1" customWidth="1"/>
    <col min="7" max="8" width="14.5703125" style="74" hidden="1" customWidth="1"/>
    <col min="9" max="9" width="38.28515625" style="20" hidden="1" customWidth="1"/>
    <col min="10" max="10" width="9.85546875" style="20" hidden="1" customWidth="1"/>
    <col min="11" max="11" width="13.5703125" style="16" customWidth="1"/>
    <col min="12" max="12" width="14.85546875" style="16" customWidth="1"/>
    <col min="13" max="13" width="0" style="16" hidden="1" customWidth="1"/>
    <col min="14" max="14" width="13.5703125" style="16" customWidth="1"/>
    <col min="15" max="15" width="12.140625" style="16" customWidth="1"/>
    <col min="16" max="16" width="0" style="16" hidden="1" customWidth="1"/>
    <col min="17" max="17" width="11.140625" style="16" customWidth="1"/>
    <col min="18" max="18" width="1.7109375" style="16" hidden="1" customWidth="1"/>
    <col min="19" max="19" width="12.140625" style="16" customWidth="1"/>
    <col min="20" max="20" width="13.42578125" style="16" bestFit="1" customWidth="1"/>
    <col min="21" max="21" width="9.140625" style="16"/>
    <col min="22" max="23" width="9.85546875" style="16" bestFit="1" customWidth="1"/>
    <col min="24" max="24" width="13.7109375" style="16" customWidth="1"/>
    <col min="25" max="16384" width="9.140625" style="16"/>
  </cols>
  <sheetData>
    <row r="1" spans="1:24" s="1" customFormat="1" ht="31.5" x14ac:dyDescent="0.25">
      <c r="D1" s="1" t="s">
        <v>0</v>
      </c>
      <c r="G1" s="2" t="s">
        <v>1</v>
      </c>
      <c r="H1" s="2" t="s">
        <v>1</v>
      </c>
      <c r="I1" s="1" t="s">
        <v>2</v>
      </c>
    </row>
    <row r="2" spans="1:24" s="6" customFormat="1" ht="63" x14ac:dyDescent="0.25">
      <c r="A2" s="3" t="s">
        <v>3</v>
      </c>
      <c r="B2" s="3" t="s">
        <v>4</v>
      </c>
      <c r="C2" s="3" t="s">
        <v>5</v>
      </c>
      <c r="D2" s="4"/>
      <c r="E2" s="3" t="s">
        <v>6</v>
      </c>
      <c r="F2" s="3"/>
      <c r="G2" s="5" t="s">
        <v>7</v>
      </c>
      <c r="H2" s="5" t="s">
        <v>8</v>
      </c>
      <c r="I2" s="3" t="s">
        <v>9</v>
      </c>
      <c r="J2" s="3"/>
      <c r="K2" s="3" t="s">
        <v>10</v>
      </c>
      <c r="L2" s="3" t="s">
        <v>11</v>
      </c>
      <c r="M2" s="4"/>
      <c r="N2" s="3" t="s">
        <v>10</v>
      </c>
      <c r="O2" s="3" t="s">
        <v>12</v>
      </c>
      <c r="P2" s="4"/>
      <c r="Q2" s="4" t="s">
        <v>13</v>
      </c>
      <c r="R2" s="4"/>
      <c r="S2" s="3" t="s">
        <v>14</v>
      </c>
      <c r="V2" s="6" t="s">
        <v>428</v>
      </c>
      <c r="W2" s="6" t="s">
        <v>273</v>
      </c>
      <c r="X2" s="6" t="s">
        <v>429</v>
      </c>
    </row>
    <row r="3" spans="1:24" ht="18.75" x14ac:dyDescent="0.3">
      <c r="A3" s="7"/>
      <c r="B3" s="8"/>
      <c r="C3" s="9" t="s">
        <v>15</v>
      </c>
      <c r="D3" s="10"/>
      <c r="E3" s="11"/>
      <c r="F3" s="11"/>
      <c r="G3" s="12"/>
      <c r="H3" s="12"/>
      <c r="I3" s="13"/>
      <c r="J3" s="10"/>
      <c r="K3" s="14"/>
      <c r="L3" s="14"/>
      <c r="M3" s="14"/>
      <c r="N3" s="14"/>
      <c r="O3" s="14"/>
      <c r="P3" s="14"/>
      <c r="Q3" s="14"/>
      <c r="R3" s="14"/>
      <c r="S3" s="15"/>
    </row>
    <row r="4" spans="1:24" ht="63" x14ac:dyDescent="0.25">
      <c r="A4" s="17">
        <v>2</v>
      </c>
      <c r="B4" s="18">
        <v>302596</v>
      </c>
      <c r="C4" s="19" t="s">
        <v>16</v>
      </c>
      <c r="D4" s="20">
        <v>258025</v>
      </c>
      <c r="E4" s="18" t="s">
        <v>17</v>
      </c>
      <c r="G4" s="21" t="s">
        <v>18</v>
      </c>
      <c r="H4" s="21" t="s">
        <v>18</v>
      </c>
      <c r="I4" s="22" t="s">
        <v>18</v>
      </c>
      <c r="J4" s="21"/>
      <c r="K4" s="23">
        <f>+INDEX('MCP-6 - 2020 Plant Additions'!$J$8:$J$194,MATCH($B4,'MCP-6 - 2020 Plant Additions'!$M$8:$M$194,0))</f>
        <v>44074</v>
      </c>
      <c r="L4" s="24">
        <f>+INDEX('MCP-6 - 2020 Plant Additions'!$H$8:$H$194,MATCH(B4,'MCP-6 - 2020 Plant Additions'!$M$8:$M$194,0))</f>
        <v>5648475</v>
      </c>
      <c r="N4" s="23">
        <f>+INDEX('MCP-6 - 2019 Plant Additions'!$J$8:$J$125,MATCH($B4,'MCP-6 - 2019 Plant Additions'!$M$8:$M$125,0))</f>
        <v>43830</v>
      </c>
      <c r="O4" s="24">
        <f>+INDEX('MCP-6 - 2019 Plant Additions'!$H$8:$H$125,MATCH($B4,'MCP-6 - 2019 Plant Additions'!$M$8:$M$125,0))</f>
        <v>4088411.51</v>
      </c>
      <c r="S4" s="25">
        <v>0</v>
      </c>
      <c r="T4" s="24"/>
      <c r="V4" s="16">
        <f>+INDEX('MCP-6 - 2020 Plant Additions'!$D$8:$D$194,MATCH(B4,'MCP-6 - 2020 Plant Additions'!$M$8:$M$194,0))</f>
        <v>303</v>
      </c>
      <c r="W4" s="169">
        <f>+INDEX('MCP-6 - 2020 Plant Addi (Depr )'!$I$206:$I$221,MATCH(V4,'MCP-6 - 2020 Plant Addi (Depr )'!$F$206:$F$221,0))</f>
        <v>0.12809999999999999</v>
      </c>
      <c r="X4" s="24">
        <f>+L4*W4</f>
        <v>723569.64749999996</v>
      </c>
    </row>
    <row r="5" spans="1:24" x14ac:dyDescent="0.25">
      <c r="A5" s="17">
        <v>7</v>
      </c>
      <c r="B5" s="18">
        <v>316587</v>
      </c>
      <c r="C5" s="19" t="s">
        <v>19</v>
      </c>
      <c r="D5" s="20">
        <v>267792</v>
      </c>
      <c r="E5" s="18" t="s">
        <v>17</v>
      </c>
      <c r="G5" s="21" t="s">
        <v>18</v>
      </c>
      <c r="H5" s="21" t="s">
        <v>18</v>
      </c>
      <c r="I5" s="22" t="s">
        <v>18</v>
      </c>
      <c r="J5" s="21"/>
      <c r="K5" s="23">
        <f>+INDEX('MCP-6 - 2020 Plant Additions'!$J$8:$J$194,MATCH($B5,'MCP-6 - 2020 Plant Additions'!$M$8:$M$194,0))</f>
        <v>44074</v>
      </c>
      <c r="L5" s="24">
        <f>+INDEX('MCP-6 - 2020 Plant Additions'!$H$8:$H$194,MATCH(B5,'MCP-6 - 2020 Plant Additions'!$M$8:$M$194,0))</f>
        <v>1308260.44</v>
      </c>
      <c r="N5" s="23">
        <f>+N4</f>
        <v>43830</v>
      </c>
      <c r="O5" s="24">
        <v>0</v>
      </c>
      <c r="S5" s="25">
        <v>0</v>
      </c>
      <c r="V5" s="16">
        <f>+INDEX('MCP-6 - 2020 Plant Additions'!$D$8:$D$194,MATCH(B5,'MCP-6 - 2020 Plant Additions'!$M$8:$M$194,0))</f>
        <v>378</v>
      </c>
      <c r="W5" s="169">
        <f>+INDEX('MCP-6 - 2020 Plant Addi (Depr )'!$I$206:$I$221,MATCH(V5,'MCP-6 - 2020 Plant Addi (Depr )'!$F$206:$F$221,0))</f>
        <v>1.9699999999999999E-2</v>
      </c>
      <c r="X5" s="24">
        <f>+L5*W5</f>
        <v>25772.730667999997</v>
      </c>
    </row>
    <row r="6" spans="1:24" x14ac:dyDescent="0.25">
      <c r="A6" s="17">
        <v>9</v>
      </c>
      <c r="B6" s="18">
        <v>316670</v>
      </c>
      <c r="C6" s="19" t="s">
        <v>19</v>
      </c>
      <c r="D6" s="20">
        <v>265760</v>
      </c>
      <c r="E6" s="18" t="s">
        <v>17</v>
      </c>
      <c r="G6" s="21">
        <v>28762.71</v>
      </c>
      <c r="H6" s="21">
        <v>33626</v>
      </c>
      <c r="I6" s="26" t="s">
        <v>20</v>
      </c>
      <c r="K6" s="23">
        <f>+INDEX('MCP-6 - 2020 Plant Additions'!$J$8:$J$194,MATCH($B6,'MCP-6 - 2020 Plant Additions'!$M$8:$M$194,0))</f>
        <v>44074</v>
      </c>
      <c r="L6" s="24">
        <f>+INDEX('MCP-6 - 2020 Plant Additions'!$H$8:$H$194,MATCH(B6,'MCP-6 - 2020 Plant Additions'!$M$8:$M$194,0))</f>
        <v>9795152</v>
      </c>
      <c r="N6" s="23">
        <f>+INDEX('MCP-6 - 2019 Plant Additions'!J10:J127,MATCH(B6,'MCP-6 - 2019 Plant Additions'!M10:M127,0))</f>
        <v>43830</v>
      </c>
      <c r="O6" s="24">
        <f>+INDEX('MCP-6 - 2019 Plant Additions'!$H$8:$H$125,MATCH($B6,'MCP-6 - 2019 Plant Additions'!$M$8:$M$125,0))</f>
        <v>7244612.3200000003</v>
      </c>
      <c r="S6" s="25">
        <v>0</v>
      </c>
      <c r="V6" s="16">
        <f>+INDEX('MCP-6 - 2020 Plant Additions'!$D$8:$D$194,MATCH(B6,'MCP-6 - 2020 Plant Additions'!$M$8:$M$194,0))</f>
        <v>376.2</v>
      </c>
      <c r="W6" s="169">
        <f>+INDEX('MCP-6 - 2020 Plant Addi (Depr )'!$I$206:$I$221,MATCH(V6,'MCP-6 - 2020 Plant Addi (Depr )'!$F$206:$F$221,0))</f>
        <v>1.52E-2</v>
      </c>
      <c r="X6" s="24">
        <f>+L6*W6</f>
        <v>148886.31039999999</v>
      </c>
    </row>
    <row r="7" spans="1:24" x14ac:dyDescent="0.25">
      <c r="A7" s="27">
        <v>12</v>
      </c>
      <c r="B7" s="28">
        <v>317535</v>
      </c>
      <c r="C7" s="29" t="s">
        <v>19</v>
      </c>
      <c r="D7" s="30">
        <v>266183</v>
      </c>
      <c r="E7" s="28" t="s">
        <v>17</v>
      </c>
      <c r="F7" s="28"/>
      <c r="G7" s="31" t="s">
        <v>18</v>
      </c>
      <c r="H7" s="31" t="s">
        <v>18</v>
      </c>
      <c r="I7" s="32" t="s">
        <v>18</v>
      </c>
      <c r="J7" s="28"/>
      <c r="K7" s="33">
        <f>+INDEX('MCP-6 - 2020 Plant Additions'!$J$8:$J$194,MATCH($B7,'MCP-6 - 2020 Plant Additions'!$M$8:$M$194,0))</f>
        <v>44074</v>
      </c>
      <c r="L7" s="34">
        <f>+INDEX('MCP-6 - 2020 Plant Additions'!$H$8:$H$194,MATCH(B7,'MCP-6 - 2020 Plant Additions'!$M$8:$M$194,0))</f>
        <v>136928</v>
      </c>
      <c r="M7" s="35"/>
      <c r="N7" s="33">
        <f>N6</f>
        <v>43830</v>
      </c>
      <c r="O7" s="34">
        <v>0</v>
      </c>
      <c r="P7" s="35"/>
      <c r="Q7" s="35"/>
      <c r="R7" s="35"/>
      <c r="S7" s="36">
        <v>0</v>
      </c>
      <c r="V7" s="16">
        <f>+INDEX('MCP-6 - 2020 Plant Additions'!$D$8:$D$194,MATCH(B7,'MCP-6 - 2020 Plant Additions'!$M$8:$M$194,0))</f>
        <v>378</v>
      </c>
      <c r="W7" s="169">
        <f>+INDEX('MCP-6 - 2020 Plant Addi (Depr )'!$I$206:$I$221,MATCH(V7,'MCP-6 - 2020 Plant Addi (Depr )'!$F$206:$F$221,0))</f>
        <v>1.9699999999999999E-2</v>
      </c>
      <c r="X7" s="24">
        <f>+L7*W7</f>
        <v>2697.4815999999996</v>
      </c>
    </row>
    <row r="8" spans="1:24" ht="18.75" x14ac:dyDescent="0.3">
      <c r="A8" s="7"/>
      <c r="B8" s="8"/>
      <c r="C8" s="9" t="s">
        <v>21</v>
      </c>
      <c r="D8" s="10"/>
      <c r="E8" s="11"/>
      <c r="F8" s="11"/>
      <c r="G8" s="12"/>
      <c r="H8" s="12"/>
      <c r="I8" s="13"/>
      <c r="J8" s="10"/>
      <c r="K8" s="14"/>
      <c r="L8" s="37"/>
      <c r="M8" s="14"/>
      <c r="N8" s="14"/>
      <c r="O8" s="14"/>
      <c r="P8" s="14"/>
      <c r="Q8" s="14"/>
      <c r="R8" s="14"/>
      <c r="S8" s="38"/>
    </row>
    <row r="9" spans="1:24" ht="63" x14ac:dyDescent="0.25">
      <c r="A9" s="17">
        <v>4</v>
      </c>
      <c r="B9" s="18">
        <v>306998</v>
      </c>
      <c r="C9" s="39" t="s">
        <v>22</v>
      </c>
      <c r="D9" s="20">
        <v>271257</v>
      </c>
      <c r="E9" s="18" t="s">
        <v>17</v>
      </c>
      <c r="G9" s="21" t="s">
        <v>18</v>
      </c>
      <c r="H9" s="21" t="s">
        <v>18</v>
      </c>
      <c r="I9" s="22" t="s">
        <v>18</v>
      </c>
      <c r="J9" s="21"/>
      <c r="K9" s="23">
        <f>+INDEX('MCP-6 - 2020 Plant Additions'!$J$8:$J$194,MATCH($B9,'MCP-6 - 2020 Plant Additions'!$M$8:$M$194,0))</f>
        <v>44155</v>
      </c>
      <c r="L9" s="24">
        <f>+INDEX('MCP-6 - 2020 Plant Additions'!$H$8:$H$194,MATCH(B9,'MCP-6 - 2020 Plant Additions'!$M$8:$M$194,0))</f>
        <v>746233</v>
      </c>
      <c r="N9" s="23"/>
      <c r="O9" s="24"/>
      <c r="S9" s="25">
        <v>0</v>
      </c>
      <c r="V9" s="16">
        <f>+INDEX('MCP-6 - 2020 Plant Additions'!$D$8:$D$194,MATCH(B9,'MCP-6 - 2020 Plant Additions'!$M$8:$M$194,0))</f>
        <v>303</v>
      </c>
      <c r="W9" s="169">
        <f>+INDEX('MCP-6 - 2020 Plant Addi (Depr )'!$I$206:$I$221,MATCH(V9,'MCP-6 - 2020 Plant Addi (Depr )'!$F$206:$F$221,0))</f>
        <v>0.12809999999999999</v>
      </c>
      <c r="X9" s="24">
        <f t="shared" ref="X9:X13" si="0">+L9*W9</f>
        <v>95592.4473</v>
      </c>
    </row>
    <row r="10" spans="1:24" x14ac:dyDescent="0.25">
      <c r="A10" s="17">
        <v>3</v>
      </c>
      <c r="B10" s="18">
        <v>306988</v>
      </c>
      <c r="C10" s="16" t="s">
        <v>23</v>
      </c>
      <c r="D10" s="20">
        <v>260878</v>
      </c>
      <c r="E10" s="18" t="s">
        <v>17</v>
      </c>
      <c r="G10" s="21" t="s">
        <v>18</v>
      </c>
      <c r="H10" s="21" t="s">
        <v>18</v>
      </c>
      <c r="I10" s="22" t="s">
        <v>18</v>
      </c>
      <c r="J10" s="21"/>
      <c r="K10" s="23">
        <f>+INDEX('MCP-6 - 2020 Plant Additions'!$J$8:$J$194,MATCH($B10,'MCP-6 - 2020 Plant Additions'!$M$8:$M$194,0))</f>
        <v>44165</v>
      </c>
      <c r="L10" s="24">
        <f>+INDEX('MCP-6 - 2020 Plant Additions'!$H$8:$H$194,MATCH(B10,'MCP-6 - 2020 Plant Additions'!$M$8:$M$194,0))</f>
        <v>3360413</v>
      </c>
      <c r="N10" s="23"/>
      <c r="O10" s="24"/>
      <c r="S10" s="25">
        <v>0</v>
      </c>
      <c r="V10" s="16">
        <f>+INDEX('MCP-6 - 2020 Plant Additions'!$D$8:$D$194,MATCH(B10,'MCP-6 - 2020 Plant Additions'!$M$8:$M$194,0))</f>
        <v>376.2</v>
      </c>
      <c r="W10" s="169">
        <f>+INDEX('MCP-6 - 2020 Plant Addi (Depr )'!$I$206:$I$221,MATCH(V10,'MCP-6 - 2020 Plant Addi (Depr )'!$F$206:$F$221,0))</f>
        <v>1.52E-2</v>
      </c>
      <c r="X10" s="24">
        <f t="shared" si="0"/>
        <v>51078.277600000001</v>
      </c>
    </row>
    <row r="11" spans="1:24" x14ac:dyDescent="0.25">
      <c r="A11" s="17">
        <v>8</v>
      </c>
      <c r="B11" s="18">
        <v>316589</v>
      </c>
      <c r="C11" s="16" t="s">
        <v>23</v>
      </c>
      <c r="D11" s="20">
        <v>275086</v>
      </c>
      <c r="E11" s="18" t="s">
        <v>17</v>
      </c>
      <c r="G11" s="21" t="s">
        <v>18</v>
      </c>
      <c r="H11" s="21" t="s">
        <v>18</v>
      </c>
      <c r="I11" s="22" t="s">
        <v>18</v>
      </c>
      <c r="J11" s="21"/>
      <c r="K11" s="23">
        <f>+INDEX('MCP-6 - 2020 Plant Additions'!$J$8:$J$194,MATCH($B11,'MCP-6 - 2020 Plant Additions'!$M$8:$M$194,0))</f>
        <v>44165</v>
      </c>
      <c r="L11" s="24">
        <f>+INDEX('MCP-6 - 2020 Plant Additions'!$H$8:$H$194,MATCH(B11,'MCP-6 - 2020 Plant Additions'!$M$8:$M$194,0))</f>
        <v>1160244.8899999999</v>
      </c>
      <c r="N11" s="23"/>
      <c r="O11" s="24"/>
      <c r="S11" s="25">
        <v>0</v>
      </c>
      <c r="V11" s="16">
        <f>+INDEX('MCP-6 - 2020 Plant Additions'!$D$8:$D$194,MATCH(B11,'MCP-6 - 2020 Plant Additions'!$M$8:$M$194,0))</f>
        <v>378</v>
      </c>
      <c r="W11" s="169">
        <f>+INDEX('MCP-6 - 2020 Plant Addi (Depr )'!$I$206:$I$221,MATCH(V11,'MCP-6 - 2020 Plant Addi (Depr )'!$F$206:$F$221,0))</f>
        <v>1.9699999999999999E-2</v>
      </c>
      <c r="X11" s="24">
        <f t="shared" si="0"/>
        <v>22856.824332999997</v>
      </c>
    </row>
    <row r="12" spans="1:24" x14ac:dyDescent="0.25">
      <c r="A12" s="17">
        <v>19</v>
      </c>
      <c r="B12" s="18">
        <v>318746</v>
      </c>
      <c r="C12" s="16" t="s">
        <v>23</v>
      </c>
      <c r="D12" s="20">
        <v>277843</v>
      </c>
      <c r="E12" s="18" t="s">
        <v>17</v>
      </c>
      <c r="G12" s="21" t="s">
        <v>18</v>
      </c>
      <c r="H12" s="21" t="s">
        <v>18</v>
      </c>
      <c r="I12" s="22" t="s">
        <v>18</v>
      </c>
      <c r="J12" s="21"/>
      <c r="K12" s="23">
        <f>+INDEX('MCP-6 - 2020 Plant Additions'!$J$8:$J$194,MATCH($B12,'MCP-6 - 2020 Plant Additions'!$M$8:$M$194,0))</f>
        <v>44155</v>
      </c>
      <c r="L12" s="24">
        <f>+INDEX('MCP-6 - 2020 Plant Additions'!$H$8:$H$194,MATCH(B12,'MCP-6 - 2020 Plant Additions'!$M$8:$M$194,0))</f>
        <v>124719</v>
      </c>
      <c r="N12" s="23"/>
      <c r="O12" s="24"/>
      <c r="S12" s="25">
        <v>0</v>
      </c>
      <c r="V12" s="16">
        <f>+INDEX('MCP-6 - 2020 Plant Additions'!$D$8:$D$194,MATCH(B12,'MCP-6 - 2020 Plant Additions'!$M$8:$M$194,0))</f>
        <v>378</v>
      </c>
      <c r="W12" s="169">
        <f>+INDEX('MCP-6 - 2020 Plant Addi (Depr )'!$I$206:$I$221,MATCH(V12,'MCP-6 - 2020 Plant Addi (Depr )'!$F$206:$F$221,0))</f>
        <v>1.9699999999999999E-2</v>
      </c>
      <c r="X12" s="24">
        <f t="shared" si="0"/>
        <v>2456.9642999999996</v>
      </c>
    </row>
    <row r="13" spans="1:24" x14ac:dyDescent="0.25">
      <c r="A13" s="27">
        <v>20</v>
      </c>
      <c r="B13" s="28">
        <v>318747</v>
      </c>
      <c r="C13" s="35" t="s">
        <v>23</v>
      </c>
      <c r="D13" s="30">
        <v>277844</v>
      </c>
      <c r="E13" s="28" t="s">
        <v>17</v>
      </c>
      <c r="F13" s="28"/>
      <c r="G13" s="31" t="s">
        <v>18</v>
      </c>
      <c r="H13" s="31" t="s">
        <v>18</v>
      </c>
      <c r="I13" s="32" t="s">
        <v>18</v>
      </c>
      <c r="J13" s="28"/>
      <c r="K13" s="33">
        <f>+INDEX('MCP-6 - 2020 Plant Additions'!$J$8:$J$194,MATCH($B13,'MCP-6 - 2020 Plant Additions'!$M$8:$M$194,0))</f>
        <v>44155</v>
      </c>
      <c r="L13" s="34">
        <f>+INDEX('MCP-6 - 2020 Plant Additions'!$H$8:$H$194,MATCH(B13,'MCP-6 - 2020 Plant Additions'!$M$8:$M$194,0))</f>
        <v>124719</v>
      </c>
      <c r="M13" s="35"/>
      <c r="N13" s="33"/>
      <c r="O13" s="34"/>
      <c r="P13" s="35"/>
      <c r="Q13" s="35"/>
      <c r="R13" s="35"/>
      <c r="S13" s="36">
        <v>0</v>
      </c>
      <c r="V13" s="16">
        <f>+INDEX('MCP-6 - 2020 Plant Additions'!$D$8:$D$194,MATCH(B13,'MCP-6 - 2020 Plant Additions'!$M$8:$M$194,0))</f>
        <v>378</v>
      </c>
      <c r="W13" s="169">
        <f>+INDEX('MCP-6 - 2020 Plant Addi (Depr )'!$I$206:$I$221,MATCH(V13,'MCP-6 - 2020 Plant Addi (Depr )'!$F$206:$F$221,0))</f>
        <v>1.9699999999999999E-2</v>
      </c>
      <c r="X13" s="24">
        <f t="shared" si="0"/>
        <v>2456.9642999999996</v>
      </c>
    </row>
    <row r="14" spans="1:24" ht="18.75" x14ac:dyDescent="0.3">
      <c r="A14" s="7"/>
      <c r="B14" s="8"/>
      <c r="C14" s="9" t="s">
        <v>24</v>
      </c>
      <c r="D14" s="10"/>
      <c r="E14" s="11"/>
      <c r="F14" s="11"/>
      <c r="G14" s="12"/>
      <c r="H14" s="12"/>
      <c r="I14" s="13"/>
      <c r="J14" s="10"/>
      <c r="K14" s="14"/>
      <c r="L14" s="37"/>
      <c r="M14" s="14"/>
      <c r="N14" s="14"/>
      <c r="O14" s="14"/>
      <c r="P14" s="14"/>
      <c r="Q14" s="14"/>
      <c r="R14" s="14"/>
      <c r="S14" s="38"/>
    </row>
    <row r="15" spans="1:24" ht="47.25" x14ac:dyDescent="0.25">
      <c r="A15" s="27">
        <v>17</v>
      </c>
      <c r="B15" s="28">
        <v>318690</v>
      </c>
      <c r="C15" s="29" t="s">
        <v>25</v>
      </c>
      <c r="D15" s="30">
        <v>278627</v>
      </c>
      <c r="E15" s="28" t="s">
        <v>26</v>
      </c>
      <c r="F15" s="28"/>
      <c r="G15" s="31" t="s">
        <v>18</v>
      </c>
      <c r="H15" s="31" t="s">
        <v>18</v>
      </c>
      <c r="I15" s="32" t="s">
        <v>18</v>
      </c>
      <c r="J15" s="28"/>
      <c r="K15" s="33">
        <f>+INDEX('MCP-6 - 2020 Plant Additions'!$J$8:$J$194,MATCH($B15,'MCP-6 - 2020 Plant Additions'!$M$8:$M$194,0))</f>
        <v>44165</v>
      </c>
      <c r="L15" s="34">
        <f>+INDEX('MCP-6 - 2020 Plant Additions'!$H$8:$H$194,MATCH(B15,'MCP-6 - 2020 Plant Additions'!$M$8:$M$194,0))</f>
        <v>312625</v>
      </c>
      <c r="M15" s="35"/>
      <c r="N15" s="33"/>
      <c r="O15" s="34"/>
      <c r="P15" s="35"/>
      <c r="Q15" s="35" t="s">
        <v>17</v>
      </c>
      <c r="R15" s="35"/>
      <c r="S15" s="36">
        <v>0</v>
      </c>
      <c r="V15" s="16">
        <f>+INDEX('MCP-6 - 2020 Plant Additions'!$D$8:$D$194,MATCH(B15,'MCP-6 - 2020 Plant Additions'!$M$8:$M$194,0))</f>
        <v>376.1</v>
      </c>
      <c r="W15" s="169">
        <f>+INDEX('MCP-6 - 2020 Plant Addi (Depr )'!$I$206:$I$221,MATCH(V15,'MCP-6 - 2020 Plant Addi (Depr )'!$F$206:$F$221,0))</f>
        <v>3.56E-2</v>
      </c>
      <c r="X15" s="24">
        <f>+L15*W15</f>
        <v>11129.45</v>
      </c>
    </row>
    <row r="16" spans="1:24" ht="18.75" x14ac:dyDescent="0.3">
      <c r="A16" s="7"/>
      <c r="B16" s="8"/>
      <c r="C16" s="9" t="s">
        <v>27</v>
      </c>
      <c r="D16" s="10"/>
      <c r="E16" s="11"/>
      <c r="F16" s="11"/>
      <c r="G16" s="12"/>
      <c r="H16" s="12"/>
      <c r="I16" s="13"/>
      <c r="J16" s="10"/>
      <c r="K16" s="14"/>
      <c r="L16" s="37"/>
      <c r="M16" s="14"/>
      <c r="N16" s="14"/>
      <c r="O16" s="14"/>
      <c r="P16" s="14"/>
      <c r="Q16" s="14"/>
      <c r="R16" s="14"/>
      <c r="S16" s="38"/>
    </row>
    <row r="17" spans="1:24" ht="63" x14ac:dyDescent="0.25">
      <c r="A17" s="27">
        <v>18</v>
      </c>
      <c r="B17" s="28">
        <v>318742</v>
      </c>
      <c r="C17" s="29" t="s">
        <v>28</v>
      </c>
      <c r="D17" s="30">
        <v>276473</v>
      </c>
      <c r="E17" s="28" t="s">
        <v>17</v>
      </c>
      <c r="F17" s="28"/>
      <c r="G17" s="31">
        <v>10000</v>
      </c>
      <c r="H17" s="31">
        <v>25000</v>
      </c>
      <c r="I17" s="40" t="s">
        <v>20</v>
      </c>
      <c r="J17" s="30"/>
      <c r="K17" s="33">
        <f>+INDEX('MCP-6 - 2020 Plant Additions'!$J$8:$J$194,MATCH($B17,'MCP-6 - 2020 Plant Additions'!$M$8:$M$194,0))</f>
        <v>44135</v>
      </c>
      <c r="L17" s="34">
        <f>+INDEX('MCP-6 - 2020 Plant Additions'!$H$8:$H$194,MATCH(B17,'MCP-6 - 2020 Plant Additions'!$M$8:$M$194,0))</f>
        <v>352513.6</v>
      </c>
      <c r="M17" s="35"/>
      <c r="N17" s="33"/>
      <c r="O17" s="34"/>
      <c r="P17" s="35"/>
      <c r="Q17" s="35" t="s">
        <v>17</v>
      </c>
      <c r="R17" s="35"/>
      <c r="S17" s="36">
        <v>0</v>
      </c>
      <c r="V17" s="16">
        <f>+INDEX('MCP-6 - 2020 Plant Additions'!$D$8:$D$194,MATCH(B17,'MCP-6 - 2020 Plant Additions'!$M$8:$M$194,0))</f>
        <v>378</v>
      </c>
      <c r="W17" s="169">
        <f>+INDEX('MCP-6 - 2020 Plant Addi (Depr )'!$I$206:$I$221,MATCH(V17,'MCP-6 - 2020 Plant Addi (Depr )'!$F$206:$F$221,0))</f>
        <v>1.9699999999999999E-2</v>
      </c>
      <c r="X17" s="24">
        <f>+L17*W17</f>
        <v>6944.5179199999993</v>
      </c>
    </row>
    <row r="18" spans="1:24" ht="18.75" x14ac:dyDescent="0.3">
      <c r="A18" s="7"/>
      <c r="B18" s="8"/>
      <c r="C18" s="9" t="s">
        <v>29</v>
      </c>
      <c r="D18" s="10"/>
      <c r="E18" s="11"/>
      <c r="F18" s="11"/>
      <c r="G18" s="12"/>
      <c r="H18" s="12"/>
      <c r="I18" s="13"/>
      <c r="J18" s="10"/>
      <c r="K18" s="14"/>
      <c r="L18" s="37"/>
      <c r="M18" s="14"/>
      <c r="N18" s="14"/>
      <c r="O18" s="14"/>
      <c r="P18" s="14"/>
      <c r="Q18" s="14"/>
      <c r="R18" s="14"/>
      <c r="S18" s="38"/>
    </row>
    <row r="19" spans="1:24" ht="47.25" x14ac:dyDescent="0.25">
      <c r="A19" s="27">
        <v>16</v>
      </c>
      <c r="B19" s="28">
        <v>318588</v>
      </c>
      <c r="C19" s="29" t="s">
        <v>30</v>
      </c>
      <c r="D19" s="30">
        <v>276477</v>
      </c>
      <c r="E19" s="28" t="s">
        <v>17</v>
      </c>
      <c r="F19" s="28"/>
      <c r="G19" s="31">
        <v>1500</v>
      </c>
      <c r="H19" s="31">
        <v>1218</v>
      </c>
      <c r="I19" s="40" t="s">
        <v>20</v>
      </c>
      <c r="J19" s="30"/>
      <c r="K19" s="33">
        <f>+INDEX('MCP-6 - 2020 Plant Additions'!$J$8:$J$194,MATCH($B19,'MCP-6 - 2020 Plant Additions'!$M$8:$M$194,0))</f>
        <v>44043</v>
      </c>
      <c r="L19" s="34">
        <f>+INDEX('MCP-6 - 2020 Plant Additions'!$H$8:$H$194,MATCH(B19,'MCP-6 - 2020 Plant Additions'!$M$8:$M$194,0))</f>
        <v>125671.29</v>
      </c>
      <c r="M19" s="35"/>
      <c r="N19" s="33"/>
      <c r="O19" s="34"/>
      <c r="P19" s="35"/>
      <c r="Q19" s="35" t="s">
        <v>17</v>
      </c>
      <c r="R19" s="35"/>
      <c r="S19" s="36">
        <v>0</v>
      </c>
      <c r="V19" s="16">
        <f>+INDEX('MCP-6 - 2020 Plant Additions'!$D$8:$D$194,MATCH(B19,'MCP-6 - 2020 Plant Additions'!$M$8:$M$194,0))</f>
        <v>376.3</v>
      </c>
      <c r="W19" s="169">
        <f>+INDEX('MCP-6 - 2020 Plant Addi (Depr )'!$I$206:$I$221,MATCH(V19,'MCP-6 - 2020 Plant Addi (Depr )'!$F$206:$F$221,0))</f>
        <v>2.81E-2</v>
      </c>
      <c r="X19" s="24">
        <f>+L19*W19</f>
        <v>3531.363249</v>
      </c>
    </row>
    <row r="20" spans="1:24" ht="18.75" x14ac:dyDescent="0.3">
      <c r="A20" s="7"/>
      <c r="B20" s="8"/>
      <c r="C20" s="9" t="s">
        <v>31</v>
      </c>
      <c r="D20" s="10"/>
      <c r="E20" s="11"/>
      <c r="F20" s="11"/>
      <c r="G20" s="12"/>
      <c r="H20" s="12"/>
      <c r="I20" s="13"/>
      <c r="J20" s="10"/>
      <c r="K20" s="14"/>
      <c r="L20" s="37"/>
      <c r="M20" s="14"/>
      <c r="N20" s="14"/>
      <c r="O20" s="14"/>
      <c r="P20" s="14"/>
      <c r="Q20" s="14"/>
      <c r="R20" s="14"/>
      <c r="S20" s="38"/>
    </row>
    <row r="21" spans="1:24" ht="47.25" x14ac:dyDescent="0.25">
      <c r="A21" s="17">
        <v>23</v>
      </c>
      <c r="B21" s="18">
        <v>318987</v>
      </c>
      <c r="C21" s="19" t="s">
        <v>32</v>
      </c>
      <c r="D21" s="20">
        <v>274152</v>
      </c>
      <c r="E21" s="18" t="s">
        <v>26</v>
      </c>
      <c r="G21" s="21" t="s">
        <v>18</v>
      </c>
      <c r="H21" s="21" t="s">
        <v>18</v>
      </c>
      <c r="I21" s="22" t="s">
        <v>18</v>
      </c>
      <c r="J21" s="21"/>
      <c r="K21" s="23">
        <f>+INDEX('MCP-6 - 2020 Plant Additions'!$J$8:$J$194,MATCH($B21,'MCP-6 - 2020 Plant Additions'!$M$8:$M$194,0))</f>
        <v>44165</v>
      </c>
      <c r="L21" s="24">
        <f>+INDEX('MCP-6 - 2020 Plant Additions'!$H$8:$H$194,MATCH(B21,'MCP-6 - 2020 Plant Additions'!$M$8:$M$194,0))</f>
        <v>4731395</v>
      </c>
      <c r="N21" s="23"/>
      <c r="O21" s="24"/>
      <c r="S21" s="25">
        <f>+L21</f>
        <v>4731395</v>
      </c>
      <c r="V21" s="16">
        <f>+INDEX('MCP-6 - 2020 Plant Additions'!$D$8:$D$194,MATCH(B21,'MCP-6 - 2020 Plant Additions'!$M$8:$M$194,0))</f>
        <v>303</v>
      </c>
      <c r="W21" s="169">
        <f>+INDEX('MCP-6 - 2020 Plant Addi (Depr )'!$I$206:$I$221,MATCH(V21,'MCP-6 - 2020 Plant Addi (Depr )'!$F$206:$F$221,0))</f>
        <v>0.12809999999999999</v>
      </c>
      <c r="X21" s="24">
        <f t="shared" ref="X21:X23" si="1">+L21*W21</f>
        <v>606091.69949999999</v>
      </c>
    </row>
    <row r="22" spans="1:24" x14ac:dyDescent="0.25">
      <c r="A22" s="17">
        <v>21</v>
      </c>
      <c r="B22" s="18">
        <v>318808</v>
      </c>
      <c r="C22" s="19" t="s">
        <v>33</v>
      </c>
      <c r="D22" s="20">
        <v>274198</v>
      </c>
      <c r="E22" s="18" t="s">
        <v>26</v>
      </c>
      <c r="G22" s="21" t="s">
        <v>18</v>
      </c>
      <c r="H22" s="21" t="s">
        <v>18</v>
      </c>
      <c r="I22" s="22" t="s">
        <v>18</v>
      </c>
      <c r="J22" s="21"/>
      <c r="K22" s="23">
        <f>+INDEX('MCP-6 - 2020 Plant Additions'!$J$8:$J$194,MATCH($B22,'MCP-6 - 2020 Plant Additions'!$M$8:$M$194,0))</f>
        <v>44165</v>
      </c>
      <c r="L22" s="24">
        <f>+INDEX('MCP-6 - 2020 Plant Additions'!$H$8:$H$194,MATCH(B22,'MCP-6 - 2020 Plant Additions'!$M$8:$M$194,0))</f>
        <v>858122</v>
      </c>
      <c r="N22" s="23"/>
      <c r="O22" s="24"/>
      <c r="S22" s="25">
        <f>+L22</f>
        <v>858122</v>
      </c>
      <c r="V22" s="16">
        <f>+INDEX('MCP-6 - 2020 Plant Additions'!$D$8:$D$194,MATCH(B22,'MCP-6 - 2020 Plant Additions'!$M$8:$M$194,0))</f>
        <v>303</v>
      </c>
      <c r="W22" s="169">
        <f>+INDEX('MCP-6 - 2020 Plant Addi (Depr )'!$I$206:$I$221,MATCH(V22,'MCP-6 - 2020 Plant Addi (Depr )'!$F$206:$F$221,0))</f>
        <v>0.12809999999999999</v>
      </c>
      <c r="X22" s="24">
        <f t="shared" si="1"/>
        <v>109925.42819999999</v>
      </c>
    </row>
    <row r="23" spans="1:24" x14ac:dyDescent="0.25">
      <c r="A23" s="27">
        <v>22</v>
      </c>
      <c r="B23" s="28">
        <v>318829</v>
      </c>
      <c r="C23" s="29" t="s">
        <v>33</v>
      </c>
      <c r="D23" s="30">
        <v>277746</v>
      </c>
      <c r="E23" s="28" t="s">
        <v>26</v>
      </c>
      <c r="F23" s="28"/>
      <c r="G23" s="41">
        <v>32000</v>
      </c>
      <c r="H23" s="41">
        <v>12596</v>
      </c>
      <c r="I23" s="40" t="s">
        <v>20</v>
      </c>
      <c r="J23" s="30"/>
      <c r="K23" s="33">
        <f>+INDEX('MCP-6 - 2020 Plant Additions'!$J$8:$J$194,MATCH($B23,'MCP-6 - 2020 Plant Additions'!$M$8:$M$194,0))</f>
        <v>44165</v>
      </c>
      <c r="L23" s="34">
        <f>+INDEX('MCP-6 - 2020 Plant Additions'!$H$8:$H$194,MATCH(B23,'MCP-6 - 2020 Plant Additions'!$M$8:$M$194,0))</f>
        <v>464483</v>
      </c>
      <c r="M23" s="35"/>
      <c r="N23" s="33"/>
      <c r="O23" s="34"/>
      <c r="P23" s="35"/>
      <c r="Q23" s="35"/>
      <c r="R23" s="35"/>
      <c r="S23" s="36">
        <f>+L23</f>
        <v>464483</v>
      </c>
      <c r="V23" s="16">
        <f>+INDEX('MCP-6 - 2020 Plant Additions'!$D$8:$D$194,MATCH(B23,'MCP-6 - 2020 Plant Additions'!$M$8:$M$194,0))</f>
        <v>378</v>
      </c>
      <c r="W23" s="169">
        <f>+INDEX('MCP-6 - 2020 Plant Addi (Depr )'!$I$206:$I$221,MATCH(V23,'MCP-6 - 2020 Plant Addi (Depr )'!$F$206:$F$221,0))</f>
        <v>1.9699999999999999E-2</v>
      </c>
      <c r="X23" s="24">
        <f t="shared" si="1"/>
        <v>9150.3150999999998</v>
      </c>
    </row>
    <row r="24" spans="1:24" ht="18.75" x14ac:dyDescent="0.3">
      <c r="A24" s="7"/>
      <c r="B24" s="8"/>
      <c r="C24" s="9" t="s">
        <v>34</v>
      </c>
      <c r="D24" s="10"/>
      <c r="E24" s="11"/>
      <c r="F24" s="11"/>
      <c r="G24" s="12"/>
      <c r="H24" s="12"/>
      <c r="I24" s="13"/>
      <c r="J24" s="10"/>
      <c r="K24" s="14"/>
      <c r="L24" s="37"/>
      <c r="M24" s="14"/>
      <c r="N24" s="14"/>
      <c r="O24" s="14"/>
      <c r="P24" s="14"/>
      <c r="Q24" s="14"/>
      <c r="R24" s="14"/>
      <c r="S24" s="38"/>
    </row>
    <row r="25" spans="1:24" ht="47.25" x14ac:dyDescent="0.25">
      <c r="A25" s="27">
        <v>10</v>
      </c>
      <c r="B25" s="28">
        <v>317060</v>
      </c>
      <c r="C25" s="29" t="s">
        <v>35</v>
      </c>
      <c r="D25" s="30">
        <v>265878</v>
      </c>
      <c r="E25" s="28" t="s">
        <v>26</v>
      </c>
      <c r="F25" s="28"/>
      <c r="G25" s="31">
        <v>25000</v>
      </c>
      <c r="H25" s="31">
        <v>15393.58</v>
      </c>
      <c r="I25" s="40" t="s">
        <v>20</v>
      </c>
      <c r="J25" s="30"/>
      <c r="K25" s="33">
        <f>+INDEX('MCP-6 - 2020 Plant Additions'!$J$8:$J$194,MATCH($B25,'MCP-6 - 2020 Plant Additions'!$M$8:$M$194,0))</f>
        <v>43850</v>
      </c>
      <c r="L25" s="34">
        <f>+INDEX('MCP-6 - 2020 Plant Additions'!$H$8:$H$194,MATCH(B25,'MCP-6 - 2020 Plant Additions'!$M$8:$M$194,0))</f>
        <v>1526471.05</v>
      </c>
      <c r="M25" s="35"/>
      <c r="N25" s="33">
        <f>+INDEX('MCP-6 - 2019 Plant Additions'!$J$8:$J$125,MATCH($B25,'MCP-6 - 2019 Plant Additions'!$M$8:$M$125,0))</f>
        <v>43703</v>
      </c>
      <c r="O25" s="34">
        <f>+INDEX('MCP-6 - 2019 Plant Additions'!$H$8:$H$125,MATCH($B25,'MCP-6 - 2019 Plant Additions'!$M$8:$M$125,0))</f>
        <v>1028640.41</v>
      </c>
      <c r="P25" s="35"/>
      <c r="Q25" s="35"/>
      <c r="R25" s="35"/>
      <c r="S25" s="36">
        <v>0</v>
      </c>
      <c r="V25" s="16">
        <f>+INDEX('MCP-6 - 2020 Plant Additions'!$D$8:$D$194,MATCH(B25,'MCP-6 - 2020 Plant Additions'!$M$8:$M$194,0))</f>
        <v>376.2</v>
      </c>
      <c r="W25" s="169">
        <f>+INDEX('MCP-6 - 2020 Plant Addi (Depr )'!$I$206:$I$221,MATCH(V25,'MCP-6 - 2020 Plant Addi (Depr )'!$F$206:$F$221,0))</f>
        <v>1.52E-2</v>
      </c>
      <c r="X25" s="24">
        <f>+L25*W25</f>
        <v>23202.359960000002</v>
      </c>
    </row>
    <row r="26" spans="1:24" ht="18.75" x14ac:dyDescent="0.3">
      <c r="A26" s="7"/>
      <c r="B26" s="8"/>
      <c r="C26" s="9" t="s">
        <v>36</v>
      </c>
      <c r="D26" s="10"/>
      <c r="E26" s="11"/>
      <c r="F26" s="11"/>
      <c r="G26" s="12"/>
      <c r="H26" s="12"/>
      <c r="I26" s="13"/>
      <c r="J26" s="10"/>
      <c r="K26" s="14"/>
      <c r="L26" s="37"/>
      <c r="M26" s="14"/>
      <c r="N26" s="14"/>
      <c r="O26" s="14"/>
      <c r="P26" s="14"/>
      <c r="Q26" s="14"/>
      <c r="R26" s="14"/>
      <c r="S26" s="38"/>
    </row>
    <row r="27" spans="1:24" ht="31.5" x14ac:dyDescent="0.25">
      <c r="A27" s="27">
        <v>25</v>
      </c>
      <c r="B27" s="28">
        <v>319063</v>
      </c>
      <c r="C27" s="29" t="s">
        <v>37</v>
      </c>
      <c r="D27" s="30">
        <v>280970</v>
      </c>
      <c r="E27" s="28" t="s">
        <v>17</v>
      </c>
      <c r="F27" s="28"/>
      <c r="G27" s="31">
        <v>15000</v>
      </c>
      <c r="H27" s="31">
        <v>16201</v>
      </c>
      <c r="I27" s="40" t="s">
        <v>20</v>
      </c>
      <c r="J27" s="30"/>
      <c r="K27" s="33">
        <f>+INDEX('MCP-6 - 2020 Plant Additions'!$J$8:$J$194,MATCH($B27,'MCP-6 - 2020 Plant Additions'!$M$8:$M$194,0))</f>
        <v>44073</v>
      </c>
      <c r="L27" s="34">
        <f>+INDEX('MCP-6 - 2020 Plant Additions'!$H$8:$H$194,MATCH(B27,'MCP-6 - 2020 Plant Additions'!$M$8:$M$194,0))</f>
        <v>144470.20000000001</v>
      </c>
      <c r="M27" s="35"/>
      <c r="N27" s="33"/>
      <c r="O27" s="34"/>
      <c r="P27" s="35"/>
      <c r="Q27" s="35" t="s">
        <v>17</v>
      </c>
      <c r="R27" s="35"/>
      <c r="S27" s="36">
        <v>0</v>
      </c>
      <c r="V27" s="16">
        <f>+INDEX('MCP-6 - 2020 Plant Additions'!$D$8:$D$194,MATCH(B27,'MCP-6 - 2020 Plant Additions'!$M$8:$M$194,0))</f>
        <v>378</v>
      </c>
      <c r="W27" s="169">
        <f>+INDEX('MCP-6 - 2020 Plant Addi (Depr )'!$I$206:$I$221,MATCH(V27,'MCP-6 - 2020 Plant Addi (Depr )'!$F$206:$F$221,0))</f>
        <v>1.9699999999999999E-2</v>
      </c>
      <c r="X27" s="24">
        <f>+L27*W27</f>
        <v>2846.0629400000003</v>
      </c>
    </row>
    <row r="28" spans="1:24" ht="18.75" x14ac:dyDescent="0.3">
      <c r="A28" s="7"/>
      <c r="B28" s="8"/>
      <c r="C28" s="9" t="s">
        <v>38</v>
      </c>
      <c r="D28" s="10"/>
      <c r="E28" s="11"/>
      <c r="F28" s="11"/>
      <c r="G28" s="12"/>
      <c r="H28" s="12"/>
      <c r="I28" s="13"/>
      <c r="J28" s="10"/>
      <c r="K28" s="14"/>
      <c r="L28" s="37"/>
      <c r="M28" s="14"/>
      <c r="N28" s="14"/>
      <c r="O28" s="14"/>
      <c r="P28" s="14"/>
      <c r="Q28" s="14"/>
      <c r="R28" s="14"/>
      <c r="S28" s="38"/>
    </row>
    <row r="29" spans="1:24" ht="47.25" x14ac:dyDescent="0.25">
      <c r="A29" s="27">
        <v>14</v>
      </c>
      <c r="B29" s="28">
        <v>318482</v>
      </c>
      <c r="C29" s="29" t="s">
        <v>39</v>
      </c>
      <c r="D29" s="30">
        <v>277350</v>
      </c>
      <c r="E29" s="28" t="s">
        <v>26</v>
      </c>
      <c r="F29" s="28"/>
      <c r="G29" s="31">
        <v>30000</v>
      </c>
      <c r="H29" s="31">
        <v>0</v>
      </c>
      <c r="I29" s="32" t="s">
        <v>18</v>
      </c>
      <c r="J29" s="28"/>
      <c r="K29" s="33">
        <f>+INDEX('MCP-6 - 2020 Plant Additions'!$J$8:$J$194,MATCH($B29,'MCP-6 - 2020 Plant Additions'!$M$8:$M$194,0))</f>
        <v>44042</v>
      </c>
      <c r="L29" s="34">
        <f>+INDEX('MCP-6 - 2020 Plant Additions'!$H$8:$H$194,MATCH(B29,'MCP-6 - 2020 Plant Additions'!$M$8:$M$194,0))</f>
        <v>433146.02</v>
      </c>
      <c r="M29" s="35"/>
      <c r="N29" s="33"/>
      <c r="O29" s="34"/>
      <c r="P29" s="35"/>
      <c r="Q29" s="35" t="s">
        <v>17</v>
      </c>
      <c r="R29" s="35"/>
      <c r="S29" s="36">
        <v>0</v>
      </c>
      <c r="V29" s="16">
        <f>+INDEX('MCP-6 - 2020 Plant Additions'!$D$8:$D$194,MATCH(B29,'MCP-6 - 2020 Plant Additions'!$M$8:$M$194,0))</f>
        <v>376.3</v>
      </c>
      <c r="W29" s="169">
        <f>+INDEX('MCP-6 - 2020 Plant Addi (Depr )'!$I$206:$I$221,MATCH(V29,'MCP-6 - 2020 Plant Addi (Depr )'!$F$206:$F$221,0))</f>
        <v>2.81E-2</v>
      </c>
      <c r="X29" s="24">
        <f>+L29*W29</f>
        <v>12171.403162000001</v>
      </c>
    </row>
    <row r="30" spans="1:24" ht="18.75" x14ac:dyDescent="0.3">
      <c r="A30" s="7"/>
      <c r="B30" s="8"/>
      <c r="C30" s="9" t="s">
        <v>40</v>
      </c>
      <c r="D30" s="10"/>
      <c r="E30" s="11"/>
      <c r="F30" s="11"/>
      <c r="G30" s="12"/>
      <c r="H30" s="12"/>
      <c r="I30" s="13"/>
      <c r="J30" s="10"/>
      <c r="K30" s="14"/>
      <c r="L30" s="37"/>
      <c r="M30" s="14"/>
      <c r="N30" s="14"/>
      <c r="O30" s="14"/>
      <c r="P30" s="14"/>
      <c r="Q30" s="14"/>
      <c r="R30" s="14"/>
      <c r="S30" s="38"/>
    </row>
    <row r="31" spans="1:24" ht="47.25" x14ac:dyDescent="0.25">
      <c r="A31" s="17">
        <v>1</v>
      </c>
      <c r="B31" s="18">
        <v>300233</v>
      </c>
      <c r="C31" s="19" t="s">
        <v>41</v>
      </c>
      <c r="D31" s="20">
        <v>259782</v>
      </c>
      <c r="E31" s="42" t="s">
        <v>42</v>
      </c>
      <c r="F31" s="43"/>
      <c r="G31" s="21" t="s">
        <v>18</v>
      </c>
      <c r="H31" s="21" t="s">
        <v>18</v>
      </c>
      <c r="I31" s="44" t="s">
        <v>18</v>
      </c>
      <c r="J31" s="18"/>
      <c r="K31" s="23">
        <f>+INDEX('MCP-6 - 2020 Plant Additions'!$J$8:$J$194,MATCH($B31,'MCP-6 - 2020 Plant Additions'!$M$8:$M$194,0))</f>
        <v>44012</v>
      </c>
      <c r="L31" s="24">
        <f>+INDEX('MCP-6 - 2020 Plant Additions'!$H$8:$H$194,MATCH(B31,'MCP-6 - 2020 Plant Additions'!$M$8:$M$194,0))</f>
        <v>2757265.26</v>
      </c>
      <c r="N31" s="23"/>
      <c r="O31" s="24"/>
      <c r="S31" s="25">
        <v>0</v>
      </c>
      <c r="V31" s="16">
        <f>+INDEX('MCP-6 - 2020 Plant Additions'!$D$8:$D$194,MATCH(B31,'MCP-6 - 2020 Plant Additions'!$M$8:$M$194,0))</f>
        <v>376.2</v>
      </c>
      <c r="W31" s="169">
        <f>+INDEX('MCP-6 - 2020 Plant Addi (Depr )'!$I$206:$I$221,MATCH(V31,'MCP-6 - 2020 Plant Addi (Depr )'!$F$206:$F$221,0))</f>
        <v>1.52E-2</v>
      </c>
      <c r="X31" s="24">
        <f t="shared" ref="X31:X33" si="2">+L31*W31</f>
        <v>41910.431951999999</v>
      </c>
    </row>
    <row r="32" spans="1:24" ht="31.5" x14ac:dyDescent="0.25">
      <c r="A32" s="17">
        <v>6</v>
      </c>
      <c r="B32" s="18">
        <v>316586</v>
      </c>
      <c r="C32" s="39" t="s">
        <v>43</v>
      </c>
      <c r="D32" s="20">
        <v>266951</v>
      </c>
      <c r="E32" s="42" t="s">
        <v>42</v>
      </c>
      <c r="F32" s="43"/>
      <c r="G32" s="45">
        <v>25000</v>
      </c>
      <c r="H32" s="45">
        <v>8999</v>
      </c>
      <c r="I32" s="26" t="s">
        <v>20</v>
      </c>
      <c r="K32" s="23">
        <f>+INDEX('MCP-6 - 2020 Plant Additions'!$J$8:$J$194,MATCH($B32,'MCP-6 - 2020 Plant Additions'!$M$8:$M$194,0))</f>
        <v>44012</v>
      </c>
      <c r="L32" s="24">
        <f>+INDEX('MCP-6 - 2020 Plant Additions'!$H$8:$H$194,MATCH(B32,'MCP-6 - 2020 Plant Additions'!$M$8:$M$194,0))</f>
        <v>1015615.47</v>
      </c>
      <c r="N32" s="46">
        <f>+INDEX('MCP-6 - 2019 Plant Additions'!$J$8:$J$125,MATCH($B32,'MCP-6 - 2019 Plant Additions'!$M$8:$M$125,0))</f>
        <v>43830</v>
      </c>
      <c r="O32" s="47">
        <f>+INDEX('MCP-6 - 2019 Plant Additions'!$H$8:$H$125,MATCH($B32,'MCP-6 - 2019 Plant Additions'!$M$8:$M$125,0))</f>
        <v>1038473.63</v>
      </c>
      <c r="S32" s="25">
        <v>0</v>
      </c>
      <c r="V32" s="16">
        <f>+INDEX('MCP-6 - 2020 Plant Additions'!$D$8:$D$194,MATCH(B32,'MCP-6 - 2020 Plant Additions'!$M$8:$M$194,0))</f>
        <v>378</v>
      </c>
      <c r="W32" s="169">
        <f>+INDEX('MCP-6 - 2020 Plant Addi (Depr )'!$I$206:$I$221,MATCH(V32,'MCP-6 - 2020 Plant Addi (Depr )'!$F$206:$F$221,0))</f>
        <v>1.9699999999999999E-2</v>
      </c>
      <c r="X32" s="24">
        <f t="shared" si="2"/>
        <v>20007.624758999998</v>
      </c>
    </row>
    <row r="33" spans="1:24" ht="31.5" x14ac:dyDescent="0.25">
      <c r="A33" s="27">
        <v>11</v>
      </c>
      <c r="B33" s="28">
        <v>317322</v>
      </c>
      <c r="C33" s="29" t="s">
        <v>43</v>
      </c>
      <c r="D33" s="30">
        <v>259872</v>
      </c>
      <c r="E33" s="48" t="s">
        <v>42</v>
      </c>
      <c r="F33" s="49"/>
      <c r="G33" s="31" t="s">
        <v>18</v>
      </c>
      <c r="H33" s="31" t="s">
        <v>18</v>
      </c>
      <c r="I33" s="32" t="s">
        <v>18</v>
      </c>
      <c r="J33" s="28"/>
      <c r="K33" s="33">
        <f>+INDEX('MCP-6 - 2020 Plant Additions'!$J$8:$J$194,MATCH($B33,'MCP-6 - 2020 Plant Additions'!$M$8:$M$194,0))</f>
        <v>44012</v>
      </c>
      <c r="L33" s="34">
        <f>+INDEX('MCP-6 - 2020 Plant Additions'!$H$8:$H$194,MATCH(B33,'MCP-6 - 2020 Plant Additions'!$M$8:$M$194,0))</f>
        <v>882417.45</v>
      </c>
      <c r="M33" s="35"/>
      <c r="N33" s="50">
        <f>+INDEX('MCP-6 - 2019 Plant Additions'!$J$8:$J$125,MATCH($B33,'MCP-6 - 2019 Plant Additions'!$M$8:$M$125,0))</f>
        <v>43617</v>
      </c>
      <c r="O33" s="51">
        <f>+INDEX('MCP-6 - 2019 Plant Additions'!$H$8:$H$125,MATCH($B33,'MCP-6 - 2019 Plant Additions'!$M$8:$M$125,0))</f>
        <v>965778.4</v>
      </c>
      <c r="P33" s="35"/>
      <c r="Q33" s="35"/>
      <c r="R33" s="35"/>
      <c r="S33" s="36">
        <v>0</v>
      </c>
      <c r="V33" s="16">
        <f>+INDEX('MCP-6 - 2020 Plant Additions'!$D$8:$D$194,MATCH(B33,'MCP-6 - 2020 Plant Additions'!$M$8:$M$194,0))</f>
        <v>303</v>
      </c>
      <c r="W33" s="169">
        <f>+INDEX('MCP-6 - 2020 Plant Addi (Depr )'!$I$206:$I$221,MATCH(V33,'MCP-6 - 2020 Plant Addi (Depr )'!$F$206:$F$221,0))</f>
        <v>0.12809999999999999</v>
      </c>
      <c r="X33" s="24">
        <f t="shared" si="2"/>
        <v>113037.67534499998</v>
      </c>
    </row>
    <row r="34" spans="1:24" ht="18.75" x14ac:dyDescent="0.3">
      <c r="A34" s="7"/>
      <c r="B34" s="8"/>
      <c r="C34" s="9" t="s">
        <v>44</v>
      </c>
      <c r="D34" s="10"/>
      <c r="E34" s="11"/>
      <c r="F34" s="52"/>
      <c r="G34" s="12"/>
      <c r="H34" s="12"/>
      <c r="I34" s="13"/>
      <c r="J34" s="10"/>
      <c r="K34" s="14"/>
      <c r="L34" s="37"/>
      <c r="M34" s="14"/>
      <c r="N34" s="14"/>
      <c r="O34" s="14"/>
      <c r="P34" s="14"/>
      <c r="Q34" s="14"/>
      <c r="R34" s="14"/>
      <c r="S34" s="38"/>
    </row>
    <row r="35" spans="1:24" ht="47.25" x14ac:dyDescent="0.25">
      <c r="A35" s="27">
        <v>13</v>
      </c>
      <c r="B35" s="28">
        <v>318352</v>
      </c>
      <c r="C35" s="53" t="s">
        <v>45</v>
      </c>
      <c r="D35" s="30">
        <v>275134</v>
      </c>
      <c r="E35" s="48" t="s">
        <v>42</v>
      </c>
      <c r="F35" s="48"/>
      <c r="G35" s="31">
        <v>0</v>
      </c>
      <c r="H35" s="31">
        <v>57276</v>
      </c>
      <c r="I35" s="28" t="s">
        <v>20</v>
      </c>
      <c r="J35" s="28"/>
      <c r="K35" s="33">
        <f>+INDEX('MCP-6 - 2020 Plant Additions'!$J$8:$J$194,MATCH($B35,'MCP-6 - 2020 Plant Additions'!$M$8:$M$194,0))</f>
        <v>44134</v>
      </c>
      <c r="L35" s="34">
        <f>+INDEX('MCP-6 - 2020 Plant Additions'!$H$8:$H$194,MATCH(B35,'MCP-6 - 2020 Plant Additions'!$M$8:$M$194,0))</f>
        <v>1064539.08</v>
      </c>
      <c r="M35" s="35"/>
      <c r="N35" s="33"/>
      <c r="O35" s="34"/>
      <c r="P35" s="35"/>
      <c r="Q35" s="35"/>
      <c r="R35" s="35"/>
      <c r="S35" s="36">
        <f>+L35</f>
        <v>1064539.08</v>
      </c>
      <c r="V35" s="16">
        <f>+INDEX('MCP-6 - 2020 Plant Additions'!$D$8:$D$194,MATCH(B35,'MCP-6 - 2020 Plant Additions'!$M$8:$M$194,0))</f>
        <v>390.1</v>
      </c>
      <c r="W35" s="169">
        <f>+INDEX('MCP-6 - 2020 Plant Addi (Depr )'!$I$206:$I$221,MATCH(V35,'MCP-6 - 2020 Plant Addi (Depr )'!$F$206:$F$221,0))</f>
        <v>1.44E-2</v>
      </c>
      <c r="X35" s="24">
        <f>+L35*W35</f>
        <v>15329.362752000001</v>
      </c>
    </row>
    <row r="36" spans="1:24" ht="18.75" x14ac:dyDescent="0.3">
      <c r="A36" s="54"/>
      <c r="B36" s="8"/>
      <c r="C36" s="9" t="s">
        <v>46</v>
      </c>
      <c r="D36" s="10"/>
      <c r="E36" s="11"/>
      <c r="F36" s="11"/>
      <c r="G36" s="12"/>
      <c r="H36" s="12"/>
      <c r="I36" s="10"/>
      <c r="J36" s="10"/>
      <c r="K36" s="14"/>
      <c r="L36" s="37"/>
      <c r="M36" s="14"/>
      <c r="N36" s="14"/>
      <c r="O36" s="14"/>
      <c r="P36" s="14"/>
      <c r="Q36" s="14"/>
      <c r="R36" s="14"/>
      <c r="S36" s="38"/>
    </row>
    <row r="37" spans="1:24" ht="47.25" x14ac:dyDescent="0.25">
      <c r="A37" s="55">
        <v>5</v>
      </c>
      <c r="B37" s="28">
        <v>316429</v>
      </c>
      <c r="C37" s="29" t="s">
        <v>47</v>
      </c>
      <c r="D37" s="30">
        <v>251913</v>
      </c>
      <c r="E37" s="48" t="s">
        <v>42</v>
      </c>
      <c r="F37" s="48"/>
      <c r="G37" s="31" t="s">
        <v>18</v>
      </c>
      <c r="H37" s="31" t="s">
        <v>18</v>
      </c>
      <c r="I37" s="28" t="s">
        <v>18</v>
      </c>
      <c r="J37" s="28"/>
      <c r="K37" s="33">
        <f>+INDEX('MCP-6 - 2020 Plant Additions'!$J$8:$J$194,MATCH($B37,'MCP-6 - 2020 Plant Additions'!$M$8:$M$194,0))</f>
        <v>44042</v>
      </c>
      <c r="L37" s="34">
        <f>+INDEX('MCP-6 - 2020 Plant Additions'!$H$8:$H$194,MATCH(B37,'MCP-6 - 2020 Plant Additions'!$M$8:$M$194,0))</f>
        <v>4257740</v>
      </c>
      <c r="M37" s="35"/>
      <c r="N37" s="50">
        <f>+INDEX('MCP-6 - 2019 Plant Additions'!$J$8:$J$125,MATCH($B37,'MCP-6 - 2019 Plant Additions'!$M$8:$M$125,0))</f>
        <v>43830</v>
      </c>
      <c r="O37" s="51">
        <f>+INDEX('MCP-6 - 2019 Plant Additions'!$H$8:$H$125,MATCH($B37,'MCP-6 - 2019 Plant Additions'!$M$8:$M$125,0))</f>
        <v>2282179.7200000002</v>
      </c>
      <c r="P37" s="35"/>
      <c r="Q37" s="35"/>
      <c r="R37" s="35"/>
      <c r="S37" s="36">
        <v>0</v>
      </c>
      <c r="V37" s="16">
        <f>+INDEX('MCP-6 - 2020 Plant Additions'!$D$8:$D$194,MATCH(B37,'MCP-6 - 2020 Plant Additions'!$M$8:$M$194,0))</f>
        <v>376.2</v>
      </c>
      <c r="W37" s="169">
        <f>+INDEX('MCP-6 - 2020 Plant Addi (Depr )'!$I$206:$I$221,MATCH(V37,'MCP-6 - 2020 Plant Addi (Depr )'!$F$206:$F$221,0))</f>
        <v>1.52E-2</v>
      </c>
      <c r="X37" s="24">
        <f>+L37*W37</f>
        <v>64717.648000000001</v>
      </c>
    </row>
    <row r="38" spans="1:24" ht="18.75" x14ac:dyDescent="0.3">
      <c r="A38" s="54"/>
      <c r="B38" s="8"/>
      <c r="C38" s="9" t="s">
        <v>48</v>
      </c>
      <c r="D38" s="10"/>
      <c r="E38" s="11"/>
      <c r="F38" s="11"/>
      <c r="G38" s="12"/>
      <c r="H38" s="12"/>
      <c r="I38" s="10"/>
      <c r="J38" s="10"/>
      <c r="K38" s="14"/>
      <c r="L38" s="37"/>
      <c r="M38" s="14"/>
      <c r="N38" s="14"/>
      <c r="O38" s="14"/>
      <c r="P38" s="14"/>
      <c r="Q38" s="14"/>
      <c r="R38" s="14"/>
      <c r="S38" s="38"/>
    </row>
    <row r="39" spans="1:24" ht="31.5" x14ac:dyDescent="0.25">
      <c r="A39" s="55">
        <v>15</v>
      </c>
      <c r="B39" s="28">
        <v>318566</v>
      </c>
      <c r="C39" s="29" t="s">
        <v>49</v>
      </c>
      <c r="D39" s="30">
        <v>278450</v>
      </c>
      <c r="E39" s="48" t="s">
        <v>42</v>
      </c>
      <c r="F39" s="48"/>
      <c r="G39" s="31">
        <v>20000</v>
      </c>
      <c r="H39" s="31">
        <v>431</v>
      </c>
      <c r="I39" s="28" t="s">
        <v>20</v>
      </c>
      <c r="J39" s="28"/>
      <c r="K39" s="33">
        <f>+INDEX('MCP-6 - 2020 Plant Additions'!$J$8:$J$194,MATCH($B39,'MCP-6 - 2020 Plant Additions'!$M$8:$M$194,0))</f>
        <v>44104</v>
      </c>
      <c r="L39" s="34">
        <f>+INDEX('MCP-6 - 2020 Plant Additions'!$H$8:$H$194,MATCH(B39,'MCP-6 - 2020 Plant Additions'!$M$8:$M$194,0))</f>
        <v>177166.29</v>
      </c>
      <c r="M39" s="35"/>
      <c r="N39" s="33"/>
      <c r="O39" s="34"/>
      <c r="P39" s="35"/>
      <c r="Q39" s="35" t="s">
        <v>17</v>
      </c>
      <c r="R39" s="35"/>
      <c r="S39" s="36"/>
      <c r="V39" s="16">
        <f>+INDEX('MCP-6 - 2020 Plant Additions'!$D$8:$D$194,MATCH(B39,'MCP-6 - 2020 Plant Additions'!$M$8:$M$194,0))</f>
        <v>378</v>
      </c>
      <c r="W39" s="169">
        <f>+INDEX('MCP-6 - 2020 Plant Addi (Depr )'!$I$206:$I$221,MATCH(V39,'MCP-6 - 2020 Plant Addi (Depr )'!$F$206:$F$221,0))</f>
        <v>1.9699999999999999E-2</v>
      </c>
      <c r="X39" s="24">
        <f>+L39*W39</f>
        <v>3490.175913</v>
      </c>
    </row>
    <row r="40" spans="1:24" ht="18.75" x14ac:dyDescent="0.3">
      <c r="A40" s="54"/>
      <c r="B40" s="8"/>
      <c r="C40" s="9" t="s">
        <v>50</v>
      </c>
      <c r="D40" s="10"/>
      <c r="E40" s="11"/>
      <c r="F40" s="11"/>
      <c r="G40" s="12"/>
      <c r="H40" s="12"/>
      <c r="I40" s="10"/>
      <c r="J40" s="10"/>
      <c r="K40" s="14"/>
      <c r="L40" s="37"/>
      <c r="M40" s="14"/>
      <c r="N40" s="14"/>
      <c r="O40" s="14"/>
      <c r="P40" s="14"/>
      <c r="Q40" s="14"/>
      <c r="R40" s="14"/>
      <c r="S40" s="38"/>
    </row>
    <row r="41" spans="1:24" ht="31.5" x14ac:dyDescent="0.25">
      <c r="A41" s="55">
        <v>24</v>
      </c>
      <c r="B41" s="28">
        <v>319056</v>
      </c>
      <c r="C41" s="29" t="s">
        <v>51</v>
      </c>
      <c r="D41" s="28" t="s">
        <v>18</v>
      </c>
      <c r="E41" s="48" t="s">
        <v>42</v>
      </c>
      <c r="F41" s="48"/>
      <c r="G41" s="31">
        <v>0</v>
      </c>
      <c r="H41" s="31">
        <v>0</v>
      </c>
      <c r="I41" s="28" t="s">
        <v>52</v>
      </c>
      <c r="J41" s="28"/>
      <c r="K41" s="33">
        <f>+INDEX('MCP-6 - 2020 Plant Additions'!$J$8:$J$194,MATCH($B41,'MCP-6 - 2020 Plant Additions'!$M$8:$M$194,0))</f>
        <v>44073</v>
      </c>
      <c r="L41" s="34">
        <f>+INDEX('MCP-6 - 2020 Plant Additions'!$H$8:$H$194,MATCH(B41,'MCP-6 - 2020 Plant Additions'!$M$8:$M$194,0))</f>
        <v>143033.60000000001</v>
      </c>
      <c r="M41" s="35"/>
      <c r="N41" s="33"/>
      <c r="O41" s="34"/>
      <c r="P41" s="35"/>
      <c r="Q41" s="35" t="s">
        <v>17</v>
      </c>
      <c r="R41" s="35"/>
      <c r="S41" s="36"/>
      <c r="V41" s="16">
        <f>+INDEX('MCP-6 - 2020 Plant Additions'!$D$8:$D$194,MATCH(B41,'MCP-6 - 2020 Plant Additions'!$M$8:$M$194,0))</f>
        <v>378</v>
      </c>
      <c r="W41" s="169">
        <f>+INDEX('MCP-6 - 2020 Plant Addi (Depr )'!$I$206:$I$221,MATCH(V41,'MCP-6 - 2020 Plant Addi (Depr )'!$F$206:$F$221,0))</f>
        <v>1.9699999999999999E-2</v>
      </c>
      <c r="X41" s="24">
        <f>+L41*W41</f>
        <v>2817.7619199999999</v>
      </c>
    </row>
    <row r="42" spans="1:24" x14ac:dyDescent="0.25">
      <c r="A42" s="56"/>
      <c r="B42" s="57"/>
      <c r="C42" s="57"/>
      <c r="D42" s="58"/>
      <c r="E42" s="59"/>
      <c r="F42" s="59"/>
      <c r="G42" s="60"/>
      <c r="H42" s="60"/>
      <c r="I42" s="58"/>
      <c r="J42" s="58"/>
      <c r="K42" s="57"/>
      <c r="L42" s="57"/>
      <c r="M42" s="57"/>
      <c r="N42" s="57"/>
      <c r="O42" s="57"/>
      <c r="P42" s="57"/>
      <c r="Q42" s="57"/>
      <c r="R42" s="57"/>
      <c r="S42" s="61"/>
    </row>
    <row r="43" spans="1:24" ht="18.75" x14ac:dyDescent="0.3">
      <c r="A43" s="62"/>
      <c r="B43" s="63"/>
      <c r="C43" s="64" t="s">
        <v>53</v>
      </c>
      <c r="D43" s="65"/>
      <c r="E43" s="66"/>
      <c r="F43" s="66"/>
      <c r="G43" s="67"/>
      <c r="H43" s="67"/>
      <c r="I43" s="65"/>
      <c r="J43" s="65"/>
      <c r="K43" s="63"/>
      <c r="L43" s="68">
        <f>+SUM(L4:L41)</f>
        <v>41651818.640000001</v>
      </c>
      <c r="M43" s="63"/>
      <c r="N43" s="63"/>
      <c r="O43" s="63"/>
      <c r="P43" s="63"/>
      <c r="Q43" s="63"/>
      <c r="R43" s="63"/>
      <c r="S43" s="69">
        <f>+SUM(S4:S41)</f>
        <v>7118539.0800000001</v>
      </c>
      <c r="X43" s="68">
        <f>+SUM(X4:X41)</f>
        <v>2121670.9286730001</v>
      </c>
    </row>
    <row r="44" spans="1:24" ht="18.75" x14ac:dyDescent="0.3">
      <c r="A44" s="70"/>
      <c r="B44" s="57"/>
      <c r="C44" s="71"/>
      <c r="D44" s="58"/>
      <c r="E44" s="59"/>
      <c r="F44" s="59"/>
      <c r="G44" s="60"/>
      <c r="H44" s="60"/>
      <c r="I44" s="58"/>
      <c r="J44" s="58"/>
      <c r="K44" s="57"/>
      <c r="L44" s="72"/>
      <c r="M44" s="57"/>
      <c r="N44" s="57"/>
      <c r="O44" s="57"/>
      <c r="P44" s="57"/>
      <c r="Q44" s="57"/>
      <c r="R44" s="57"/>
      <c r="S44" s="72"/>
    </row>
    <row r="45" spans="1:24" ht="18.75" x14ac:dyDescent="0.3">
      <c r="A45" s="20"/>
      <c r="B45" s="20"/>
      <c r="C45" s="73"/>
      <c r="S45" s="24"/>
    </row>
    <row r="46" spans="1:24" ht="18.75" x14ac:dyDescent="0.3">
      <c r="A46" s="75"/>
      <c r="B46" s="10"/>
      <c r="C46" s="9" t="s">
        <v>54</v>
      </c>
      <c r="D46" s="10"/>
      <c r="E46" s="11"/>
      <c r="F46" s="11"/>
      <c r="G46" s="12"/>
      <c r="H46" s="12"/>
      <c r="I46" s="10"/>
      <c r="J46" s="10"/>
      <c r="K46" s="14"/>
      <c r="L46" s="14"/>
      <c r="M46" s="14"/>
      <c r="N46" s="14"/>
      <c r="O46" s="14"/>
      <c r="P46" s="14"/>
      <c r="Q46" s="14"/>
      <c r="R46" s="14"/>
      <c r="S46" s="38"/>
    </row>
    <row r="47" spans="1:24" x14ac:dyDescent="0.25">
      <c r="A47" s="76"/>
      <c r="B47" s="77">
        <v>101194</v>
      </c>
      <c r="C47" s="78" t="s">
        <v>55</v>
      </c>
      <c r="G47" s="45"/>
      <c r="H47" s="45"/>
      <c r="K47" s="16" t="s">
        <v>56</v>
      </c>
      <c r="L47" s="79">
        <v>611717</v>
      </c>
      <c r="S47" s="25">
        <v>0</v>
      </c>
      <c r="V47" s="16">
        <f>+INDEX('MCP-6 - 2020 Plant Additions'!$D$8:$D$194,MATCH(B47,'MCP-6 - 2020 Plant Additions'!$M$8:$M$194,0))</f>
        <v>378</v>
      </c>
      <c r="W47" s="169">
        <f>+INDEX('MCP-6 - 2020 Plant Addi (Depr )'!$I$206:$I$221,MATCH(V47,'MCP-6 - 2020 Plant Addi (Depr )'!$F$206:$F$221,0))</f>
        <v>1.9699999999999999E-2</v>
      </c>
      <c r="X47" s="24">
        <f t="shared" ref="X47:X67" si="3">+L47*W47</f>
        <v>12050.8249</v>
      </c>
    </row>
    <row r="48" spans="1:24" x14ac:dyDescent="0.25">
      <c r="A48" s="76"/>
      <c r="B48" s="77">
        <v>101210</v>
      </c>
      <c r="C48" s="78" t="s">
        <v>57</v>
      </c>
      <c r="G48" s="45"/>
      <c r="H48" s="45"/>
      <c r="K48" s="16" t="s">
        <v>56</v>
      </c>
      <c r="L48" s="79">
        <v>2946051.574976</v>
      </c>
      <c r="S48" s="25">
        <v>0</v>
      </c>
      <c r="V48" s="16">
        <f>+INDEX('MCP-6 - 2020 Plant Additions'!$D$8:$D$194,MATCH(B48,'MCP-6 - 2020 Plant Additions'!$M$8:$M$194,0))</f>
        <v>381</v>
      </c>
      <c r="W48" s="169">
        <f>+INDEX('MCP-6 - 2020 Plant Addi (Depr )'!$I$206:$I$221,MATCH(V48,'MCP-6 - 2020 Plant Addi (Depr )'!$F$206:$F$221,0))</f>
        <v>2.6099999999999998E-2</v>
      </c>
      <c r="X48" s="24">
        <f t="shared" si="3"/>
        <v>76891.946106873598</v>
      </c>
    </row>
    <row r="49" spans="1:24" x14ac:dyDescent="0.25">
      <c r="A49" s="76"/>
      <c r="B49" s="77">
        <v>317628</v>
      </c>
      <c r="C49" s="16" t="s">
        <v>58</v>
      </c>
      <c r="G49" s="45"/>
      <c r="H49" s="45"/>
      <c r="K49" s="16" t="s">
        <v>56</v>
      </c>
      <c r="L49" s="79">
        <v>639913.04</v>
      </c>
      <c r="S49" s="25">
        <v>0</v>
      </c>
      <c r="V49" s="16">
        <f>+INDEX('MCP-6 - 2020 Plant Additions'!$D$8:$D$194,MATCH(B49,'MCP-6 - 2020 Plant Additions'!$M$8:$M$194,0))</f>
        <v>376.3</v>
      </c>
      <c r="W49" s="169">
        <f>+INDEX('MCP-6 - 2020 Plant Addi (Depr )'!$I$206:$I$221,MATCH(V49,'MCP-6 - 2020 Plant Addi (Depr )'!$F$206:$F$221,0))</f>
        <v>2.81E-2</v>
      </c>
      <c r="X49" s="24">
        <f t="shared" si="3"/>
        <v>17981.556424000002</v>
      </c>
    </row>
    <row r="50" spans="1:24" x14ac:dyDescent="0.25">
      <c r="A50" s="76"/>
      <c r="B50" s="77">
        <v>317630</v>
      </c>
      <c r="C50" s="16" t="s">
        <v>59</v>
      </c>
      <c r="G50" s="45"/>
      <c r="H50" s="45"/>
      <c r="K50" s="16" t="s">
        <v>56</v>
      </c>
      <c r="L50" s="79">
        <v>951862.52</v>
      </c>
      <c r="S50" s="25">
        <v>0</v>
      </c>
      <c r="V50" s="16">
        <f>+INDEX('MCP-6 - 2020 Plant Additions'!$D$8:$D$194,MATCH(B50,'MCP-6 - 2020 Plant Additions'!$M$8:$M$194,0))</f>
        <v>380.3</v>
      </c>
      <c r="W50" s="169">
        <f>+INDEX('MCP-6 - 2020 Plant Addi (Depr )'!$I$206:$I$221,MATCH(V50,'MCP-6 - 2020 Plant Addi (Depr )'!$F$206:$F$221,0))</f>
        <v>3.3599999999999998E-2</v>
      </c>
      <c r="X50" s="24">
        <f t="shared" si="3"/>
        <v>31982.580672</v>
      </c>
    </row>
    <row r="51" spans="1:24" x14ac:dyDescent="0.25">
      <c r="A51" s="76"/>
      <c r="B51" s="77">
        <v>317632</v>
      </c>
      <c r="C51" s="16" t="s">
        <v>60</v>
      </c>
      <c r="G51" s="45"/>
      <c r="H51" s="45"/>
      <c r="K51" s="16" t="s">
        <v>56</v>
      </c>
      <c r="L51" s="79">
        <v>79311</v>
      </c>
      <c r="S51" s="25">
        <v>0</v>
      </c>
      <c r="V51" s="16">
        <f>+INDEX('MCP-6 - 2020 Plant Additions'!$D$8:$D$194,MATCH(B51,'MCP-6 - 2020 Plant Additions'!$M$8:$M$194,0))</f>
        <v>376.3</v>
      </c>
      <c r="W51" s="169">
        <f>+INDEX('MCP-6 - 2020 Plant Addi (Depr )'!$I$206:$I$221,MATCH(V51,'MCP-6 - 2020 Plant Addi (Depr )'!$F$206:$F$221,0))</f>
        <v>2.81E-2</v>
      </c>
      <c r="X51" s="24">
        <f t="shared" si="3"/>
        <v>2228.6390999999999</v>
      </c>
    </row>
    <row r="52" spans="1:24" x14ac:dyDescent="0.25">
      <c r="A52" s="76"/>
      <c r="B52" s="77">
        <v>317634</v>
      </c>
      <c r="C52" s="16" t="s">
        <v>61</v>
      </c>
      <c r="G52" s="45"/>
      <c r="H52" s="45"/>
      <c r="K52" s="16" t="s">
        <v>56</v>
      </c>
      <c r="L52" s="79">
        <v>133027.99</v>
      </c>
      <c r="S52" s="25">
        <v>0</v>
      </c>
      <c r="V52" s="16">
        <f>+INDEX('MCP-6 - 2020 Plant Additions'!$D$8:$D$194,MATCH(B52,'MCP-6 - 2020 Plant Additions'!$M$8:$M$194,0))</f>
        <v>380.3</v>
      </c>
      <c r="W52" s="169">
        <f>+INDEX('MCP-6 - 2020 Plant Addi (Depr )'!$I$206:$I$221,MATCH(V52,'MCP-6 - 2020 Plant Addi (Depr )'!$F$206:$F$221,0))</f>
        <v>3.3599999999999998E-2</v>
      </c>
      <c r="X52" s="24">
        <f t="shared" si="3"/>
        <v>4469.7404639999995</v>
      </c>
    </row>
    <row r="53" spans="1:24" x14ac:dyDescent="0.25">
      <c r="A53" s="76"/>
      <c r="B53" s="77">
        <v>317636</v>
      </c>
      <c r="C53" s="16" t="s">
        <v>62</v>
      </c>
      <c r="G53" s="45"/>
      <c r="H53" s="45"/>
      <c r="K53" s="16" t="s">
        <v>56</v>
      </c>
      <c r="L53" s="79">
        <v>800173.4</v>
      </c>
      <c r="S53" s="25">
        <v>0</v>
      </c>
      <c r="V53" s="16">
        <f>+INDEX('MCP-6 - 2020 Plant Additions'!$D$8:$D$194,MATCH(B53,'MCP-6 - 2020 Plant Additions'!$M$8:$M$194,0))</f>
        <v>376.3</v>
      </c>
      <c r="W53" s="169">
        <f>+INDEX('MCP-6 - 2020 Plant Addi (Depr )'!$I$206:$I$221,MATCH(V53,'MCP-6 - 2020 Plant Addi (Depr )'!$F$206:$F$221,0))</f>
        <v>2.81E-2</v>
      </c>
      <c r="X53" s="24">
        <f t="shared" si="3"/>
        <v>22484.87254</v>
      </c>
    </row>
    <row r="54" spans="1:24" x14ac:dyDescent="0.25">
      <c r="A54" s="76"/>
      <c r="B54" s="77">
        <v>317638</v>
      </c>
      <c r="C54" s="16" t="s">
        <v>63</v>
      </c>
      <c r="G54" s="45"/>
      <c r="H54" s="45"/>
      <c r="K54" s="16" t="s">
        <v>56</v>
      </c>
      <c r="L54" s="79">
        <v>1330260</v>
      </c>
      <c r="S54" s="25">
        <v>0</v>
      </c>
      <c r="V54" s="16">
        <f>+INDEX('MCP-6 - 2020 Plant Additions'!$D$8:$D$194,MATCH(B54,'MCP-6 - 2020 Plant Additions'!$M$8:$M$194,0))</f>
        <v>380.3</v>
      </c>
      <c r="W54" s="169">
        <f>+INDEX('MCP-6 - 2020 Plant Addi (Depr )'!$I$206:$I$221,MATCH(V54,'MCP-6 - 2020 Plant Addi (Depr )'!$F$206:$F$221,0))</f>
        <v>3.3599999999999998E-2</v>
      </c>
      <c r="X54" s="24">
        <f t="shared" si="3"/>
        <v>44696.735999999997</v>
      </c>
    </row>
    <row r="55" spans="1:24" x14ac:dyDescent="0.25">
      <c r="A55" s="76"/>
      <c r="B55" s="77">
        <v>317640</v>
      </c>
      <c r="C55" s="16" t="s">
        <v>64</v>
      </c>
      <c r="G55" s="45"/>
      <c r="H55" s="45"/>
      <c r="K55" s="16" t="s">
        <v>56</v>
      </c>
      <c r="L55" s="79">
        <v>484622.4</v>
      </c>
      <c r="S55" s="25">
        <v>0</v>
      </c>
      <c r="V55" s="16">
        <f>+INDEX('MCP-6 - 2020 Plant Additions'!$D$8:$D$194,MATCH(B55,'MCP-6 - 2020 Plant Additions'!$M$8:$M$194,0))</f>
        <v>376.3</v>
      </c>
      <c r="W55" s="169">
        <f>+INDEX('MCP-6 - 2020 Plant Addi (Depr )'!$I$206:$I$221,MATCH(V55,'MCP-6 - 2020 Plant Addi (Depr )'!$F$206:$F$221,0))</f>
        <v>2.81E-2</v>
      </c>
      <c r="X55" s="24">
        <f t="shared" si="3"/>
        <v>13617.889440000001</v>
      </c>
    </row>
    <row r="56" spans="1:24" x14ac:dyDescent="0.25">
      <c r="A56" s="76"/>
      <c r="B56" s="77">
        <v>317642</v>
      </c>
      <c r="C56" s="16" t="s">
        <v>65</v>
      </c>
      <c r="G56" s="45"/>
      <c r="H56" s="45"/>
      <c r="K56" s="16" t="s">
        <v>56</v>
      </c>
      <c r="L56" s="79">
        <v>447800.6</v>
      </c>
      <c r="S56" s="25">
        <v>0</v>
      </c>
      <c r="V56" s="16">
        <f>+INDEX('MCP-6 - 2020 Plant Additions'!$D$8:$D$194,MATCH(B56,'MCP-6 - 2020 Plant Additions'!$M$8:$M$194,0))</f>
        <v>380.3</v>
      </c>
      <c r="W56" s="169">
        <f>+INDEX('MCP-6 - 2020 Plant Addi (Depr )'!$I$206:$I$221,MATCH(V56,'MCP-6 - 2020 Plant Addi (Depr )'!$F$206:$F$221,0))</f>
        <v>3.3599999999999998E-2</v>
      </c>
      <c r="X56" s="24">
        <f t="shared" si="3"/>
        <v>15046.100159999998</v>
      </c>
    </row>
    <row r="57" spans="1:24" x14ac:dyDescent="0.25">
      <c r="A57" s="76"/>
      <c r="B57" s="77">
        <v>317644</v>
      </c>
      <c r="C57" s="16" t="s">
        <v>66</v>
      </c>
      <c r="G57" s="45"/>
      <c r="H57" s="45"/>
      <c r="K57" s="16" t="s">
        <v>56</v>
      </c>
      <c r="L57" s="79">
        <v>1294473.18</v>
      </c>
      <c r="S57" s="25">
        <v>0</v>
      </c>
      <c r="V57" s="16">
        <f>+INDEX('MCP-6 - 2020 Plant Additions'!$D$8:$D$194,MATCH(B57,'MCP-6 - 2020 Plant Additions'!$M$8:$M$194,0))</f>
        <v>376.3</v>
      </c>
      <c r="W57" s="169">
        <f>+INDEX('MCP-6 - 2020 Plant Addi (Depr )'!$I$206:$I$221,MATCH(V57,'MCP-6 - 2020 Plant Addi (Depr )'!$F$206:$F$221,0))</f>
        <v>2.81E-2</v>
      </c>
      <c r="X57" s="24">
        <f t="shared" si="3"/>
        <v>36374.696358000001</v>
      </c>
    </row>
    <row r="58" spans="1:24" x14ac:dyDescent="0.25">
      <c r="A58" s="76"/>
      <c r="B58" s="77">
        <v>317646</v>
      </c>
      <c r="C58" s="16" t="s">
        <v>67</v>
      </c>
      <c r="G58" s="45"/>
      <c r="H58" s="45"/>
      <c r="K58" s="16" t="s">
        <v>56</v>
      </c>
      <c r="L58" s="79">
        <v>1568619.36</v>
      </c>
      <c r="S58" s="25">
        <v>0</v>
      </c>
      <c r="V58" s="16">
        <f>+INDEX('MCP-6 - 2020 Plant Additions'!$D$8:$D$194,MATCH(B58,'MCP-6 - 2020 Plant Additions'!$M$8:$M$194,0))</f>
        <v>380.3</v>
      </c>
      <c r="W58" s="169">
        <f>+INDEX('MCP-6 - 2020 Plant Addi (Depr )'!$I$206:$I$221,MATCH(V58,'MCP-6 - 2020 Plant Addi (Depr )'!$F$206:$F$221,0))</f>
        <v>3.3599999999999998E-2</v>
      </c>
      <c r="X58" s="24">
        <f t="shared" si="3"/>
        <v>52705.610496000001</v>
      </c>
    </row>
    <row r="59" spans="1:24" x14ac:dyDescent="0.25">
      <c r="A59" s="76"/>
      <c r="B59" s="77">
        <v>317648</v>
      </c>
      <c r="C59" s="16" t="s">
        <v>68</v>
      </c>
      <c r="G59" s="45"/>
      <c r="H59" s="45"/>
      <c r="K59" s="16" t="s">
        <v>56</v>
      </c>
      <c r="L59" s="79">
        <v>1396510.12</v>
      </c>
      <c r="S59" s="25">
        <v>0</v>
      </c>
      <c r="V59" s="16">
        <f>+INDEX('MCP-6 - 2020 Plant Additions'!$D$8:$D$194,MATCH(B59,'MCP-6 - 2020 Plant Additions'!$M$8:$M$194,0))</f>
        <v>376.3</v>
      </c>
      <c r="W59" s="169">
        <f>+INDEX('MCP-6 - 2020 Plant Addi (Depr )'!$I$206:$I$221,MATCH(V59,'MCP-6 - 2020 Plant Addi (Depr )'!$F$206:$F$221,0))</f>
        <v>2.81E-2</v>
      </c>
      <c r="X59" s="24">
        <f t="shared" si="3"/>
        <v>39241.934372000003</v>
      </c>
    </row>
    <row r="60" spans="1:24" x14ac:dyDescent="0.25">
      <c r="A60" s="76"/>
      <c r="B60" s="77">
        <v>317650</v>
      </c>
      <c r="C60" s="16" t="s">
        <v>69</v>
      </c>
      <c r="G60" s="45"/>
      <c r="H60" s="45"/>
      <c r="K60" s="16" t="s">
        <v>56</v>
      </c>
      <c r="L60" s="79">
        <v>2118035.96</v>
      </c>
      <c r="S60" s="25">
        <v>0</v>
      </c>
      <c r="V60" s="16">
        <f>+INDEX('MCP-6 - 2020 Plant Additions'!$D$8:$D$194,MATCH(B60,'MCP-6 - 2020 Plant Additions'!$M$8:$M$194,0))</f>
        <v>380.3</v>
      </c>
      <c r="W60" s="169">
        <f>+INDEX('MCP-6 - 2020 Plant Addi (Depr )'!$I$206:$I$221,MATCH(V60,'MCP-6 - 2020 Plant Addi (Depr )'!$F$206:$F$221,0))</f>
        <v>3.3599999999999998E-2</v>
      </c>
      <c r="X60" s="24">
        <f t="shared" si="3"/>
        <v>71166.008256000001</v>
      </c>
    </row>
    <row r="61" spans="1:24" x14ac:dyDescent="0.25">
      <c r="A61" s="76"/>
      <c r="B61" s="77">
        <v>317652</v>
      </c>
      <c r="C61" s="16" t="s">
        <v>70</v>
      </c>
      <c r="G61" s="45"/>
      <c r="H61" s="45"/>
      <c r="K61" s="16" t="s">
        <v>56</v>
      </c>
      <c r="L61" s="79">
        <v>255366.68</v>
      </c>
      <c r="S61" s="25">
        <v>0</v>
      </c>
      <c r="V61" s="16">
        <f>+INDEX('MCP-6 - 2020 Plant Additions'!$D$8:$D$194,MATCH(B61,'MCP-6 - 2020 Plant Additions'!$M$8:$M$194,0))</f>
        <v>376.3</v>
      </c>
      <c r="W61" s="169">
        <f>+INDEX('MCP-6 - 2020 Plant Addi (Depr )'!$I$206:$I$221,MATCH(V61,'MCP-6 - 2020 Plant Addi (Depr )'!$F$206:$F$221,0))</f>
        <v>2.81E-2</v>
      </c>
      <c r="X61" s="24">
        <f t="shared" si="3"/>
        <v>7175.8037079999995</v>
      </c>
    </row>
    <row r="62" spans="1:24" x14ac:dyDescent="0.25">
      <c r="A62" s="76"/>
      <c r="B62" s="77">
        <v>317654</v>
      </c>
      <c r="C62" s="16" t="s">
        <v>71</v>
      </c>
      <c r="G62" s="45"/>
      <c r="H62" s="45"/>
      <c r="K62" s="16" t="s">
        <v>56</v>
      </c>
      <c r="L62" s="79">
        <v>884722.06</v>
      </c>
      <c r="S62" s="25">
        <v>0</v>
      </c>
      <c r="V62" s="16">
        <f>+INDEX('MCP-6 - 2020 Plant Additions'!$D$8:$D$194,MATCH(B62,'MCP-6 - 2020 Plant Additions'!$M$8:$M$194,0))</f>
        <v>380.3</v>
      </c>
      <c r="W62" s="169">
        <f>+INDEX('MCP-6 - 2020 Plant Addi (Depr )'!$I$206:$I$221,MATCH(V62,'MCP-6 - 2020 Plant Addi (Depr )'!$F$206:$F$221,0))</f>
        <v>3.3599999999999998E-2</v>
      </c>
      <c r="X62" s="24">
        <f t="shared" si="3"/>
        <v>29726.661216</v>
      </c>
    </row>
    <row r="63" spans="1:24" x14ac:dyDescent="0.25">
      <c r="A63" s="76"/>
      <c r="B63" s="77">
        <v>317656</v>
      </c>
      <c r="C63" s="16" t="s">
        <v>72</v>
      </c>
      <c r="G63" s="45"/>
      <c r="H63" s="45"/>
      <c r="K63" s="16" t="s">
        <v>56</v>
      </c>
      <c r="L63" s="79">
        <v>613354.97</v>
      </c>
      <c r="S63" s="25">
        <v>0</v>
      </c>
      <c r="V63" s="16">
        <f>+INDEX('MCP-6 - 2020 Plant Additions'!$D$8:$D$194,MATCH(B63,'MCP-6 - 2020 Plant Additions'!$M$8:$M$194,0))</f>
        <v>376.3</v>
      </c>
      <c r="W63" s="169">
        <f>+INDEX('MCP-6 - 2020 Plant Addi (Depr )'!$I$206:$I$221,MATCH(V63,'MCP-6 - 2020 Plant Addi (Depr )'!$F$206:$F$221,0))</f>
        <v>2.81E-2</v>
      </c>
      <c r="X63" s="24">
        <f t="shared" si="3"/>
        <v>17235.274656999998</v>
      </c>
    </row>
    <row r="64" spans="1:24" x14ac:dyDescent="0.25">
      <c r="A64" s="76"/>
      <c r="B64" s="77">
        <v>317658</v>
      </c>
      <c r="C64" s="16" t="s">
        <v>73</v>
      </c>
      <c r="G64" s="45"/>
      <c r="H64" s="45"/>
      <c r="K64" s="16" t="s">
        <v>56</v>
      </c>
      <c r="L64" s="79">
        <v>1801553.41</v>
      </c>
      <c r="S64" s="25">
        <v>0</v>
      </c>
      <c r="V64" s="16">
        <f>+INDEX('MCP-6 - 2020 Plant Additions'!$D$8:$D$194,MATCH(B64,'MCP-6 - 2020 Plant Additions'!$M$8:$M$194,0))</f>
        <v>380.3</v>
      </c>
      <c r="W64" s="169">
        <f>+INDEX('MCP-6 - 2020 Plant Addi (Depr )'!$I$206:$I$221,MATCH(V64,'MCP-6 - 2020 Plant Addi (Depr )'!$F$206:$F$221,0))</f>
        <v>3.3599999999999998E-2</v>
      </c>
      <c r="X64" s="24">
        <f t="shared" si="3"/>
        <v>60532.194575999994</v>
      </c>
    </row>
    <row r="65" spans="1:24" x14ac:dyDescent="0.25">
      <c r="A65" s="76"/>
      <c r="B65" s="77">
        <v>317750</v>
      </c>
      <c r="C65" s="16" t="s">
        <v>74</v>
      </c>
      <c r="G65" s="45"/>
      <c r="H65" s="45"/>
      <c r="K65" s="16" t="s">
        <v>56</v>
      </c>
      <c r="L65" s="79">
        <v>1417842.72</v>
      </c>
      <c r="S65" s="25">
        <v>0</v>
      </c>
      <c r="V65" s="16">
        <f>+INDEX('MCP-6 - 2020 Plant Additions'!$D$8:$D$194,MATCH(B65,'MCP-6 - 2020 Plant Additions'!$M$8:$M$194,0))</f>
        <v>376.3</v>
      </c>
      <c r="W65" s="169">
        <f>+INDEX('MCP-6 - 2020 Plant Addi (Depr )'!$I$206:$I$221,MATCH(V65,'MCP-6 - 2020 Plant Addi (Depr )'!$F$206:$F$221,0))</f>
        <v>2.81E-2</v>
      </c>
      <c r="X65" s="24">
        <f t="shared" si="3"/>
        <v>39841.380431999998</v>
      </c>
    </row>
    <row r="66" spans="1:24" x14ac:dyDescent="0.25">
      <c r="A66" s="76"/>
      <c r="B66" s="77">
        <v>317752</v>
      </c>
      <c r="C66" s="16" t="s">
        <v>75</v>
      </c>
      <c r="G66" s="45"/>
      <c r="H66" s="45"/>
      <c r="K66" s="16" t="s">
        <v>56</v>
      </c>
      <c r="L66" s="79">
        <v>2952964.66</v>
      </c>
      <c r="S66" s="25">
        <v>0</v>
      </c>
      <c r="V66" s="16">
        <f>+INDEX('MCP-6 - 2020 Plant Additions'!$D$8:$D$194,MATCH(B66,'MCP-6 - 2020 Plant Additions'!$M$8:$M$194,0))</f>
        <v>380.3</v>
      </c>
      <c r="W66" s="169">
        <f>+INDEX('MCP-6 - 2020 Plant Addi (Depr )'!$I$206:$I$221,MATCH(V66,'MCP-6 - 2020 Plant Addi (Depr )'!$F$206:$F$221,0))</f>
        <v>3.3599999999999998E-2</v>
      </c>
      <c r="X66" s="24">
        <f t="shared" si="3"/>
        <v>99219.612576</v>
      </c>
    </row>
    <row r="67" spans="1:24" x14ac:dyDescent="0.25">
      <c r="A67" s="55"/>
      <c r="B67" s="80">
        <v>319072</v>
      </c>
      <c r="C67" s="35" t="s">
        <v>76</v>
      </c>
      <c r="D67" s="30"/>
      <c r="E67" s="28"/>
      <c r="F67" s="28"/>
      <c r="G67" s="41"/>
      <c r="H67" s="41"/>
      <c r="I67" s="30"/>
      <c r="J67" s="30"/>
      <c r="K67" s="35" t="s">
        <v>56</v>
      </c>
      <c r="L67" s="81">
        <v>1725636</v>
      </c>
      <c r="M67" s="35"/>
      <c r="N67" s="33"/>
      <c r="O67" s="34"/>
      <c r="P67" s="35"/>
      <c r="Q67" s="35"/>
      <c r="R67" s="35"/>
      <c r="S67" s="36">
        <v>0</v>
      </c>
      <c r="V67" s="16">
        <f>+INDEX('MCP-6 - 2020 Plant Additions'!$D$8:$D$194,MATCH(B67,'MCP-6 - 2020 Plant Additions'!$M$8:$M$194,0))</f>
        <v>376.2</v>
      </c>
      <c r="W67" s="169">
        <f>+INDEX('MCP-6 - 2020 Plant Addi (Depr )'!$I$206:$I$221,MATCH(V67,'MCP-6 - 2020 Plant Addi (Depr )'!$F$206:$F$221,0))</f>
        <v>1.52E-2</v>
      </c>
      <c r="X67" s="24">
        <f t="shared" si="3"/>
        <v>26229.6672</v>
      </c>
    </row>
    <row r="68" spans="1:24" x14ac:dyDescent="0.25">
      <c r="A68" s="82"/>
      <c r="B68" s="83"/>
      <c r="C68" s="84"/>
      <c r="D68" s="85"/>
      <c r="E68" s="83"/>
      <c r="F68" s="83"/>
      <c r="G68" s="86"/>
      <c r="H68" s="86"/>
      <c r="I68" s="85"/>
      <c r="J68" s="85"/>
      <c r="K68" s="87"/>
      <c r="L68" s="87"/>
      <c r="M68" s="87"/>
      <c r="N68" s="87"/>
      <c r="O68" s="87"/>
      <c r="P68" s="87"/>
      <c r="Q68" s="87"/>
      <c r="R68" s="87"/>
      <c r="S68" s="88"/>
    </row>
    <row r="69" spans="1:24" ht="18.75" x14ac:dyDescent="0.3">
      <c r="A69" s="56"/>
      <c r="B69" s="59"/>
      <c r="C69" s="89" t="s">
        <v>77</v>
      </c>
      <c r="D69" s="90"/>
      <c r="E69" s="91"/>
      <c r="F69" s="91"/>
      <c r="G69" s="92"/>
      <c r="H69" s="92"/>
      <c r="I69" s="90"/>
      <c r="J69" s="90"/>
      <c r="K69" s="71"/>
      <c r="L69" s="93">
        <f>+SUM(L47:L67)</f>
        <v>24453818.644976001</v>
      </c>
      <c r="M69" s="93"/>
      <c r="N69" s="93"/>
      <c r="O69" s="93"/>
      <c r="P69" s="93"/>
      <c r="Q69" s="93"/>
      <c r="R69" s="93"/>
      <c r="S69" s="94">
        <f>+SUM(S47:S67)</f>
        <v>0</v>
      </c>
    </row>
    <row r="70" spans="1:24" ht="18.75" x14ac:dyDescent="0.3">
      <c r="A70" s="56"/>
      <c r="B70" s="59"/>
      <c r="C70" s="89"/>
      <c r="D70" s="90"/>
      <c r="E70" s="91"/>
      <c r="F70" s="91"/>
      <c r="G70" s="92"/>
      <c r="H70" s="92"/>
      <c r="I70" s="90"/>
      <c r="J70" s="90"/>
      <c r="K70" s="71"/>
      <c r="L70" s="93"/>
      <c r="M70" s="93"/>
      <c r="N70" s="93"/>
      <c r="O70" s="93"/>
      <c r="P70" s="93"/>
      <c r="Q70" s="93"/>
      <c r="R70" s="93"/>
      <c r="S70" s="94"/>
      <c r="X70" s="93">
        <f>+SUM(X47:X68)</f>
        <v>720899.72965387371</v>
      </c>
    </row>
    <row r="71" spans="1:24" x14ac:dyDescent="0.25">
      <c r="A71" s="82"/>
      <c r="B71" s="83"/>
      <c r="C71" s="85"/>
      <c r="D71" s="85"/>
      <c r="E71" s="83"/>
      <c r="F71" s="83"/>
      <c r="G71" s="86"/>
      <c r="H71" s="86"/>
      <c r="I71" s="85"/>
      <c r="J71" s="85"/>
      <c r="K71" s="87"/>
      <c r="L71" s="95"/>
      <c r="M71" s="95"/>
      <c r="N71" s="95"/>
      <c r="O71" s="95"/>
      <c r="P71" s="95"/>
      <c r="Q71" s="95"/>
      <c r="R71" s="95"/>
      <c r="S71" s="96"/>
    </row>
    <row r="72" spans="1:24" ht="18.75" x14ac:dyDescent="0.3">
      <c r="A72" s="56"/>
      <c r="B72" s="97"/>
      <c r="C72" s="89" t="s">
        <v>78</v>
      </c>
      <c r="D72" s="90"/>
      <c r="E72" s="91"/>
      <c r="F72" s="91"/>
      <c r="G72" s="92"/>
      <c r="H72" s="92"/>
      <c r="I72" s="90"/>
      <c r="J72" s="90"/>
      <c r="K72" s="71"/>
      <c r="L72" s="93">
        <f>+L70+L43</f>
        <v>41651818.640000001</v>
      </c>
      <c r="M72" s="93"/>
      <c r="N72" s="93"/>
      <c r="O72" s="93"/>
      <c r="P72" s="93"/>
      <c r="Q72" s="93"/>
      <c r="R72" s="93"/>
      <c r="S72" s="93">
        <f>+S70+S43</f>
        <v>7118539.0800000001</v>
      </c>
      <c r="X72" s="93">
        <f>+X70+X43</f>
        <v>2842570.6583268736</v>
      </c>
    </row>
    <row r="73" spans="1:24" x14ac:dyDescent="0.25">
      <c r="A73" s="98"/>
      <c r="B73" s="99"/>
      <c r="C73" s="100"/>
      <c r="D73" s="65"/>
      <c r="E73" s="66"/>
      <c r="F73" s="66"/>
      <c r="G73" s="67"/>
      <c r="H73" s="67"/>
      <c r="I73" s="65"/>
      <c r="J73" s="65"/>
      <c r="K73" s="63"/>
      <c r="L73" s="101"/>
      <c r="M73" s="101"/>
      <c r="N73" s="101"/>
      <c r="O73" s="101"/>
      <c r="P73" s="101"/>
      <c r="Q73" s="101"/>
      <c r="R73" s="101"/>
      <c r="S73" s="102"/>
    </row>
    <row r="74" spans="1:24" x14ac:dyDescent="0.25">
      <c r="A74" s="18"/>
      <c r="B74" s="18"/>
      <c r="C74" s="19"/>
      <c r="L74" s="103"/>
    </row>
    <row r="75" spans="1:24" x14ac:dyDescent="0.25">
      <c r="A75" s="18"/>
      <c r="B75" s="18"/>
      <c r="C75" s="19"/>
      <c r="X75" s="24">
        <f>+X72-'MCP-6 - 2020 Plant Addi (Depr )'!J222</f>
        <v>0</v>
      </c>
    </row>
    <row r="76" spans="1:24" x14ac:dyDescent="0.25">
      <c r="A76" s="18"/>
      <c r="B76" s="18"/>
      <c r="C76" s="19"/>
    </row>
    <row r="77" spans="1:24" x14ac:dyDescent="0.25">
      <c r="A77" s="18"/>
      <c r="B77" s="18"/>
      <c r="C77" s="19"/>
    </row>
    <row r="78" spans="1:24" x14ac:dyDescent="0.25">
      <c r="A78" s="18"/>
      <c r="B78" s="18"/>
    </row>
    <row r="79" spans="1:24" x14ac:dyDescent="0.25">
      <c r="A79" s="18"/>
      <c r="B79" s="18"/>
    </row>
    <row r="80" spans="1:24" x14ac:dyDescent="0.25">
      <c r="A80" s="18"/>
      <c r="B80" s="18"/>
    </row>
    <row r="81" spans="1:3" x14ac:dyDescent="0.25">
      <c r="A81" s="18"/>
    </row>
    <row r="82" spans="1:3" x14ac:dyDescent="0.25">
      <c r="A82" s="18"/>
    </row>
    <row r="83" spans="1:3" x14ac:dyDescent="0.25">
      <c r="A83" s="18"/>
    </row>
    <row r="84" spans="1:3" x14ac:dyDescent="0.25">
      <c r="A84" s="18"/>
      <c r="C84"/>
    </row>
    <row r="85" spans="1:3" x14ac:dyDescent="0.25">
      <c r="A85" s="18"/>
    </row>
    <row r="86" spans="1:3" x14ac:dyDescent="0.25">
      <c r="A86" s="18"/>
    </row>
    <row r="87" spans="1:3" x14ac:dyDescent="0.25">
      <c r="A87" s="18"/>
    </row>
  </sheetData>
  <printOptions horizontalCentered="1"/>
  <pageMargins left="0.7" right="0.7" top="1" bottom="1" header="0.3" footer="0.3"/>
  <pageSetup scale="55" firstPageNumber="4" fitToHeight="0" orientation="landscape" useFirstPageNumber="1" r:id="rId1"/>
  <headerFooter scaleWithDoc="0" alignWithMargins="0">
    <oddHeader>&amp;RDocket No. UG-20___
Exhibit _____ (MCP-6)
Page &amp;P of 5</oddHeader>
  </headerFooter>
  <rowBreaks count="2" manualBreakCount="2">
    <brk id="17" max="18" man="1"/>
    <brk id="45"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F5F8-2AB9-4FEA-A002-5E43B6BE8707}">
  <sheetPr>
    <pageSetUpPr fitToPage="1"/>
  </sheetPr>
  <dimension ref="A1:Q224"/>
  <sheetViews>
    <sheetView topLeftCell="A146" zoomScale="70" zoomScaleNormal="70" workbookViewId="0">
      <selection activeCell="D8" sqref="D8:D194"/>
    </sheetView>
  </sheetViews>
  <sheetFormatPr defaultRowHeight="15.75" x14ac:dyDescent="0.25"/>
  <cols>
    <col min="1" max="1" width="9.140625" style="77"/>
    <col min="2" max="2" width="14.140625" style="16" bestFit="1" customWidth="1"/>
    <col min="3" max="3" width="48.42578125" style="16" bestFit="1" customWidth="1"/>
    <col min="4" max="4" width="17.28515625" style="16" bestFit="1" customWidth="1"/>
    <col min="5" max="5" width="18.85546875" style="16" bestFit="1" customWidth="1"/>
    <col min="6" max="6" width="9.85546875" style="16" bestFit="1" customWidth="1"/>
    <col min="7" max="7" width="22.140625" style="16" bestFit="1" customWidth="1"/>
    <col min="8" max="8" width="18" style="16" bestFit="1" customWidth="1"/>
    <col min="9" max="9" width="12.28515625" style="16" bestFit="1" customWidth="1"/>
    <col min="10" max="10" width="16" style="23" bestFit="1" customWidth="1"/>
    <col min="11" max="11" width="14.5703125" style="16" bestFit="1" customWidth="1"/>
    <col min="12" max="12" width="9.140625" style="16"/>
    <col min="13" max="13" width="11" style="16" bestFit="1" customWidth="1"/>
    <col min="14" max="14" width="16.42578125" style="16" bestFit="1" customWidth="1"/>
    <col min="15" max="15" width="15.28515625" style="16" bestFit="1" customWidth="1"/>
    <col min="16" max="16" width="16.42578125" style="16" bestFit="1" customWidth="1"/>
    <col min="17" max="17" width="15" style="16" bestFit="1" customWidth="1"/>
    <col min="18" max="19" width="9.140625" style="16"/>
    <col min="20" max="20" width="12.42578125" style="16" bestFit="1" customWidth="1"/>
    <col min="21" max="16384" width="9.140625" style="16"/>
  </cols>
  <sheetData>
    <row r="1" spans="1:15" x14ac:dyDescent="0.25">
      <c r="C1" s="170" t="s">
        <v>79</v>
      </c>
      <c r="D1" s="170"/>
      <c r="E1" s="170"/>
      <c r="F1" s="170"/>
      <c r="G1" s="170"/>
      <c r="H1" s="170"/>
      <c r="I1" s="170"/>
    </row>
    <row r="2" spans="1:15" x14ac:dyDescent="0.25">
      <c r="C2" s="170" t="s">
        <v>80</v>
      </c>
      <c r="D2" s="170"/>
      <c r="E2" s="170"/>
      <c r="F2" s="170"/>
      <c r="G2" s="170"/>
      <c r="H2" s="170"/>
      <c r="I2" s="170"/>
    </row>
    <row r="3" spans="1:15" x14ac:dyDescent="0.25">
      <c r="C3" s="170" t="s">
        <v>81</v>
      </c>
      <c r="D3" s="170"/>
      <c r="E3" s="170"/>
      <c r="F3" s="170"/>
      <c r="G3" s="170"/>
      <c r="H3" s="170"/>
      <c r="I3" s="170"/>
    </row>
    <row r="4" spans="1:15" x14ac:dyDescent="0.25">
      <c r="C4" s="171"/>
      <c r="D4" s="171"/>
      <c r="E4" s="171"/>
      <c r="F4" s="171"/>
      <c r="G4" s="171"/>
      <c r="H4" s="171"/>
      <c r="I4" s="171"/>
    </row>
    <row r="6" spans="1:15" s="77" customFormat="1" x14ac:dyDescent="0.25">
      <c r="B6" s="77" t="s">
        <v>82</v>
      </c>
      <c r="C6" s="77" t="s">
        <v>83</v>
      </c>
      <c r="D6" s="77" t="s">
        <v>84</v>
      </c>
      <c r="E6" s="77" t="s">
        <v>85</v>
      </c>
      <c r="F6" s="104" t="s">
        <v>86</v>
      </c>
      <c r="G6" s="77" t="s">
        <v>87</v>
      </c>
      <c r="H6" s="77" t="s">
        <v>88</v>
      </c>
      <c r="I6" s="77" t="s">
        <v>89</v>
      </c>
      <c r="J6" s="105" t="s">
        <v>90</v>
      </c>
    </row>
    <row r="7" spans="1:15" ht="146.25" customHeight="1" x14ac:dyDescent="0.25">
      <c r="A7" s="106" t="s">
        <v>91</v>
      </c>
      <c r="B7" s="107" t="s">
        <v>92</v>
      </c>
      <c r="C7" s="107" t="s">
        <v>93</v>
      </c>
      <c r="D7" s="108" t="s">
        <v>94</v>
      </c>
      <c r="E7" s="109" t="s">
        <v>95</v>
      </c>
      <c r="F7" s="107" t="s">
        <v>96</v>
      </c>
      <c r="G7" s="107" t="s">
        <v>97</v>
      </c>
      <c r="H7" s="107" t="s">
        <v>98</v>
      </c>
      <c r="I7" s="107" t="s">
        <v>99</v>
      </c>
      <c r="J7" s="110" t="s">
        <v>100</v>
      </c>
      <c r="M7" s="16" t="s">
        <v>427</v>
      </c>
      <c r="O7" s="16" t="s">
        <v>426</v>
      </c>
    </row>
    <row r="8" spans="1:15" x14ac:dyDescent="0.25">
      <c r="A8" s="77">
        <v>1</v>
      </c>
      <c r="B8" s="78" t="s">
        <v>101</v>
      </c>
      <c r="C8" s="78" t="s">
        <v>102</v>
      </c>
      <c r="D8" s="111">
        <v>303</v>
      </c>
      <c r="E8" s="112">
        <f>205921.33</f>
        <v>205921.33</v>
      </c>
      <c r="F8" s="113"/>
      <c r="G8" s="79">
        <f>+E8</f>
        <v>205921.33</v>
      </c>
      <c r="H8" s="79"/>
      <c r="I8" s="114"/>
      <c r="J8" s="115">
        <v>44196</v>
      </c>
      <c r="K8" s="116"/>
      <c r="M8" s="16">
        <f>+VALUE(RIGHT(LEFT(C8,9),6))</f>
        <v>101480</v>
      </c>
      <c r="N8" s="16" t="e">
        <f>+MATCH(M8,'Exh BGM-6'!$B$4:$B$41,0)</f>
        <v>#N/A</v>
      </c>
      <c r="O8" s="16">
        <f>+IF(AND(I8&lt;&gt;0,ISNA(N8)),1,0)</f>
        <v>0</v>
      </c>
    </row>
    <row r="9" spans="1:15" x14ac:dyDescent="0.25">
      <c r="A9" s="77">
        <v>2</v>
      </c>
      <c r="B9" s="78" t="s">
        <v>101</v>
      </c>
      <c r="C9" s="78" t="s">
        <v>103</v>
      </c>
      <c r="D9" s="111">
        <v>303</v>
      </c>
      <c r="E9" s="112">
        <v>87032.79</v>
      </c>
      <c r="F9" s="113">
        <f>+'[6]State Allocation Formulas'!C21</f>
        <v>0.75170000000000003</v>
      </c>
      <c r="G9" s="79">
        <f>+E9*F9</f>
        <v>65422.548242999997</v>
      </c>
      <c r="H9" s="79"/>
      <c r="I9" s="114"/>
      <c r="J9" s="115">
        <v>44166</v>
      </c>
      <c r="K9" s="116"/>
      <c r="M9" s="16">
        <f t="shared" ref="M9:M72" si="0">+VALUE(RIGHT(LEFT(C9,9),6))</f>
        <v>200663</v>
      </c>
      <c r="N9" s="16" t="e">
        <f>+MATCH(M9,'Exh BGM-6'!$B$4:$B$41,0)</f>
        <v>#N/A</v>
      </c>
      <c r="O9" s="16">
        <f t="shared" ref="O9:O72" si="1">+IF(AND(I9&lt;&gt;0,ISNA(N9)),1,0)</f>
        <v>0</v>
      </c>
    </row>
    <row r="10" spans="1:15" x14ac:dyDescent="0.25">
      <c r="A10" s="77">
        <v>3</v>
      </c>
      <c r="B10" s="78" t="s">
        <v>101</v>
      </c>
      <c r="C10" s="78" t="s">
        <v>104</v>
      </c>
      <c r="D10" s="111">
        <v>303</v>
      </c>
      <c r="E10" s="112">
        <v>5648475</v>
      </c>
      <c r="F10" s="113"/>
      <c r="G10" s="79">
        <f>+E10</f>
        <v>5648475</v>
      </c>
      <c r="H10" s="79">
        <f>+G10</f>
        <v>5648475</v>
      </c>
      <c r="I10" s="114">
        <v>2</v>
      </c>
      <c r="J10" s="23">
        <v>44074</v>
      </c>
      <c r="M10" s="16">
        <f t="shared" si="0"/>
        <v>302596</v>
      </c>
      <c r="N10" s="16">
        <f>+MATCH(M10,'Exh BGM-6'!$B$4:$B$41,0)</f>
        <v>1</v>
      </c>
      <c r="O10" s="16">
        <f t="shared" si="1"/>
        <v>0</v>
      </c>
    </row>
    <row r="11" spans="1:15" x14ac:dyDescent="0.25">
      <c r="A11" s="77">
        <v>4</v>
      </c>
      <c r="B11" s="78" t="s">
        <v>101</v>
      </c>
      <c r="C11" s="78" t="s">
        <v>105</v>
      </c>
      <c r="D11" s="111">
        <v>303</v>
      </c>
      <c r="E11" s="112">
        <f>42365.2+8565.23</f>
        <v>50930.429999999993</v>
      </c>
      <c r="F11" s="113">
        <f>+'[6]State Allocation Formulas'!$C$21</f>
        <v>0.75170000000000003</v>
      </c>
      <c r="G11" s="79">
        <f>+E11*F11</f>
        <v>38284.404230999993</v>
      </c>
      <c r="H11" s="79"/>
      <c r="I11" s="114"/>
      <c r="J11" s="23">
        <v>44196</v>
      </c>
      <c r="M11" s="16">
        <f t="shared" si="0"/>
        <v>302621</v>
      </c>
      <c r="N11" s="16" t="e">
        <f>+MATCH(M11,'Exh BGM-6'!$B$4:$B$41,0)</f>
        <v>#N/A</v>
      </c>
      <c r="O11" s="16">
        <f t="shared" si="1"/>
        <v>0</v>
      </c>
    </row>
    <row r="12" spans="1:15" x14ac:dyDescent="0.25">
      <c r="A12" s="77">
        <v>5</v>
      </c>
      <c r="B12" s="78" t="s">
        <v>101</v>
      </c>
      <c r="C12" s="78" t="s">
        <v>106</v>
      </c>
      <c r="D12" s="111">
        <v>303</v>
      </c>
      <c r="E12" s="112">
        <v>746233</v>
      </c>
      <c r="F12" s="113"/>
      <c r="G12" s="79">
        <f>+E12</f>
        <v>746233</v>
      </c>
      <c r="H12" s="79">
        <f>+G12</f>
        <v>746233</v>
      </c>
      <c r="I12" s="114">
        <v>4</v>
      </c>
      <c r="J12" s="23">
        <v>44155</v>
      </c>
      <c r="M12" s="16">
        <f t="shared" si="0"/>
        <v>306998</v>
      </c>
      <c r="N12" s="16">
        <f>+MATCH(M12,'Exh BGM-6'!$B$4:$B$41,0)</f>
        <v>6</v>
      </c>
      <c r="O12" s="16">
        <f t="shared" si="1"/>
        <v>0</v>
      </c>
    </row>
    <row r="13" spans="1:15" x14ac:dyDescent="0.25">
      <c r="A13" s="77">
        <v>6</v>
      </c>
      <c r="B13" s="78" t="s">
        <v>101</v>
      </c>
      <c r="C13" s="78" t="s">
        <v>107</v>
      </c>
      <c r="D13" s="111">
        <v>303</v>
      </c>
      <c r="E13" s="112">
        <f>93793.04+253064.68</f>
        <v>346857.72</v>
      </c>
      <c r="F13" s="113">
        <f>+'[6]State Allocation Formulas'!$C$21</f>
        <v>0.75170000000000003</v>
      </c>
      <c r="G13" s="79">
        <f>+E13*F13</f>
        <v>260732.94812399999</v>
      </c>
      <c r="H13" s="79"/>
      <c r="I13" s="114"/>
      <c r="J13" s="23">
        <v>44926</v>
      </c>
      <c r="M13" s="16">
        <f t="shared" si="0"/>
        <v>316019</v>
      </c>
      <c r="N13" s="16" t="e">
        <f>+MATCH(M13,'Exh BGM-6'!$B$4:$B$41,0)</f>
        <v>#N/A</v>
      </c>
      <c r="O13" s="16">
        <f t="shared" si="1"/>
        <v>0</v>
      </c>
    </row>
    <row r="14" spans="1:15" x14ac:dyDescent="0.25">
      <c r="A14" s="77">
        <v>7</v>
      </c>
      <c r="B14" s="78" t="s">
        <v>101</v>
      </c>
      <c r="C14" s="78" t="s">
        <v>108</v>
      </c>
      <c r="D14" s="111">
        <v>303</v>
      </c>
      <c r="E14" s="112">
        <v>35994.870000000003</v>
      </c>
      <c r="F14" s="113">
        <f>+'[6]State Allocation Formulas'!$C$21</f>
        <v>0.75170000000000003</v>
      </c>
      <c r="G14" s="79">
        <f>+E14*F14</f>
        <v>27057.343779000003</v>
      </c>
      <c r="H14" s="79"/>
      <c r="I14" s="114"/>
      <c r="J14" s="23">
        <v>43876</v>
      </c>
      <c r="M14" s="16">
        <f t="shared" si="0"/>
        <v>316047</v>
      </c>
      <c r="N14" s="16" t="e">
        <f>+MATCH(M14,'Exh BGM-6'!$B$4:$B$41,0)</f>
        <v>#N/A</v>
      </c>
      <c r="O14" s="16">
        <f t="shared" si="1"/>
        <v>0</v>
      </c>
    </row>
    <row r="15" spans="1:15" x14ac:dyDescent="0.25">
      <c r="A15" s="77">
        <v>8</v>
      </c>
      <c r="B15" s="78" t="s">
        <v>101</v>
      </c>
      <c r="C15" s="78" t="s">
        <v>109</v>
      </c>
      <c r="D15" s="111">
        <v>303</v>
      </c>
      <c r="E15" s="112">
        <v>158747.54</v>
      </c>
      <c r="F15" s="113">
        <f>+'[6]State Allocation Formulas'!C21</f>
        <v>0.75170000000000003</v>
      </c>
      <c r="G15" s="79">
        <f>+E15*F15</f>
        <v>119330.52581800001</v>
      </c>
      <c r="H15" s="79"/>
      <c r="I15" s="114"/>
      <c r="J15" s="23">
        <v>44012</v>
      </c>
      <c r="M15" s="16">
        <f t="shared" si="0"/>
        <v>316102</v>
      </c>
      <c r="N15" s="16" t="e">
        <f>+MATCH(M15,'Exh BGM-6'!$B$4:$B$41,0)</f>
        <v>#N/A</v>
      </c>
      <c r="O15" s="16">
        <f t="shared" si="1"/>
        <v>0</v>
      </c>
    </row>
    <row r="16" spans="1:15" x14ac:dyDescent="0.25">
      <c r="A16" s="77">
        <v>9</v>
      </c>
      <c r="B16" s="78" t="s">
        <v>101</v>
      </c>
      <c r="C16" s="78" t="s">
        <v>110</v>
      </c>
      <c r="D16" s="111">
        <v>303</v>
      </c>
      <c r="E16" s="112">
        <v>670450.44000000006</v>
      </c>
      <c r="F16" s="113">
        <f>+'[6]State Allocation Formulas'!$C$21</f>
        <v>0.75170000000000003</v>
      </c>
      <c r="G16" s="79">
        <f>+E16*F16</f>
        <v>503977.59574800008</v>
      </c>
      <c r="H16" s="79"/>
      <c r="I16" s="114"/>
      <c r="J16" s="23">
        <v>43496</v>
      </c>
      <c r="M16" s="16">
        <f t="shared" si="0"/>
        <v>316182</v>
      </c>
      <c r="N16" s="16" t="e">
        <f>+MATCH(M16,'Exh BGM-6'!$B$4:$B$41,0)</f>
        <v>#N/A</v>
      </c>
      <c r="O16" s="16">
        <f t="shared" si="1"/>
        <v>0</v>
      </c>
    </row>
    <row r="17" spans="1:17" x14ac:dyDescent="0.25">
      <c r="A17" s="77">
        <v>10</v>
      </c>
      <c r="B17" s="78" t="s">
        <v>101</v>
      </c>
      <c r="C17" s="78" t="s">
        <v>111</v>
      </c>
      <c r="D17" s="111">
        <v>303</v>
      </c>
      <c r="E17" s="112">
        <v>21082.9</v>
      </c>
      <c r="F17" s="113"/>
      <c r="G17" s="79">
        <f>+E17</f>
        <v>21082.9</v>
      </c>
      <c r="H17" s="79"/>
      <c r="I17" s="114"/>
      <c r="J17" s="23">
        <v>44073</v>
      </c>
      <c r="M17" s="16">
        <f t="shared" si="0"/>
        <v>316269</v>
      </c>
      <c r="N17" s="16" t="e">
        <f>+MATCH(M17,'Exh BGM-6'!$B$4:$B$41,0)</f>
        <v>#N/A</v>
      </c>
      <c r="O17" s="16">
        <f t="shared" si="1"/>
        <v>0</v>
      </c>
    </row>
    <row r="18" spans="1:17" x14ac:dyDescent="0.25">
      <c r="A18" s="77">
        <v>11</v>
      </c>
      <c r="B18" s="78" t="s">
        <v>101</v>
      </c>
      <c r="C18" s="78" t="s">
        <v>112</v>
      </c>
      <c r="D18" s="111">
        <v>303</v>
      </c>
      <c r="E18" s="112">
        <v>155972.76</v>
      </c>
      <c r="F18" s="113">
        <f>+'[6]State Allocation Formulas'!C21</f>
        <v>0.75170000000000003</v>
      </c>
      <c r="G18" s="79">
        <f>+E18*F18</f>
        <v>117244.72369200001</v>
      </c>
      <c r="H18" s="79"/>
      <c r="I18" s="114"/>
      <c r="J18" s="23">
        <v>44196</v>
      </c>
      <c r="M18" s="16">
        <f t="shared" si="0"/>
        <v>316284</v>
      </c>
      <c r="N18" s="16" t="e">
        <f>+MATCH(M18,'Exh BGM-6'!$B$4:$B$41,0)</f>
        <v>#N/A</v>
      </c>
      <c r="O18" s="16">
        <f t="shared" si="1"/>
        <v>0</v>
      </c>
    </row>
    <row r="19" spans="1:17" x14ac:dyDescent="0.25">
      <c r="A19" s="77">
        <v>12</v>
      </c>
      <c r="B19" s="78" t="s">
        <v>101</v>
      </c>
      <c r="C19" s="78" t="s">
        <v>113</v>
      </c>
      <c r="D19" s="111">
        <v>303</v>
      </c>
      <c r="E19" s="112">
        <v>-450.01</v>
      </c>
      <c r="F19" s="113"/>
      <c r="G19" s="79">
        <f>+E19</f>
        <v>-450.01</v>
      </c>
      <c r="H19" s="79"/>
      <c r="I19" s="114"/>
      <c r="J19" s="23">
        <v>43951</v>
      </c>
      <c r="M19" s="16">
        <f t="shared" si="0"/>
        <v>316289</v>
      </c>
      <c r="N19" s="16" t="e">
        <f>+MATCH(M19,'Exh BGM-6'!$B$4:$B$41,0)</f>
        <v>#N/A</v>
      </c>
      <c r="O19" s="16">
        <f t="shared" si="1"/>
        <v>0</v>
      </c>
    </row>
    <row r="20" spans="1:17" x14ac:dyDescent="0.25">
      <c r="A20" s="77">
        <v>13</v>
      </c>
      <c r="B20" s="78" t="s">
        <v>101</v>
      </c>
      <c r="C20" s="78" t="s">
        <v>114</v>
      </c>
      <c r="D20" s="111">
        <v>303</v>
      </c>
      <c r="E20" s="112">
        <f>64704.93+4518.12</f>
        <v>69223.05</v>
      </c>
      <c r="F20" s="113">
        <f>+'[6]State Allocation Formulas'!$C$21</f>
        <v>0.75170000000000003</v>
      </c>
      <c r="G20" s="79">
        <f>+E20*F20</f>
        <v>52034.966685000007</v>
      </c>
      <c r="H20" s="79"/>
      <c r="I20" s="114"/>
      <c r="J20" s="23">
        <v>45291</v>
      </c>
      <c r="M20" s="16">
        <f t="shared" si="0"/>
        <v>316361</v>
      </c>
      <c r="N20" s="16" t="e">
        <f>+MATCH(M20,'Exh BGM-6'!$B$4:$B$41,0)</f>
        <v>#N/A</v>
      </c>
      <c r="O20" s="16">
        <f t="shared" si="1"/>
        <v>0</v>
      </c>
    </row>
    <row r="21" spans="1:17" x14ac:dyDescent="0.25">
      <c r="A21" s="77">
        <v>14</v>
      </c>
      <c r="B21" s="78" t="s">
        <v>101</v>
      </c>
      <c r="C21" s="78" t="s">
        <v>115</v>
      </c>
      <c r="D21" s="111">
        <v>303</v>
      </c>
      <c r="E21" s="112">
        <v>15422.61</v>
      </c>
      <c r="F21" s="113"/>
      <c r="G21" s="79">
        <f>+E21</f>
        <v>15422.61</v>
      </c>
      <c r="H21" s="79"/>
      <c r="I21" s="114"/>
      <c r="J21" s="23">
        <v>43951</v>
      </c>
      <c r="M21" s="16">
        <f t="shared" si="0"/>
        <v>316451</v>
      </c>
      <c r="N21" s="16" t="e">
        <f>+MATCH(M21,'Exh BGM-6'!$B$4:$B$41,0)</f>
        <v>#N/A</v>
      </c>
      <c r="O21" s="16">
        <f t="shared" si="1"/>
        <v>0</v>
      </c>
    </row>
    <row r="22" spans="1:17" x14ac:dyDescent="0.25">
      <c r="A22" s="77">
        <v>15</v>
      </c>
      <c r="B22" s="78" t="s">
        <v>101</v>
      </c>
      <c r="C22" s="78" t="s">
        <v>116</v>
      </c>
      <c r="D22" s="111">
        <v>303</v>
      </c>
      <c r="E22" s="112">
        <v>63738.720000000001</v>
      </c>
      <c r="F22" s="113">
        <f>+'[6]State Allocation Formulas'!C21</f>
        <v>0.75170000000000003</v>
      </c>
      <c r="G22" s="79">
        <f>+E22*F22</f>
        <v>47912.395824000007</v>
      </c>
      <c r="H22" s="79"/>
      <c r="I22" s="114"/>
      <c r="J22" s="23">
        <v>44104</v>
      </c>
      <c r="M22" s="16">
        <f t="shared" si="0"/>
        <v>317101</v>
      </c>
      <c r="N22" s="16" t="e">
        <f>+MATCH(M22,'Exh BGM-6'!$B$4:$B$41,0)</f>
        <v>#N/A</v>
      </c>
      <c r="O22" s="16">
        <f t="shared" si="1"/>
        <v>0</v>
      </c>
    </row>
    <row r="23" spans="1:17" x14ac:dyDescent="0.25">
      <c r="A23" s="77">
        <v>16</v>
      </c>
      <c r="B23" s="78" t="s">
        <v>101</v>
      </c>
      <c r="C23" s="78" t="s">
        <v>117</v>
      </c>
      <c r="D23" s="111">
        <v>303</v>
      </c>
      <c r="E23" s="112">
        <v>882417.45</v>
      </c>
      <c r="F23" s="113"/>
      <c r="G23" s="79">
        <f>+E23</f>
        <v>882417.45</v>
      </c>
      <c r="H23" s="79">
        <f>+G23</f>
        <v>882417.45</v>
      </c>
      <c r="I23" s="114">
        <v>11</v>
      </c>
      <c r="J23" s="23">
        <v>44012</v>
      </c>
      <c r="M23" s="16">
        <f t="shared" si="0"/>
        <v>317322</v>
      </c>
      <c r="N23" s="16">
        <f>+MATCH(M23,'Exh BGM-6'!$B$4:$B$41,0)</f>
        <v>30</v>
      </c>
      <c r="O23" s="16">
        <f t="shared" si="1"/>
        <v>0</v>
      </c>
    </row>
    <row r="24" spans="1:17" x14ac:dyDescent="0.25">
      <c r="A24" s="77">
        <v>17</v>
      </c>
      <c r="B24" s="78" t="s">
        <v>101</v>
      </c>
      <c r="C24" s="78" t="s">
        <v>118</v>
      </c>
      <c r="D24" s="111">
        <v>303</v>
      </c>
      <c r="E24" s="112">
        <v>8476.31</v>
      </c>
      <c r="F24" s="113">
        <f>+'[6]State Allocation Formulas'!$C$21</f>
        <v>0.75170000000000003</v>
      </c>
      <c r="G24" s="79">
        <f>+E24*F24</f>
        <v>6371.6422270000003</v>
      </c>
      <c r="H24" s="79"/>
      <c r="I24" s="114"/>
      <c r="J24" s="23">
        <v>43842</v>
      </c>
      <c r="M24" s="16">
        <f t="shared" si="0"/>
        <v>317617</v>
      </c>
      <c r="N24" s="16" t="e">
        <f>+MATCH(M24,'Exh BGM-6'!$B$4:$B$41,0)</f>
        <v>#N/A</v>
      </c>
      <c r="O24" s="16">
        <f t="shared" si="1"/>
        <v>0</v>
      </c>
    </row>
    <row r="25" spans="1:17" x14ac:dyDescent="0.25">
      <c r="A25" s="77">
        <v>18</v>
      </c>
      <c r="B25" s="78" t="s">
        <v>101</v>
      </c>
      <c r="C25" s="78" t="s">
        <v>119</v>
      </c>
      <c r="D25" s="111">
        <v>303</v>
      </c>
      <c r="E25" s="112">
        <v>858122</v>
      </c>
      <c r="F25" s="113"/>
      <c r="G25" s="79">
        <f>+E25</f>
        <v>858122</v>
      </c>
      <c r="H25" s="79">
        <f>+G25</f>
        <v>858122</v>
      </c>
      <c r="I25" s="114">
        <v>21</v>
      </c>
      <c r="J25" s="23">
        <v>44165</v>
      </c>
      <c r="M25" s="16">
        <f t="shared" si="0"/>
        <v>318808</v>
      </c>
      <c r="N25" s="16">
        <f>+MATCH(M25,'Exh BGM-6'!$B$4:$B$41,0)</f>
        <v>19</v>
      </c>
      <c r="O25" s="16">
        <f t="shared" si="1"/>
        <v>0</v>
      </c>
      <c r="Q25" s="103"/>
    </row>
    <row r="26" spans="1:17" x14ac:dyDescent="0.25">
      <c r="A26" s="77">
        <v>19</v>
      </c>
      <c r="B26" s="78" t="s">
        <v>101</v>
      </c>
      <c r="C26" s="78" t="s">
        <v>120</v>
      </c>
      <c r="D26" s="111">
        <v>303</v>
      </c>
      <c r="E26" s="112">
        <f>131375.72+5492.14</f>
        <v>136867.86000000002</v>
      </c>
      <c r="F26" s="113"/>
      <c r="G26" s="79">
        <f>+E26</f>
        <v>136867.86000000002</v>
      </c>
      <c r="H26" s="79"/>
      <c r="I26" s="114"/>
      <c r="J26" s="23">
        <v>43982</v>
      </c>
      <c r="M26" s="16">
        <f t="shared" si="0"/>
        <v>318822</v>
      </c>
      <c r="N26" s="16" t="e">
        <f>+MATCH(M26,'Exh BGM-6'!$B$4:$B$41,0)</f>
        <v>#N/A</v>
      </c>
      <c r="O26" s="16">
        <f t="shared" si="1"/>
        <v>0</v>
      </c>
    </row>
    <row r="27" spans="1:17" x14ac:dyDescent="0.25">
      <c r="A27" s="77">
        <v>20</v>
      </c>
      <c r="B27" s="78" t="s">
        <v>101</v>
      </c>
      <c r="C27" s="78" t="s">
        <v>121</v>
      </c>
      <c r="D27" s="111">
        <v>303</v>
      </c>
      <c r="E27" s="112">
        <v>26509.599999999999</v>
      </c>
      <c r="F27" s="113">
        <f>+'[6]State Allocation Formulas'!C21</f>
        <v>0.75170000000000003</v>
      </c>
      <c r="G27" s="79">
        <f>+E27*F27</f>
        <v>19927.266319999999</v>
      </c>
      <c r="H27" s="79"/>
      <c r="I27" s="114"/>
      <c r="J27" s="23">
        <v>43952</v>
      </c>
      <c r="M27" s="16">
        <f t="shared" si="0"/>
        <v>318846</v>
      </c>
      <c r="N27" s="16" t="e">
        <f>+MATCH(M27,'Exh BGM-6'!$B$4:$B$41,0)</f>
        <v>#N/A</v>
      </c>
      <c r="O27" s="16">
        <f t="shared" si="1"/>
        <v>0</v>
      </c>
    </row>
    <row r="28" spans="1:17" x14ac:dyDescent="0.25">
      <c r="A28" s="77">
        <v>21</v>
      </c>
      <c r="B28" s="78" t="s">
        <v>101</v>
      </c>
      <c r="C28" s="78" t="s">
        <v>122</v>
      </c>
      <c r="D28" s="111">
        <v>303</v>
      </c>
      <c r="E28" s="112">
        <v>27529.200000000001</v>
      </c>
      <c r="F28" s="113">
        <f>+'[6]State Allocation Formulas'!C21</f>
        <v>0.75170000000000003</v>
      </c>
      <c r="G28" s="79">
        <f>+E28*F28</f>
        <v>20693.699640000003</v>
      </c>
      <c r="H28" s="79"/>
      <c r="I28" s="114"/>
      <c r="J28" s="23">
        <v>44119</v>
      </c>
      <c r="M28" s="16">
        <f t="shared" si="0"/>
        <v>318893</v>
      </c>
      <c r="N28" s="16" t="e">
        <f>+MATCH(M28,'Exh BGM-6'!$B$4:$B$41,0)</f>
        <v>#N/A</v>
      </c>
      <c r="O28" s="16">
        <f t="shared" si="1"/>
        <v>0</v>
      </c>
    </row>
    <row r="29" spans="1:17" x14ac:dyDescent="0.25">
      <c r="A29" s="77">
        <v>22</v>
      </c>
      <c r="B29" s="78" t="s">
        <v>101</v>
      </c>
      <c r="C29" s="78" t="s">
        <v>123</v>
      </c>
      <c r="D29" s="111">
        <v>303</v>
      </c>
      <c r="E29" s="112">
        <v>4731395</v>
      </c>
      <c r="F29" s="113"/>
      <c r="G29" s="79">
        <f>+E29</f>
        <v>4731395</v>
      </c>
      <c r="H29" s="79">
        <f>+G29</f>
        <v>4731395</v>
      </c>
      <c r="I29" s="114">
        <v>23</v>
      </c>
      <c r="J29" s="23">
        <v>44165</v>
      </c>
      <c r="M29" s="16">
        <f t="shared" si="0"/>
        <v>318987</v>
      </c>
      <c r="N29" s="16">
        <f>+MATCH(M29,'Exh BGM-6'!$B$4:$B$41,0)</f>
        <v>18</v>
      </c>
      <c r="O29" s="16">
        <f t="shared" si="1"/>
        <v>0</v>
      </c>
      <c r="Q29" s="103"/>
    </row>
    <row r="30" spans="1:17" x14ac:dyDescent="0.25">
      <c r="A30" s="77">
        <v>23</v>
      </c>
      <c r="B30" s="117"/>
      <c r="C30" s="118" t="s">
        <v>124</v>
      </c>
      <c r="D30" s="119"/>
      <c r="E30" s="120">
        <f>SUM(E8:E29)</f>
        <v>14946950.569999998</v>
      </c>
      <c r="F30" s="117"/>
      <c r="G30" s="121">
        <f>SUM(G8:G29)</f>
        <v>14524477.200330999</v>
      </c>
      <c r="H30" s="121">
        <f>SUM(H8:H29)</f>
        <v>12866642.449999999</v>
      </c>
      <c r="I30" s="122"/>
      <c r="J30" s="123"/>
      <c r="M30" s="16" t="e">
        <f t="shared" si="0"/>
        <v>#VALUE!</v>
      </c>
      <c r="N30" s="16" t="e">
        <f>+MATCH(M30,'Exh BGM-6'!$B$4:$B$41,0)</f>
        <v>#VALUE!</v>
      </c>
      <c r="O30" s="16">
        <f t="shared" si="1"/>
        <v>0</v>
      </c>
    </row>
    <row r="31" spans="1:17" x14ac:dyDescent="0.25">
      <c r="A31" s="77">
        <v>24</v>
      </c>
      <c r="B31" s="117" t="s">
        <v>125</v>
      </c>
      <c r="C31" s="117"/>
      <c r="D31" s="124"/>
      <c r="E31" s="112"/>
      <c r="F31" s="117"/>
      <c r="G31" s="125"/>
      <c r="H31" s="117"/>
      <c r="I31" s="122"/>
      <c r="J31" s="126"/>
      <c r="M31" s="16" t="e">
        <f t="shared" si="0"/>
        <v>#VALUE!</v>
      </c>
      <c r="N31" s="16" t="e">
        <f>+MATCH(M31,'Exh BGM-6'!$B$4:$B$41,0)</f>
        <v>#VALUE!</v>
      </c>
      <c r="O31" s="16">
        <f t="shared" si="1"/>
        <v>0</v>
      </c>
    </row>
    <row r="32" spans="1:17" x14ac:dyDescent="0.25">
      <c r="A32" s="77">
        <v>25</v>
      </c>
      <c r="B32" s="78" t="s">
        <v>126</v>
      </c>
      <c r="C32" s="117" t="s">
        <v>127</v>
      </c>
      <c r="D32" s="124">
        <v>396.2</v>
      </c>
      <c r="E32" s="112">
        <v>481087.24</v>
      </c>
      <c r="F32" s="127">
        <f>+'[6]State Allocation Formulas'!C21</f>
        <v>0.75170000000000003</v>
      </c>
      <c r="G32" s="125">
        <f>+E32*F32</f>
        <v>361633.27830800001</v>
      </c>
      <c r="H32" s="117"/>
      <c r="I32" s="122"/>
      <c r="J32" s="126">
        <v>44196</v>
      </c>
      <c r="M32" s="16">
        <f t="shared" si="0"/>
        <v>101163</v>
      </c>
      <c r="N32" s="16" t="e">
        <f>+MATCH(M32,'Exh BGM-6'!$B$4:$B$41,0)</f>
        <v>#N/A</v>
      </c>
      <c r="O32" s="16">
        <f t="shared" si="1"/>
        <v>0</v>
      </c>
    </row>
    <row r="33" spans="1:15" x14ac:dyDescent="0.25">
      <c r="A33" s="77">
        <v>26</v>
      </c>
      <c r="B33" s="78" t="s">
        <v>126</v>
      </c>
      <c r="C33" s="117" t="s">
        <v>128</v>
      </c>
      <c r="D33" s="124">
        <v>397.2</v>
      </c>
      <c r="E33" s="112">
        <v>290586.03999999998</v>
      </c>
      <c r="F33" s="127">
        <f>+'[6]State Allocation Formulas'!C21</f>
        <v>0.75170000000000003</v>
      </c>
      <c r="G33" s="125">
        <f>+E33*F33</f>
        <v>218433.52626799999</v>
      </c>
      <c r="H33" s="117"/>
      <c r="I33" s="122"/>
      <c r="J33" s="126">
        <v>44196</v>
      </c>
      <c r="M33" s="16">
        <f t="shared" si="0"/>
        <v>101164</v>
      </c>
      <c r="N33" s="16" t="e">
        <f>+MATCH(M33,'Exh BGM-6'!$B$4:$B$41,0)</f>
        <v>#N/A</v>
      </c>
      <c r="O33" s="16">
        <f t="shared" si="1"/>
        <v>0</v>
      </c>
    </row>
    <row r="34" spans="1:15" x14ac:dyDescent="0.25">
      <c r="A34" s="77">
        <v>27</v>
      </c>
      <c r="B34" s="78" t="s">
        <v>126</v>
      </c>
      <c r="C34" s="78" t="s">
        <v>129</v>
      </c>
      <c r="D34" s="111">
        <v>376.2</v>
      </c>
      <c r="E34" s="112">
        <v>36096.400000000001</v>
      </c>
      <c r="F34" s="78"/>
      <c r="G34" s="79">
        <f t="shared" ref="G34:G50" si="2">+E34</f>
        <v>36096.400000000001</v>
      </c>
      <c r="H34" s="79"/>
      <c r="I34" s="114"/>
      <c r="J34" s="128">
        <v>43946</v>
      </c>
      <c r="M34" s="16">
        <f t="shared" si="0"/>
        <v>101191</v>
      </c>
      <c r="N34" s="16" t="e">
        <f>+MATCH(M34,'Exh BGM-6'!$B$4:$B$41,0)</f>
        <v>#N/A</v>
      </c>
      <c r="O34" s="16">
        <f t="shared" si="1"/>
        <v>0</v>
      </c>
    </row>
    <row r="35" spans="1:15" x14ac:dyDescent="0.25">
      <c r="A35" s="77">
        <v>28</v>
      </c>
      <c r="B35" s="78" t="s">
        <v>126</v>
      </c>
      <c r="C35" s="78" t="s">
        <v>130</v>
      </c>
      <c r="D35" s="111">
        <v>376</v>
      </c>
      <c r="E35" s="112">
        <v>55032.54</v>
      </c>
      <c r="F35" s="78"/>
      <c r="G35" s="79">
        <f t="shared" si="2"/>
        <v>55032.54</v>
      </c>
      <c r="H35" s="79"/>
      <c r="I35" s="114"/>
      <c r="J35" s="128">
        <v>44075</v>
      </c>
      <c r="M35" s="16">
        <f t="shared" si="0"/>
        <v>101192</v>
      </c>
      <c r="N35" s="16" t="e">
        <f>+MATCH(M35,'Exh BGM-6'!$B$4:$B$41,0)</f>
        <v>#N/A</v>
      </c>
      <c r="O35" s="16">
        <f t="shared" si="1"/>
        <v>0</v>
      </c>
    </row>
    <row r="36" spans="1:15" x14ac:dyDescent="0.25">
      <c r="A36" s="77">
        <v>29</v>
      </c>
      <c r="B36" s="78" t="s">
        <v>126</v>
      </c>
      <c r="C36" s="78" t="s">
        <v>55</v>
      </c>
      <c r="D36" s="111">
        <v>378</v>
      </c>
      <c r="E36" s="112">
        <v>611717</v>
      </c>
      <c r="F36" s="78"/>
      <c r="G36" s="79">
        <f>+E36</f>
        <v>611717</v>
      </c>
      <c r="H36" s="79">
        <f>+G36</f>
        <v>611717</v>
      </c>
      <c r="I36" s="114">
        <v>27</v>
      </c>
      <c r="J36" s="128">
        <v>44196</v>
      </c>
      <c r="M36" s="16">
        <f t="shared" si="0"/>
        <v>101194</v>
      </c>
      <c r="N36" s="16" t="e">
        <f>+MATCH(M36,'Exh BGM-6'!$B$4:$B$41,0)</f>
        <v>#N/A</v>
      </c>
      <c r="O36" s="16">
        <f t="shared" si="1"/>
        <v>1</v>
      </c>
    </row>
    <row r="37" spans="1:15" x14ac:dyDescent="0.25">
      <c r="A37" s="77">
        <v>30</v>
      </c>
      <c r="B37" s="78" t="s">
        <v>126</v>
      </c>
      <c r="C37" s="78" t="s">
        <v>131</v>
      </c>
      <c r="D37" s="111">
        <v>378</v>
      </c>
      <c r="E37" s="112">
        <f>95413.54+555120</f>
        <v>650533.54</v>
      </c>
      <c r="F37" s="78"/>
      <c r="G37" s="79">
        <f t="shared" si="2"/>
        <v>650533.54</v>
      </c>
      <c r="H37" s="79"/>
      <c r="I37" s="114"/>
      <c r="J37" s="128">
        <v>44119</v>
      </c>
      <c r="M37" s="16">
        <f t="shared" si="0"/>
        <v>101196</v>
      </c>
      <c r="N37" s="16" t="e">
        <f>+MATCH(M37,'Exh BGM-6'!$B$4:$B$41,0)</f>
        <v>#N/A</v>
      </c>
      <c r="O37" s="16">
        <f t="shared" si="1"/>
        <v>0</v>
      </c>
    </row>
    <row r="38" spans="1:15" x14ac:dyDescent="0.25">
      <c r="A38" s="77">
        <v>31</v>
      </c>
      <c r="B38" s="78" t="s">
        <v>126</v>
      </c>
      <c r="C38" s="78" t="s">
        <v>132</v>
      </c>
      <c r="D38" s="111">
        <v>380</v>
      </c>
      <c r="E38" s="112">
        <v>62.76</v>
      </c>
      <c r="F38" s="78"/>
      <c r="G38" s="79">
        <f t="shared" si="2"/>
        <v>62.76</v>
      </c>
      <c r="H38" s="79"/>
      <c r="I38" s="114"/>
      <c r="J38" s="128">
        <v>44136</v>
      </c>
      <c r="M38" s="16">
        <f t="shared" si="0"/>
        <v>101197</v>
      </c>
      <c r="N38" s="16" t="e">
        <f>+MATCH(M38,'Exh BGM-6'!$B$4:$B$41,0)</f>
        <v>#N/A</v>
      </c>
      <c r="O38" s="16">
        <f t="shared" si="1"/>
        <v>0</v>
      </c>
    </row>
    <row r="39" spans="1:15" x14ac:dyDescent="0.25">
      <c r="A39" s="77">
        <v>32</v>
      </c>
      <c r="B39" s="78" t="s">
        <v>126</v>
      </c>
      <c r="C39" s="78" t="s">
        <v>133</v>
      </c>
      <c r="D39" s="124">
        <v>385</v>
      </c>
      <c r="E39" s="112">
        <v>40010.83</v>
      </c>
      <c r="F39" s="78"/>
      <c r="G39" s="79">
        <f t="shared" si="2"/>
        <v>40010.83</v>
      </c>
      <c r="H39" s="79"/>
      <c r="I39" s="114"/>
      <c r="J39" s="128">
        <v>44181</v>
      </c>
      <c r="M39" s="16">
        <f t="shared" si="0"/>
        <v>101200</v>
      </c>
      <c r="N39" s="16" t="e">
        <f>+MATCH(M39,'Exh BGM-6'!$B$4:$B$41,0)</f>
        <v>#N/A</v>
      </c>
      <c r="O39" s="16">
        <f t="shared" si="1"/>
        <v>0</v>
      </c>
    </row>
    <row r="40" spans="1:15" x14ac:dyDescent="0.25">
      <c r="A40" s="77">
        <v>33</v>
      </c>
      <c r="B40" s="78" t="s">
        <v>126</v>
      </c>
      <c r="C40" s="78" t="s">
        <v>134</v>
      </c>
      <c r="D40" s="111">
        <v>385</v>
      </c>
      <c r="E40" s="112">
        <v>21467.7</v>
      </c>
      <c r="F40" s="78"/>
      <c r="G40" s="79">
        <f t="shared" si="2"/>
        <v>21467.7</v>
      </c>
      <c r="H40" s="79"/>
      <c r="I40" s="114"/>
      <c r="J40" s="128">
        <v>43981</v>
      </c>
      <c r="M40" s="16">
        <f t="shared" si="0"/>
        <v>101201</v>
      </c>
      <c r="N40" s="16" t="e">
        <f>+MATCH(M40,'Exh BGM-6'!$B$4:$B$41,0)</f>
        <v>#N/A</v>
      </c>
      <c r="O40" s="16">
        <f t="shared" si="1"/>
        <v>0</v>
      </c>
    </row>
    <row r="41" spans="1:15" x14ac:dyDescent="0.25">
      <c r="A41" s="77">
        <v>34</v>
      </c>
      <c r="B41" s="78" t="s">
        <v>126</v>
      </c>
      <c r="C41" s="78" t="s">
        <v>57</v>
      </c>
      <c r="D41" s="129">
        <v>381</v>
      </c>
      <c r="E41" s="130">
        <v>3919185.28</v>
      </c>
      <c r="F41" s="113">
        <f>+'[6]State Allocation Formulas'!C21</f>
        <v>0.75170000000000003</v>
      </c>
      <c r="G41" s="79">
        <f>+E41*F41</f>
        <v>2946051.574976</v>
      </c>
      <c r="H41" s="79">
        <f>+G41</f>
        <v>2946051.574976</v>
      </c>
      <c r="I41" s="114">
        <v>28</v>
      </c>
      <c r="J41" s="128">
        <v>44196</v>
      </c>
      <c r="M41" s="16">
        <f t="shared" si="0"/>
        <v>101210</v>
      </c>
      <c r="N41" s="16" t="e">
        <f>+MATCH(M41,'Exh BGM-6'!$B$4:$B$41,0)</f>
        <v>#N/A</v>
      </c>
      <c r="O41" s="16">
        <f t="shared" si="1"/>
        <v>1</v>
      </c>
    </row>
    <row r="42" spans="1:15" x14ac:dyDescent="0.25">
      <c r="A42" s="77">
        <v>35</v>
      </c>
      <c r="B42" s="78" t="s">
        <v>126</v>
      </c>
      <c r="C42" s="78" t="s">
        <v>135</v>
      </c>
      <c r="D42" s="129">
        <v>392.2</v>
      </c>
      <c r="E42" s="130">
        <v>2180374.04</v>
      </c>
      <c r="F42" s="113">
        <f>+'[6]State Allocation Formulas'!C21</f>
        <v>0.75170000000000003</v>
      </c>
      <c r="G42" s="79">
        <f t="shared" ref="G42:G43" si="3">+E42*F42</f>
        <v>1638987.1658680001</v>
      </c>
      <c r="H42" s="79"/>
      <c r="I42" s="114"/>
      <c r="J42" s="128">
        <v>44196</v>
      </c>
      <c r="M42" s="16">
        <f t="shared" si="0"/>
        <v>101215</v>
      </c>
      <c r="N42" s="16" t="e">
        <f>+MATCH(M42,'Exh BGM-6'!$B$4:$B$41,0)</f>
        <v>#N/A</v>
      </c>
      <c r="O42" s="16">
        <f t="shared" si="1"/>
        <v>0</v>
      </c>
    </row>
    <row r="43" spans="1:15" x14ac:dyDescent="0.25">
      <c r="A43" s="77">
        <v>36</v>
      </c>
      <c r="B43" s="78" t="s">
        <v>126</v>
      </c>
      <c r="C43" s="78" t="s">
        <v>136</v>
      </c>
      <c r="D43" s="129">
        <v>383</v>
      </c>
      <c r="E43" s="130">
        <v>1320143.48</v>
      </c>
      <c r="F43" s="113">
        <f>+'[6]State Allocation Formulas'!C21</f>
        <v>0.75170000000000003</v>
      </c>
      <c r="G43" s="79">
        <f t="shared" si="3"/>
        <v>992351.85391599999</v>
      </c>
      <c r="H43" s="79"/>
      <c r="I43" s="114"/>
      <c r="J43" s="128">
        <v>44196</v>
      </c>
      <c r="M43" s="16">
        <f t="shared" si="0"/>
        <v>101259</v>
      </c>
      <c r="N43" s="16" t="e">
        <f>+MATCH(M43,'Exh BGM-6'!$B$4:$B$41,0)</f>
        <v>#N/A</v>
      </c>
      <c r="O43" s="16">
        <f t="shared" si="1"/>
        <v>0</v>
      </c>
    </row>
    <row r="44" spans="1:15" x14ac:dyDescent="0.25">
      <c r="A44" s="77">
        <v>37</v>
      </c>
      <c r="B44" s="78" t="s">
        <v>126</v>
      </c>
      <c r="C44" s="78" t="s">
        <v>137</v>
      </c>
      <c r="D44" s="111">
        <v>380</v>
      </c>
      <c r="E44" s="112">
        <v>31924.36</v>
      </c>
      <c r="F44" s="78"/>
      <c r="G44" s="79">
        <f t="shared" si="2"/>
        <v>31924.36</v>
      </c>
      <c r="H44" s="79"/>
      <c r="I44" s="114"/>
      <c r="J44" s="128">
        <v>44136</v>
      </c>
      <c r="M44" s="16">
        <f t="shared" si="0"/>
        <v>101275</v>
      </c>
      <c r="N44" s="16" t="e">
        <f>+MATCH(M44,'Exh BGM-6'!$B$4:$B$41,0)</f>
        <v>#N/A</v>
      </c>
      <c r="O44" s="16">
        <f t="shared" si="1"/>
        <v>0</v>
      </c>
    </row>
    <row r="45" spans="1:15" x14ac:dyDescent="0.25">
      <c r="A45" s="77">
        <v>38</v>
      </c>
      <c r="B45" s="78" t="s">
        <v>126</v>
      </c>
      <c r="C45" s="78" t="str">
        <f>_xlfn.CONCAT('[7]2020 Budget by State -w- FERC'!$E$4,'[7]2020 Budget by State -w- FERC'!$F$4)</f>
        <v>FP-101413GP BUILDINGS - WALLAWALLA</v>
      </c>
      <c r="D45" s="111">
        <v>375.1</v>
      </c>
      <c r="E45" s="112">
        <v>124289.24</v>
      </c>
      <c r="F45" s="78"/>
      <c r="G45" s="79">
        <f t="shared" si="2"/>
        <v>124289.24</v>
      </c>
      <c r="H45" s="79"/>
      <c r="I45" s="114"/>
      <c r="J45" s="128">
        <v>44196</v>
      </c>
      <c r="M45" s="16">
        <f t="shared" si="0"/>
        <v>101413</v>
      </c>
      <c r="N45" s="16" t="e">
        <f>+MATCH(M45,'Exh BGM-6'!$B$4:$B$41,0)</f>
        <v>#N/A</v>
      </c>
      <c r="O45" s="16">
        <f t="shared" si="1"/>
        <v>0</v>
      </c>
    </row>
    <row r="46" spans="1:15" x14ac:dyDescent="0.25">
      <c r="A46" s="77">
        <v>39</v>
      </c>
      <c r="B46" s="78" t="s">
        <v>126</v>
      </c>
      <c r="C46" s="78" t="str">
        <f>_xlfn.CONCAT('[7]2020 Budget by State -w- FERC'!$E$5,'[7]2020 Budget by State -w- FERC'!$F$5)</f>
        <v>FP-101416GP TOOLS - WALLAWALLA</v>
      </c>
      <c r="D46" s="111">
        <v>394.1</v>
      </c>
      <c r="E46" s="112">
        <v>4282.32</v>
      </c>
      <c r="F46" s="78"/>
      <c r="G46" s="79">
        <f t="shared" si="2"/>
        <v>4282.32</v>
      </c>
      <c r="H46" s="79"/>
      <c r="I46" s="114"/>
      <c r="J46" s="128">
        <v>44196</v>
      </c>
      <c r="M46" s="16">
        <f t="shared" si="0"/>
        <v>101416</v>
      </c>
      <c r="N46" s="16" t="e">
        <f>+MATCH(M46,'Exh BGM-6'!$B$4:$B$41,0)</f>
        <v>#N/A</v>
      </c>
      <c r="O46" s="16">
        <f t="shared" si="1"/>
        <v>0</v>
      </c>
    </row>
    <row r="47" spans="1:15" x14ac:dyDescent="0.25">
      <c r="A47" s="77">
        <v>40</v>
      </c>
      <c r="B47" s="78" t="s">
        <v>126</v>
      </c>
      <c r="C47" s="78" t="s">
        <v>138</v>
      </c>
      <c r="D47" s="111">
        <v>367.1</v>
      </c>
      <c r="E47" s="112">
        <v>7616.94</v>
      </c>
      <c r="F47" s="78"/>
      <c r="G47" s="79">
        <f t="shared" si="2"/>
        <v>7616.94</v>
      </c>
      <c r="H47" s="78"/>
      <c r="I47" s="114"/>
      <c r="J47" s="128">
        <v>44196</v>
      </c>
      <c r="M47" s="16">
        <f t="shared" si="0"/>
        <v>200043</v>
      </c>
      <c r="N47" s="16" t="e">
        <f>+MATCH(M47,'Exh BGM-6'!$B$4:$B$41,0)</f>
        <v>#N/A</v>
      </c>
      <c r="O47" s="16">
        <f t="shared" si="1"/>
        <v>0</v>
      </c>
    </row>
    <row r="48" spans="1:15" x14ac:dyDescent="0.25">
      <c r="A48" s="77">
        <v>41</v>
      </c>
      <c r="B48" s="78" t="s">
        <v>126</v>
      </c>
      <c r="C48" s="78" t="s">
        <v>139</v>
      </c>
      <c r="D48" s="111">
        <v>391.3</v>
      </c>
      <c r="E48" s="112">
        <v>54854.48</v>
      </c>
      <c r="F48" s="113">
        <f>+'[6]State Allocation Formulas'!C21</f>
        <v>0.75170000000000003</v>
      </c>
      <c r="G48" s="79">
        <f>+E48*F48</f>
        <v>41234.112616000006</v>
      </c>
      <c r="H48" s="78"/>
      <c r="I48" s="114"/>
      <c r="J48" s="128">
        <v>44196</v>
      </c>
      <c r="M48" s="16">
        <f t="shared" si="0"/>
        <v>200662</v>
      </c>
      <c r="N48" s="16" t="e">
        <f>+MATCH(M48,'Exh BGM-6'!$B$4:$B$41,0)</f>
        <v>#N/A</v>
      </c>
      <c r="O48" s="16">
        <f t="shared" si="1"/>
        <v>0</v>
      </c>
    </row>
    <row r="49" spans="1:17" x14ac:dyDescent="0.25">
      <c r="A49" s="77">
        <v>42</v>
      </c>
      <c r="B49" s="78" t="s">
        <v>126</v>
      </c>
      <c r="C49" s="78" t="s">
        <v>140</v>
      </c>
      <c r="D49" s="111">
        <v>376.2</v>
      </c>
      <c r="E49" s="112">
        <v>2757265.26</v>
      </c>
      <c r="F49" s="78"/>
      <c r="G49" s="79">
        <f t="shared" si="2"/>
        <v>2757265.26</v>
      </c>
      <c r="H49" s="79">
        <f>+G49</f>
        <v>2757265.26</v>
      </c>
      <c r="I49" s="114">
        <v>1</v>
      </c>
      <c r="J49" s="128">
        <v>44012</v>
      </c>
      <c r="M49" s="16">
        <f t="shared" si="0"/>
        <v>300233</v>
      </c>
      <c r="N49" s="16">
        <f>+MATCH(M49,'Exh BGM-6'!$B$4:$B$41,0)</f>
        <v>28</v>
      </c>
      <c r="O49" s="16">
        <f t="shared" si="1"/>
        <v>0</v>
      </c>
    </row>
    <row r="50" spans="1:17" x14ac:dyDescent="0.25">
      <c r="A50" s="77">
        <v>43</v>
      </c>
      <c r="B50" s="78" t="s">
        <v>126</v>
      </c>
      <c r="C50" s="78" t="s">
        <v>141</v>
      </c>
      <c r="D50" s="111">
        <v>376.1</v>
      </c>
      <c r="E50" s="112">
        <f>37762.19+709879.16</f>
        <v>747641.35000000009</v>
      </c>
      <c r="F50" s="78"/>
      <c r="G50" s="79">
        <f t="shared" si="2"/>
        <v>747641.35000000009</v>
      </c>
      <c r="H50" s="79"/>
      <c r="I50" s="114"/>
      <c r="J50" s="128">
        <v>43891</v>
      </c>
      <c r="M50" s="16">
        <f t="shared" si="0"/>
        <v>302369</v>
      </c>
      <c r="N50" s="16" t="e">
        <f>+MATCH(M50,'Exh BGM-6'!$B$4:$B$41,0)</f>
        <v>#N/A</v>
      </c>
      <c r="O50" s="16">
        <f t="shared" si="1"/>
        <v>0</v>
      </c>
    </row>
    <row r="51" spans="1:17" x14ac:dyDescent="0.25">
      <c r="A51" s="77">
        <v>45</v>
      </c>
      <c r="B51" s="78" t="s">
        <v>126</v>
      </c>
      <c r="C51" s="78" t="s">
        <v>142</v>
      </c>
      <c r="D51" s="111">
        <v>381</v>
      </c>
      <c r="E51" s="112">
        <v>363466.8</v>
      </c>
      <c r="F51" s="113">
        <f>+'[6]State Allocation Formulas'!C21</f>
        <v>0.75170000000000003</v>
      </c>
      <c r="G51" s="79">
        <f>+E51*F51</f>
        <v>273217.99356000003</v>
      </c>
      <c r="H51" s="79"/>
      <c r="I51" s="114"/>
      <c r="J51" s="23">
        <v>44196</v>
      </c>
      <c r="M51" s="16">
        <f t="shared" si="0"/>
        <v>306980</v>
      </c>
      <c r="N51" s="16" t="e">
        <f>+MATCH(M51,'Exh BGM-6'!$B$4:$B$41,0)</f>
        <v>#N/A</v>
      </c>
      <c r="O51" s="16">
        <f t="shared" si="1"/>
        <v>0</v>
      </c>
    </row>
    <row r="52" spans="1:17" x14ac:dyDescent="0.25">
      <c r="A52" s="77">
        <v>46</v>
      </c>
      <c r="B52" s="78" t="s">
        <v>126</v>
      </c>
      <c r="C52" s="78" t="s">
        <v>143</v>
      </c>
      <c r="D52" s="111">
        <v>376.2</v>
      </c>
      <c r="E52" s="112">
        <v>3360413</v>
      </c>
      <c r="F52" s="78"/>
      <c r="G52" s="79">
        <f t="shared" ref="G52:G72" si="4">+E52</f>
        <v>3360413</v>
      </c>
      <c r="H52" s="79">
        <f>+G52</f>
        <v>3360413</v>
      </c>
      <c r="I52" s="114">
        <v>3</v>
      </c>
      <c r="J52" s="128">
        <v>44165</v>
      </c>
      <c r="M52" s="16">
        <f t="shared" si="0"/>
        <v>306988</v>
      </c>
      <c r="N52" s="16">
        <f>+MATCH(M52,'Exh BGM-6'!$B$4:$B$41,0)</f>
        <v>7</v>
      </c>
      <c r="O52" s="16">
        <f t="shared" si="1"/>
        <v>0</v>
      </c>
      <c r="Q52" s="103"/>
    </row>
    <row r="53" spans="1:17" x14ac:dyDescent="0.25">
      <c r="A53" s="77">
        <v>47</v>
      </c>
      <c r="B53" s="78" t="s">
        <v>126</v>
      </c>
      <c r="C53" s="16" t="s">
        <v>144</v>
      </c>
      <c r="D53" s="111">
        <v>367.1</v>
      </c>
      <c r="E53" s="112">
        <v>2363557.25</v>
      </c>
      <c r="F53" s="78"/>
      <c r="G53" s="79">
        <f t="shared" si="4"/>
        <v>2363557.25</v>
      </c>
      <c r="H53" s="79"/>
      <c r="I53" s="114"/>
      <c r="J53" s="128">
        <v>44895</v>
      </c>
      <c r="M53" s="16">
        <f t="shared" si="0"/>
        <v>309960</v>
      </c>
      <c r="N53" s="16" t="e">
        <f>+MATCH(M53,'Exh BGM-6'!$B$4:$B$41,0)</f>
        <v>#N/A</v>
      </c>
      <c r="O53" s="16">
        <f t="shared" si="1"/>
        <v>0</v>
      </c>
    </row>
    <row r="54" spans="1:17" x14ac:dyDescent="0.25">
      <c r="A54" s="77">
        <v>48</v>
      </c>
      <c r="B54" s="78" t="s">
        <v>126</v>
      </c>
      <c r="C54" s="78" t="s">
        <v>145</v>
      </c>
      <c r="D54" s="111">
        <v>378</v>
      </c>
      <c r="E54" s="112">
        <v>20008.89</v>
      </c>
      <c r="F54" s="78"/>
      <c r="G54" s="79">
        <f t="shared" si="4"/>
        <v>20008.89</v>
      </c>
      <c r="H54" s="79"/>
      <c r="I54" s="114"/>
      <c r="J54" s="128">
        <v>43861</v>
      </c>
      <c r="M54" s="16">
        <f t="shared" si="0"/>
        <v>312009</v>
      </c>
      <c r="N54" s="16" t="e">
        <f>+MATCH(M54,'Exh BGM-6'!$B$4:$B$41,0)</f>
        <v>#N/A</v>
      </c>
      <c r="O54" s="16">
        <f t="shared" si="1"/>
        <v>0</v>
      </c>
    </row>
    <row r="55" spans="1:17" x14ac:dyDescent="0.25">
      <c r="A55" s="77">
        <v>49</v>
      </c>
      <c r="B55" s="78" t="s">
        <v>126</v>
      </c>
      <c r="C55" s="78" t="s">
        <v>146</v>
      </c>
      <c r="D55" s="111">
        <v>376.2</v>
      </c>
      <c r="E55" s="112">
        <v>179168.59</v>
      </c>
      <c r="F55" s="78"/>
      <c r="G55" s="79">
        <f t="shared" si="4"/>
        <v>179168.59</v>
      </c>
      <c r="H55" s="79"/>
      <c r="I55" s="114" t="s">
        <v>147</v>
      </c>
      <c r="J55" s="128">
        <v>44196</v>
      </c>
      <c r="M55" s="16">
        <f t="shared" si="0"/>
        <v>316027</v>
      </c>
      <c r="N55" s="16" t="e">
        <f>+MATCH(M55,'Exh BGM-6'!$B$4:$B$41,0)</f>
        <v>#N/A</v>
      </c>
      <c r="O55" s="16">
        <f t="shared" si="1"/>
        <v>1</v>
      </c>
    </row>
    <row r="56" spans="1:17" x14ac:dyDescent="0.25">
      <c r="A56" s="77">
        <v>50</v>
      </c>
      <c r="B56" s="78" t="s">
        <v>126</v>
      </c>
      <c r="C56" s="78" t="s">
        <v>148</v>
      </c>
      <c r="D56" s="111">
        <v>376.2</v>
      </c>
      <c r="E56" s="112">
        <v>239545.87</v>
      </c>
      <c r="F56" s="78"/>
      <c r="G56" s="79">
        <f t="shared" si="4"/>
        <v>239545.87</v>
      </c>
      <c r="H56" s="79"/>
      <c r="I56" s="114" t="s">
        <v>147</v>
      </c>
      <c r="J56" s="128">
        <v>44196</v>
      </c>
      <c r="M56" s="16">
        <f t="shared" si="0"/>
        <v>316033</v>
      </c>
      <c r="N56" s="16" t="e">
        <f>+MATCH(M56,'Exh BGM-6'!$B$4:$B$41,0)</f>
        <v>#N/A</v>
      </c>
      <c r="O56" s="16">
        <f t="shared" si="1"/>
        <v>1</v>
      </c>
    </row>
    <row r="57" spans="1:17" x14ac:dyDescent="0.25">
      <c r="A57" s="77">
        <v>51</v>
      </c>
      <c r="B57" s="78" t="s">
        <v>126</v>
      </c>
      <c r="C57" s="78" t="s">
        <v>149</v>
      </c>
      <c r="D57" s="111">
        <v>376.2</v>
      </c>
      <c r="E57" s="112">
        <v>112657.85</v>
      </c>
      <c r="F57" s="78"/>
      <c r="G57" s="79">
        <f t="shared" si="4"/>
        <v>112657.85</v>
      </c>
      <c r="H57" s="79"/>
      <c r="I57" s="114"/>
      <c r="J57" s="128">
        <v>44165</v>
      </c>
      <c r="M57" s="16">
        <f t="shared" si="0"/>
        <v>316034</v>
      </c>
      <c r="N57" s="16" t="e">
        <f>+MATCH(M57,'Exh BGM-6'!$B$4:$B$41,0)</f>
        <v>#N/A</v>
      </c>
      <c r="O57" s="16">
        <f t="shared" si="1"/>
        <v>0</v>
      </c>
    </row>
    <row r="58" spans="1:17" x14ac:dyDescent="0.25">
      <c r="A58" s="77">
        <v>52</v>
      </c>
      <c r="B58" s="78" t="s">
        <v>126</v>
      </c>
      <c r="C58" s="78" t="s">
        <v>150</v>
      </c>
      <c r="D58" s="111">
        <v>376.2</v>
      </c>
      <c r="E58" s="112">
        <v>1321132.3500000001</v>
      </c>
      <c r="F58" s="78"/>
      <c r="G58" s="79">
        <f t="shared" si="4"/>
        <v>1321132.3500000001</v>
      </c>
      <c r="H58" s="79"/>
      <c r="I58" s="114" t="s">
        <v>147</v>
      </c>
      <c r="J58" s="128">
        <v>44196</v>
      </c>
      <c r="M58" s="16">
        <f t="shared" si="0"/>
        <v>316035</v>
      </c>
      <c r="N58" s="16" t="e">
        <f>+MATCH(M58,'Exh BGM-6'!$B$4:$B$41,0)</f>
        <v>#N/A</v>
      </c>
      <c r="O58" s="16">
        <f t="shared" si="1"/>
        <v>1</v>
      </c>
    </row>
    <row r="59" spans="1:17" x14ac:dyDescent="0.25">
      <c r="A59" s="77">
        <v>53</v>
      </c>
      <c r="B59" s="78" t="s">
        <v>126</v>
      </c>
      <c r="C59" s="78" t="s">
        <v>151</v>
      </c>
      <c r="D59" s="111">
        <v>376.2</v>
      </c>
      <c r="E59" s="112">
        <v>588710.21</v>
      </c>
      <c r="F59" s="78"/>
      <c r="G59" s="79">
        <f t="shared" si="4"/>
        <v>588710.21</v>
      </c>
      <c r="H59" s="79"/>
      <c r="I59" s="114"/>
      <c r="J59" s="128">
        <v>44166</v>
      </c>
      <c r="M59" s="16">
        <f t="shared" si="0"/>
        <v>316043</v>
      </c>
      <c r="N59" s="16" t="e">
        <f>+MATCH(M59,'Exh BGM-6'!$B$4:$B$41,0)</f>
        <v>#N/A</v>
      </c>
      <c r="O59" s="16">
        <f t="shared" si="1"/>
        <v>0</v>
      </c>
    </row>
    <row r="60" spans="1:17" x14ac:dyDescent="0.25">
      <c r="A60" s="77">
        <v>54</v>
      </c>
      <c r="B60" s="78" t="s">
        <v>126</v>
      </c>
      <c r="C60" s="78" t="s">
        <v>152</v>
      </c>
      <c r="D60" s="111">
        <v>376.2</v>
      </c>
      <c r="E60" s="112">
        <v>1714110.95</v>
      </c>
      <c r="F60" s="78"/>
      <c r="G60" s="79">
        <f t="shared" si="4"/>
        <v>1714110.95</v>
      </c>
      <c r="H60" s="79"/>
      <c r="I60" s="114" t="s">
        <v>147</v>
      </c>
      <c r="J60" s="128">
        <v>44196</v>
      </c>
      <c r="M60" s="16">
        <f t="shared" si="0"/>
        <v>316044</v>
      </c>
      <c r="N60" s="16" t="e">
        <f>+MATCH(M60,'Exh BGM-6'!$B$4:$B$41,0)</f>
        <v>#N/A</v>
      </c>
      <c r="O60" s="16">
        <f t="shared" si="1"/>
        <v>1</v>
      </c>
    </row>
    <row r="61" spans="1:17" x14ac:dyDescent="0.25">
      <c r="A61" s="77">
        <v>55</v>
      </c>
      <c r="B61" s="78" t="s">
        <v>126</v>
      </c>
      <c r="C61" s="78" t="s">
        <v>153</v>
      </c>
      <c r="D61" s="111">
        <v>376.2</v>
      </c>
      <c r="E61" s="112">
        <f>244987.08+245475.4</f>
        <v>490462.48</v>
      </c>
      <c r="F61" s="78"/>
      <c r="G61" s="79">
        <f t="shared" si="4"/>
        <v>490462.48</v>
      </c>
      <c r="H61" s="79"/>
      <c r="I61" s="114"/>
      <c r="J61" s="128">
        <v>44042</v>
      </c>
      <c r="M61" s="16">
        <f t="shared" si="0"/>
        <v>316046</v>
      </c>
      <c r="N61" s="16" t="e">
        <f>+MATCH(M61,'Exh BGM-6'!$B$4:$B$41,0)</f>
        <v>#N/A</v>
      </c>
      <c r="O61" s="16">
        <f t="shared" si="1"/>
        <v>0</v>
      </c>
    </row>
    <row r="62" spans="1:17" x14ac:dyDescent="0.25">
      <c r="A62" s="77">
        <v>56</v>
      </c>
      <c r="B62" s="78" t="s">
        <v>126</v>
      </c>
      <c r="C62" s="78" t="s">
        <v>154</v>
      </c>
      <c r="D62" s="111">
        <v>378</v>
      </c>
      <c r="E62" s="112">
        <v>17894.23</v>
      </c>
      <c r="F62" s="113"/>
      <c r="G62" s="79">
        <f t="shared" si="4"/>
        <v>17894.23</v>
      </c>
      <c r="H62" s="79"/>
      <c r="I62" s="114"/>
      <c r="J62" s="128">
        <v>43951</v>
      </c>
      <c r="M62" s="16">
        <f t="shared" si="0"/>
        <v>316146</v>
      </c>
      <c r="N62" s="16" t="e">
        <f>+MATCH(M62,'Exh BGM-6'!$B$4:$B$41,0)</f>
        <v>#N/A</v>
      </c>
      <c r="O62" s="16">
        <f t="shared" si="1"/>
        <v>0</v>
      </c>
    </row>
    <row r="63" spans="1:17" x14ac:dyDescent="0.25">
      <c r="A63" s="77">
        <v>57</v>
      </c>
      <c r="B63" s="78" t="s">
        <v>126</v>
      </c>
      <c r="C63" s="78" t="s">
        <v>155</v>
      </c>
      <c r="D63" s="111">
        <v>376.1</v>
      </c>
      <c r="E63" s="112">
        <v>517249.44</v>
      </c>
      <c r="F63" s="113"/>
      <c r="G63" s="79">
        <f t="shared" si="4"/>
        <v>517249.44</v>
      </c>
      <c r="H63" s="79"/>
      <c r="I63" s="114" t="s">
        <v>147</v>
      </c>
      <c r="J63" s="128">
        <v>44166</v>
      </c>
      <c r="M63" s="16">
        <f t="shared" si="0"/>
        <v>316403</v>
      </c>
      <c r="N63" s="16" t="e">
        <f>+MATCH(M63,'Exh BGM-6'!$B$4:$B$41,0)</f>
        <v>#N/A</v>
      </c>
      <c r="O63" s="16">
        <f t="shared" si="1"/>
        <v>1</v>
      </c>
    </row>
    <row r="64" spans="1:17" x14ac:dyDescent="0.25">
      <c r="A64" s="77">
        <v>58</v>
      </c>
      <c r="B64" s="78" t="s">
        <v>126</v>
      </c>
      <c r="C64" s="78" t="s">
        <v>156</v>
      </c>
      <c r="D64" s="111">
        <v>376.2</v>
      </c>
      <c r="E64" s="112">
        <v>4257740</v>
      </c>
      <c r="F64" s="78"/>
      <c r="G64" s="79">
        <f t="shared" si="4"/>
        <v>4257740</v>
      </c>
      <c r="H64" s="79">
        <f>+G64</f>
        <v>4257740</v>
      </c>
      <c r="I64" s="114">
        <v>5</v>
      </c>
      <c r="J64" s="23">
        <v>44042</v>
      </c>
      <c r="M64" s="16">
        <f t="shared" si="0"/>
        <v>316429</v>
      </c>
      <c r="N64" s="16">
        <f>+MATCH(M64,'Exh BGM-6'!$B$4:$B$41,0)</f>
        <v>34</v>
      </c>
      <c r="O64" s="16">
        <f t="shared" si="1"/>
        <v>0</v>
      </c>
    </row>
    <row r="65" spans="1:17" x14ac:dyDescent="0.25">
      <c r="A65" s="77">
        <v>59</v>
      </c>
      <c r="B65" s="78" t="s">
        <v>126</v>
      </c>
      <c r="C65" s="78" t="s">
        <v>157</v>
      </c>
      <c r="D65" s="111">
        <v>376.2</v>
      </c>
      <c r="E65" s="112">
        <v>3462856.75</v>
      </c>
      <c r="F65" s="78"/>
      <c r="G65" s="79">
        <f t="shared" si="4"/>
        <v>3462856.75</v>
      </c>
      <c r="H65" s="79"/>
      <c r="I65" s="114" t="s">
        <v>147</v>
      </c>
      <c r="J65" s="23">
        <v>44165</v>
      </c>
      <c r="M65" s="16">
        <f t="shared" si="0"/>
        <v>316570</v>
      </c>
      <c r="N65" s="16" t="e">
        <f>+MATCH(M65,'Exh BGM-6'!$B$4:$B$41,0)</f>
        <v>#N/A</v>
      </c>
      <c r="O65" s="16">
        <f t="shared" si="1"/>
        <v>1</v>
      </c>
    </row>
    <row r="66" spans="1:17" x14ac:dyDescent="0.25">
      <c r="A66" s="77">
        <v>60</v>
      </c>
      <c r="B66" s="78" t="s">
        <v>126</v>
      </c>
      <c r="C66" s="78" t="s">
        <v>158</v>
      </c>
      <c r="D66" s="111">
        <v>376.2</v>
      </c>
      <c r="E66" s="112">
        <v>1079817.45</v>
      </c>
      <c r="F66" s="78"/>
      <c r="G66" s="79">
        <f t="shared" si="4"/>
        <v>1079817.45</v>
      </c>
      <c r="H66" s="79"/>
      <c r="I66" s="114" t="s">
        <v>147</v>
      </c>
      <c r="J66" s="23">
        <v>44196</v>
      </c>
      <c r="M66" s="16">
        <f t="shared" si="0"/>
        <v>316580</v>
      </c>
      <c r="N66" s="16" t="e">
        <f>+MATCH(M66,'Exh BGM-6'!$B$4:$B$41,0)</f>
        <v>#N/A</v>
      </c>
      <c r="O66" s="16">
        <f t="shared" si="1"/>
        <v>1</v>
      </c>
    </row>
    <row r="67" spans="1:17" x14ac:dyDescent="0.25">
      <c r="A67" s="77">
        <v>61</v>
      </c>
      <c r="B67" s="78" t="s">
        <v>126</v>
      </c>
      <c r="C67" s="78" t="s">
        <v>159</v>
      </c>
      <c r="D67" s="111">
        <v>378</v>
      </c>
      <c r="E67" s="112">
        <v>1015615.47</v>
      </c>
      <c r="F67" s="78"/>
      <c r="G67" s="79">
        <f t="shared" si="4"/>
        <v>1015615.47</v>
      </c>
      <c r="H67" s="79">
        <f>+G67</f>
        <v>1015615.47</v>
      </c>
      <c r="I67" s="114">
        <v>6</v>
      </c>
      <c r="J67" s="23">
        <v>44012</v>
      </c>
      <c r="M67" s="16">
        <f t="shared" si="0"/>
        <v>316586</v>
      </c>
      <c r="N67" s="16">
        <f>+MATCH(M67,'Exh BGM-6'!$B$4:$B$41,0)</f>
        <v>29</v>
      </c>
      <c r="O67" s="16">
        <f t="shared" si="1"/>
        <v>0</v>
      </c>
    </row>
    <row r="68" spans="1:17" x14ac:dyDescent="0.25">
      <c r="A68" s="77">
        <v>62</v>
      </c>
      <c r="B68" s="78" t="s">
        <v>126</v>
      </c>
      <c r="C68" s="78" t="s">
        <v>160</v>
      </c>
      <c r="D68" s="111">
        <v>378</v>
      </c>
      <c r="E68" s="112">
        <v>1308260.44</v>
      </c>
      <c r="F68" s="78"/>
      <c r="G68" s="79">
        <f t="shared" si="4"/>
        <v>1308260.44</v>
      </c>
      <c r="H68" s="79">
        <f>+G68</f>
        <v>1308260.44</v>
      </c>
      <c r="I68" s="114">
        <v>7</v>
      </c>
      <c r="J68" s="23">
        <v>44074</v>
      </c>
      <c r="M68" s="16">
        <f t="shared" si="0"/>
        <v>316587</v>
      </c>
      <c r="N68" s="16">
        <f>+MATCH(M68,'Exh BGM-6'!$B$4:$B$41,0)</f>
        <v>2</v>
      </c>
      <c r="O68" s="16">
        <f t="shared" si="1"/>
        <v>0</v>
      </c>
      <c r="Q68" s="103"/>
    </row>
    <row r="69" spans="1:17" x14ac:dyDescent="0.25">
      <c r="A69" s="77">
        <v>63</v>
      </c>
      <c r="B69" s="78" t="s">
        <v>126</v>
      </c>
      <c r="C69" s="78" t="s">
        <v>161</v>
      </c>
      <c r="D69" s="111">
        <v>378</v>
      </c>
      <c r="E69" s="112">
        <v>1160244.8899999999</v>
      </c>
      <c r="F69" s="78"/>
      <c r="G69" s="79">
        <f t="shared" si="4"/>
        <v>1160244.8899999999</v>
      </c>
      <c r="H69" s="79">
        <f>+G69</f>
        <v>1160244.8899999999</v>
      </c>
      <c r="I69" s="114">
        <v>8</v>
      </c>
      <c r="J69" s="128">
        <v>44165</v>
      </c>
      <c r="M69" s="16">
        <f t="shared" si="0"/>
        <v>316589</v>
      </c>
      <c r="N69" s="16">
        <f>+MATCH(M69,'Exh BGM-6'!$B$4:$B$41,0)</f>
        <v>8</v>
      </c>
      <c r="O69" s="16">
        <f t="shared" si="1"/>
        <v>0</v>
      </c>
      <c r="P69" s="103"/>
    </row>
    <row r="70" spans="1:17" x14ac:dyDescent="0.25">
      <c r="A70" s="77">
        <v>64</v>
      </c>
      <c r="B70" s="78" t="s">
        <v>126</v>
      </c>
      <c r="C70" s="78" t="s">
        <v>162</v>
      </c>
      <c r="D70" s="111">
        <v>376.2</v>
      </c>
      <c r="E70" s="112">
        <v>9795152</v>
      </c>
      <c r="F70" s="78"/>
      <c r="G70" s="79">
        <f t="shared" si="4"/>
        <v>9795152</v>
      </c>
      <c r="H70" s="79">
        <f>+G70</f>
        <v>9795152</v>
      </c>
      <c r="I70" s="114">
        <v>9</v>
      </c>
      <c r="J70" s="23">
        <v>44074</v>
      </c>
      <c r="M70" s="16">
        <f t="shared" si="0"/>
        <v>316670</v>
      </c>
      <c r="N70" s="16">
        <f>+MATCH(M70,'Exh BGM-6'!$B$4:$B$41,0)</f>
        <v>3</v>
      </c>
      <c r="O70" s="16">
        <f t="shared" si="1"/>
        <v>0</v>
      </c>
    </row>
    <row r="71" spans="1:17" x14ac:dyDescent="0.25">
      <c r="A71" s="77">
        <v>65</v>
      </c>
      <c r="B71" s="78" t="s">
        <v>126</v>
      </c>
      <c r="C71" s="78" t="s">
        <v>163</v>
      </c>
      <c r="D71" s="111">
        <v>378</v>
      </c>
      <c r="E71" s="112">
        <v>77932.33</v>
      </c>
      <c r="F71" s="78"/>
      <c r="G71" s="79">
        <f t="shared" si="4"/>
        <v>77932.33</v>
      </c>
      <c r="H71" s="79"/>
      <c r="I71" s="114"/>
      <c r="J71" s="128">
        <v>43860</v>
      </c>
      <c r="M71" s="16">
        <f t="shared" si="0"/>
        <v>316822</v>
      </c>
      <c r="N71" s="16" t="e">
        <f>+MATCH(M71,'Exh BGM-6'!$B$4:$B$41,0)</f>
        <v>#N/A</v>
      </c>
      <c r="O71" s="16">
        <f t="shared" si="1"/>
        <v>0</v>
      </c>
      <c r="P71" s="103"/>
    </row>
    <row r="72" spans="1:17" x14ac:dyDescent="0.25">
      <c r="A72" s="77">
        <v>66</v>
      </c>
      <c r="B72" s="78" t="s">
        <v>126</v>
      </c>
      <c r="C72" s="78" t="s">
        <v>164</v>
      </c>
      <c r="D72" s="111">
        <v>378</v>
      </c>
      <c r="E72" s="112">
        <v>77959.740000000005</v>
      </c>
      <c r="F72" s="78"/>
      <c r="G72" s="79">
        <f t="shared" si="4"/>
        <v>77959.740000000005</v>
      </c>
      <c r="H72" s="79"/>
      <c r="I72" s="114"/>
      <c r="J72" s="128">
        <v>43860</v>
      </c>
      <c r="M72" s="16">
        <f t="shared" si="0"/>
        <v>316823</v>
      </c>
      <c r="N72" s="16" t="e">
        <f>+MATCH(M72,'Exh BGM-6'!$B$4:$B$41,0)</f>
        <v>#N/A</v>
      </c>
      <c r="O72" s="16">
        <f t="shared" si="1"/>
        <v>0</v>
      </c>
    </row>
    <row r="73" spans="1:17" x14ac:dyDescent="0.25">
      <c r="A73" s="77">
        <v>67</v>
      </c>
      <c r="B73" s="78" t="s">
        <v>126</v>
      </c>
      <c r="C73" s="16" t="s">
        <v>165</v>
      </c>
      <c r="D73" s="111">
        <v>367.1</v>
      </c>
      <c r="E73" s="112">
        <f>75261.08+2363375.85</f>
        <v>2438636.9300000002</v>
      </c>
      <c r="F73" s="78"/>
      <c r="G73" s="79">
        <f>+E73</f>
        <v>2438636.9300000002</v>
      </c>
      <c r="H73" s="79"/>
      <c r="I73" s="114" t="s">
        <v>147</v>
      </c>
      <c r="J73" s="128">
        <v>44165</v>
      </c>
      <c r="M73" s="16">
        <f t="shared" ref="M73:M136" si="5">+VALUE(RIGHT(LEFT(C73,9),6))</f>
        <v>316923</v>
      </c>
      <c r="N73" s="16" t="e">
        <f>+MATCH(M73,'Exh BGM-6'!$B$4:$B$41,0)</f>
        <v>#N/A</v>
      </c>
      <c r="O73" s="16">
        <f t="shared" ref="O73:O136" si="6">+IF(AND(I73&lt;&gt;0,ISNA(N73)),1,0)</f>
        <v>1</v>
      </c>
    </row>
    <row r="74" spans="1:17" x14ac:dyDescent="0.25">
      <c r="A74" s="77">
        <v>68</v>
      </c>
      <c r="B74" s="78" t="s">
        <v>126</v>
      </c>
      <c r="C74" s="16" t="s">
        <v>166</v>
      </c>
      <c r="D74" s="111">
        <v>376.2</v>
      </c>
      <c r="E74" s="112">
        <v>1526471.05</v>
      </c>
      <c r="F74" s="78"/>
      <c r="G74" s="79">
        <f t="shared" ref="G74:G145" si="7">+E74</f>
        <v>1526471.05</v>
      </c>
      <c r="H74" s="79">
        <f t="shared" ref="H74" si="8">+G74</f>
        <v>1526471.05</v>
      </c>
      <c r="I74" s="114">
        <v>10</v>
      </c>
      <c r="J74" s="23">
        <v>43850</v>
      </c>
      <c r="M74" s="16">
        <f t="shared" si="5"/>
        <v>317060</v>
      </c>
      <c r="N74" s="16">
        <f>+MATCH(M74,'Exh BGM-6'!$B$4:$B$41,0)</f>
        <v>22</v>
      </c>
      <c r="O74" s="16">
        <f t="shared" si="6"/>
        <v>0</v>
      </c>
    </row>
    <row r="75" spans="1:17" x14ac:dyDescent="0.25">
      <c r="A75" s="77">
        <v>69</v>
      </c>
      <c r="B75" s="78" t="s">
        <v>126</v>
      </c>
      <c r="C75" s="16" t="s">
        <v>167</v>
      </c>
      <c r="D75" s="111">
        <v>376.3</v>
      </c>
      <c r="E75" s="112">
        <v>441993.69</v>
      </c>
      <c r="F75" s="78"/>
      <c r="G75" s="79">
        <f t="shared" si="7"/>
        <v>441993.69</v>
      </c>
      <c r="H75" s="79"/>
      <c r="I75" s="114" t="s">
        <v>147</v>
      </c>
      <c r="J75" s="23">
        <v>43920</v>
      </c>
      <c r="M75" s="16">
        <f t="shared" si="5"/>
        <v>317519</v>
      </c>
      <c r="N75" s="16" t="e">
        <f>+MATCH(M75,'Exh BGM-6'!$B$4:$B$41,0)</f>
        <v>#N/A</v>
      </c>
      <c r="O75" s="16">
        <f t="shared" si="6"/>
        <v>1</v>
      </c>
    </row>
    <row r="76" spans="1:17" x14ac:dyDescent="0.25">
      <c r="A76" s="77">
        <v>70</v>
      </c>
      <c r="B76" s="78" t="s">
        <v>126</v>
      </c>
      <c r="C76" s="16" t="s">
        <v>168</v>
      </c>
      <c r="D76" s="111">
        <v>380.3</v>
      </c>
      <c r="E76" s="112">
        <v>100949.38</v>
      </c>
      <c r="F76" s="78"/>
      <c r="G76" s="79">
        <f t="shared" si="7"/>
        <v>100949.38</v>
      </c>
      <c r="H76" s="79"/>
      <c r="I76" s="114" t="s">
        <v>147</v>
      </c>
      <c r="J76" s="23">
        <v>43920</v>
      </c>
      <c r="M76" s="16">
        <f t="shared" si="5"/>
        <v>317528</v>
      </c>
      <c r="N76" s="16" t="e">
        <f>+MATCH(M76,'Exh BGM-6'!$B$4:$B$41,0)</f>
        <v>#N/A</v>
      </c>
      <c r="O76" s="16">
        <f t="shared" si="6"/>
        <v>1</v>
      </c>
    </row>
    <row r="77" spans="1:17" x14ac:dyDescent="0.25">
      <c r="A77" s="77">
        <v>71</v>
      </c>
      <c r="B77" s="78" t="s">
        <v>126</v>
      </c>
      <c r="C77" s="16" t="s">
        <v>169</v>
      </c>
      <c r="D77" s="111">
        <v>378</v>
      </c>
      <c r="E77" s="112">
        <v>136928</v>
      </c>
      <c r="F77" s="78"/>
      <c r="G77" s="79">
        <f t="shared" si="7"/>
        <v>136928</v>
      </c>
      <c r="H77" s="79">
        <f>+G77</f>
        <v>136928</v>
      </c>
      <c r="I77" s="114">
        <v>12</v>
      </c>
      <c r="J77" s="23">
        <v>44074</v>
      </c>
      <c r="M77" s="16">
        <f t="shared" si="5"/>
        <v>317535</v>
      </c>
      <c r="N77" s="16">
        <f>+MATCH(M77,'Exh BGM-6'!$B$4:$B$41,0)</f>
        <v>4</v>
      </c>
      <c r="O77" s="16">
        <f t="shared" si="6"/>
        <v>0</v>
      </c>
    </row>
    <row r="78" spans="1:17" x14ac:dyDescent="0.25">
      <c r="A78" s="77">
        <v>72</v>
      </c>
      <c r="B78" s="78" t="s">
        <v>126</v>
      </c>
      <c r="C78" s="16" t="s">
        <v>170</v>
      </c>
      <c r="D78" s="111">
        <v>378</v>
      </c>
      <c r="E78" s="112">
        <v>324.69</v>
      </c>
      <c r="F78" s="78"/>
      <c r="G78" s="79">
        <f t="shared" si="7"/>
        <v>324.69</v>
      </c>
      <c r="H78" s="79"/>
      <c r="I78" s="114"/>
      <c r="J78" s="23">
        <v>44012</v>
      </c>
      <c r="M78" s="16">
        <f t="shared" si="5"/>
        <v>317609</v>
      </c>
      <c r="N78" s="16" t="e">
        <f>+MATCH(M78,'Exh BGM-6'!$B$4:$B$41,0)</f>
        <v>#N/A</v>
      </c>
      <c r="O78" s="16">
        <f t="shared" si="6"/>
        <v>0</v>
      </c>
    </row>
    <row r="79" spans="1:17" x14ac:dyDescent="0.25">
      <c r="A79" s="77">
        <v>73</v>
      </c>
      <c r="B79" s="78" t="s">
        <v>126</v>
      </c>
      <c r="C79" s="16" t="s">
        <v>58</v>
      </c>
      <c r="D79" s="111">
        <v>376.3</v>
      </c>
      <c r="E79" s="112">
        <v>639913.04</v>
      </c>
      <c r="F79" s="78"/>
      <c r="G79" s="79">
        <f t="shared" si="7"/>
        <v>639913.04</v>
      </c>
      <c r="H79" s="79">
        <f>+G79</f>
        <v>639913.04</v>
      </c>
      <c r="I79" s="114">
        <v>27</v>
      </c>
      <c r="J79" s="23">
        <v>44196</v>
      </c>
      <c r="M79" s="16">
        <f t="shared" si="5"/>
        <v>317628</v>
      </c>
      <c r="N79" s="16" t="e">
        <f>+MATCH(M79,'Exh BGM-6'!$B$4:$B$41,0)</f>
        <v>#N/A</v>
      </c>
      <c r="O79" s="16">
        <f t="shared" si="6"/>
        <v>1</v>
      </c>
    </row>
    <row r="80" spans="1:17" x14ac:dyDescent="0.25">
      <c r="A80" s="77">
        <v>74</v>
      </c>
      <c r="B80" s="78" t="s">
        <v>126</v>
      </c>
      <c r="C80" s="16" t="s">
        <v>171</v>
      </c>
      <c r="D80" s="111">
        <v>376</v>
      </c>
      <c r="E80" s="112">
        <v>122698.76</v>
      </c>
      <c r="F80" s="78"/>
      <c r="G80" s="79">
        <f t="shared" si="7"/>
        <v>122698.76</v>
      </c>
      <c r="H80" s="79"/>
      <c r="I80" s="114"/>
      <c r="J80" s="23">
        <v>44196</v>
      </c>
      <c r="M80" s="16">
        <f t="shared" si="5"/>
        <v>317629</v>
      </c>
      <c r="N80" s="16" t="e">
        <f>+MATCH(M80,'Exh BGM-6'!$B$4:$B$41,0)</f>
        <v>#N/A</v>
      </c>
      <c r="O80" s="16">
        <f t="shared" si="6"/>
        <v>0</v>
      </c>
    </row>
    <row r="81" spans="1:15" x14ac:dyDescent="0.25">
      <c r="A81" s="77">
        <v>75</v>
      </c>
      <c r="B81" s="78" t="s">
        <v>126</v>
      </c>
      <c r="C81" s="16" t="s">
        <v>59</v>
      </c>
      <c r="D81" s="111">
        <v>380.3</v>
      </c>
      <c r="E81" s="112">
        <v>951862.52</v>
      </c>
      <c r="F81" s="78"/>
      <c r="G81" s="79">
        <f t="shared" si="7"/>
        <v>951862.52</v>
      </c>
      <c r="H81" s="79">
        <f>+G81</f>
        <v>951862.52</v>
      </c>
      <c r="I81" s="114">
        <v>27</v>
      </c>
      <c r="J81" s="23">
        <v>44196</v>
      </c>
      <c r="M81" s="16">
        <f t="shared" si="5"/>
        <v>317630</v>
      </c>
      <c r="N81" s="16" t="e">
        <f>+MATCH(M81,'Exh BGM-6'!$B$4:$B$41,0)</f>
        <v>#N/A</v>
      </c>
      <c r="O81" s="16">
        <f t="shared" si="6"/>
        <v>1</v>
      </c>
    </row>
    <row r="82" spans="1:15" x14ac:dyDescent="0.25">
      <c r="A82" s="77">
        <v>76</v>
      </c>
      <c r="B82" s="78" t="s">
        <v>126</v>
      </c>
      <c r="C82" s="16" t="s">
        <v>172</v>
      </c>
      <c r="D82" s="111">
        <v>380</v>
      </c>
      <c r="E82" s="112">
        <v>72198.240000000005</v>
      </c>
      <c r="F82" s="78"/>
      <c r="G82" s="79">
        <f t="shared" si="7"/>
        <v>72198.240000000005</v>
      </c>
      <c r="H82" s="79"/>
      <c r="I82" s="114"/>
      <c r="J82" s="23">
        <v>44196</v>
      </c>
      <c r="M82" s="16">
        <f t="shared" si="5"/>
        <v>317631</v>
      </c>
      <c r="N82" s="16" t="e">
        <f>+MATCH(M82,'Exh BGM-6'!$B$4:$B$41,0)</f>
        <v>#N/A</v>
      </c>
      <c r="O82" s="16">
        <f t="shared" si="6"/>
        <v>0</v>
      </c>
    </row>
    <row r="83" spans="1:15" x14ac:dyDescent="0.25">
      <c r="A83" s="77">
        <v>77</v>
      </c>
      <c r="B83" s="78" t="s">
        <v>126</v>
      </c>
      <c r="C83" s="16" t="s">
        <v>60</v>
      </c>
      <c r="D83" s="111">
        <v>376.3</v>
      </c>
      <c r="E83" s="112">
        <v>79311</v>
      </c>
      <c r="F83" s="78"/>
      <c r="G83" s="79">
        <f t="shared" si="7"/>
        <v>79311</v>
      </c>
      <c r="H83" s="79">
        <f>+G83</f>
        <v>79311</v>
      </c>
      <c r="I83" s="114">
        <v>27</v>
      </c>
      <c r="J83" s="23">
        <v>44196</v>
      </c>
      <c r="M83" s="16">
        <f t="shared" si="5"/>
        <v>317632</v>
      </c>
      <c r="N83" s="16" t="e">
        <f>+MATCH(M83,'Exh BGM-6'!$B$4:$B$41,0)</f>
        <v>#N/A</v>
      </c>
      <c r="O83" s="16">
        <f t="shared" si="6"/>
        <v>1</v>
      </c>
    </row>
    <row r="84" spans="1:15" x14ac:dyDescent="0.25">
      <c r="A84" s="77">
        <v>78</v>
      </c>
      <c r="B84" s="78" t="s">
        <v>126</v>
      </c>
      <c r="C84" s="16" t="s">
        <v>173</v>
      </c>
      <c r="D84" s="111">
        <v>376</v>
      </c>
      <c r="E84" s="112">
        <v>35499.24</v>
      </c>
      <c r="F84" s="78"/>
      <c r="G84" s="79">
        <f t="shared" si="7"/>
        <v>35499.24</v>
      </c>
      <c r="H84" s="79"/>
      <c r="I84" s="114"/>
      <c r="J84" s="23">
        <v>44196</v>
      </c>
      <c r="M84" s="16">
        <f t="shared" si="5"/>
        <v>317633</v>
      </c>
      <c r="N84" s="16" t="e">
        <f>+MATCH(M84,'Exh BGM-6'!$B$4:$B$41,0)</f>
        <v>#N/A</v>
      </c>
      <c r="O84" s="16">
        <f t="shared" si="6"/>
        <v>0</v>
      </c>
    </row>
    <row r="85" spans="1:15" x14ac:dyDescent="0.25">
      <c r="A85" s="77">
        <v>79</v>
      </c>
      <c r="B85" s="78" t="s">
        <v>126</v>
      </c>
      <c r="C85" s="16" t="s">
        <v>61</v>
      </c>
      <c r="D85" s="111">
        <v>380.3</v>
      </c>
      <c r="E85" s="112">
        <v>133027.99</v>
      </c>
      <c r="F85" s="78"/>
      <c r="G85" s="79">
        <f t="shared" si="7"/>
        <v>133027.99</v>
      </c>
      <c r="H85" s="79">
        <f>+G85</f>
        <v>133027.99</v>
      </c>
      <c r="I85" s="114">
        <v>27</v>
      </c>
      <c r="J85" s="23">
        <v>44196</v>
      </c>
      <c r="M85" s="16">
        <f t="shared" si="5"/>
        <v>317634</v>
      </c>
      <c r="N85" s="16" t="e">
        <f>+MATCH(M85,'Exh BGM-6'!$B$4:$B$41,0)</f>
        <v>#N/A</v>
      </c>
      <c r="O85" s="16">
        <f t="shared" si="6"/>
        <v>1</v>
      </c>
    </row>
    <row r="86" spans="1:15" x14ac:dyDescent="0.25">
      <c r="A86" s="77">
        <v>80</v>
      </c>
      <c r="B86" s="78" t="s">
        <v>126</v>
      </c>
      <c r="C86" s="16" t="s">
        <v>174</v>
      </c>
      <c r="D86" s="111">
        <v>380</v>
      </c>
      <c r="E86" s="112">
        <v>75135.570000000007</v>
      </c>
      <c r="F86" s="78"/>
      <c r="G86" s="79">
        <f t="shared" si="7"/>
        <v>75135.570000000007</v>
      </c>
      <c r="H86" s="79"/>
      <c r="I86" s="114"/>
      <c r="J86" s="23">
        <v>44196</v>
      </c>
      <c r="M86" s="16">
        <f t="shared" si="5"/>
        <v>317635</v>
      </c>
      <c r="N86" s="16" t="e">
        <f>+MATCH(M86,'Exh BGM-6'!$B$4:$B$41,0)</f>
        <v>#N/A</v>
      </c>
      <c r="O86" s="16">
        <f t="shared" si="6"/>
        <v>0</v>
      </c>
    </row>
    <row r="87" spans="1:15" x14ac:dyDescent="0.25">
      <c r="A87" s="77">
        <v>81</v>
      </c>
      <c r="B87" s="78" t="s">
        <v>126</v>
      </c>
      <c r="C87" s="16" t="s">
        <v>62</v>
      </c>
      <c r="D87" s="111">
        <v>376.3</v>
      </c>
      <c r="E87" s="112">
        <v>800173.4</v>
      </c>
      <c r="F87" s="78"/>
      <c r="G87" s="79">
        <f t="shared" si="7"/>
        <v>800173.4</v>
      </c>
      <c r="H87" s="79">
        <f>+G87</f>
        <v>800173.4</v>
      </c>
      <c r="I87" s="114">
        <v>27</v>
      </c>
      <c r="J87" s="23">
        <v>44196</v>
      </c>
      <c r="M87" s="16">
        <f t="shared" si="5"/>
        <v>317636</v>
      </c>
      <c r="N87" s="16" t="e">
        <f>+MATCH(M87,'Exh BGM-6'!$B$4:$B$41,0)</f>
        <v>#N/A</v>
      </c>
      <c r="O87" s="16">
        <f t="shared" si="6"/>
        <v>1</v>
      </c>
    </row>
    <row r="88" spans="1:15" x14ac:dyDescent="0.25">
      <c r="A88" s="77">
        <v>82</v>
      </c>
      <c r="B88" s="78" t="s">
        <v>126</v>
      </c>
      <c r="C88" s="16" t="s">
        <v>175</v>
      </c>
      <c r="D88" s="111">
        <v>376</v>
      </c>
      <c r="E88" s="112">
        <v>270033.86</v>
      </c>
      <c r="F88" s="78"/>
      <c r="G88" s="79">
        <f t="shared" si="7"/>
        <v>270033.86</v>
      </c>
      <c r="H88" s="79"/>
      <c r="I88" s="114"/>
      <c r="J88" s="23">
        <v>44196</v>
      </c>
      <c r="M88" s="16">
        <f t="shared" si="5"/>
        <v>317637</v>
      </c>
      <c r="N88" s="16" t="e">
        <f>+MATCH(M88,'Exh BGM-6'!$B$4:$B$41,0)</f>
        <v>#N/A</v>
      </c>
      <c r="O88" s="16">
        <f t="shared" si="6"/>
        <v>0</v>
      </c>
    </row>
    <row r="89" spans="1:15" x14ac:dyDescent="0.25">
      <c r="A89" s="77">
        <v>83</v>
      </c>
      <c r="B89" s="78" t="s">
        <v>126</v>
      </c>
      <c r="C89" s="16" t="s">
        <v>63</v>
      </c>
      <c r="D89" s="111">
        <v>380.3</v>
      </c>
      <c r="E89" s="112">
        <v>1330260</v>
      </c>
      <c r="F89" s="78"/>
      <c r="G89" s="79">
        <f t="shared" si="7"/>
        <v>1330260</v>
      </c>
      <c r="H89" s="79">
        <f>+G89</f>
        <v>1330260</v>
      </c>
      <c r="I89" s="114">
        <v>27</v>
      </c>
      <c r="J89" s="23">
        <v>44196</v>
      </c>
      <c r="M89" s="16">
        <f t="shared" si="5"/>
        <v>317638</v>
      </c>
      <c r="N89" s="16" t="e">
        <f>+MATCH(M89,'Exh BGM-6'!$B$4:$B$41,0)</f>
        <v>#N/A</v>
      </c>
      <c r="O89" s="16">
        <f t="shared" si="6"/>
        <v>1</v>
      </c>
    </row>
    <row r="90" spans="1:15" x14ac:dyDescent="0.25">
      <c r="A90" s="77">
        <v>84</v>
      </c>
      <c r="B90" s="78" t="s">
        <v>126</v>
      </c>
      <c r="C90" s="16" t="s">
        <v>176</v>
      </c>
      <c r="D90" s="111">
        <v>380</v>
      </c>
      <c r="E90" s="112">
        <v>65462.16</v>
      </c>
      <c r="F90" s="78"/>
      <c r="G90" s="79">
        <f t="shared" si="7"/>
        <v>65462.16</v>
      </c>
      <c r="H90" s="79"/>
      <c r="I90" s="114"/>
      <c r="J90" s="23">
        <v>44196</v>
      </c>
      <c r="M90" s="16">
        <f t="shared" si="5"/>
        <v>317639</v>
      </c>
      <c r="N90" s="16" t="e">
        <f>+MATCH(M90,'Exh BGM-6'!$B$4:$B$41,0)</f>
        <v>#N/A</v>
      </c>
      <c r="O90" s="16">
        <f t="shared" si="6"/>
        <v>0</v>
      </c>
    </row>
    <row r="91" spans="1:15" x14ac:dyDescent="0.25">
      <c r="A91" s="77">
        <v>85</v>
      </c>
      <c r="B91" s="78" t="s">
        <v>126</v>
      </c>
      <c r="C91" s="16" t="s">
        <v>64</v>
      </c>
      <c r="D91" s="111">
        <v>376.3</v>
      </c>
      <c r="E91" s="112">
        <v>484622.4</v>
      </c>
      <c r="F91" s="78"/>
      <c r="G91" s="79">
        <f t="shared" si="7"/>
        <v>484622.4</v>
      </c>
      <c r="H91" s="79">
        <f>+G91</f>
        <v>484622.4</v>
      </c>
      <c r="I91" s="114">
        <v>27</v>
      </c>
      <c r="J91" s="23">
        <v>44196</v>
      </c>
      <c r="M91" s="16">
        <f t="shared" si="5"/>
        <v>317640</v>
      </c>
      <c r="N91" s="16" t="e">
        <f>+MATCH(M91,'Exh BGM-6'!$B$4:$B$41,0)</f>
        <v>#N/A</v>
      </c>
      <c r="O91" s="16">
        <f t="shared" si="6"/>
        <v>1</v>
      </c>
    </row>
    <row r="92" spans="1:15" x14ac:dyDescent="0.25">
      <c r="A92" s="77">
        <v>86</v>
      </c>
      <c r="B92" s="78" t="s">
        <v>126</v>
      </c>
      <c r="C92" s="16" t="s">
        <v>177</v>
      </c>
      <c r="D92" s="111">
        <v>376</v>
      </c>
      <c r="E92" s="112">
        <v>149164.20000000001</v>
      </c>
      <c r="F92" s="78"/>
      <c r="G92" s="79">
        <f t="shared" si="7"/>
        <v>149164.20000000001</v>
      </c>
      <c r="H92" s="79"/>
      <c r="I92" s="114"/>
      <c r="J92" s="23">
        <v>44196</v>
      </c>
      <c r="M92" s="16">
        <f t="shared" si="5"/>
        <v>317641</v>
      </c>
      <c r="N92" s="16" t="e">
        <f>+MATCH(M92,'Exh BGM-6'!$B$4:$B$41,0)</f>
        <v>#N/A</v>
      </c>
      <c r="O92" s="16">
        <f t="shared" si="6"/>
        <v>0</v>
      </c>
    </row>
    <row r="93" spans="1:15" x14ac:dyDescent="0.25">
      <c r="A93" s="77">
        <v>87</v>
      </c>
      <c r="B93" s="78" t="s">
        <v>126</v>
      </c>
      <c r="C93" s="16" t="s">
        <v>65</v>
      </c>
      <c r="D93" s="111">
        <v>380.3</v>
      </c>
      <c r="E93" s="112">
        <v>447800.6</v>
      </c>
      <c r="F93" s="78"/>
      <c r="G93" s="79">
        <f t="shared" si="7"/>
        <v>447800.6</v>
      </c>
      <c r="H93" s="79">
        <f>+G93</f>
        <v>447800.6</v>
      </c>
      <c r="I93" s="114">
        <v>27</v>
      </c>
      <c r="J93" s="23">
        <v>44196</v>
      </c>
      <c r="M93" s="16">
        <f t="shared" si="5"/>
        <v>317642</v>
      </c>
      <c r="N93" s="16" t="e">
        <f>+MATCH(M93,'Exh BGM-6'!$B$4:$B$41,0)</f>
        <v>#N/A</v>
      </c>
      <c r="O93" s="16">
        <f t="shared" si="6"/>
        <v>1</v>
      </c>
    </row>
    <row r="94" spans="1:15" x14ac:dyDescent="0.25">
      <c r="A94" s="77">
        <v>88</v>
      </c>
      <c r="B94" s="78" t="s">
        <v>126</v>
      </c>
      <c r="C94" s="16" t="s">
        <v>178</v>
      </c>
      <c r="D94" s="111">
        <v>380</v>
      </c>
      <c r="E94" s="112">
        <v>74578.679999999993</v>
      </c>
      <c r="F94" s="78"/>
      <c r="G94" s="79">
        <f t="shared" si="7"/>
        <v>74578.679999999993</v>
      </c>
      <c r="H94" s="79"/>
      <c r="I94" s="114"/>
      <c r="J94" s="23">
        <v>44196</v>
      </c>
      <c r="M94" s="16">
        <f t="shared" si="5"/>
        <v>317643</v>
      </c>
      <c r="N94" s="16" t="e">
        <f>+MATCH(M94,'Exh BGM-6'!$B$4:$B$41,0)</f>
        <v>#N/A</v>
      </c>
      <c r="O94" s="16">
        <f t="shared" si="6"/>
        <v>0</v>
      </c>
    </row>
    <row r="95" spans="1:15" x14ac:dyDescent="0.25">
      <c r="A95" s="77">
        <v>89</v>
      </c>
      <c r="B95" s="78" t="s">
        <v>126</v>
      </c>
      <c r="C95" s="16" t="s">
        <v>66</v>
      </c>
      <c r="D95" s="111">
        <v>376.3</v>
      </c>
      <c r="E95" s="112">
        <f>62.26+1294410.92</f>
        <v>1294473.18</v>
      </c>
      <c r="F95" s="78"/>
      <c r="G95" s="79">
        <f t="shared" si="7"/>
        <v>1294473.18</v>
      </c>
      <c r="H95" s="79">
        <f>+E95</f>
        <v>1294473.18</v>
      </c>
      <c r="I95" s="114">
        <v>27</v>
      </c>
      <c r="J95" s="23">
        <v>44196</v>
      </c>
      <c r="M95" s="16">
        <f t="shared" si="5"/>
        <v>317644</v>
      </c>
      <c r="N95" s="16" t="e">
        <f>+MATCH(M95,'Exh BGM-6'!$B$4:$B$41,0)</f>
        <v>#N/A</v>
      </c>
      <c r="O95" s="16">
        <f t="shared" si="6"/>
        <v>1</v>
      </c>
    </row>
    <row r="96" spans="1:15" x14ac:dyDescent="0.25">
      <c r="A96" s="77">
        <v>90</v>
      </c>
      <c r="B96" s="78" t="s">
        <v>126</v>
      </c>
      <c r="C96" s="16" t="s">
        <v>179</v>
      </c>
      <c r="D96" s="129">
        <v>376</v>
      </c>
      <c r="E96" s="131">
        <v>126071.52</v>
      </c>
      <c r="F96" s="78"/>
      <c r="G96" s="79">
        <f t="shared" si="7"/>
        <v>126071.52</v>
      </c>
      <c r="H96" s="79"/>
      <c r="I96" s="114"/>
      <c r="J96" s="128">
        <v>44196</v>
      </c>
      <c r="M96" s="16">
        <f t="shared" si="5"/>
        <v>317645</v>
      </c>
      <c r="N96" s="16" t="e">
        <f>+MATCH(M96,'Exh BGM-6'!$B$4:$B$41,0)</f>
        <v>#N/A</v>
      </c>
      <c r="O96" s="16">
        <f t="shared" si="6"/>
        <v>0</v>
      </c>
    </row>
    <row r="97" spans="1:15" x14ac:dyDescent="0.25">
      <c r="A97" s="77">
        <v>91</v>
      </c>
      <c r="B97" s="78" t="s">
        <v>126</v>
      </c>
      <c r="C97" s="16" t="s">
        <v>67</v>
      </c>
      <c r="D97" s="129">
        <v>380.3</v>
      </c>
      <c r="E97" s="131">
        <v>1568619.36</v>
      </c>
      <c r="F97" s="78"/>
      <c r="G97" s="79">
        <f t="shared" si="7"/>
        <v>1568619.36</v>
      </c>
      <c r="H97" s="79">
        <f>+E97</f>
        <v>1568619.36</v>
      </c>
      <c r="I97" s="114">
        <v>27</v>
      </c>
      <c r="J97" s="128">
        <v>44196</v>
      </c>
      <c r="M97" s="16">
        <f t="shared" si="5"/>
        <v>317646</v>
      </c>
      <c r="N97" s="16" t="e">
        <f>+MATCH(M97,'Exh BGM-6'!$B$4:$B$41,0)</f>
        <v>#N/A</v>
      </c>
      <c r="O97" s="16">
        <f t="shared" si="6"/>
        <v>1</v>
      </c>
    </row>
    <row r="98" spans="1:15" x14ac:dyDescent="0.25">
      <c r="A98" s="77">
        <v>92</v>
      </c>
      <c r="B98" s="78" t="s">
        <v>126</v>
      </c>
      <c r="C98" s="16" t="s">
        <v>180</v>
      </c>
      <c r="D98" s="129">
        <v>380</v>
      </c>
      <c r="E98" s="131">
        <v>74578.679999999993</v>
      </c>
      <c r="F98" s="78"/>
      <c r="G98" s="79">
        <f t="shared" si="7"/>
        <v>74578.679999999993</v>
      </c>
      <c r="H98" s="79"/>
      <c r="I98" s="114"/>
      <c r="J98" s="128">
        <v>44196</v>
      </c>
      <c r="M98" s="16">
        <f t="shared" si="5"/>
        <v>317647</v>
      </c>
      <c r="N98" s="16" t="e">
        <f>+MATCH(M98,'Exh BGM-6'!$B$4:$B$41,0)</f>
        <v>#N/A</v>
      </c>
      <c r="O98" s="16">
        <f t="shared" si="6"/>
        <v>0</v>
      </c>
    </row>
    <row r="99" spans="1:15" x14ac:dyDescent="0.25">
      <c r="A99" s="77">
        <v>93</v>
      </c>
      <c r="B99" s="78" t="s">
        <v>126</v>
      </c>
      <c r="C99" s="16" t="s">
        <v>68</v>
      </c>
      <c r="D99" s="111">
        <v>376.3</v>
      </c>
      <c r="E99" s="112">
        <f>1976.8+1394533.32</f>
        <v>1396510.12</v>
      </c>
      <c r="F99" s="78"/>
      <c r="G99" s="79">
        <f t="shared" si="7"/>
        <v>1396510.12</v>
      </c>
      <c r="H99" s="79">
        <f>+E99</f>
        <v>1396510.12</v>
      </c>
      <c r="I99" s="114">
        <v>27</v>
      </c>
      <c r="J99" s="23">
        <v>44196</v>
      </c>
      <c r="M99" s="16">
        <f t="shared" si="5"/>
        <v>317648</v>
      </c>
      <c r="N99" s="16" t="e">
        <f>+MATCH(M99,'Exh BGM-6'!$B$4:$B$41,0)</f>
        <v>#N/A</v>
      </c>
      <c r="O99" s="16">
        <f t="shared" si="6"/>
        <v>1</v>
      </c>
    </row>
    <row r="100" spans="1:15" x14ac:dyDescent="0.25">
      <c r="A100" s="77">
        <v>94</v>
      </c>
      <c r="B100" s="78" t="s">
        <v>126</v>
      </c>
      <c r="C100" s="16" t="s">
        <v>181</v>
      </c>
      <c r="D100" s="111">
        <v>376</v>
      </c>
      <c r="E100" s="112">
        <v>54857.760000000002</v>
      </c>
      <c r="F100" s="78"/>
      <c r="G100" s="79">
        <f t="shared" si="7"/>
        <v>54857.760000000002</v>
      </c>
      <c r="H100" s="79"/>
      <c r="I100" s="114"/>
      <c r="J100" s="23">
        <v>44196</v>
      </c>
      <c r="M100" s="16">
        <f t="shared" si="5"/>
        <v>317649</v>
      </c>
      <c r="N100" s="16" t="e">
        <f>+MATCH(M100,'Exh BGM-6'!$B$4:$B$41,0)</f>
        <v>#N/A</v>
      </c>
      <c r="O100" s="16">
        <f t="shared" si="6"/>
        <v>0</v>
      </c>
    </row>
    <row r="101" spans="1:15" x14ac:dyDescent="0.25">
      <c r="A101" s="77">
        <v>95</v>
      </c>
      <c r="B101" s="78" t="s">
        <v>126</v>
      </c>
      <c r="C101" s="16" t="s">
        <v>69</v>
      </c>
      <c r="D101" s="111">
        <v>380.3</v>
      </c>
      <c r="E101" s="112">
        <v>2118035.96</v>
      </c>
      <c r="F101" s="78"/>
      <c r="G101" s="79">
        <f t="shared" si="7"/>
        <v>2118035.96</v>
      </c>
      <c r="H101" s="79">
        <f>+G101</f>
        <v>2118035.96</v>
      </c>
      <c r="I101" s="114">
        <v>27</v>
      </c>
      <c r="J101" s="23">
        <v>44196</v>
      </c>
      <c r="M101" s="16">
        <f t="shared" si="5"/>
        <v>317650</v>
      </c>
      <c r="N101" s="16" t="e">
        <f>+MATCH(M101,'Exh BGM-6'!$B$4:$B$41,0)</f>
        <v>#N/A</v>
      </c>
      <c r="O101" s="16">
        <f t="shared" si="6"/>
        <v>1</v>
      </c>
    </row>
    <row r="102" spans="1:15" x14ac:dyDescent="0.25">
      <c r="A102" s="77">
        <v>96</v>
      </c>
      <c r="B102" s="78" t="s">
        <v>126</v>
      </c>
      <c r="C102" s="16" t="s">
        <v>182</v>
      </c>
      <c r="D102" s="111">
        <v>380</v>
      </c>
      <c r="E102" s="112">
        <v>74578.679999999993</v>
      </c>
      <c r="F102" s="78"/>
      <c r="G102" s="79">
        <f t="shared" si="7"/>
        <v>74578.679999999993</v>
      </c>
      <c r="H102" s="79"/>
      <c r="I102" s="114"/>
      <c r="J102" s="23">
        <v>44196</v>
      </c>
      <c r="M102" s="16">
        <f t="shared" si="5"/>
        <v>317651</v>
      </c>
      <c r="N102" s="16" t="e">
        <f>+MATCH(M102,'Exh BGM-6'!$B$4:$B$41,0)</f>
        <v>#N/A</v>
      </c>
      <c r="O102" s="16">
        <f t="shared" si="6"/>
        <v>0</v>
      </c>
    </row>
    <row r="103" spans="1:15" x14ac:dyDescent="0.25">
      <c r="A103" s="77">
        <v>97</v>
      </c>
      <c r="B103" s="78" t="s">
        <v>126</v>
      </c>
      <c r="C103" s="16" t="s">
        <v>70</v>
      </c>
      <c r="D103" s="111">
        <v>376.3</v>
      </c>
      <c r="E103" s="112">
        <v>255366.68</v>
      </c>
      <c r="F103" s="78"/>
      <c r="G103" s="79">
        <f t="shared" si="7"/>
        <v>255366.68</v>
      </c>
      <c r="H103" s="79">
        <f>+G103</f>
        <v>255366.68</v>
      </c>
      <c r="I103" s="114">
        <v>27</v>
      </c>
      <c r="J103" s="23">
        <v>44196</v>
      </c>
      <c r="M103" s="16">
        <f t="shared" si="5"/>
        <v>317652</v>
      </c>
      <c r="N103" s="16" t="e">
        <f>+MATCH(M103,'Exh BGM-6'!$B$4:$B$41,0)</f>
        <v>#N/A</v>
      </c>
      <c r="O103" s="16">
        <f t="shared" si="6"/>
        <v>1</v>
      </c>
    </row>
    <row r="104" spans="1:15" x14ac:dyDescent="0.25">
      <c r="A104" s="77">
        <v>98</v>
      </c>
      <c r="B104" s="78" t="s">
        <v>126</v>
      </c>
      <c r="C104" s="16" t="s">
        <v>183</v>
      </c>
      <c r="D104" s="111">
        <v>376</v>
      </c>
      <c r="E104" s="112">
        <v>100812.24</v>
      </c>
      <c r="F104" s="78"/>
      <c r="G104" s="79">
        <f t="shared" si="7"/>
        <v>100812.24</v>
      </c>
      <c r="H104" s="79"/>
      <c r="I104" s="114"/>
      <c r="J104" s="23">
        <v>44196</v>
      </c>
      <c r="M104" s="16">
        <f t="shared" si="5"/>
        <v>317653</v>
      </c>
      <c r="N104" s="16" t="e">
        <f>+MATCH(M104,'Exh BGM-6'!$B$4:$B$41,0)</f>
        <v>#N/A</v>
      </c>
      <c r="O104" s="16">
        <f t="shared" si="6"/>
        <v>0</v>
      </c>
    </row>
    <row r="105" spans="1:15" x14ac:dyDescent="0.25">
      <c r="A105" s="77">
        <v>99</v>
      </c>
      <c r="B105" s="78" t="s">
        <v>126</v>
      </c>
      <c r="C105" s="16" t="s">
        <v>71</v>
      </c>
      <c r="D105" s="111">
        <v>380.3</v>
      </c>
      <c r="E105" s="112">
        <v>884722.06</v>
      </c>
      <c r="F105" s="78"/>
      <c r="G105" s="79">
        <f t="shared" si="7"/>
        <v>884722.06</v>
      </c>
      <c r="H105" s="79">
        <f>+G105</f>
        <v>884722.06</v>
      </c>
      <c r="I105" s="114">
        <v>27</v>
      </c>
      <c r="J105" s="23">
        <v>44196</v>
      </c>
      <c r="M105" s="16">
        <f t="shared" si="5"/>
        <v>317654</v>
      </c>
      <c r="N105" s="16" t="e">
        <f>+MATCH(M105,'Exh BGM-6'!$B$4:$B$41,0)</f>
        <v>#N/A</v>
      </c>
      <c r="O105" s="16">
        <f t="shared" si="6"/>
        <v>1</v>
      </c>
    </row>
    <row r="106" spans="1:15" x14ac:dyDescent="0.25">
      <c r="A106" s="77">
        <v>100</v>
      </c>
      <c r="B106" s="78" t="s">
        <v>126</v>
      </c>
      <c r="C106" s="16" t="s">
        <v>184</v>
      </c>
      <c r="D106" s="111">
        <v>380</v>
      </c>
      <c r="E106" s="112">
        <v>74578.679999999993</v>
      </c>
      <c r="F106" s="78"/>
      <c r="G106" s="79">
        <f t="shared" si="7"/>
        <v>74578.679999999993</v>
      </c>
      <c r="H106" s="79"/>
      <c r="I106" s="114"/>
      <c r="J106" s="23">
        <v>44196</v>
      </c>
      <c r="M106" s="16">
        <f t="shared" si="5"/>
        <v>317655</v>
      </c>
      <c r="N106" s="16" t="e">
        <f>+MATCH(M106,'Exh BGM-6'!$B$4:$B$41,0)</f>
        <v>#N/A</v>
      </c>
      <c r="O106" s="16">
        <f t="shared" si="6"/>
        <v>0</v>
      </c>
    </row>
    <row r="107" spans="1:15" x14ac:dyDescent="0.25">
      <c r="A107" s="77">
        <v>101</v>
      </c>
      <c r="B107" s="78" t="s">
        <v>126</v>
      </c>
      <c r="C107" s="16" t="s">
        <v>72</v>
      </c>
      <c r="D107" s="111">
        <v>376.3</v>
      </c>
      <c r="E107" s="112">
        <v>613354.97</v>
      </c>
      <c r="F107" s="78"/>
      <c r="G107" s="79">
        <f t="shared" si="7"/>
        <v>613354.97</v>
      </c>
      <c r="H107" s="79">
        <f>+G107</f>
        <v>613354.97</v>
      </c>
      <c r="I107" s="114">
        <v>27</v>
      </c>
      <c r="J107" s="23">
        <v>44196</v>
      </c>
      <c r="M107" s="16">
        <f t="shared" si="5"/>
        <v>317656</v>
      </c>
      <c r="N107" s="16" t="e">
        <f>+MATCH(M107,'Exh BGM-6'!$B$4:$B$41,0)</f>
        <v>#N/A</v>
      </c>
      <c r="O107" s="16">
        <f t="shared" si="6"/>
        <v>1</v>
      </c>
    </row>
    <row r="108" spans="1:15" x14ac:dyDescent="0.25">
      <c r="A108" s="77">
        <v>102</v>
      </c>
      <c r="B108" s="78" t="s">
        <v>126</v>
      </c>
      <c r="C108" s="16" t="s">
        <v>185</v>
      </c>
      <c r="D108" s="111">
        <v>376</v>
      </c>
      <c r="E108" s="112">
        <v>97392.48</v>
      </c>
      <c r="F108" s="78"/>
      <c r="G108" s="79">
        <f t="shared" si="7"/>
        <v>97392.48</v>
      </c>
      <c r="H108" s="79"/>
      <c r="I108" s="114"/>
      <c r="J108" s="23">
        <v>44196</v>
      </c>
      <c r="M108" s="16">
        <f t="shared" si="5"/>
        <v>317657</v>
      </c>
      <c r="N108" s="16" t="e">
        <f>+MATCH(M108,'Exh BGM-6'!$B$4:$B$41,0)</f>
        <v>#N/A</v>
      </c>
      <c r="O108" s="16">
        <f t="shared" si="6"/>
        <v>0</v>
      </c>
    </row>
    <row r="109" spans="1:15" x14ac:dyDescent="0.25">
      <c r="A109" s="77">
        <v>103</v>
      </c>
      <c r="B109" s="78" t="s">
        <v>126</v>
      </c>
      <c r="C109" s="16" t="s">
        <v>73</v>
      </c>
      <c r="D109" s="111">
        <v>380.3</v>
      </c>
      <c r="E109" s="112">
        <v>1801553.41</v>
      </c>
      <c r="F109" s="78"/>
      <c r="G109" s="79">
        <f t="shared" si="7"/>
        <v>1801553.41</v>
      </c>
      <c r="H109" s="79">
        <f>+G109</f>
        <v>1801553.41</v>
      </c>
      <c r="I109" s="114">
        <v>27</v>
      </c>
      <c r="J109" s="23">
        <v>44196</v>
      </c>
      <c r="M109" s="16">
        <f t="shared" si="5"/>
        <v>317658</v>
      </c>
      <c r="N109" s="16" t="e">
        <f>+MATCH(M109,'Exh BGM-6'!$B$4:$B$41,0)</f>
        <v>#N/A</v>
      </c>
      <c r="O109" s="16">
        <f t="shared" si="6"/>
        <v>1</v>
      </c>
    </row>
    <row r="110" spans="1:15" x14ac:dyDescent="0.25">
      <c r="A110" s="77">
        <v>104</v>
      </c>
      <c r="B110" s="78" t="s">
        <v>126</v>
      </c>
      <c r="C110" s="16" t="s">
        <v>186</v>
      </c>
      <c r="D110" s="111">
        <v>380</v>
      </c>
      <c r="E110" s="112">
        <v>74578.679999999993</v>
      </c>
      <c r="F110" s="78"/>
      <c r="G110" s="79">
        <f t="shared" si="7"/>
        <v>74578.679999999993</v>
      </c>
      <c r="H110" s="79"/>
      <c r="I110" s="114"/>
      <c r="J110" s="23">
        <v>44196</v>
      </c>
      <c r="M110" s="16">
        <f t="shared" si="5"/>
        <v>317659</v>
      </c>
      <c r="N110" s="16" t="e">
        <f>+MATCH(M110,'Exh BGM-6'!$B$4:$B$41,0)</f>
        <v>#N/A</v>
      </c>
      <c r="O110" s="16">
        <f t="shared" si="6"/>
        <v>0</v>
      </c>
    </row>
    <row r="111" spans="1:15" x14ac:dyDescent="0.25">
      <c r="A111" s="77">
        <v>105</v>
      </c>
      <c r="B111" s="78" t="s">
        <v>126</v>
      </c>
      <c r="C111" s="16" t="s">
        <v>187</v>
      </c>
      <c r="D111" s="111">
        <v>394</v>
      </c>
      <c r="E111" s="112">
        <v>88997.82</v>
      </c>
      <c r="F111" s="78"/>
      <c r="G111" s="79">
        <f t="shared" si="7"/>
        <v>88997.82</v>
      </c>
      <c r="H111" s="79"/>
      <c r="I111" s="114"/>
      <c r="J111" s="23">
        <v>44196</v>
      </c>
      <c r="M111" s="16">
        <f t="shared" si="5"/>
        <v>317744</v>
      </c>
      <c r="N111" s="16" t="e">
        <f>+MATCH(M111,'Exh BGM-6'!$B$4:$B$41,0)</f>
        <v>#N/A</v>
      </c>
      <c r="O111" s="16">
        <f t="shared" si="6"/>
        <v>0</v>
      </c>
    </row>
    <row r="112" spans="1:15" x14ac:dyDescent="0.25">
      <c r="A112" s="77">
        <v>106</v>
      </c>
      <c r="B112" s="78" t="s">
        <v>126</v>
      </c>
      <c r="C112" s="16" t="s">
        <v>74</v>
      </c>
      <c r="D112" s="111">
        <v>376.3</v>
      </c>
      <c r="E112" s="112">
        <v>1417842.72</v>
      </c>
      <c r="F112" s="78"/>
      <c r="G112" s="79">
        <f t="shared" si="7"/>
        <v>1417842.72</v>
      </c>
      <c r="H112" s="79">
        <f>+G112</f>
        <v>1417842.72</v>
      </c>
      <c r="I112" s="114">
        <v>27</v>
      </c>
      <c r="J112" s="23">
        <v>44196</v>
      </c>
      <c r="M112" s="16">
        <f t="shared" si="5"/>
        <v>317750</v>
      </c>
      <c r="N112" s="16" t="e">
        <f>+MATCH(M112,'Exh BGM-6'!$B$4:$B$41,0)</f>
        <v>#N/A</v>
      </c>
      <c r="O112" s="16">
        <f t="shared" si="6"/>
        <v>1</v>
      </c>
    </row>
    <row r="113" spans="1:15" x14ac:dyDescent="0.25">
      <c r="A113" s="77">
        <v>107</v>
      </c>
      <c r="B113" s="78" t="s">
        <v>126</v>
      </c>
      <c r="C113" s="16" t="s">
        <v>188</v>
      </c>
      <c r="D113" s="111">
        <v>376</v>
      </c>
      <c r="E113" s="112">
        <v>145471.79999999999</v>
      </c>
      <c r="F113" s="78"/>
      <c r="G113" s="79">
        <f t="shared" si="7"/>
        <v>145471.79999999999</v>
      </c>
      <c r="H113" s="79"/>
      <c r="I113" s="114"/>
      <c r="J113" s="23">
        <v>44196</v>
      </c>
      <c r="M113" s="16">
        <f t="shared" si="5"/>
        <v>317751</v>
      </c>
      <c r="N113" s="16" t="e">
        <f>+MATCH(M113,'Exh BGM-6'!$B$4:$B$41,0)</f>
        <v>#N/A</v>
      </c>
      <c r="O113" s="16">
        <f t="shared" si="6"/>
        <v>0</v>
      </c>
    </row>
    <row r="114" spans="1:15" x14ac:dyDescent="0.25">
      <c r="A114" s="77">
        <v>108</v>
      </c>
      <c r="B114" s="78" t="s">
        <v>126</v>
      </c>
      <c r="C114" s="16" t="s">
        <v>75</v>
      </c>
      <c r="D114" s="111">
        <v>380.3</v>
      </c>
      <c r="E114" s="112">
        <v>2952964.66</v>
      </c>
      <c r="F114" s="78"/>
      <c r="G114" s="79">
        <f t="shared" si="7"/>
        <v>2952964.66</v>
      </c>
      <c r="H114" s="79">
        <f>+G114</f>
        <v>2952964.66</v>
      </c>
      <c r="I114" s="114">
        <v>27</v>
      </c>
      <c r="J114" s="23">
        <v>44196</v>
      </c>
      <c r="M114" s="16">
        <f t="shared" si="5"/>
        <v>317752</v>
      </c>
      <c r="N114" s="16" t="e">
        <f>+MATCH(M114,'Exh BGM-6'!$B$4:$B$41,0)</f>
        <v>#N/A</v>
      </c>
      <c r="O114" s="16">
        <f t="shared" si="6"/>
        <v>1</v>
      </c>
    </row>
    <row r="115" spans="1:15" x14ac:dyDescent="0.25">
      <c r="A115" s="77">
        <v>109</v>
      </c>
      <c r="B115" s="78" t="s">
        <v>126</v>
      </c>
      <c r="C115" s="16" t="s">
        <v>189</v>
      </c>
      <c r="D115" s="111">
        <v>380</v>
      </c>
      <c r="E115" s="112">
        <v>72740.759999999995</v>
      </c>
      <c r="F115" s="78"/>
      <c r="G115" s="79">
        <f t="shared" si="7"/>
        <v>72740.759999999995</v>
      </c>
      <c r="H115" s="79"/>
      <c r="I115" s="114"/>
      <c r="J115" s="23">
        <v>44196</v>
      </c>
      <c r="M115" s="16">
        <f t="shared" si="5"/>
        <v>317753</v>
      </c>
      <c r="N115" s="16" t="e">
        <f>+MATCH(M115,'Exh BGM-6'!$B$4:$B$41,0)</f>
        <v>#N/A</v>
      </c>
      <c r="O115" s="16">
        <f t="shared" si="6"/>
        <v>0</v>
      </c>
    </row>
    <row r="116" spans="1:15" x14ac:dyDescent="0.25">
      <c r="A116" s="77">
        <v>110</v>
      </c>
      <c r="B116" s="78" t="s">
        <v>126</v>
      </c>
      <c r="C116" s="16" t="s">
        <v>190</v>
      </c>
      <c r="D116" s="111">
        <v>376</v>
      </c>
      <c r="E116" s="112">
        <v>296950</v>
      </c>
      <c r="F116" s="78"/>
      <c r="G116" s="79">
        <f t="shared" si="7"/>
        <v>296950</v>
      </c>
      <c r="H116" s="79"/>
      <c r="I116" s="114"/>
      <c r="J116" s="23">
        <v>44196</v>
      </c>
      <c r="M116" s="16">
        <f t="shared" si="5"/>
        <v>318092</v>
      </c>
      <c r="N116" s="16" t="e">
        <f>+MATCH(M116,'Exh BGM-6'!$B$4:$B$41,0)</f>
        <v>#N/A</v>
      </c>
      <c r="O116" s="16">
        <f t="shared" si="6"/>
        <v>0</v>
      </c>
    </row>
    <row r="117" spans="1:15" x14ac:dyDescent="0.25">
      <c r="A117" s="77">
        <v>111</v>
      </c>
      <c r="B117" s="78" t="s">
        <v>126</v>
      </c>
      <c r="C117" s="16" t="s">
        <v>191</v>
      </c>
      <c r="D117" s="111">
        <v>376.3</v>
      </c>
      <c r="E117" s="112">
        <v>5004463.92</v>
      </c>
      <c r="F117" s="78"/>
      <c r="G117" s="79">
        <f t="shared" si="7"/>
        <v>5004463.92</v>
      </c>
      <c r="H117" s="79"/>
      <c r="I117" s="114"/>
      <c r="J117" s="23">
        <v>44196</v>
      </c>
      <c r="M117" s="16">
        <f t="shared" si="5"/>
        <v>318186</v>
      </c>
      <c r="N117" s="16" t="e">
        <f>+MATCH(M117,'Exh BGM-6'!$B$4:$B$41,0)</f>
        <v>#N/A</v>
      </c>
      <c r="O117" s="16">
        <f t="shared" si="6"/>
        <v>0</v>
      </c>
    </row>
    <row r="118" spans="1:15" x14ac:dyDescent="0.25">
      <c r="A118" s="77">
        <v>112</v>
      </c>
      <c r="B118" s="78" t="s">
        <v>126</v>
      </c>
      <c r="C118" s="16" t="s">
        <v>192</v>
      </c>
      <c r="D118" s="111">
        <v>380</v>
      </c>
      <c r="E118" s="112">
        <v>4410563.92</v>
      </c>
      <c r="F118" s="78"/>
      <c r="G118" s="79">
        <f t="shared" si="7"/>
        <v>4410563.92</v>
      </c>
      <c r="H118" s="79"/>
      <c r="I118" s="114"/>
      <c r="J118" s="23">
        <v>44196</v>
      </c>
      <c r="M118" s="16">
        <f t="shared" si="5"/>
        <v>318187</v>
      </c>
      <c r="N118" s="16" t="e">
        <f>+MATCH(M118,'Exh BGM-6'!$B$4:$B$41,0)</f>
        <v>#N/A</v>
      </c>
      <c r="O118" s="16">
        <f t="shared" si="6"/>
        <v>0</v>
      </c>
    </row>
    <row r="119" spans="1:15" x14ac:dyDescent="0.25">
      <c r="A119" s="77">
        <v>113</v>
      </c>
      <c r="B119" s="78" t="s">
        <v>126</v>
      </c>
      <c r="C119" s="16" t="s">
        <v>193</v>
      </c>
      <c r="D119" s="111">
        <v>380.3</v>
      </c>
      <c r="E119" s="112">
        <v>71392.820000000007</v>
      </c>
      <c r="F119" s="78"/>
      <c r="G119" s="79">
        <f t="shared" si="7"/>
        <v>71392.820000000007</v>
      </c>
      <c r="H119" s="79"/>
      <c r="I119" s="114" t="s">
        <v>147</v>
      </c>
      <c r="J119" s="23">
        <v>43831</v>
      </c>
      <c r="M119" s="16">
        <f t="shared" si="5"/>
        <v>318325</v>
      </c>
      <c r="N119" s="16" t="e">
        <f>+MATCH(M119,'Exh BGM-6'!$B$4:$B$41,0)</f>
        <v>#N/A</v>
      </c>
      <c r="O119" s="16">
        <f t="shared" si="6"/>
        <v>1</v>
      </c>
    </row>
    <row r="120" spans="1:15" x14ac:dyDescent="0.25">
      <c r="A120" s="77">
        <v>114</v>
      </c>
      <c r="B120" s="78" t="s">
        <v>126</v>
      </c>
      <c r="C120" s="16" t="s">
        <v>194</v>
      </c>
      <c r="D120" s="111">
        <v>376.3</v>
      </c>
      <c r="E120" s="112">
        <v>433146.02</v>
      </c>
      <c r="F120" s="78"/>
      <c r="G120" s="79">
        <f t="shared" si="7"/>
        <v>433146.02</v>
      </c>
      <c r="H120" s="79">
        <f>+G120</f>
        <v>433146.02</v>
      </c>
      <c r="I120" s="114">
        <v>14</v>
      </c>
      <c r="J120" s="23">
        <v>44042</v>
      </c>
      <c r="M120" s="16">
        <f t="shared" si="5"/>
        <v>318482</v>
      </c>
      <c r="N120" s="16">
        <f>+MATCH(M120,'Exh BGM-6'!$B$4:$B$41,0)</f>
        <v>26</v>
      </c>
      <c r="O120" s="16">
        <f t="shared" si="6"/>
        <v>0</v>
      </c>
    </row>
    <row r="121" spans="1:15" x14ac:dyDescent="0.25">
      <c r="A121" s="77">
        <v>115</v>
      </c>
      <c r="B121" s="78" t="s">
        <v>126</v>
      </c>
      <c r="C121" s="16" t="s">
        <v>195</v>
      </c>
      <c r="D121" s="111">
        <v>378</v>
      </c>
      <c r="E121" s="112">
        <v>177166.29</v>
      </c>
      <c r="F121" s="78"/>
      <c r="G121" s="79">
        <f t="shared" si="7"/>
        <v>177166.29</v>
      </c>
      <c r="H121" s="79">
        <f>+G121</f>
        <v>177166.29</v>
      </c>
      <c r="I121" s="114">
        <v>15</v>
      </c>
      <c r="J121" s="23">
        <v>44104</v>
      </c>
      <c r="M121" s="16">
        <f t="shared" si="5"/>
        <v>318566</v>
      </c>
      <c r="N121" s="16">
        <f>+MATCH(M121,'Exh BGM-6'!$B$4:$B$41,0)</f>
        <v>36</v>
      </c>
      <c r="O121" s="16">
        <f t="shared" si="6"/>
        <v>0</v>
      </c>
    </row>
    <row r="122" spans="1:15" x14ac:dyDescent="0.25">
      <c r="A122" s="77">
        <v>116</v>
      </c>
      <c r="B122" s="78" t="s">
        <v>126</v>
      </c>
      <c r="C122" s="16" t="s">
        <v>196</v>
      </c>
      <c r="D122" s="111">
        <v>376.3</v>
      </c>
      <c r="E122" s="112">
        <v>125671.29</v>
      </c>
      <c r="F122" s="78"/>
      <c r="G122" s="79">
        <f t="shared" si="7"/>
        <v>125671.29</v>
      </c>
      <c r="H122" s="79">
        <f t="shared" ref="H122:H130" si="9">+G122</f>
        <v>125671.29</v>
      </c>
      <c r="I122" s="114">
        <v>16</v>
      </c>
      <c r="J122" s="23">
        <v>44043</v>
      </c>
      <c r="M122" s="16">
        <f t="shared" si="5"/>
        <v>318588</v>
      </c>
      <c r="N122" s="16">
        <f>+MATCH(M122,'Exh BGM-6'!$B$4:$B$41,0)</f>
        <v>16</v>
      </c>
      <c r="O122" s="16">
        <f t="shared" si="6"/>
        <v>0</v>
      </c>
    </row>
    <row r="123" spans="1:15" x14ac:dyDescent="0.25">
      <c r="A123" s="77">
        <v>117</v>
      </c>
      <c r="B123" s="78" t="s">
        <v>126</v>
      </c>
      <c r="C123" s="16" t="s">
        <v>197</v>
      </c>
      <c r="D123" s="111">
        <v>376.1</v>
      </c>
      <c r="E123" s="112">
        <v>312625</v>
      </c>
      <c r="F123" s="78"/>
      <c r="G123" s="79">
        <f t="shared" si="7"/>
        <v>312625</v>
      </c>
      <c r="H123" s="79">
        <f t="shared" si="9"/>
        <v>312625</v>
      </c>
      <c r="I123" s="114">
        <v>17</v>
      </c>
      <c r="J123" s="23">
        <v>44165</v>
      </c>
      <c r="M123" s="16">
        <f t="shared" si="5"/>
        <v>318690</v>
      </c>
      <c r="N123" s="16">
        <f>+MATCH(M123,'Exh BGM-6'!$B$4:$B$41,0)</f>
        <v>12</v>
      </c>
      <c r="O123" s="16">
        <f t="shared" si="6"/>
        <v>0</v>
      </c>
    </row>
    <row r="124" spans="1:15" x14ac:dyDescent="0.25">
      <c r="A124" s="77">
        <v>118</v>
      </c>
      <c r="B124" s="78" t="s">
        <v>126</v>
      </c>
      <c r="C124" s="16" t="s">
        <v>198</v>
      </c>
      <c r="D124" s="111">
        <v>378</v>
      </c>
      <c r="E124" s="112">
        <v>352513.6</v>
      </c>
      <c r="F124" s="78"/>
      <c r="G124" s="79">
        <f t="shared" si="7"/>
        <v>352513.6</v>
      </c>
      <c r="H124" s="79">
        <f t="shared" si="9"/>
        <v>352513.6</v>
      </c>
      <c r="I124" s="114">
        <v>18</v>
      </c>
      <c r="J124" s="23">
        <v>44135</v>
      </c>
      <c r="M124" s="16">
        <f t="shared" si="5"/>
        <v>318742</v>
      </c>
      <c r="N124" s="16">
        <f>+MATCH(M124,'Exh BGM-6'!$B$4:$B$41,0)</f>
        <v>14</v>
      </c>
      <c r="O124" s="16">
        <f t="shared" si="6"/>
        <v>0</v>
      </c>
    </row>
    <row r="125" spans="1:15" x14ac:dyDescent="0.25">
      <c r="A125" s="77">
        <v>119</v>
      </c>
      <c r="B125" s="78" t="s">
        <v>126</v>
      </c>
      <c r="C125" s="16" t="s">
        <v>199</v>
      </c>
      <c r="D125" s="111">
        <v>378</v>
      </c>
      <c r="E125" s="112">
        <v>124719</v>
      </c>
      <c r="F125" s="78"/>
      <c r="G125" s="79">
        <f t="shared" si="7"/>
        <v>124719</v>
      </c>
      <c r="H125" s="79">
        <f t="shared" si="9"/>
        <v>124719</v>
      </c>
      <c r="I125" s="114">
        <v>19</v>
      </c>
      <c r="J125" s="23">
        <v>44155</v>
      </c>
      <c r="M125" s="16">
        <f t="shared" si="5"/>
        <v>318746</v>
      </c>
      <c r="N125" s="16">
        <f>+MATCH(M125,'Exh BGM-6'!$B$4:$B$41,0)</f>
        <v>9</v>
      </c>
      <c r="O125" s="16">
        <f t="shared" si="6"/>
        <v>0</v>
      </c>
    </row>
    <row r="126" spans="1:15" x14ac:dyDescent="0.25">
      <c r="A126" s="77">
        <v>120</v>
      </c>
      <c r="B126" s="78" t="s">
        <v>126</v>
      </c>
      <c r="C126" s="16" t="s">
        <v>200</v>
      </c>
      <c r="D126" s="111">
        <v>378</v>
      </c>
      <c r="E126" s="112">
        <v>124719</v>
      </c>
      <c r="F126" s="78"/>
      <c r="G126" s="79">
        <f t="shared" si="7"/>
        <v>124719</v>
      </c>
      <c r="H126" s="79">
        <f t="shared" si="9"/>
        <v>124719</v>
      </c>
      <c r="I126" s="114">
        <v>20</v>
      </c>
      <c r="J126" s="23">
        <v>44155</v>
      </c>
      <c r="M126" s="16">
        <f t="shared" si="5"/>
        <v>318747</v>
      </c>
      <c r="N126" s="16">
        <f>+MATCH(M126,'Exh BGM-6'!$B$4:$B$41,0)</f>
        <v>10</v>
      </c>
      <c r="O126" s="16">
        <f t="shared" si="6"/>
        <v>0</v>
      </c>
    </row>
    <row r="127" spans="1:15" x14ac:dyDescent="0.25">
      <c r="A127" s="77">
        <v>121</v>
      </c>
      <c r="B127" s="78" t="s">
        <v>126</v>
      </c>
      <c r="C127" s="16" t="s">
        <v>201</v>
      </c>
      <c r="D127" s="111">
        <v>378</v>
      </c>
      <c r="E127" s="112">
        <v>464483</v>
      </c>
      <c r="F127" s="78"/>
      <c r="G127" s="79">
        <f t="shared" si="7"/>
        <v>464483</v>
      </c>
      <c r="H127" s="79">
        <f t="shared" si="9"/>
        <v>464483</v>
      </c>
      <c r="I127" s="114">
        <v>22</v>
      </c>
      <c r="J127" s="23">
        <v>44165</v>
      </c>
      <c r="M127" s="16">
        <f t="shared" si="5"/>
        <v>318829</v>
      </c>
      <c r="N127" s="16">
        <f>+MATCH(M127,'Exh BGM-6'!$B$4:$B$41,0)</f>
        <v>20</v>
      </c>
      <c r="O127" s="16">
        <f t="shared" si="6"/>
        <v>0</v>
      </c>
    </row>
    <row r="128" spans="1:15" x14ac:dyDescent="0.25">
      <c r="A128" s="77">
        <v>122</v>
      </c>
      <c r="B128" s="78" t="s">
        <v>126</v>
      </c>
      <c r="C128" s="16" t="s">
        <v>202</v>
      </c>
      <c r="D128" s="111">
        <v>385</v>
      </c>
      <c r="E128" s="112">
        <v>58451</v>
      </c>
      <c r="F128" s="78"/>
      <c r="G128" s="79">
        <f t="shared" si="7"/>
        <v>58451</v>
      </c>
      <c r="H128" s="79"/>
      <c r="I128" s="114"/>
      <c r="J128" s="23">
        <v>44104</v>
      </c>
      <c r="M128" s="16">
        <f t="shared" si="5"/>
        <v>319029</v>
      </c>
      <c r="N128" s="16" t="e">
        <f>+MATCH(M128,'Exh BGM-6'!$B$4:$B$41,0)</f>
        <v>#N/A</v>
      </c>
      <c r="O128" s="16">
        <f t="shared" si="6"/>
        <v>0</v>
      </c>
    </row>
    <row r="129" spans="1:15" x14ac:dyDescent="0.25">
      <c r="A129" s="77">
        <v>123</v>
      </c>
      <c r="B129" s="78" t="s">
        <v>126</v>
      </c>
      <c r="C129" s="16" t="s">
        <v>203</v>
      </c>
      <c r="D129" s="111">
        <v>378</v>
      </c>
      <c r="E129" s="112">
        <v>143033.60000000001</v>
      </c>
      <c r="F129" s="78"/>
      <c r="G129" s="79">
        <f t="shared" si="7"/>
        <v>143033.60000000001</v>
      </c>
      <c r="H129" s="79">
        <f t="shared" si="9"/>
        <v>143033.60000000001</v>
      </c>
      <c r="I129" s="114">
        <v>24</v>
      </c>
      <c r="J129" s="23">
        <v>44073</v>
      </c>
      <c r="M129" s="16">
        <f t="shared" si="5"/>
        <v>319056</v>
      </c>
      <c r="N129" s="16">
        <f>+MATCH(M129,'Exh BGM-6'!$B$4:$B$41,0)</f>
        <v>38</v>
      </c>
      <c r="O129" s="16">
        <f t="shared" si="6"/>
        <v>0</v>
      </c>
    </row>
    <row r="130" spans="1:15" x14ac:dyDescent="0.25">
      <c r="A130" s="77">
        <v>124</v>
      </c>
      <c r="B130" s="78" t="s">
        <v>126</v>
      </c>
      <c r="C130" s="16" t="s">
        <v>204</v>
      </c>
      <c r="D130" s="111">
        <v>378</v>
      </c>
      <c r="E130" s="112">
        <v>144470.20000000001</v>
      </c>
      <c r="F130" s="78"/>
      <c r="G130" s="79">
        <f t="shared" si="7"/>
        <v>144470.20000000001</v>
      </c>
      <c r="H130" s="79">
        <f t="shared" si="9"/>
        <v>144470.20000000001</v>
      </c>
      <c r="I130" s="114">
        <v>25</v>
      </c>
      <c r="J130" s="23">
        <v>44073</v>
      </c>
      <c r="M130" s="16">
        <f t="shared" si="5"/>
        <v>319063</v>
      </c>
      <c r="N130" s="16">
        <f>+MATCH(M130,'Exh BGM-6'!$B$4:$B$41,0)</f>
        <v>24</v>
      </c>
      <c r="O130" s="16">
        <f t="shared" si="6"/>
        <v>0</v>
      </c>
    </row>
    <row r="131" spans="1:15" x14ac:dyDescent="0.25">
      <c r="A131" s="77">
        <v>125</v>
      </c>
      <c r="B131" s="78" t="s">
        <v>126</v>
      </c>
      <c r="C131" s="16" t="s">
        <v>76</v>
      </c>
      <c r="D131" s="111">
        <v>376.2</v>
      </c>
      <c r="E131" s="112">
        <v>1725636</v>
      </c>
      <c r="F131" s="78"/>
      <c r="G131" s="79">
        <f t="shared" si="7"/>
        <v>1725636</v>
      </c>
      <c r="H131" s="79">
        <f>+G131</f>
        <v>1725636</v>
      </c>
      <c r="I131" s="114">
        <v>26</v>
      </c>
      <c r="J131" s="23">
        <v>44407</v>
      </c>
      <c r="M131" s="16">
        <f t="shared" si="5"/>
        <v>319072</v>
      </c>
      <c r="N131" s="16" t="e">
        <f>+MATCH(M131,'Exh BGM-6'!$B$4:$B$41,0)</f>
        <v>#N/A</v>
      </c>
      <c r="O131" s="16">
        <f t="shared" si="6"/>
        <v>1</v>
      </c>
    </row>
    <row r="132" spans="1:15" x14ac:dyDescent="0.25">
      <c r="A132" s="77">
        <v>126</v>
      </c>
      <c r="B132" s="78" t="s">
        <v>126</v>
      </c>
      <c r="C132" s="16" t="s">
        <v>205</v>
      </c>
      <c r="D132" s="111">
        <v>376.3</v>
      </c>
      <c r="E132" s="112">
        <v>19400.099999999999</v>
      </c>
      <c r="F132" s="78"/>
      <c r="G132" s="79">
        <f t="shared" si="7"/>
        <v>19400.099999999999</v>
      </c>
      <c r="H132" s="79"/>
      <c r="I132" s="114"/>
      <c r="J132" s="23">
        <v>43889</v>
      </c>
      <c r="M132" s="16">
        <f t="shared" si="5"/>
        <v>319086</v>
      </c>
      <c r="N132" s="16" t="e">
        <f>+MATCH(M132,'Exh BGM-6'!$B$4:$B$41,0)</f>
        <v>#N/A</v>
      </c>
      <c r="O132" s="16">
        <f t="shared" si="6"/>
        <v>0</v>
      </c>
    </row>
    <row r="133" spans="1:15" x14ac:dyDescent="0.25">
      <c r="A133" s="77">
        <v>127</v>
      </c>
      <c r="B133" s="78" t="s">
        <v>126</v>
      </c>
      <c r="C133" s="16" t="s">
        <v>206</v>
      </c>
      <c r="D133" s="111">
        <v>378</v>
      </c>
      <c r="E133" s="112">
        <v>5607.8</v>
      </c>
      <c r="F133" s="78"/>
      <c r="G133" s="79">
        <f t="shared" si="7"/>
        <v>5607.8</v>
      </c>
      <c r="H133" s="79"/>
      <c r="I133" s="114"/>
      <c r="J133" s="23">
        <v>44124</v>
      </c>
      <c r="M133" s="16">
        <f t="shared" si="5"/>
        <v>319095</v>
      </c>
      <c r="N133" s="16" t="e">
        <f>+MATCH(M133,'Exh BGM-6'!$B$4:$B$41,0)</f>
        <v>#N/A</v>
      </c>
      <c r="O133" s="16">
        <f t="shared" si="6"/>
        <v>0</v>
      </c>
    </row>
    <row r="134" spans="1:15" x14ac:dyDescent="0.25">
      <c r="A134" s="77">
        <v>128</v>
      </c>
      <c r="B134" s="78" t="s">
        <v>126</v>
      </c>
      <c r="C134" s="16" t="s">
        <v>207</v>
      </c>
      <c r="D134" s="111">
        <v>378</v>
      </c>
      <c r="E134" s="112">
        <v>5845.1</v>
      </c>
      <c r="F134" s="78"/>
      <c r="G134" s="79">
        <f t="shared" si="7"/>
        <v>5845.1</v>
      </c>
      <c r="H134" s="79"/>
      <c r="I134" s="114"/>
      <c r="J134" s="23">
        <v>44094</v>
      </c>
      <c r="M134" s="16">
        <f t="shared" si="5"/>
        <v>319099</v>
      </c>
      <c r="N134" s="16" t="e">
        <f>+MATCH(M134,'Exh BGM-6'!$B$4:$B$41,0)</f>
        <v>#N/A</v>
      </c>
      <c r="O134" s="16">
        <f t="shared" si="6"/>
        <v>0</v>
      </c>
    </row>
    <row r="135" spans="1:15" x14ac:dyDescent="0.25">
      <c r="A135" s="77">
        <v>129</v>
      </c>
      <c r="B135" s="78" t="s">
        <v>126</v>
      </c>
      <c r="C135" s="16" t="s">
        <v>208</v>
      </c>
      <c r="D135" s="111">
        <v>376.2</v>
      </c>
      <c r="E135" s="112">
        <v>1196019</v>
      </c>
      <c r="F135" s="78"/>
      <c r="G135" s="79">
        <f t="shared" si="7"/>
        <v>1196019</v>
      </c>
      <c r="H135" s="79"/>
      <c r="I135" s="114" t="s">
        <v>147</v>
      </c>
      <c r="J135" s="23">
        <v>44195</v>
      </c>
      <c r="M135" s="16">
        <f t="shared" si="5"/>
        <v>319106</v>
      </c>
      <c r="N135" s="16" t="e">
        <f>+MATCH(M135,'Exh BGM-6'!$B$4:$B$41,0)</f>
        <v>#N/A</v>
      </c>
      <c r="O135" s="16">
        <f t="shared" si="6"/>
        <v>1</v>
      </c>
    </row>
    <row r="136" spans="1:15" x14ac:dyDescent="0.25">
      <c r="A136" s="77">
        <v>130</v>
      </c>
      <c r="B136" s="78" t="s">
        <v>126</v>
      </c>
      <c r="C136" s="16" t="s">
        <v>209</v>
      </c>
      <c r="D136" s="111">
        <v>376</v>
      </c>
      <c r="E136" s="112">
        <v>1178410</v>
      </c>
      <c r="F136" s="78"/>
      <c r="G136" s="79">
        <f t="shared" si="7"/>
        <v>1178410</v>
      </c>
      <c r="H136" s="79"/>
      <c r="I136" s="114"/>
      <c r="J136" s="23">
        <v>44196</v>
      </c>
      <c r="M136" s="16">
        <f t="shared" si="5"/>
        <v>319111</v>
      </c>
      <c r="N136" s="16" t="e">
        <f>+MATCH(M136,'Exh BGM-6'!$B$4:$B$41,0)</f>
        <v>#N/A</v>
      </c>
      <c r="O136" s="16">
        <f t="shared" si="6"/>
        <v>0</v>
      </c>
    </row>
    <row r="137" spans="1:15" x14ac:dyDescent="0.25">
      <c r="A137" s="77">
        <v>131</v>
      </c>
      <c r="B137" s="78" t="s">
        <v>126</v>
      </c>
      <c r="C137" s="16" t="s">
        <v>210</v>
      </c>
      <c r="D137" s="111">
        <v>380</v>
      </c>
      <c r="E137" s="112">
        <v>128780</v>
      </c>
      <c r="F137" s="78"/>
      <c r="G137" s="79">
        <f t="shared" si="7"/>
        <v>128780</v>
      </c>
      <c r="H137" s="79"/>
      <c r="I137" s="114"/>
      <c r="J137" s="23">
        <v>44196</v>
      </c>
      <c r="M137" s="16">
        <f t="shared" ref="M137:M194" si="10">+VALUE(RIGHT(LEFT(C137,9),6))</f>
        <v>319112</v>
      </c>
      <c r="N137" s="16" t="e">
        <f>+MATCH(M137,'Exh BGM-6'!$B$4:$B$41,0)</f>
        <v>#N/A</v>
      </c>
      <c r="O137" s="16">
        <f t="shared" ref="O137:O194" si="11">+IF(AND(I137&lt;&gt;0,ISNA(N137)),1,0)</f>
        <v>0</v>
      </c>
    </row>
    <row r="138" spans="1:15" x14ac:dyDescent="0.25">
      <c r="A138" s="77">
        <v>132</v>
      </c>
      <c r="B138" s="78" t="s">
        <v>126</v>
      </c>
      <c r="C138" s="16" t="s">
        <v>211</v>
      </c>
      <c r="D138" s="111">
        <v>376.3</v>
      </c>
      <c r="E138" s="112">
        <v>121015.44</v>
      </c>
      <c r="F138" s="78"/>
      <c r="G138" s="79">
        <f t="shared" si="7"/>
        <v>121015.44</v>
      </c>
      <c r="H138" s="79"/>
      <c r="I138" s="114"/>
      <c r="J138" s="23">
        <v>43936</v>
      </c>
      <c r="M138" s="16">
        <f t="shared" si="10"/>
        <v>319168</v>
      </c>
      <c r="N138" s="16" t="e">
        <f>+MATCH(M138,'Exh BGM-6'!$B$4:$B$41,0)</f>
        <v>#N/A</v>
      </c>
      <c r="O138" s="16">
        <f t="shared" si="11"/>
        <v>0</v>
      </c>
    </row>
    <row r="139" spans="1:15" x14ac:dyDescent="0.25">
      <c r="A139" s="77">
        <v>133</v>
      </c>
      <c r="B139" s="78" t="s">
        <v>126</v>
      </c>
      <c r="C139" s="16" t="s">
        <v>212</v>
      </c>
      <c r="D139" s="111">
        <v>376.3</v>
      </c>
      <c r="E139" s="112">
        <v>169486.67</v>
      </c>
      <c r="F139" s="78"/>
      <c r="G139" s="79">
        <f t="shared" si="7"/>
        <v>169486.67</v>
      </c>
      <c r="H139" s="79"/>
      <c r="I139" s="114"/>
      <c r="J139" s="23">
        <v>43952</v>
      </c>
      <c r="M139" s="16">
        <f t="shared" si="10"/>
        <v>319180</v>
      </c>
      <c r="N139" s="16" t="e">
        <f>+MATCH(M139,'Exh BGM-6'!$B$4:$B$41,0)</f>
        <v>#N/A</v>
      </c>
      <c r="O139" s="16">
        <f t="shared" si="11"/>
        <v>0</v>
      </c>
    </row>
    <row r="140" spans="1:15" x14ac:dyDescent="0.25">
      <c r="A140" s="77">
        <v>134</v>
      </c>
      <c r="B140" s="78" t="s">
        <v>126</v>
      </c>
      <c r="C140" s="78" t="s">
        <v>213</v>
      </c>
      <c r="D140" s="111">
        <v>376.3</v>
      </c>
      <c r="E140" s="112">
        <v>10487.23</v>
      </c>
      <c r="F140" s="78"/>
      <c r="G140" s="79">
        <f t="shared" si="7"/>
        <v>10487.23</v>
      </c>
      <c r="H140" s="79"/>
      <c r="I140" s="114"/>
      <c r="J140" s="128">
        <v>43981</v>
      </c>
      <c r="M140" s="16">
        <f t="shared" si="10"/>
        <v>319193</v>
      </c>
      <c r="N140" s="16" t="e">
        <f>+MATCH(M140,'Exh BGM-6'!$B$4:$B$41,0)</f>
        <v>#N/A</v>
      </c>
      <c r="O140" s="16">
        <f t="shared" si="11"/>
        <v>0</v>
      </c>
    </row>
    <row r="141" spans="1:15" x14ac:dyDescent="0.25">
      <c r="A141" s="77">
        <v>135</v>
      </c>
      <c r="B141" s="78" t="s">
        <v>126</v>
      </c>
      <c r="C141" s="78" t="s">
        <v>214</v>
      </c>
      <c r="D141" s="111">
        <v>376.2</v>
      </c>
      <c r="E141" s="112">
        <v>16510.169999999998</v>
      </c>
      <c r="F141" s="78"/>
      <c r="G141" s="79">
        <f t="shared" si="7"/>
        <v>16510.169999999998</v>
      </c>
      <c r="H141" s="79"/>
      <c r="I141" s="114"/>
      <c r="J141" s="128">
        <v>44195</v>
      </c>
      <c r="M141" s="16">
        <f t="shared" si="10"/>
        <v>319209</v>
      </c>
      <c r="N141" s="16" t="e">
        <f>+MATCH(M141,'Exh BGM-6'!$B$4:$B$41,0)</f>
        <v>#N/A</v>
      </c>
      <c r="O141" s="16">
        <f t="shared" si="11"/>
        <v>0</v>
      </c>
    </row>
    <row r="142" spans="1:15" x14ac:dyDescent="0.25">
      <c r="A142" s="77">
        <v>136</v>
      </c>
      <c r="B142" s="78" t="s">
        <v>126</v>
      </c>
      <c r="C142" s="78" t="s">
        <v>215</v>
      </c>
      <c r="D142" s="111">
        <v>376.3</v>
      </c>
      <c r="E142" s="112">
        <v>52336.62</v>
      </c>
      <c r="F142" s="78"/>
      <c r="G142" s="79">
        <f t="shared" si="7"/>
        <v>52336.62</v>
      </c>
      <c r="H142" s="79"/>
      <c r="I142" s="114"/>
      <c r="J142" s="128">
        <v>43981</v>
      </c>
      <c r="M142" s="16">
        <f t="shared" si="10"/>
        <v>319238</v>
      </c>
      <c r="N142" s="16" t="e">
        <f>+MATCH(M142,'Exh BGM-6'!$B$4:$B$41,0)</f>
        <v>#N/A</v>
      </c>
      <c r="O142" s="16">
        <f t="shared" si="11"/>
        <v>0</v>
      </c>
    </row>
    <row r="143" spans="1:15" x14ac:dyDescent="0.25">
      <c r="A143" s="77">
        <v>137</v>
      </c>
      <c r="B143" s="78" t="s">
        <v>126</v>
      </c>
      <c r="C143" s="78" t="s">
        <v>216</v>
      </c>
      <c r="D143" s="111">
        <v>376.1</v>
      </c>
      <c r="E143" s="112">
        <v>1145.58</v>
      </c>
      <c r="F143" s="78"/>
      <c r="G143" s="79">
        <f t="shared" si="7"/>
        <v>1145.58</v>
      </c>
      <c r="H143" s="79"/>
      <c r="I143" s="114"/>
      <c r="J143" s="23">
        <v>43862</v>
      </c>
      <c r="M143" s="16">
        <f t="shared" si="10"/>
        <v>319247</v>
      </c>
      <c r="N143" s="16" t="e">
        <f>+MATCH(M143,'Exh BGM-6'!$B$4:$B$41,0)</f>
        <v>#N/A</v>
      </c>
      <c r="O143" s="16">
        <f t="shared" si="11"/>
        <v>0</v>
      </c>
    </row>
    <row r="144" spans="1:15" x14ac:dyDescent="0.25">
      <c r="A144" s="77">
        <v>138</v>
      </c>
      <c r="B144" s="78" t="s">
        <v>126</v>
      </c>
      <c r="C144" s="78" t="s">
        <v>217</v>
      </c>
      <c r="D144" s="111">
        <v>376.3</v>
      </c>
      <c r="E144" s="112">
        <v>-87097.05</v>
      </c>
      <c r="F144" s="78"/>
      <c r="G144" s="79">
        <f t="shared" si="7"/>
        <v>-87097.05</v>
      </c>
      <c r="H144" s="79"/>
      <c r="I144" s="114"/>
      <c r="J144" s="128">
        <v>44155</v>
      </c>
      <c r="M144" s="16">
        <f t="shared" si="10"/>
        <v>319256</v>
      </c>
      <c r="N144" s="16" t="e">
        <f>+MATCH(M144,'Exh BGM-6'!$B$4:$B$41,0)</f>
        <v>#N/A</v>
      </c>
      <c r="O144" s="16">
        <f t="shared" si="11"/>
        <v>0</v>
      </c>
    </row>
    <row r="145" spans="1:15" x14ac:dyDescent="0.25">
      <c r="A145" s="77">
        <v>139</v>
      </c>
      <c r="B145" s="78" t="s">
        <v>126</v>
      </c>
      <c r="C145" s="78" t="s">
        <v>218</v>
      </c>
      <c r="D145" s="111">
        <v>380.3</v>
      </c>
      <c r="E145" s="112">
        <v>-21795.91</v>
      </c>
      <c r="F145" s="78"/>
      <c r="G145" s="79">
        <f t="shared" si="7"/>
        <v>-21795.91</v>
      </c>
      <c r="H145" s="79"/>
      <c r="I145" s="114"/>
      <c r="J145" s="128">
        <v>44155</v>
      </c>
      <c r="M145" s="16">
        <f t="shared" si="10"/>
        <v>319257</v>
      </c>
      <c r="N145" s="16" t="e">
        <f>+MATCH(M145,'Exh BGM-6'!$B$4:$B$41,0)</f>
        <v>#N/A</v>
      </c>
      <c r="O145" s="16">
        <f t="shared" si="11"/>
        <v>0</v>
      </c>
    </row>
    <row r="146" spans="1:15" x14ac:dyDescent="0.25">
      <c r="A146" s="77">
        <v>140</v>
      </c>
      <c r="B146" s="117"/>
      <c r="C146" s="118"/>
      <c r="D146" s="119"/>
      <c r="E146" s="120">
        <f>SUM(E34:E145)</f>
        <v>88517757.529999986</v>
      </c>
      <c r="F146" s="117"/>
      <c r="G146" s="79">
        <f t="shared" ref="G146:G194" si="12">+E146</f>
        <v>88517757.529999986</v>
      </c>
      <c r="H146" s="121">
        <f>SUM(H34:H145)</f>
        <v>52174455.754975997</v>
      </c>
      <c r="I146" s="122"/>
      <c r="J146" s="123"/>
      <c r="M146" s="16" t="e">
        <f t="shared" si="10"/>
        <v>#VALUE!</v>
      </c>
      <c r="N146" s="16" t="e">
        <f>+MATCH(M146,'Exh BGM-6'!$B$4:$B$41,0)</f>
        <v>#VALUE!</v>
      </c>
      <c r="O146" s="16">
        <f t="shared" si="11"/>
        <v>0</v>
      </c>
    </row>
    <row r="147" spans="1:15" x14ac:dyDescent="0.25">
      <c r="A147" s="77">
        <v>141</v>
      </c>
      <c r="B147" s="78" t="s">
        <v>219</v>
      </c>
      <c r="C147" s="78" t="s">
        <v>220</v>
      </c>
      <c r="D147" s="111">
        <v>392.2</v>
      </c>
      <c r="E147" s="112">
        <v>219131.38</v>
      </c>
      <c r="F147" s="78"/>
      <c r="G147" s="79">
        <f t="shared" si="12"/>
        <v>219131.38</v>
      </c>
      <c r="H147" s="79"/>
      <c r="I147" s="114"/>
      <c r="J147" s="128">
        <v>44012</v>
      </c>
      <c r="M147" s="16">
        <f t="shared" si="10"/>
        <v>101204</v>
      </c>
      <c r="N147" s="16" t="e">
        <f>+MATCH(M147,'Exh BGM-6'!$B$4:$B$41,0)</f>
        <v>#N/A</v>
      </c>
      <c r="O147" s="16">
        <f t="shared" si="11"/>
        <v>0</v>
      </c>
    </row>
    <row r="148" spans="1:15" x14ac:dyDescent="0.25">
      <c r="A148" s="77">
        <v>142</v>
      </c>
      <c r="B148" s="78" t="s">
        <v>219</v>
      </c>
      <c r="C148" s="78" t="s">
        <v>221</v>
      </c>
      <c r="D148" s="111">
        <v>394.1</v>
      </c>
      <c r="E148" s="112">
        <v>1359.54</v>
      </c>
      <c r="F148" s="78"/>
      <c r="G148" s="79">
        <f t="shared" si="12"/>
        <v>1359.54</v>
      </c>
      <c r="H148" s="79"/>
      <c r="I148" s="114"/>
      <c r="J148" s="128">
        <v>43921</v>
      </c>
      <c r="M148" s="16">
        <f t="shared" si="10"/>
        <v>101288</v>
      </c>
      <c r="N148" s="16" t="e">
        <f>+MATCH(M148,'Exh BGM-6'!$B$4:$B$41,0)</f>
        <v>#N/A</v>
      </c>
      <c r="O148" s="16">
        <f t="shared" si="11"/>
        <v>0</v>
      </c>
    </row>
    <row r="149" spans="1:15" x14ac:dyDescent="0.25">
      <c r="A149" s="77">
        <v>143</v>
      </c>
      <c r="B149" s="78" t="s">
        <v>219</v>
      </c>
      <c r="C149" s="78" t="s">
        <v>222</v>
      </c>
      <c r="D149" s="111">
        <v>390.1</v>
      </c>
      <c r="E149" s="112">
        <v>36245.61</v>
      </c>
      <c r="F149" s="78"/>
      <c r="G149" s="79">
        <f t="shared" si="12"/>
        <v>36245.61</v>
      </c>
      <c r="H149" s="79"/>
      <c r="I149" s="114"/>
      <c r="J149" s="128">
        <v>43860</v>
      </c>
      <c r="M149" s="16">
        <f t="shared" si="10"/>
        <v>101413</v>
      </c>
      <c r="N149" s="16" t="e">
        <f>+MATCH(M149,'Exh BGM-6'!$B$4:$B$41,0)</f>
        <v>#N/A</v>
      </c>
      <c r="O149" s="16">
        <f t="shared" si="11"/>
        <v>0</v>
      </c>
    </row>
    <row r="150" spans="1:15" x14ac:dyDescent="0.25">
      <c r="A150" s="77">
        <v>144</v>
      </c>
      <c r="B150" s="78" t="s">
        <v>219</v>
      </c>
      <c r="C150" s="78" t="s">
        <v>223</v>
      </c>
      <c r="D150" s="111">
        <v>391.3</v>
      </c>
      <c r="E150" s="112">
        <v>27223.01</v>
      </c>
      <c r="F150" s="113">
        <f>+'[6]State Allocation Formulas'!C21</f>
        <v>0.75170000000000003</v>
      </c>
      <c r="G150" s="79">
        <f t="shared" si="12"/>
        <v>27223.01</v>
      </c>
      <c r="H150" s="79"/>
      <c r="I150" s="114"/>
      <c r="J150" s="128">
        <v>43952</v>
      </c>
      <c r="M150" s="16">
        <f t="shared" si="10"/>
        <v>306967</v>
      </c>
      <c r="N150" s="16" t="e">
        <f>+MATCH(M150,'Exh BGM-6'!$B$4:$B$41,0)</f>
        <v>#N/A</v>
      </c>
      <c r="O150" s="16">
        <f t="shared" si="11"/>
        <v>0</v>
      </c>
    </row>
    <row r="151" spans="1:15" x14ac:dyDescent="0.25">
      <c r="A151" s="77">
        <v>146</v>
      </c>
      <c r="B151" s="78" t="s">
        <v>219</v>
      </c>
      <c r="C151" s="78" t="s">
        <v>224</v>
      </c>
      <c r="D151" s="111">
        <v>391.1</v>
      </c>
      <c r="E151" s="112">
        <v>176798.64</v>
      </c>
      <c r="F151" s="113">
        <f>+'[6]State Allocation Formulas'!C21</f>
        <v>0.75170000000000003</v>
      </c>
      <c r="G151" s="79">
        <f t="shared" si="12"/>
        <v>176798.64</v>
      </c>
      <c r="H151" s="79"/>
      <c r="I151" s="114"/>
      <c r="J151" s="128">
        <v>44196</v>
      </c>
      <c r="M151" s="16">
        <f t="shared" si="10"/>
        <v>316445</v>
      </c>
      <c r="N151" s="16" t="e">
        <f>+MATCH(M151,'Exh BGM-6'!$B$4:$B$41,0)</f>
        <v>#N/A</v>
      </c>
      <c r="O151" s="16">
        <f t="shared" si="11"/>
        <v>0</v>
      </c>
    </row>
    <row r="152" spans="1:15" x14ac:dyDescent="0.25">
      <c r="A152" s="77">
        <v>147</v>
      </c>
      <c r="B152" s="78" t="s">
        <v>219</v>
      </c>
      <c r="C152" s="78" t="s">
        <v>225</v>
      </c>
      <c r="D152" s="111">
        <v>391.5</v>
      </c>
      <c r="E152" s="112">
        <v>50980</v>
      </c>
      <c r="F152" s="113">
        <f>+'[6]State Allocation Formulas'!C21</f>
        <v>0.75170000000000003</v>
      </c>
      <c r="G152" s="79">
        <f t="shared" si="12"/>
        <v>50980</v>
      </c>
      <c r="H152" s="79"/>
      <c r="I152" s="114"/>
      <c r="J152" s="128">
        <v>44196</v>
      </c>
      <c r="M152" s="16">
        <f t="shared" si="10"/>
        <v>316832</v>
      </c>
      <c r="N152" s="16" t="e">
        <f>+MATCH(M152,'Exh BGM-6'!$B$4:$B$41,0)</f>
        <v>#N/A</v>
      </c>
      <c r="O152" s="16">
        <f t="shared" si="11"/>
        <v>0</v>
      </c>
    </row>
    <row r="153" spans="1:15" x14ac:dyDescent="0.25">
      <c r="A153" s="77">
        <v>148</v>
      </c>
      <c r="B153" s="78" t="s">
        <v>219</v>
      </c>
      <c r="C153" s="78" t="s">
        <v>226</v>
      </c>
      <c r="D153" s="111">
        <v>391.3</v>
      </c>
      <c r="E153" s="112">
        <v>17333.2</v>
      </c>
      <c r="F153" s="113">
        <f>+'[6]State Allocation Formulas'!C21</f>
        <v>0.75170000000000003</v>
      </c>
      <c r="G153" s="79">
        <f t="shared" si="12"/>
        <v>17333.2</v>
      </c>
      <c r="H153" s="79"/>
      <c r="I153" s="114"/>
      <c r="J153" s="128">
        <v>43952</v>
      </c>
      <c r="M153" s="16">
        <f t="shared" si="10"/>
        <v>316915</v>
      </c>
      <c r="N153" s="16" t="e">
        <f>+MATCH(M153,'Exh BGM-6'!$B$4:$B$41,0)</f>
        <v>#N/A</v>
      </c>
      <c r="O153" s="16">
        <f t="shared" si="11"/>
        <v>0</v>
      </c>
    </row>
    <row r="154" spans="1:15" x14ac:dyDescent="0.25">
      <c r="A154" s="77">
        <v>149</v>
      </c>
      <c r="B154" s="78" t="s">
        <v>219</v>
      </c>
      <c r="C154" s="78" t="s">
        <v>227</v>
      </c>
      <c r="D154" s="111">
        <v>390.1</v>
      </c>
      <c r="E154" s="112">
        <v>316076</v>
      </c>
      <c r="F154" s="78"/>
      <c r="G154" s="79">
        <f t="shared" si="12"/>
        <v>316076</v>
      </c>
      <c r="H154" s="79"/>
      <c r="I154" s="114"/>
      <c r="J154" s="128">
        <v>44013</v>
      </c>
      <c r="M154" s="16">
        <f t="shared" si="10"/>
        <v>317290</v>
      </c>
      <c r="N154" s="16" t="e">
        <f>+MATCH(M154,'Exh BGM-6'!$B$4:$B$41,0)</f>
        <v>#N/A</v>
      </c>
      <c r="O154" s="16">
        <f t="shared" si="11"/>
        <v>0</v>
      </c>
    </row>
    <row r="155" spans="1:15" x14ac:dyDescent="0.25">
      <c r="A155" s="77">
        <v>150</v>
      </c>
      <c r="B155" s="78" t="s">
        <v>219</v>
      </c>
      <c r="C155" s="78" t="s">
        <v>228</v>
      </c>
      <c r="D155" s="111">
        <v>390.1</v>
      </c>
      <c r="E155" s="112">
        <v>15243.69</v>
      </c>
      <c r="F155" s="78"/>
      <c r="G155" s="79">
        <f t="shared" si="12"/>
        <v>15243.69</v>
      </c>
      <c r="H155" s="79"/>
      <c r="I155" s="114"/>
      <c r="J155" s="128">
        <v>44155</v>
      </c>
      <c r="M155" s="16">
        <f t="shared" si="10"/>
        <v>317291</v>
      </c>
      <c r="N155" s="16" t="e">
        <f>+MATCH(M155,'Exh BGM-6'!$B$4:$B$41,0)</f>
        <v>#N/A</v>
      </c>
      <c r="O155" s="16">
        <f t="shared" si="11"/>
        <v>0</v>
      </c>
    </row>
    <row r="156" spans="1:15" x14ac:dyDescent="0.25">
      <c r="A156" s="77">
        <v>151</v>
      </c>
      <c r="B156" s="78" t="s">
        <v>219</v>
      </c>
      <c r="C156" s="78" t="s">
        <v>229</v>
      </c>
      <c r="D156" s="111">
        <v>390</v>
      </c>
      <c r="E156" s="112">
        <v>20392</v>
      </c>
      <c r="F156" s="78"/>
      <c r="G156" s="79">
        <f t="shared" si="12"/>
        <v>20392</v>
      </c>
      <c r="H156" s="79"/>
      <c r="I156" s="114"/>
      <c r="J156" s="128">
        <v>43987</v>
      </c>
      <c r="M156" s="16">
        <f t="shared" si="10"/>
        <v>317387</v>
      </c>
      <c r="N156" s="16" t="e">
        <f>+MATCH(M156,'Exh BGM-6'!$B$4:$B$41,0)</f>
        <v>#N/A</v>
      </c>
      <c r="O156" s="16">
        <f t="shared" si="11"/>
        <v>0</v>
      </c>
    </row>
    <row r="157" spans="1:15" x14ac:dyDescent="0.25">
      <c r="A157" s="77">
        <v>152</v>
      </c>
      <c r="B157" s="78" t="s">
        <v>219</v>
      </c>
      <c r="C157" s="78" t="s">
        <v>230</v>
      </c>
      <c r="D157" s="111">
        <v>397</v>
      </c>
      <c r="E157" s="112">
        <v>509800</v>
      </c>
      <c r="F157" s="132">
        <f>+'[6]State Allocation Formulas'!C21</f>
        <v>0.75170000000000003</v>
      </c>
      <c r="G157" s="79">
        <f t="shared" si="12"/>
        <v>509800</v>
      </c>
      <c r="H157" s="79"/>
      <c r="I157" s="114"/>
      <c r="J157" s="128">
        <v>44196</v>
      </c>
      <c r="M157" s="16">
        <f t="shared" si="10"/>
        <v>318192</v>
      </c>
      <c r="N157" s="16" t="e">
        <f>+MATCH(M157,'Exh BGM-6'!$B$4:$B$41,0)</f>
        <v>#N/A</v>
      </c>
      <c r="O157" s="16">
        <f t="shared" si="11"/>
        <v>0</v>
      </c>
    </row>
    <row r="158" spans="1:15" x14ac:dyDescent="0.25">
      <c r="A158" s="77">
        <v>153</v>
      </c>
      <c r="B158" s="78" t="s">
        <v>219</v>
      </c>
      <c r="C158" s="78" t="s">
        <v>231</v>
      </c>
      <c r="D158" s="111">
        <v>397</v>
      </c>
      <c r="E158" s="112">
        <v>1223.52</v>
      </c>
      <c r="F158" s="132">
        <f>+'[6]State Allocation Formulas'!C21</f>
        <v>0.75170000000000003</v>
      </c>
      <c r="G158" s="79">
        <f t="shared" si="12"/>
        <v>1223.52</v>
      </c>
      <c r="H158" s="79"/>
      <c r="I158" s="114"/>
      <c r="J158" s="128">
        <v>44196</v>
      </c>
      <c r="M158" s="16">
        <f t="shared" si="10"/>
        <v>318197</v>
      </c>
      <c r="N158" s="16" t="e">
        <f>+MATCH(M158,'Exh BGM-6'!$B$4:$B$41,0)</f>
        <v>#N/A</v>
      </c>
      <c r="O158" s="16">
        <f t="shared" si="11"/>
        <v>0</v>
      </c>
    </row>
    <row r="159" spans="1:15" x14ac:dyDescent="0.25">
      <c r="A159" s="77">
        <v>154</v>
      </c>
      <c r="B159" s="78" t="s">
        <v>219</v>
      </c>
      <c r="C159" s="78" t="s">
        <v>232</v>
      </c>
      <c r="D159" s="111">
        <v>394.1</v>
      </c>
      <c r="E159" s="112">
        <v>14274.4</v>
      </c>
      <c r="F159" s="78"/>
      <c r="G159" s="79">
        <f t="shared" si="12"/>
        <v>14274.4</v>
      </c>
      <c r="H159" s="79"/>
      <c r="I159" s="114"/>
      <c r="J159" s="128">
        <v>43862</v>
      </c>
      <c r="M159" s="16">
        <f t="shared" si="10"/>
        <v>318317</v>
      </c>
      <c r="N159" s="16" t="e">
        <f>+MATCH(M159,'Exh BGM-6'!$B$4:$B$41,0)</f>
        <v>#N/A</v>
      </c>
      <c r="O159" s="16">
        <f t="shared" si="11"/>
        <v>0</v>
      </c>
    </row>
    <row r="160" spans="1:15" x14ac:dyDescent="0.25">
      <c r="A160" s="77">
        <v>155</v>
      </c>
      <c r="B160" s="78" t="s">
        <v>219</v>
      </c>
      <c r="C160" s="78" t="s">
        <v>233</v>
      </c>
      <c r="D160" s="111">
        <v>394.1</v>
      </c>
      <c r="E160" s="112">
        <v>6627.4</v>
      </c>
      <c r="F160" s="78"/>
      <c r="G160" s="79">
        <f t="shared" si="12"/>
        <v>6627.4</v>
      </c>
      <c r="H160" s="79"/>
      <c r="I160" s="114"/>
      <c r="J160" s="128">
        <v>43862</v>
      </c>
      <c r="M160" s="16">
        <f t="shared" si="10"/>
        <v>318319</v>
      </c>
      <c r="N160" s="16" t="e">
        <f>+MATCH(M160,'Exh BGM-6'!$B$4:$B$41,0)</f>
        <v>#N/A</v>
      </c>
      <c r="O160" s="16">
        <f t="shared" si="11"/>
        <v>0</v>
      </c>
    </row>
    <row r="161" spans="1:15" x14ac:dyDescent="0.25">
      <c r="A161" s="77">
        <v>156</v>
      </c>
      <c r="B161" s="78" t="s">
        <v>219</v>
      </c>
      <c r="C161" s="78" t="s">
        <v>234</v>
      </c>
      <c r="D161" s="111">
        <v>390.1</v>
      </c>
      <c r="E161" s="112">
        <v>1064539.08</v>
      </c>
      <c r="F161" s="78"/>
      <c r="G161" s="79">
        <f t="shared" si="12"/>
        <v>1064539.08</v>
      </c>
      <c r="H161" s="79">
        <f>+G161</f>
        <v>1064539.08</v>
      </c>
      <c r="I161" s="114">
        <v>13</v>
      </c>
      <c r="J161" s="128">
        <v>44134</v>
      </c>
      <c r="M161" s="16">
        <f t="shared" si="10"/>
        <v>318352</v>
      </c>
      <c r="N161" s="16">
        <f>+MATCH(M161,'Exh BGM-6'!$B$4:$B$41,0)</f>
        <v>32</v>
      </c>
      <c r="O161" s="16">
        <f t="shared" si="11"/>
        <v>0</v>
      </c>
    </row>
    <row r="162" spans="1:15" x14ac:dyDescent="0.25">
      <c r="A162" s="77">
        <v>157</v>
      </c>
      <c r="B162" s="78" t="s">
        <v>219</v>
      </c>
      <c r="C162" s="78" t="s">
        <v>235</v>
      </c>
      <c r="D162" s="111">
        <v>397</v>
      </c>
      <c r="E162" s="112">
        <v>158321.16</v>
      </c>
      <c r="F162" s="113">
        <f>+'[6]State Allocation Formulas'!C21</f>
        <v>0.75170000000000003</v>
      </c>
      <c r="G162" s="79">
        <f t="shared" si="12"/>
        <v>158321.16</v>
      </c>
      <c r="H162" s="79"/>
      <c r="I162" s="114"/>
      <c r="J162" s="128">
        <v>44150</v>
      </c>
      <c r="M162" s="16">
        <f t="shared" si="10"/>
        <v>318706</v>
      </c>
      <c r="N162" s="16" t="e">
        <f>+MATCH(M162,'Exh BGM-6'!$B$4:$B$41,0)</f>
        <v>#N/A</v>
      </c>
      <c r="O162" s="16">
        <f t="shared" si="11"/>
        <v>0</v>
      </c>
    </row>
    <row r="163" spans="1:15" x14ac:dyDescent="0.25">
      <c r="A163" s="77">
        <v>158</v>
      </c>
      <c r="B163" s="78" t="s">
        <v>219</v>
      </c>
      <c r="C163" s="78" t="s">
        <v>236</v>
      </c>
      <c r="D163" s="111">
        <v>390.1</v>
      </c>
      <c r="E163" s="112">
        <v>620912.69999999995</v>
      </c>
      <c r="F163" s="78"/>
      <c r="G163" s="79">
        <f t="shared" si="12"/>
        <v>620912.69999999995</v>
      </c>
      <c r="H163" s="79"/>
      <c r="I163" s="114"/>
      <c r="J163" s="128">
        <v>44136</v>
      </c>
      <c r="M163" s="16">
        <f t="shared" si="10"/>
        <v>318797</v>
      </c>
      <c r="N163" s="16" t="e">
        <f>+MATCH(M163,'Exh BGM-6'!$B$4:$B$41,0)</f>
        <v>#N/A</v>
      </c>
      <c r="O163" s="16">
        <f t="shared" si="11"/>
        <v>0</v>
      </c>
    </row>
    <row r="164" spans="1:15" x14ac:dyDescent="0.25">
      <c r="A164" s="77">
        <v>159</v>
      </c>
      <c r="B164" s="78" t="s">
        <v>219</v>
      </c>
      <c r="C164" s="78" t="s">
        <v>237</v>
      </c>
      <c r="D164" s="111">
        <v>390.1</v>
      </c>
      <c r="E164" s="112">
        <v>76470</v>
      </c>
      <c r="F164" s="78"/>
      <c r="G164" s="79">
        <f t="shared" si="12"/>
        <v>76470</v>
      </c>
      <c r="H164" s="79"/>
      <c r="I164" s="114"/>
      <c r="J164" s="128">
        <v>44043</v>
      </c>
      <c r="M164" s="16">
        <f t="shared" si="10"/>
        <v>318801</v>
      </c>
      <c r="N164" s="16" t="e">
        <f>+MATCH(M164,'Exh BGM-6'!$B$4:$B$41,0)</f>
        <v>#N/A</v>
      </c>
      <c r="O164" s="16">
        <f t="shared" si="11"/>
        <v>0</v>
      </c>
    </row>
    <row r="165" spans="1:15" x14ac:dyDescent="0.25">
      <c r="A165" s="77">
        <v>160</v>
      </c>
      <c r="B165" s="78" t="s">
        <v>219</v>
      </c>
      <c r="C165" s="78" t="s">
        <v>238</v>
      </c>
      <c r="D165" s="111">
        <v>394.1</v>
      </c>
      <c r="E165" s="112">
        <v>33646.800000000003</v>
      </c>
      <c r="F165" s="78"/>
      <c r="G165" s="79">
        <f t="shared" si="12"/>
        <v>33646.800000000003</v>
      </c>
      <c r="H165" s="79"/>
      <c r="I165" s="114"/>
      <c r="J165" s="128">
        <v>43951</v>
      </c>
      <c r="M165" s="16">
        <f t="shared" si="10"/>
        <v>318889</v>
      </c>
      <c r="N165" s="16" t="e">
        <f>+MATCH(M165,'Exh BGM-6'!$B$4:$B$41,0)</f>
        <v>#N/A</v>
      </c>
      <c r="O165" s="16">
        <f t="shared" si="11"/>
        <v>0</v>
      </c>
    </row>
    <row r="166" spans="1:15" x14ac:dyDescent="0.25">
      <c r="A166" s="77">
        <v>161</v>
      </c>
      <c r="B166" s="78" t="s">
        <v>219</v>
      </c>
      <c r="C166" s="78" t="s">
        <v>239</v>
      </c>
      <c r="D166" s="111">
        <v>394.1</v>
      </c>
      <c r="E166" s="112">
        <v>23450.799999999999</v>
      </c>
      <c r="F166" s="78"/>
      <c r="G166" s="79">
        <f t="shared" si="12"/>
        <v>23450.799999999999</v>
      </c>
      <c r="H166" s="79"/>
      <c r="I166" s="114"/>
      <c r="J166" s="128">
        <v>43951</v>
      </c>
      <c r="M166" s="16">
        <f t="shared" si="10"/>
        <v>318904</v>
      </c>
      <c r="N166" s="16" t="e">
        <f>+MATCH(M166,'Exh BGM-6'!$B$4:$B$41,0)</f>
        <v>#N/A</v>
      </c>
      <c r="O166" s="16">
        <f t="shared" si="11"/>
        <v>0</v>
      </c>
    </row>
    <row r="167" spans="1:15" x14ac:dyDescent="0.25">
      <c r="A167" s="77">
        <v>162</v>
      </c>
      <c r="B167" s="78" t="s">
        <v>219</v>
      </c>
      <c r="C167" s="78" t="s">
        <v>240</v>
      </c>
      <c r="D167" s="111">
        <v>394.1</v>
      </c>
      <c r="E167" s="112">
        <v>23450.799999999999</v>
      </c>
      <c r="F167" s="78"/>
      <c r="G167" s="79">
        <f t="shared" si="12"/>
        <v>23450.799999999999</v>
      </c>
      <c r="H167" s="79"/>
      <c r="I167" s="114"/>
      <c r="J167" s="128">
        <v>43988</v>
      </c>
      <c r="M167" s="16">
        <f t="shared" si="10"/>
        <v>318914</v>
      </c>
      <c r="N167" s="16" t="e">
        <f>+MATCH(M167,'Exh BGM-6'!$B$4:$B$41,0)</f>
        <v>#N/A</v>
      </c>
      <c r="O167" s="16">
        <f t="shared" si="11"/>
        <v>0</v>
      </c>
    </row>
    <row r="168" spans="1:15" x14ac:dyDescent="0.25">
      <c r="A168" s="77">
        <v>163</v>
      </c>
      <c r="B168" s="78" t="s">
        <v>219</v>
      </c>
      <c r="C168" s="78" t="s">
        <v>241</v>
      </c>
      <c r="D168" s="111">
        <v>394.1</v>
      </c>
      <c r="E168" s="112">
        <v>23450.799999999999</v>
      </c>
      <c r="F168" s="78"/>
      <c r="G168" s="79">
        <f t="shared" si="12"/>
        <v>23450.799999999999</v>
      </c>
      <c r="H168" s="79"/>
      <c r="I168" s="114"/>
      <c r="J168" s="128">
        <v>44135</v>
      </c>
      <c r="M168" s="16">
        <f t="shared" si="10"/>
        <v>318918</v>
      </c>
      <c r="N168" s="16" t="e">
        <f>+MATCH(M168,'Exh BGM-6'!$B$4:$B$41,0)</f>
        <v>#N/A</v>
      </c>
      <c r="O168" s="16">
        <f t="shared" si="11"/>
        <v>0</v>
      </c>
    </row>
    <row r="169" spans="1:15" x14ac:dyDescent="0.25">
      <c r="A169" s="77">
        <v>164</v>
      </c>
      <c r="B169" s="78" t="s">
        <v>219</v>
      </c>
      <c r="C169" s="78" t="s">
        <v>242</v>
      </c>
      <c r="D169" s="111">
        <v>394.1</v>
      </c>
      <c r="E169" s="112">
        <v>8156.8</v>
      </c>
      <c r="F169" s="78"/>
      <c r="G169" s="79">
        <f t="shared" si="12"/>
        <v>8156.8</v>
      </c>
      <c r="H169" s="79"/>
      <c r="I169" s="114"/>
      <c r="J169" s="128">
        <v>43982</v>
      </c>
      <c r="M169" s="16">
        <f t="shared" si="10"/>
        <v>318957</v>
      </c>
      <c r="N169" s="16" t="e">
        <f>+MATCH(M169,'Exh BGM-6'!$B$4:$B$41,0)</f>
        <v>#N/A</v>
      </c>
      <c r="O169" s="16">
        <f t="shared" si="11"/>
        <v>0</v>
      </c>
    </row>
    <row r="170" spans="1:15" x14ac:dyDescent="0.25">
      <c r="A170" s="77">
        <v>165</v>
      </c>
      <c r="B170" s="78" t="s">
        <v>219</v>
      </c>
      <c r="C170" s="78" t="s">
        <v>243</v>
      </c>
      <c r="D170" s="111">
        <v>394.1</v>
      </c>
      <c r="E170" s="112">
        <v>25490</v>
      </c>
      <c r="F170" s="78"/>
      <c r="G170" s="79">
        <f t="shared" si="12"/>
        <v>25490</v>
      </c>
      <c r="H170" s="79"/>
      <c r="I170" s="114"/>
      <c r="J170" s="128">
        <v>43951</v>
      </c>
      <c r="M170" s="16">
        <f t="shared" si="10"/>
        <v>318958</v>
      </c>
      <c r="N170" s="16" t="e">
        <f>+MATCH(M170,'Exh BGM-6'!$B$4:$B$41,0)</f>
        <v>#N/A</v>
      </c>
      <c r="O170" s="16">
        <f t="shared" si="11"/>
        <v>0</v>
      </c>
    </row>
    <row r="171" spans="1:15" x14ac:dyDescent="0.25">
      <c r="A171" s="77">
        <v>166</v>
      </c>
      <c r="B171" s="78" t="s">
        <v>219</v>
      </c>
      <c r="C171" s="78" t="s">
        <v>244</v>
      </c>
      <c r="D171" s="111">
        <v>394.1</v>
      </c>
      <c r="E171" s="112">
        <v>20392</v>
      </c>
      <c r="F171" s="78"/>
      <c r="G171" s="79">
        <f t="shared" si="12"/>
        <v>20392</v>
      </c>
      <c r="H171" s="79"/>
      <c r="I171" s="114"/>
      <c r="J171" s="128">
        <v>44135</v>
      </c>
      <c r="M171" s="16">
        <f t="shared" si="10"/>
        <v>318959</v>
      </c>
      <c r="N171" s="16" t="e">
        <f>+MATCH(M171,'Exh BGM-6'!$B$4:$B$41,0)</f>
        <v>#N/A</v>
      </c>
      <c r="O171" s="16">
        <f t="shared" si="11"/>
        <v>0</v>
      </c>
    </row>
    <row r="172" spans="1:15" x14ac:dyDescent="0.25">
      <c r="A172" s="77">
        <v>167</v>
      </c>
      <c r="B172" s="78" t="s">
        <v>219</v>
      </c>
      <c r="C172" s="78" t="s">
        <v>245</v>
      </c>
      <c r="D172" s="111">
        <v>394.1</v>
      </c>
      <c r="E172" s="112">
        <v>7137.2</v>
      </c>
      <c r="F172" s="78"/>
      <c r="G172" s="79">
        <f t="shared" si="12"/>
        <v>7137.2</v>
      </c>
      <c r="H172" s="79"/>
      <c r="I172" s="114"/>
      <c r="J172" s="128">
        <v>43925</v>
      </c>
      <c r="M172" s="16">
        <f t="shared" si="10"/>
        <v>319025</v>
      </c>
      <c r="N172" s="16" t="e">
        <f>+MATCH(M172,'Exh BGM-6'!$B$4:$B$41,0)</f>
        <v>#N/A</v>
      </c>
      <c r="O172" s="16">
        <f t="shared" si="11"/>
        <v>0</v>
      </c>
    </row>
    <row r="173" spans="1:15" x14ac:dyDescent="0.25">
      <c r="A173" s="77">
        <v>168</v>
      </c>
      <c r="B173" s="78" t="s">
        <v>219</v>
      </c>
      <c r="C173" s="78" t="s">
        <v>246</v>
      </c>
      <c r="D173" s="111">
        <v>394</v>
      </c>
      <c r="E173" s="112">
        <v>76238.350000000006</v>
      </c>
      <c r="F173" s="113">
        <f>+'[6]State Allocation Formulas'!C21</f>
        <v>0.75170000000000003</v>
      </c>
      <c r="G173" s="79">
        <f t="shared" si="12"/>
        <v>76238.350000000006</v>
      </c>
      <c r="H173" s="79"/>
      <c r="I173" s="114"/>
      <c r="J173" s="128">
        <v>44012</v>
      </c>
      <c r="M173" s="16">
        <f t="shared" si="10"/>
        <v>319043</v>
      </c>
      <c r="N173" s="16" t="e">
        <f>+MATCH(M173,'Exh BGM-6'!$B$4:$B$41,0)</f>
        <v>#N/A</v>
      </c>
      <c r="O173" s="16">
        <f t="shared" si="11"/>
        <v>0</v>
      </c>
    </row>
    <row r="174" spans="1:15" x14ac:dyDescent="0.25">
      <c r="A174" s="77">
        <v>169</v>
      </c>
      <c r="B174" s="78" t="s">
        <v>219</v>
      </c>
      <c r="C174" s="78" t="s">
        <v>247</v>
      </c>
      <c r="D174" s="111">
        <v>390.1</v>
      </c>
      <c r="E174" s="112">
        <v>195305.21</v>
      </c>
      <c r="F174" s="78"/>
      <c r="G174" s="79">
        <f t="shared" si="12"/>
        <v>195305.21</v>
      </c>
      <c r="H174" s="79"/>
      <c r="I174" s="114"/>
      <c r="J174" s="128">
        <v>44104</v>
      </c>
      <c r="M174" s="16">
        <f t="shared" si="10"/>
        <v>319044</v>
      </c>
      <c r="N174" s="16" t="e">
        <f>+MATCH(M174,'Exh BGM-6'!$B$4:$B$41,0)</f>
        <v>#N/A</v>
      </c>
      <c r="O174" s="16">
        <f t="shared" si="11"/>
        <v>0</v>
      </c>
    </row>
    <row r="175" spans="1:15" x14ac:dyDescent="0.25">
      <c r="A175" s="77">
        <v>170</v>
      </c>
      <c r="B175" s="78" t="s">
        <v>219</v>
      </c>
      <c r="C175" s="78" t="s">
        <v>248</v>
      </c>
      <c r="D175" s="111">
        <v>394</v>
      </c>
      <c r="E175" s="112">
        <v>11422.98</v>
      </c>
      <c r="F175" s="113">
        <f>+'[6]State Allocation Formulas'!C21</f>
        <v>0.75170000000000003</v>
      </c>
      <c r="G175" s="79">
        <f t="shared" si="12"/>
        <v>11422.98</v>
      </c>
      <c r="H175" s="79"/>
      <c r="I175" s="114"/>
      <c r="J175" s="128">
        <v>43920</v>
      </c>
      <c r="M175" s="16">
        <f t="shared" si="10"/>
        <v>319045</v>
      </c>
      <c r="N175" s="16" t="e">
        <f>+MATCH(M175,'Exh BGM-6'!$B$4:$B$41,0)</f>
        <v>#N/A</v>
      </c>
      <c r="O175" s="16">
        <f t="shared" si="11"/>
        <v>0</v>
      </c>
    </row>
    <row r="176" spans="1:15" x14ac:dyDescent="0.25">
      <c r="A176" s="77">
        <v>171</v>
      </c>
      <c r="B176" s="78" t="s">
        <v>219</v>
      </c>
      <c r="C176" s="78" t="s">
        <v>249</v>
      </c>
      <c r="D176" s="111">
        <v>394</v>
      </c>
      <c r="E176" s="112">
        <v>13240.14</v>
      </c>
      <c r="F176" s="113">
        <f>+'[6]State Allocation Formulas'!C21</f>
        <v>0.75170000000000003</v>
      </c>
      <c r="G176" s="79">
        <f t="shared" si="12"/>
        <v>13240.14</v>
      </c>
      <c r="H176" s="79"/>
      <c r="I176" s="114"/>
      <c r="J176" s="128">
        <v>44012</v>
      </c>
      <c r="M176" s="16">
        <f t="shared" si="10"/>
        <v>319048</v>
      </c>
      <c r="N176" s="16" t="e">
        <f>+MATCH(M176,'Exh BGM-6'!$B$4:$B$41,0)</f>
        <v>#N/A</v>
      </c>
      <c r="O176" s="16">
        <f t="shared" si="11"/>
        <v>0</v>
      </c>
    </row>
    <row r="177" spans="1:15" x14ac:dyDescent="0.25">
      <c r="A177" s="77">
        <v>172</v>
      </c>
      <c r="B177" s="78" t="s">
        <v>219</v>
      </c>
      <c r="C177" s="78" t="s">
        <v>250</v>
      </c>
      <c r="D177" s="111">
        <v>390</v>
      </c>
      <c r="E177" s="112">
        <v>67673.91</v>
      </c>
      <c r="F177" s="113">
        <f>+'[6]State Allocation Formulas'!C21</f>
        <v>0.75170000000000003</v>
      </c>
      <c r="G177" s="79">
        <f t="shared" si="12"/>
        <v>67673.91</v>
      </c>
      <c r="H177" s="79"/>
      <c r="I177" s="114"/>
      <c r="J177" s="128">
        <v>43900</v>
      </c>
      <c r="M177" s="16">
        <f t="shared" si="10"/>
        <v>319052</v>
      </c>
      <c r="N177" s="16" t="e">
        <f>+MATCH(M177,'Exh BGM-6'!$B$4:$B$41,0)</f>
        <v>#N/A</v>
      </c>
      <c r="O177" s="16">
        <f t="shared" si="11"/>
        <v>0</v>
      </c>
    </row>
    <row r="178" spans="1:15" x14ac:dyDescent="0.25">
      <c r="A178" s="77">
        <v>173</v>
      </c>
      <c r="B178" s="78" t="s">
        <v>219</v>
      </c>
      <c r="C178" s="78" t="s">
        <v>251</v>
      </c>
      <c r="D178" s="111">
        <v>394</v>
      </c>
      <c r="E178" s="112">
        <v>5955.01</v>
      </c>
      <c r="F178" s="113">
        <f>+'[6]State Allocation Formulas'!C21</f>
        <v>0.75170000000000003</v>
      </c>
      <c r="G178" s="79">
        <f t="shared" si="12"/>
        <v>5955.01</v>
      </c>
      <c r="H178" s="79"/>
      <c r="I178" s="114"/>
      <c r="J178" s="128">
        <v>43891</v>
      </c>
      <c r="M178" s="16">
        <f t="shared" si="10"/>
        <v>319053</v>
      </c>
      <c r="N178" s="16" t="e">
        <f>+MATCH(M178,'Exh BGM-6'!$B$4:$B$41,0)</f>
        <v>#N/A</v>
      </c>
      <c r="O178" s="16">
        <f t="shared" si="11"/>
        <v>0</v>
      </c>
    </row>
    <row r="179" spans="1:15" x14ac:dyDescent="0.25">
      <c r="A179" s="77">
        <v>174</v>
      </c>
      <c r="B179" s="78" t="s">
        <v>219</v>
      </c>
      <c r="C179" s="78" t="s">
        <v>252</v>
      </c>
      <c r="D179" s="111">
        <v>390.1</v>
      </c>
      <c r="E179" s="112">
        <v>23392</v>
      </c>
      <c r="F179" s="78"/>
      <c r="G179" s="79">
        <f t="shared" si="12"/>
        <v>23392</v>
      </c>
      <c r="H179" s="79"/>
      <c r="I179" s="114"/>
      <c r="J179" s="128">
        <v>43920</v>
      </c>
      <c r="M179" s="16">
        <f t="shared" si="10"/>
        <v>319090</v>
      </c>
      <c r="N179" s="16" t="e">
        <f>+MATCH(M179,'Exh BGM-6'!$B$4:$B$41,0)</f>
        <v>#N/A</v>
      </c>
      <c r="O179" s="16">
        <f t="shared" si="11"/>
        <v>0</v>
      </c>
    </row>
    <row r="180" spans="1:15" x14ac:dyDescent="0.25">
      <c r="A180" s="77">
        <v>175</v>
      </c>
      <c r="B180" s="78" t="s">
        <v>219</v>
      </c>
      <c r="C180" s="78" t="s">
        <v>253</v>
      </c>
      <c r="D180" s="111">
        <v>390.1</v>
      </c>
      <c r="E180" s="112">
        <v>46705.599999999999</v>
      </c>
      <c r="F180" s="78"/>
      <c r="G180" s="79">
        <f t="shared" si="12"/>
        <v>46705.599999999999</v>
      </c>
      <c r="H180" s="79"/>
      <c r="I180" s="114"/>
      <c r="J180" s="128">
        <v>44094</v>
      </c>
      <c r="M180" s="16">
        <f t="shared" si="10"/>
        <v>319091</v>
      </c>
      <c r="N180" s="16" t="e">
        <f>+MATCH(M180,'Exh BGM-6'!$B$4:$B$41,0)</f>
        <v>#N/A</v>
      </c>
      <c r="O180" s="16">
        <f t="shared" si="11"/>
        <v>0</v>
      </c>
    </row>
    <row r="181" spans="1:15" x14ac:dyDescent="0.25">
      <c r="A181" s="77">
        <v>176</v>
      </c>
      <c r="B181" s="78" t="s">
        <v>219</v>
      </c>
      <c r="C181" s="78" t="s">
        <v>254</v>
      </c>
      <c r="D181" s="111">
        <v>390.1</v>
      </c>
      <c r="E181" s="112">
        <v>18294</v>
      </c>
      <c r="F181" s="78"/>
      <c r="G181" s="79">
        <f t="shared" si="12"/>
        <v>18294</v>
      </c>
      <c r="H181" s="79"/>
      <c r="I181" s="114"/>
      <c r="J181" s="128">
        <v>44185</v>
      </c>
      <c r="M181" s="16">
        <f t="shared" si="10"/>
        <v>319092</v>
      </c>
      <c r="N181" s="16" t="e">
        <f>+MATCH(M181,'Exh BGM-6'!$B$4:$B$41,0)</f>
        <v>#N/A</v>
      </c>
      <c r="O181" s="16">
        <f t="shared" si="11"/>
        <v>0</v>
      </c>
    </row>
    <row r="182" spans="1:15" x14ac:dyDescent="0.25">
      <c r="A182" s="77">
        <v>177</v>
      </c>
      <c r="B182" s="78" t="s">
        <v>219</v>
      </c>
      <c r="C182" s="78" t="s">
        <v>255</v>
      </c>
      <c r="D182" s="111">
        <v>390.1</v>
      </c>
      <c r="E182" s="112">
        <v>13196</v>
      </c>
      <c r="F182" s="78"/>
      <c r="G182" s="79">
        <f t="shared" si="12"/>
        <v>13196</v>
      </c>
      <c r="H182" s="79"/>
      <c r="I182" s="114"/>
      <c r="J182" s="128">
        <v>44014</v>
      </c>
      <c r="M182" s="16">
        <f t="shared" si="10"/>
        <v>319093</v>
      </c>
      <c r="N182" s="16" t="e">
        <f>+MATCH(M182,'Exh BGM-6'!$B$4:$B$41,0)</f>
        <v>#N/A</v>
      </c>
      <c r="O182" s="16">
        <f t="shared" si="11"/>
        <v>0</v>
      </c>
    </row>
    <row r="183" spans="1:15" x14ac:dyDescent="0.25">
      <c r="A183" s="77">
        <v>178</v>
      </c>
      <c r="B183" s="78" t="s">
        <v>219</v>
      </c>
      <c r="C183" s="78" t="s">
        <v>256</v>
      </c>
      <c r="D183" s="111">
        <v>390.1</v>
      </c>
      <c r="E183" s="112">
        <v>5607.8</v>
      </c>
      <c r="F183" s="78"/>
      <c r="G183" s="79">
        <f t="shared" si="12"/>
        <v>5607.8</v>
      </c>
      <c r="H183" s="79"/>
      <c r="I183" s="114"/>
      <c r="J183" s="128">
        <v>44124</v>
      </c>
      <c r="M183" s="16">
        <f t="shared" si="10"/>
        <v>319094</v>
      </c>
      <c r="N183" s="16" t="e">
        <f>+MATCH(M183,'Exh BGM-6'!$B$4:$B$41,0)</f>
        <v>#N/A</v>
      </c>
      <c r="O183" s="16">
        <f t="shared" si="11"/>
        <v>0</v>
      </c>
    </row>
    <row r="184" spans="1:15" x14ac:dyDescent="0.25">
      <c r="A184" s="77">
        <v>179</v>
      </c>
      <c r="B184" s="78" t="s">
        <v>219</v>
      </c>
      <c r="C184" s="78" t="s">
        <v>257</v>
      </c>
      <c r="D184" s="111">
        <v>390.1</v>
      </c>
      <c r="E184" s="112">
        <v>3958.8</v>
      </c>
      <c r="F184" s="78"/>
      <c r="G184" s="79">
        <f t="shared" si="12"/>
        <v>3958.8</v>
      </c>
      <c r="H184" s="79"/>
      <c r="I184" s="114"/>
      <c r="J184" s="128">
        <v>44141</v>
      </c>
      <c r="M184" s="16">
        <f t="shared" si="10"/>
        <v>319098</v>
      </c>
      <c r="N184" s="16" t="e">
        <f>+MATCH(M184,'Exh BGM-6'!$B$4:$B$41,0)</f>
        <v>#N/A</v>
      </c>
      <c r="O184" s="16">
        <f t="shared" si="11"/>
        <v>0</v>
      </c>
    </row>
    <row r="185" spans="1:15" x14ac:dyDescent="0.25">
      <c r="A185" s="77">
        <v>180</v>
      </c>
      <c r="B185" s="78" t="s">
        <v>219</v>
      </c>
      <c r="C185" s="78" t="s">
        <v>258</v>
      </c>
      <c r="D185" s="111">
        <v>394.1</v>
      </c>
      <c r="E185" s="112">
        <v>4282.32</v>
      </c>
      <c r="F185" s="113"/>
      <c r="G185" s="79">
        <f t="shared" si="12"/>
        <v>4282.32</v>
      </c>
      <c r="H185" s="79"/>
      <c r="I185" s="114"/>
      <c r="J185" s="128">
        <v>43956</v>
      </c>
      <c r="M185" s="16">
        <f t="shared" si="10"/>
        <v>319100</v>
      </c>
      <c r="N185" s="16" t="e">
        <f>+MATCH(M185,'Exh BGM-6'!$B$4:$B$41,0)</f>
        <v>#N/A</v>
      </c>
      <c r="O185" s="16">
        <f t="shared" si="11"/>
        <v>0</v>
      </c>
    </row>
    <row r="186" spans="1:15" x14ac:dyDescent="0.25">
      <c r="A186" s="77">
        <v>181</v>
      </c>
      <c r="B186" s="78" t="s">
        <v>219</v>
      </c>
      <c r="C186" s="78" t="s">
        <v>259</v>
      </c>
      <c r="D186" s="111">
        <v>394.1</v>
      </c>
      <c r="E186" s="112">
        <v>3059.82</v>
      </c>
      <c r="F186" s="78"/>
      <c r="G186" s="79">
        <f t="shared" si="12"/>
        <v>3059.82</v>
      </c>
      <c r="H186" s="79"/>
      <c r="I186" s="114"/>
      <c r="J186" s="128">
        <v>43956</v>
      </c>
      <c r="M186" s="16">
        <f t="shared" si="10"/>
        <v>319101</v>
      </c>
      <c r="N186" s="16" t="e">
        <f>+MATCH(M186,'Exh BGM-6'!$B$4:$B$41,0)</f>
        <v>#N/A</v>
      </c>
      <c r="O186" s="16">
        <f t="shared" si="11"/>
        <v>0</v>
      </c>
    </row>
    <row r="187" spans="1:15" x14ac:dyDescent="0.25">
      <c r="A187" s="77">
        <v>182</v>
      </c>
      <c r="B187" s="78" t="s">
        <v>219</v>
      </c>
      <c r="C187" s="78" t="s">
        <v>260</v>
      </c>
      <c r="D187" s="111">
        <v>391.5</v>
      </c>
      <c r="E187" s="112">
        <v>2447.04</v>
      </c>
      <c r="F187" s="78"/>
      <c r="G187" s="79">
        <f t="shared" si="12"/>
        <v>2447.04</v>
      </c>
      <c r="H187" s="79"/>
      <c r="I187" s="114"/>
      <c r="J187" s="128">
        <v>43931</v>
      </c>
      <c r="M187" s="16">
        <f t="shared" si="10"/>
        <v>319102</v>
      </c>
      <c r="N187" s="16" t="e">
        <f>+MATCH(M187,'Exh BGM-6'!$B$4:$B$41,0)</f>
        <v>#N/A</v>
      </c>
      <c r="O187" s="16">
        <f t="shared" si="11"/>
        <v>0</v>
      </c>
    </row>
    <row r="188" spans="1:15" x14ac:dyDescent="0.25">
      <c r="A188" s="77">
        <v>183</v>
      </c>
      <c r="B188" s="78" t="s">
        <v>219</v>
      </c>
      <c r="C188" s="78" t="s">
        <v>261</v>
      </c>
      <c r="D188" s="111">
        <v>390.1</v>
      </c>
      <c r="E188" s="112">
        <v>2039.2</v>
      </c>
      <c r="F188" s="78"/>
      <c r="G188" s="79">
        <f t="shared" si="12"/>
        <v>2039.2</v>
      </c>
      <c r="H188" s="79"/>
      <c r="I188" s="114"/>
      <c r="J188" s="128">
        <v>44155</v>
      </c>
      <c r="M188" s="16">
        <f t="shared" si="10"/>
        <v>319120</v>
      </c>
      <c r="N188" s="16" t="e">
        <f>+MATCH(M188,'Exh BGM-6'!$B$4:$B$41,0)</f>
        <v>#N/A</v>
      </c>
      <c r="O188" s="16">
        <f t="shared" si="11"/>
        <v>0</v>
      </c>
    </row>
    <row r="189" spans="1:15" x14ac:dyDescent="0.25">
      <c r="A189" s="77">
        <v>184</v>
      </c>
      <c r="B189" s="78" t="s">
        <v>219</v>
      </c>
      <c r="C189" s="78" t="s">
        <v>262</v>
      </c>
      <c r="D189" s="111">
        <v>398</v>
      </c>
      <c r="E189" s="112">
        <v>2039.2</v>
      </c>
      <c r="F189" s="78"/>
      <c r="G189" s="79">
        <f t="shared" si="12"/>
        <v>2039.2</v>
      </c>
      <c r="H189" s="79"/>
      <c r="I189" s="114"/>
      <c r="J189" s="128">
        <v>43997</v>
      </c>
      <c r="M189" s="16">
        <f t="shared" si="10"/>
        <v>319132</v>
      </c>
      <c r="N189" s="16" t="e">
        <f>+MATCH(M189,'Exh BGM-6'!$B$4:$B$41,0)</f>
        <v>#N/A</v>
      </c>
      <c r="O189" s="16">
        <f t="shared" si="11"/>
        <v>0</v>
      </c>
    </row>
    <row r="190" spans="1:15" x14ac:dyDescent="0.25">
      <c r="A190" s="77">
        <v>185</v>
      </c>
      <c r="B190" s="78" t="s">
        <v>219</v>
      </c>
      <c r="C190" s="78" t="s">
        <v>263</v>
      </c>
      <c r="D190" s="111">
        <v>394.1</v>
      </c>
      <c r="E190" s="112">
        <v>15905.76</v>
      </c>
      <c r="F190" s="78"/>
      <c r="G190" s="79">
        <f t="shared" si="12"/>
        <v>15905.76</v>
      </c>
      <c r="H190" s="79"/>
      <c r="I190" s="114"/>
      <c r="J190" s="128">
        <v>44140</v>
      </c>
      <c r="M190" s="16">
        <f t="shared" si="10"/>
        <v>319143</v>
      </c>
      <c r="N190" s="16" t="e">
        <f>+MATCH(M190,'Exh BGM-6'!$B$4:$B$41,0)</f>
        <v>#N/A</v>
      </c>
      <c r="O190" s="16">
        <f t="shared" si="11"/>
        <v>0</v>
      </c>
    </row>
    <row r="191" spans="1:15" x14ac:dyDescent="0.25">
      <c r="A191" s="77">
        <v>186</v>
      </c>
      <c r="B191" s="78" t="s">
        <v>219</v>
      </c>
      <c r="C191" s="78" t="s">
        <v>264</v>
      </c>
      <c r="D191" s="111">
        <v>390.1</v>
      </c>
      <c r="E191" s="112">
        <f>62904.33+37467.85</f>
        <v>100372.18</v>
      </c>
      <c r="F191" s="113"/>
      <c r="G191" s="79">
        <f t="shared" si="12"/>
        <v>100372.18</v>
      </c>
      <c r="H191" s="79"/>
      <c r="I191" s="114"/>
      <c r="J191" s="128">
        <v>43879</v>
      </c>
      <c r="M191" s="16">
        <f t="shared" si="10"/>
        <v>319146</v>
      </c>
      <c r="N191" s="16" t="e">
        <f>+MATCH(M191,'Exh BGM-6'!$B$4:$B$41,0)</f>
        <v>#N/A</v>
      </c>
      <c r="O191" s="16">
        <f t="shared" si="11"/>
        <v>0</v>
      </c>
    </row>
    <row r="192" spans="1:15" x14ac:dyDescent="0.25">
      <c r="A192" s="77">
        <v>187</v>
      </c>
      <c r="B192" s="78" t="s">
        <v>219</v>
      </c>
      <c r="C192" s="78" t="s">
        <v>265</v>
      </c>
      <c r="D192" s="111">
        <v>394.1</v>
      </c>
      <c r="E192" s="112">
        <v>2039.2</v>
      </c>
      <c r="F192" s="113"/>
      <c r="G192" s="79">
        <f t="shared" si="12"/>
        <v>2039.2</v>
      </c>
      <c r="H192" s="79"/>
      <c r="I192" s="114"/>
      <c r="J192" s="128">
        <v>43966</v>
      </c>
      <c r="M192" s="16">
        <f t="shared" si="10"/>
        <v>319147</v>
      </c>
      <c r="N192" s="16" t="e">
        <f>+MATCH(M192,'Exh BGM-6'!$B$4:$B$41,0)</f>
        <v>#N/A</v>
      </c>
      <c r="O192" s="16">
        <f t="shared" si="11"/>
        <v>0</v>
      </c>
    </row>
    <row r="193" spans="1:15" x14ac:dyDescent="0.25">
      <c r="A193" s="77">
        <v>188</v>
      </c>
      <c r="B193" s="78" t="s">
        <v>219</v>
      </c>
      <c r="C193" s="78" t="s">
        <v>266</v>
      </c>
      <c r="D193" s="111">
        <v>394.1</v>
      </c>
      <c r="E193" s="112">
        <v>5534.02</v>
      </c>
      <c r="F193" s="113">
        <f>+'[6]State Allocation Formulas'!C21</f>
        <v>0.75170000000000003</v>
      </c>
      <c r="G193" s="79">
        <f t="shared" si="12"/>
        <v>5534.02</v>
      </c>
      <c r="H193" s="79"/>
      <c r="I193" s="114"/>
      <c r="J193" s="128">
        <v>43845</v>
      </c>
      <c r="M193" s="16">
        <f t="shared" si="10"/>
        <v>319284</v>
      </c>
      <c r="N193" s="16" t="e">
        <f>+MATCH(M193,'Exh BGM-6'!$B$4:$B$41,0)</f>
        <v>#N/A</v>
      </c>
      <c r="O193" s="16">
        <f t="shared" si="11"/>
        <v>0</v>
      </c>
    </row>
    <row r="194" spans="1:15" x14ac:dyDescent="0.25">
      <c r="A194" s="77">
        <v>189</v>
      </c>
      <c r="B194" s="78" t="s">
        <v>219</v>
      </c>
      <c r="C194" s="78" t="s">
        <v>267</v>
      </c>
      <c r="D194" s="111">
        <v>394.1</v>
      </c>
      <c r="E194" s="112">
        <v>6159.1</v>
      </c>
      <c r="F194" s="78"/>
      <c r="G194" s="79">
        <f t="shared" si="12"/>
        <v>6159.1</v>
      </c>
      <c r="H194" s="79"/>
      <c r="I194" s="114"/>
      <c r="J194" s="128">
        <v>43890</v>
      </c>
      <c r="M194" s="16">
        <f t="shared" si="10"/>
        <v>319289</v>
      </c>
      <c r="N194" s="16" t="e">
        <f>+MATCH(M194,'Exh BGM-6'!$B$4:$B$41,0)</f>
        <v>#N/A</v>
      </c>
      <c r="O194" s="16">
        <f t="shared" si="11"/>
        <v>0</v>
      </c>
    </row>
    <row r="195" spans="1:15" x14ac:dyDescent="0.25">
      <c r="A195" s="77">
        <v>190</v>
      </c>
      <c r="B195" s="117"/>
      <c r="C195" s="118" t="s">
        <v>268</v>
      </c>
      <c r="D195" s="119"/>
      <c r="E195" s="120">
        <f>SUM(E147:E194)</f>
        <v>4122994.1699999995</v>
      </c>
      <c r="F195" s="117"/>
      <c r="G195" s="121">
        <f>SUM(G147:G194)</f>
        <v>4122994.1699999995</v>
      </c>
      <c r="H195" s="121">
        <f>SUM(H147:H194)</f>
        <v>1064539.08</v>
      </c>
      <c r="I195" s="122"/>
      <c r="J195" s="123"/>
    </row>
    <row r="196" spans="1:15" x14ac:dyDescent="0.25">
      <c r="B196" s="117"/>
      <c r="C196" s="117"/>
      <c r="D196" s="124"/>
      <c r="E196" s="112"/>
      <c r="F196" s="117"/>
      <c r="G196" s="133"/>
      <c r="H196" s="133"/>
      <c r="I196" s="122"/>
      <c r="J196" s="123"/>
    </row>
    <row r="197" spans="1:15" x14ac:dyDescent="0.25">
      <c r="B197" s="117"/>
      <c r="C197" s="118"/>
      <c r="D197" s="124"/>
      <c r="E197" s="112"/>
      <c r="F197" s="117"/>
      <c r="G197" s="133"/>
      <c r="H197" s="133"/>
      <c r="I197" s="122"/>
      <c r="J197" s="123"/>
    </row>
    <row r="198" spans="1:15" x14ac:dyDescent="0.25">
      <c r="B198" s="117"/>
      <c r="C198" s="117"/>
      <c r="D198" s="124"/>
      <c r="E198" s="112"/>
      <c r="F198" s="117"/>
      <c r="G198" s="133"/>
      <c r="H198" s="133"/>
      <c r="I198" s="117"/>
      <c r="J198" s="123"/>
    </row>
    <row r="199" spans="1:15" ht="16.5" thickBot="1" x14ac:dyDescent="0.3">
      <c r="A199" s="77">
        <v>191</v>
      </c>
      <c r="B199" s="117"/>
      <c r="C199" s="118" t="s">
        <v>269</v>
      </c>
      <c r="D199" s="119"/>
      <c r="E199" s="120">
        <f>E30+E146+E195</f>
        <v>107587702.26999998</v>
      </c>
      <c r="F199" s="117"/>
      <c r="G199" s="134">
        <f>G30+G146+G195</f>
        <v>107165228.90033099</v>
      </c>
      <c r="H199" s="135">
        <f>H30+H146+H195</f>
        <v>66105637.284975991</v>
      </c>
      <c r="I199" s="117"/>
      <c r="J199" s="136"/>
    </row>
    <row r="200" spans="1:15" ht="16.5" thickTop="1" x14ac:dyDescent="0.25">
      <c r="B200" s="117"/>
      <c r="C200" s="117"/>
      <c r="D200" s="124"/>
      <c r="E200" s="112"/>
      <c r="F200" s="117"/>
      <c r="G200" s="133"/>
      <c r="H200" s="117"/>
      <c r="I200" s="117"/>
      <c r="J200" s="126"/>
    </row>
    <row r="201" spans="1:15" x14ac:dyDescent="0.25">
      <c r="B201" s="117"/>
      <c r="C201" s="118"/>
      <c r="D201" s="124"/>
      <c r="E201" s="112"/>
      <c r="F201" s="117"/>
      <c r="G201" s="133"/>
      <c r="H201" s="117"/>
      <c r="I201" s="117"/>
      <c r="J201" s="126"/>
    </row>
    <row r="202" spans="1:15" x14ac:dyDescent="0.25">
      <c r="B202" s="78"/>
      <c r="C202" s="78"/>
      <c r="D202" s="111"/>
      <c r="E202" s="111"/>
      <c r="F202" s="78"/>
      <c r="G202" s="78"/>
      <c r="H202" s="79"/>
      <c r="I202" s="78"/>
      <c r="J202" s="128"/>
    </row>
    <row r="203" spans="1:15" x14ac:dyDescent="0.25">
      <c r="A203" s="77">
        <v>192</v>
      </c>
      <c r="B203" s="78" t="s">
        <v>270</v>
      </c>
      <c r="C203" s="78"/>
      <c r="D203" s="111"/>
      <c r="E203" s="111"/>
      <c r="F203" s="78"/>
      <c r="G203" s="137"/>
      <c r="H203" s="78"/>
      <c r="I203" s="78"/>
      <c r="J203" s="128"/>
    </row>
    <row r="204" spans="1:15" x14ac:dyDescent="0.25">
      <c r="A204" s="77">
        <v>193</v>
      </c>
      <c r="B204" s="138"/>
      <c r="C204" s="78"/>
      <c r="D204" s="111"/>
      <c r="E204" s="111"/>
      <c r="F204" s="78"/>
      <c r="G204" s="114" t="s">
        <v>271</v>
      </c>
      <c r="H204" s="114" t="s">
        <v>272</v>
      </c>
      <c r="I204" s="114" t="s">
        <v>273</v>
      </c>
      <c r="J204" s="139" t="s">
        <v>274</v>
      </c>
    </row>
    <row r="205" spans="1:15" x14ac:dyDescent="0.25">
      <c r="A205" s="77">
        <v>194</v>
      </c>
      <c r="B205" s="114" t="s">
        <v>147</v>
      </c>
      <c r="C205" s="78" t="s">
        <v>275</v>
      </c>
      <c r="D205" s="111">
        <f>SUMIF(I8:I194,B205,G8:G194)</f>
        <v>12762873.219999999</v>
      </c>
      <c r="F205" s="78"/>
      <c r="G205" s="114" t="s">
        <v>276</v>
      </c>
      <c r="H205" s="114" t="s">
        <v>277</v>
      </c>
      <c r="I205" s="77" t="s">
        <v>278</v>
      </c>
      <c r="J205" s="139" t="s">
        <v>279</v>
      </c>
    </row>
    <row r="206" spans="1:15" x14ac:dyDescent="0.25">
      <c r="A206" s="77">
        <v>195</v>
      </c>
      <c r="B206" s="114"/>
      <c r="C206" s="138"/>
      <c r="D206" s="111"/>
      <c r="E206" s="111"/>
      <c r="F206" s="78"/>
      <c r="G206" s="78">
        <v>303</v>
      </c>
      <c r="H206" s="79">
        <f>+H30</f>
        <v>12866642.449999999</v>
      </c>
      <c r="I206" s="78">
        <v>12.81</v>
      </c>
      <c r="J206" s="140">
        <f>+H206*I206/100</f>
        <v>1648216.897845</v>
      </c>
    </row>
    <row r="207" spans="1:15" x14ac:dyDescent="0.25">
      <c r="A207" s="77">
        <v>196</v>
      </c>
      <c r="B207" s="138"/>
      <c r="F207" s="78"/>
      <c r="G207" s="78">
        <v>367</v>
      </c>
      <c r="H207" s="79">
        <f t="shared" ref="H207:H221" si="13">+SUMIF($D$34:$D$194,G207,$H$34:$H$194)</f>
        <v>0</v>
      </c>
      <c r="I207" s="78">
        <v>1.82</v>
      </c>
      <c r="J207" s="140">
        <f t="shared" ref="J207:J221" si="14">+H207*I207/100</f>
        <v>0</v>
      </c>
    </row>
    <row r="208" spans="1:15" x14ac:dyDescent="0.25">
      <c r="A208" s="77">
        <v>197</v>
      </c>
      <c r="B208" s="138"/>
      <c r="C208" s="138"/>
      <c r="D208" s="111"/>
      <c r="E208" s="111"/>
      <c r="F208" s="78"/>
      <c r="G208" s="78">
        <v>374</v>
      </c>
      <c r="H208" s="79">
        <f t="shared" si="13"/>
        <v>0</v>
      </c>
      <c r="I208" s="78">
        <v>1.88</v>
      </c>
      <c r="J208" s="140">
        <f t="shared" si="14"/>
        <v>0</v>
      </c>
    </row>
    <row r="209" spans="1:11" x14ac:dyDescent="0.25">
      <c r="A209" s="77">
        <v>198</v>
      </c>
      <c r="B209" s="138"/>
      <c r="C209" s="78"/>
      <c r="D209" s="111"/>
      <c r="E209" s="111"/>
      <c r="F209" s="78"/>
      <c r="G209" s="78">
        <v>376</v>
      </c>
      <c r="H209" s="79">
        <f t="shared" si="13"/>
        <v>0</v>
      </c>
      <c r="I209" s="78">
        <v>1.25</v>
      </c>
      <c r="J209" s="140">
        <f t="shared" si="14"/>
        <v>0</v>
      </c>
    </row>
    <row r="210" spans="1:11" x14ac:dyDescent="0.25">
      <c r="A210" s="77">
        <v>199</v>
      </c>
      <c r="B210" s="138"/>
      <c r="C210" s="78"/>
      <c r="D210" s="111"/>
      <c r="E210" s="111"/>
      <c r="F210" s="78"/>
      <c r="G210" s="78">
        <v>378</v>
      </c>
      <c r="H210" s="79">
        <f t="shared" si="13"/>
        <v>5763870.4899999993</v>
      </c>
      <c r="I210" s="78">
        <v>1.92</v>
      </c>
      <c r="J210" s="140">
        <f t="shared" si="14"/>
        <v>110666.31340799999</v>
      </c>
    </row>
    <row r="211" spans="1:11" x14ac:dyDescent="0.25">
      <c r="A211" s="77">
        <v>200</v>
      </c>
      <c r="B211" s="138"/>
      <c r="C211" s="78"/>
      <c r="D211" s="111"/>
      <c r="E211" s="111"/>
      <c r="F211" s="78"/>
      <c r="G211" s="78">
        <v>380</v>
      </c>
      <c r="H211" s="79">
        <f t="shared" si="13"/>
        <v>0</v>
      </c>
      <c r="I211" s="78">
        <v>3.88</v>
      </c>
      <c r="J211" s="140">
        <f t="shared" si="14"/>
        <v>0</v>
      </c>
    </row>
    <row r="212" spans="1:11" x14ac:dyDescent="0.25">
      <c r="A212" s="77">
        <v>201</v>
      </c>
      <c r="B212" s="138"/>
      <c r="C212" s="78"/>
      <c r="D212" s="111"/>
      <c r="E212" s="111"/>
      <c r="F212" s="78"/>
      <c r="G212" s="78">
        <v>381</v>
      </c>
      <c r="H212" s="79">
        <f t="shared" si="13"/>
        <v>2946051.574976</v>
      </c>
      <c r="I212" s="78">
        <v>2.27</v>
      </c>
      <c r="J212" s="140">
        <f t="shared" si="14"/>
        <v>66875.370751955197</v>
      </c>
    </row>
    <row r="213" spans="1:11" x14ac:dyDescent="0.25">
      <c r="A213" s="77">
        <v>202</v>
      </c>
      <c r="B213" s="138"/>
      <c r="C213" s="78"/>
      <c r="D213" s="111"/>
      <c r="E213" s="111"/>
      <c r="F213" s="78"/>
      <c r="G213" s="78">
        <v>382</v>
      </c>
      <c r="H213" s="79">
        <f t="shared" si="13"/>
        <v>0</v>
      </c>
      <c r="I213" s="78">
        <v>1.86</v>
      </c>
      <c r="J213" s="140">
        <f t="shared" si="14"/>
        <v>0</v>
      </c>
    </row>
    <row r="214" spans="1:11" x14ac:dyDescent="0.25">
      <c r="A214" s="77">
        <v>203</v>
      </c>
      <c r="B214" s="78"/>
      <c r="C214" s="78"/>
      <c r="D214" s="111"/>
      <c r="E214" s="111"/>
      <c r="F214" s="78"/>
      <c r="G214" s="16">
        <v>383</v>
      </c>
      <c r="H214" s="79">
        <f t="shared" si="13"/>
        <v>0</v>
      </c>
      <c r="I214" s="16">
        <v>2.3199999999999998</v>
      </c>
      <c r="J214" s="140">
        <f t="shared" si="14"/>
        <v>0</v>
      </c>
    </row>
    <row r="215" spans="1:11" x14ac:dyDescent="0.25">
      <c r="A215" s="77">
        <v>204</v>
      </c>
      <c r="B215" s="78"/>
      <c r="C215" s="78"/>
      <c r="D215" s="111"/>
      <c r="E215" s="111"/>
      <c r="F215" s="78"/>
      <c r="G215" s="78">
        <v>385</v>
      </c>
      <c r="H215" s="79">
        <f t="shared" si="13"/>
        <v>0</v>
      </c>
      <c r="I215" s="78">
        <v>2.1800000000000002</v>
      </c>
      <c r="J215" s="140">
        <f t="shared" si="14"/>
        <v>0</v>
      </c>
    </row>
    <row r="216" spans="1:11" x14ac:dyDescent="0.25">
      <c r="A216" s="77">
        <v>205</v>
      </c>
      <c r="B216" s="78"/>
      <c r="C216" s="78"/>
      <c r="D216" s="111"/>
      <c r="E216" s="111"/>
      <c r="F216" s="78"/>
      <c r="G216" s="78">
        <v>390</v>
      </c>
      <c r="H216" s="79">
        <f t="shared" si="13"/>
        <v>0</v>
      </c>
      <c r="I216" s="78">
        <v>1.24</v>
      </c>
      <c r="J216" s="140">
        <f t="shared" si="14"/>
        <v>0</v>
      </c>
    </row>
    <row r="217" spans="1:11" x14ac:dyDescent="0.25">
      <c r="A217" s="77">
        <v>206</v>
      </c>
      <c r="B217" s="78"/>
      <c r="C217" s="78"/>
      <c r="D217" s="111"/>
      <c r="E217" s="111"/>
      <c r="F217" s="78"/>
      <c r="G217" s="78">
        <v>391</v>
      </c>
      <c r="H217" s="79">
        <f t="shared" si="13"/>
        <v>0</v>
      </c>
      <c r="I217" s="78">
        <v>0.05</v>
      </c>
      <c r="J217" s="140">
        <f t="shared" si="14"/>
        <v>0</v>
      </c>
    </row>
    <row r="218" spans="1:11" x14ac:dyDescent="0.25">
      <c r="A218" s="77">
        <v>207</v>
      </c>
      <c r="B218" s="78"/>
      <c r="C218" s="78"/>
      <c r="D218" s="111"/>
      <c r="E218" s="111"/>
      <c r="F218" s="78"/>
      <c r="G218" s="78">
        <v>392</v>
      </c>
      <c r="H218" s="79">
        <f t="shared" si="13"/>
        <v>0</v>
      </c>
      <c r="I218" s="78">
        <v>6.15</v>
      </c>
      <c r="J218" s="140">
        <f t="shared" si="14"/>
        <v>0</v>
      </c>
    </row>
    <row r="219" spans="1:11" x14ac:dyDescent="0.25">
      <c r="A219" s="77">
        <v>208</v>
      </c>
      <c r="B219" s="78"/>
      <c r="C219" s="78"/>
      <c r="D219" s="111"/>
      <c r="E219" s="111"/>
      <c r="F219" s="78"/>
      <c r="G219" s="78">
        <v>394</v>
      </c>
      <c r="H219" s="79">
        <f t="shared" si="13"/>
        <v>0</v>
      </c>
      <c r="I219" s="78">
        <v>3.56</v>
      </c>
      <c r="J219" s="140">
        <f t="shared" si="14"/>
        <v>0</v>
      </c>
    </row>
    <row r="220" spans="1:11" x14ac:dyDescent="0.25">
      <c r="A220" s="77">
        <v>209</v>
      </c>
      <c r="B220" s="78"/>
      <c r="C220" s="78"/>
      <c r="D220" s="111"/>
      <c r="E220" s="111"/>
      <c r="F220" s="78"/>
      <c r="G220" s="78">
        <v>396</v>
      </c>
      <c r="H220" s="79">
        <f t="shared" si="13"/>
        <v>0</v>
      </c>
      <c r="I220" s="78">
        <v>5.18</v>
      </c>
      <c r="J220" s="140">
        <f t="shared" si="14"/>
        <v>0</v>
      </c>
    </row>
    <row r="221" spans="1:11" x14ac:dyDescent="0.25">
      <c r="A221" s="77">
        <v>210</v>
      </c>
      <c r="B221" s="78"/>
      <c r="C221" s="78"/>
      <c r="D221" s="111"/>
      <c r="E221" s="111"/>
      <c r="F221" s="78"/>
      <c r="G221" s="78">
        <v>397</v>
      </c>
      <c r="H221" s="79">
        <f t="shared" si="13"/>
        <v>0</v>
      </c>
      <c r="I221" s="78">
        <v>0.13</v>
      </c>
      <c r="J221" s="140">
        <f t="shared" si="14"/>
        <v>0</v>
      </c>
    </row>
    <row r="222" spans="1:11" x14ac:dyDescent="0.25">
      <c r="A222" s="77">
        <v>211</v>
      </c>
      <c r="B222" s="78"/>
      <c r="C222" s="78"/>
      <c r="D222" s="111"/>
      <c r="E222" s="111"/>
      <c r="F222" s="78" t="s">
        <v>280</v>
      </c>
      <c r="G222" s="78"/>
      <c r="H222" s="79">
        <f>SUM(H206:H221)</f>
        <v>21576564.514975999</v>
      </c>
      <c r="I222" s="78"/>
      <c r="J222" s="140">
        <f>SUM(J206:J221)</f>
        <v>1825758.582004955</v>
      </c>
      <c r="K222" s="16">
        <f>+J222/H222</f>
        <v>8.4617668430844076E-2</v>
      </c>
    </row>
    <row r="223" spans="1:11" x14ac:dyDescent="0.25">
      <c r="A223" s="77">
        <v>212</v>
      </c>
      <c r="B223" s="78"/>
      <c r="C223" s="78"/>
      <c r="D223" s="111"/>
      <c r="E223" s="111"/>
      <c r="F223" s="78"/>
      <c r="G223" s="78"/>
      <c r="H223" s="78"/>
      <c r="I223" s="78"/>
      <c r="J223" s="128"/>
    </row>
    <row r="224" spans="1:11" x14ac:dyDescent="0.25">
      <c r="A224" s="77">
        <v>213</v>
      </c>
      <c r="B224" s="78"/>
      <c r="C224" s="78"/>
      <c r="D224" s="111"/>
      <c r="E224" s="111"/>
      <c r="F224" s="78"/>
      <c r="G224" s="78"/>
      <c r="H224" s="79">
        <f>+H199-H222</f>
        <v>44529072.769999996</v>
      </c>
      <c r="I224" s="78"/>
      <c r="J224" s="128"/>
    </row>
  </sheetData>
  <autoFilter ref="A7:O195" xr:uid="{F8663843-A20B-4D29-8920-18C5D0D31448}"/>
  <mergeCells count="4">
    <mergeCell ref="C1:I1"/>
    <mergeCell ref="C2:I2"/>
    <mergeCell ref="C3:I3"/>
    <mergeCell ref="C4:I4"/>
  </mergeCells>
  <pageMargins left="0.7" right="0.7" top="0.75" bottom="0.75" header="0.3" footer="0.3"/>
  <pageSetup scale="34" fitToHeight="0" orientation="portrait" useFirstPageNumber="1" r:id="rId1"/>
  <headerFooter scaleWithDoc="0" alignWithMargins="0">
    <oddHeader>&amp;RDocket No. UG-20___
Exhibit _____ (MCP-6)
Page &amp;P of 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2006-1E30-42CA-A629-C2EF183C0938}">
  <sheetPr>
    <tabColor theme="9"/>
    <pageSetUpPr fitToPage="1"/>
  </sheetPr>
  <dimension ref="A1:N224"/>
  <sheetViews>
    <sheetView topLeftCell="A193" zoomScale="70" zoomScaleNormal="70" workbookViewId="0">
      <selection activeCell="I206" sqref="I206:I221"/>
    </sheetView>
  </sheetViews>
  <sheetFormatPr defaultColWidth="9.140625" defaultRowHeight="15.75" x14ac:dyDescent="0.25"/>
  <cols>
    <col min="1" max="1" width="9.140625" style="77"/>
    <col min="2" max="2" width="14.140625" style="16" bestFit="1" customWidth="1"/>
    <col min="3" max="3" width="60.140625" style="16" bestFit="1" customWidth="1"/>
    <col min="4" max="4" width="17.28515625" style="16" bestFit="1" customWidth="1"/>
    <col min="5" max="5" width="18.85546875" style="16" bestFit="1" customWidth="1"/>
    <col min="6" max="6" width="9.85546875" style="16" bestFit="1" customWidth="1"/>
    <col min="7" max="7" width="22.140625" style="16" bestFit="1" customWidth="1"/>
    <col min="8" max="8" width="18" style="16" bestFit="1" customWidth="1"/>
    <col min="9" max="9" width="12.28515625" style="16" bestFit="1" customWidth="1"/>
    <col min="10" max="10" width="16" style="23" bestFit="1" customWidth="1"/>
    <col min="11" max="11" width="14.5703125" style="16" bestFit="1" customWidth="1"/>
    <col min="12" max="12" width="9.140625" style="16"/>
    <col min="13" max="13" width="16.42578125" style="16" bestFit="1" customWidth="1"/>
    <col min="14" max="14" width="15" style="16" bestFit="1" customWidth="1"/>
    <col min="15" max="16" width="9.140625" style="16"/>
    <col min="17" max="17" width="12.42578125" style="16" bestFit="1" customWidth="1"/>
    <col min="18" max="16384" width="9.140625" style="16"/>
  </cols>
  <sheetData>
    <row r="1" spans="1:11" x14ac:dyDescent="0.25">
      <c r="C1" s="170" t="s">
        <v>79</v>
      </c>
      <c r="D1" s="170"/>
      <c r="E1" s="170"/>
      <c r="F1" s="170"/>
      <c r="G1" s="170"/>
      <c r="H1" s="170"/>
      <c r="I1" s="170"/>
    </row>
    <row r="2" spans="1:11" x14ac:dyDescent="0.25">
      <c r="C2" s="170" t="s">
        <v>80</v>
      </c>
      <c r="D2" s="170"/>
      <c r="E2" s="170"/>
      <c r="F2" s="170"/>
      <c r="G2" s="170"/>
      <c r="H2" s="170"/>
      <c r="I2" s="170"/>
    </row>
    <row r="3" spans="1:11" x14ac:dyDescent="0.25">
      <c r="C3" s="170" t="s">
        <v>81</v>
      </c>
      <c r="D3" s="170"/>
      <c r="E3" s="170"/>
      <c r="F3" s="170"/>
      <c r="G3" s="170"/>
      <c r="H3" s="170"/>
      <c r="I3" s="170"/>
    </row>
    <row r="4" spans="1:11" x14ac:dyDescent="0.25">
      <c r="C4" s="171"/>
      <c r="D4" s="171"/>
      <c r="E4" s="171"/>
      <c r="F4" s="171"/>
      <c r="G4" s="171"/>
      <c r="H4" s="171"/>
      <c r="I4" s="171"/>
    </row>
    <row r="6" spans="1:11" s="77" customFormat="1" x14ac:dyDescent="0.25">
      <c r="B6" s="77" t="s">
        <v>82</v>
      </c>
      <c r="C6" s="77" t="s">
        <v>83</v>
      </c>
      <c r="D6" s="77" t="s">
        <v>84</v>
      </c>
      <c r="E6" s="77" t="s">
        <v>85</v>
      </c>
      <c r="F6" s="104" t="s">
        <v>86</v>
      </c>
      <c r="G6" s="77" t="s">
        <v>87</v>
      </c>
      <c r="H6" s="77" t="s">
        <v>88</v>
      </c>
      <c r="I6" s="77" t="s">
        <v>89</v>
      </c>
      <c r="J6" s="105" t="s">
        <v>90</v>
      </c>
    </row>
    <row r="7" spans="1:11" ht="146.25" customHeight="1" x14ac:dyDescent="0.25">
      <c r="A7" s="106" t="s">
        <v>91</v>
      </c>
      <c r="B7" s="107" t="s">
        <v>92</v>
      </c>
      <c r="C7" s="107" t="s">
        <v>93</v>
      </c>
      <c r="D7" s="108" t="s">
        <v>94</v>
      </c>
      <c r="E7" s="109" t="s">
        <v>95</v>
      </c>
      <c r="F7" s="107" t="s">
        <v>96</v>
      </c>
      <c r="G7" s="107" t="s">
        <v>97</v>
      </c>
      <c r="H7" s="107" t="s">
        <v>98</v>
      </c>
      <c r="I7" s="107" t="s">
        <v>99</v>
      </c>
      <c r="J7" s="110" t="s">
        <v>100</v>
      </c>
    </row>
    <row r="8" spans="1:11" x14ac:dyDescent="0.25">
      <c r="A8" s="77">
        <v>1</v>
      </c>
      <c r="B8" s="78" t="s">
        <v>101</v>
      </c>
      <c r="C8" s="78" t="s">
        <v>102</v>
      </c>
      <c r="D8" s="111">
        <v>303</v>
      </c>
      <c r="E8" s="112">
        <f>205921.33</f>
        <v>205921.33</v>
      </c>
      <c r="F8" s="113"/>
      <c r="G8" s="79">
        <f>+E8</f>
        <v>205921.33</v>
      </c>
      <c r="H8" s="79"/>
      <c r="I8" s="114"/>
      <c r="J8" s="115">
        <v>44196</v>
      </c>
      <c r="K8" s="116"/>
    </row>
    <row r="9" spans="1:11" x14ac:dyDescent="0.25">
      <c r="A9" s="77">
        <v>2</v>
      </c>
      <c r="B9" s="78" t="s">
        <v>101</v>
      </c>
      <c r="C9" s="78" t="s">
        <v>103</v>
      </c>
      <c r="D9" s="111">
        <v>303</v>
      </c>
      <c r="E9" s="112">
        <v>87032.79</v>
      </c>
      <c r="F9" s="113">
        <f>+'[8]State Allocation Formulas'!C21</f>
        <v>0.75170000000000003</v>
      </c>
      <c r="G9" s="79">
        <f>+E9*F9</f>
        <v>65422.548242999997</v>
      </c>
      <c r="H9" s="79"/>
      <c r="I9" s="114"/>
      <c r="J9" s="115">
        <v>44166</v>
      </c>
      <c r="K9" s="116"/>
    </row>
    <row r="10" spans="1:11" x14ac:dyDescent="0.25">
      <c r="A10" s="77">
        <v>3</v>
      </c>
      <c r="B10" s="78" t="s">
        <v>101</v>
      </c>
      <c r="C10" s="78" t="s">
        <v>104</v>
      </c>
      <c r="D10" s="111">
        <v>303</v>
      </c>
      <c r="E10" s="112">
        <v>5648475</v>
      </c>
      <c r="F10" s="113"/>
      <c r="G10" s="79">
        <f>+E10</f>
        <v>5648475</v>
      </c>
      <c r="H10" s="79">
        <f>+G10</f>
        <v>5648475</v>
      </c>
      <c r="I10" s="114">
        <v>2</v>
      </c>
      <c r="J10" s="23">
        <v>44074</v>
      </c>
    </row>
    <row r="11" spans="1:11" x14ac:dyDescent="0.25">
      <c r="A11" s="77">
        <v>4</v>
      </c>
      <c r="B11" s="78" t="s">
        <v>101</v>
      </c>
      <c r="C11" s="78" t="s">
        <v>105</v>
      </c>
      <c r="D11" s="111">
        <v>303</v>
      </c>
      <c r="E11" s="112">
        <f>42365.2+8565.23</f>
        <v>50930.429999999993</v>
      </c>
      <c r="F11" s="113">
        <f>+'[8]State Allocation Formulas'!$C$21</f>
        <v>0.75170000000000003</v>
      </c>
      <c r="G11" s="79">
        <f>+E11*F11</f>
        <v>38284.404230999993</v>
      </c>
      <c r="H11" s="79"/>
      <c r="I11" s="114"/>
      <c r="J11" s="23">
        <v>44196</v>
      </c>
    </row>
    <row r="12" spans="1:11" x14ac:dyDescent="0.25">
      <c r="A12" s="77">
        <v>5</v>
      </c>
      <c r="B12" s="78" t="s">
        <v>101</v>
      </c>
      <c r="C12" s="78" t="s">
        <v>106</v>
      </c>
      <c r="D12" s="111">
        <v>303</v>
      </c>
      <c r="E12" s="112">
        <v>746233</v>
      </c>
      <c r="F12" s="113"/>
      <c r="G12" s="79">
        <f>+E12</f>
        <v>746233</v>
      </c>
      <c r="H12" s="79">
        <f>+G12</f>
        <v>746233</v>
      </c>
      <c r="I12" s="114">
        <v>4</v>
      </c>
      <c r="J12" s="23">
        <v>44155</v>
      </c>
    </row>
    <row r="13" spans="1:11" x14ac:dyDescent="0.25">
      <c r="A13" s="77">
        <v>6</v>
      </c>
      <c r="B13" s="78" t="s">
        <v>101</v>
      </c>
      <c r="C13" s="78" t="s">
        <v>107</v>
      </c>
      <c r="D13" s="111">
        <v>303</v>
      </c>
      <c r="E13" s="112">
        <f>93793.04+253064.68</f>
        <v>346857.72</v>
      </c>
      <c r="F13" s="113">
        <f>+'[8]State Allocation Formulas'!$C$21</f>
        <v>0.75170000000000003</v>
      </c>
      <c r="G13" s="79">
        <f>+E13*F13</f>
        <v>260732.94812399999</v>
      </c>
      <c r="H13" s="79"/>
      <c r="I13" s="114"/>
      <c r="J13" s="23">
        <v>44926</v>
      </c>
    </row>
    <row r="14" spans="1:11" x14ac:dyDescent="0.25">
      <c r="A14" s="77">
        <v>7</v>
      </c>
      <c r="B14" s="78" t="s">
        <v>101</v>
      </c>
      <c r="C14" s="78" t="s">
        <v>108</v>
      </c>
      <c r="D14" s="111">
        <v>303</v>
      </c>
      <c r="E14" s="112">
        <v>35994.870000000003</v>
      </c>
      <c r="F14" s="113">
        <f>+'[8]State Allocation Formulas'!$C$21</f>
        <v>0.75170000000000003</v>
      </c>
      <c r="G14" s="79">
        <f>+E14*F14</f>
        <v>27057.343779000003</v>
      </c>
      <c r="H14" s="79"/>
      <c r="I14" s="114"/>
      <c r="J14" s="23">
        <v>43876</v>
      </c>
    </row>
    <row r="15" spans="1:11" x14ac:dyDescent="0.25">
      <c r="A15" s="77">
        <v>8</v>
      </c>
      <c r="B15" s="78" t="s">
        <v>101</v>
      </c>
      <c r="C15" s="78" t="s">
        <v>109</v>
      </c>
      <c r="D15" s="111">
        <v>303</v>
      </c>
      <c r="E15" s="112">
        <v>158747.54</v>
      </c>
      <c r="F15" s="113">
        <f>+'[8]State Allocation Formulas'!C21</f>
        <v>0.75170000000000003</v>
      </c>
      <c r="G15" s="79">
        <f>+E15*F15</f>
        <v>119330.52581800001</v>
      </c>
      <c r="H15" s="79"/>
      <c r="I15" s="114"/>
      <c r="J15" s="23">
        <v>44012</v>
      </c>
    </row>
    <row r="16" spans="1:11" x14ac:dyDescent="0.25">
      <c r="A16" s="77">
        <v>9</v>
      </c>
      <c r="B16" s="78" t="s">
        <v>101</v>
      </c>
      <c r="C16" s="78" t="s">
        <v>110</v>
      </c>
      <c r="D16" s="111">
        <v>303</v>
      </c>
      <c r="E16" s="112">
        <v>670450.44000000006</v>
      </c>
      <c r="F16" s="113">
        <f>+'[8]State Allocation Formulas'!$C$21</f>
        <v>0.75170000000000003</v>
      </c>
      <c r="G16" s="79">
        <f>+E16*F16</f>
        <v>503977.59574800008</v>
      </c>
      <c r="H16" s="79"/>
      <c r="I16" s="114"/>
      <c r="J16" s="23">
        <v>43496</v>
      </c>
    </row>
    <row r="17" spans="1:14" x14ac:dyDescent="0.25">
      <c r="A17" s="77">
        <v>10</v>
      </c>
      <c r="B17" s="78" t="s">
        <v>101</v>
      </c>
      <c r="C17" s="78" t="s">
        <v>111</v>
      </c>
      <c r="D17" s="111">
        <v>303</v>
      </c>
      <c r="E17" s="112">
        <v>21082.9</v>
      </c>
      <c r="F17" s="113"/>
      <c r="G17" s="79">
        <f>+E17</f>
        <v>21082.9</v>
      </c>
      <c r="H17" s="79"/>
      <c r="I17" s="114"/>
      <c r="J17" s="23">
        <v>44073</v>
      </c>
    </row>
    <row r="18" spans="1:14" x14ac:dyDescent="0.25">
      <c r="A18" s="77">
        <v>11</v>
      </c>
      <c r="B18" s="78" t="s">
        <v>101</v>
      </c>
      <c r="C18" s="78" t="s">
        <v>112</v>
      </c>
      <c r="D18" s="111">
        <v>303</v>
      </c>
      <c r="E18" s="112">
        <v>155972.76</v>
      </c>
      <c r="F18" s="113">
        <f>+'[8]State Allocation Formulas'!C21</f>
        <v>0.75170000000000003</v>
      </c>
      <c r="G18" s="79">
        <f>+E18*F18</f>
        <v>117244.72369200001</v>
      </c>
      <c r="H18" s="79"/>
      <c r="I18" s="114"/>
      <c r="J18" s="23">
        <v>44196</v>
      </c>
    </row>
    <row r="19" spans="1:14" x14ac:dyDescent="0.25">
      <c r="A19" s="77">
        <v>12</v>
      </c>
      <c r="B19" s="78" t="s">
        <v>101</v>
      </c>
      <c r="C19" s="78" t="s">
        <v>113</v>
      </c>
      <c r="D19" s="111">
        <v>303</v>
      </c>
      <c r="E19" s="112">
        <v>-450.01</v>
      </c>
      <c r="F19" s="113"/>
      <c r="G19" s="79">
        <f>+E19</f>
        <v>-450.01</v>
      </c>
      <c r="H19" s="79"/>
      <c r="I19" s="114"/>
      <c r="J19" s="23">
        <v>43951</v>
      </c>
    </row>
    <row r="20" spans="1:14" x14ac:dyDescent="0.25">
      <c r="A20" s="77">
        <v>13</v>
      </c>
      <c r="B20" s="78" t="s">
        <v>101</v>
      </c>
      <c r="C20" s="78" t="s">
        <v>114</v>
      </c>
      <c r="D20" s="111">
        <v>303</v>
      </c>
      <c r="E20" s="112">
        <f>64704.93+4518.12</f>
        <v>69223.05</v>
      </c>
      <c r="F20" s="113">
        <f>+'[8]State Allocation Formulas'!$C$21</f>
        <v>0.75170000000000003</v>
      </c>
      <c r="G20" s="79">
        <f>+E20*F20</f>
        <v>52034.966685000007</v>
      </c>
      <c r="H20" s="79"/>
      <c r="I20" s="114"/>
      <c r="J20" s="23">
        <v>45291</v>
      </c>
    </row>
    <row r="21" spans="1:14" x14ac:dyDescent="0.25">
      <c r="A21" s="77">
        <v>14</v>
      </c>
      <c r="B21" s="78" t="s">
        <v>101</v>
      </c>
      <c r="C21" s="78" t="s">
        <v>115</v>
      </c>
      <c r="D21" s="111">
        <v>303</v>
      </c>
      <c r="E21" s="112">
        <v>15422.61</v>
      </c>
      <c r="F21" s="113"/>
      <c r="G21" s="79">
        <f>+E21</f>
        <v>15422.61</v>
      </c>
      <c r="H21" s="79"/>
      <c r="I21" s="114"/>
      <c r="J21" s="23">
        <v>43951</v>
      </c>
    </row>
    <row r="22" spans="1:14" x14ac:dyDescent="0.25">
      <c r="A22" s="77">
        <v>15</v>
      </c>
      <c r="B22" s="78" t="s">
        <v>101</v>
      </c>
      <c r="C22" s="78" t="s">
        <v>116</v>
      </c>
      <c r="D22" s="111">
        <v>303</v>
      </c>
      <c r="E22" s="112">
        <v>63738.720000000001</v>
      </c>
      <c r="F22" s="113">
        <f>+'[8]State Allocation Formulas'!C21</f>
        <v>0.75170000000000003</v>
      </c>
      <c r="G22" s="79">
        <f>+E22*F22</f>
        <v>47912.395824000007</v>
      </c>
      <c r="H22" s="79"/>
      <c r="I22" s="114"/>
      <c r="J22" s="23">
        <v>44104</v>
      </c>
    </row>
    <row r="23" spans="1:14" x14ac:dyDescent="0.25">
      <c r="A23" s="77">
        <v>16</v>
      </c>
      <c r="B23" s="78" t="s">
        <v>101</v>
      </c>
      <c r="C23" s="78" t="s">
        <v>117</v>
      </c>
      <c r="D23" s="111">
        <v>303</v>
      </c>
      <c r="E23" s="112">
        <v>882417.45</v>
      </c>
      <c r="F23" s="113"/>
      <c r="G23" s="79">
        <f>+E23</f>
        <v>882417.45</v>
      </c>
      <c r="H23" s="79">
        <f>+G23</f>
        <v>882417.45</v>
      </c>
      <c r="I23" s="114">
        <v>11</v>
      </c>
      <c r="J23" s="23">
        <v>44012</v>
      </c>
    </row>
    <row r="24" spans="1:14" x14ac:dyDescent="0.25">
      <c r="A24" s="77">
        <v>17</v>
      </c>
      <c r="B24" s="78" t="s">
        <v>101</v>
      </c>
      <c r="C24" s="78" t="s">
        <v>118</v>
      </c>
      <c r="D24" s="111">
        <v>303</v>
      </c>
      <c r="E24" s="112">
        <v>8476.31</v>
      </c>
      <c r="F24" s="113">
        <f>+'[8]State Allocation Formulas'!$C$21</f>
        <v>0.75170000000000003</v>
      </c>
      <c r="G24" s="79">
        <f>+E24*F24</f>
        <v>6371.6422270000003</v>
      </c>
      <c r="H24" s="79"/>
      <c r="I24" s="114"/>
      <c r="J24" s="23">
        <v>43842</v>
      </c>
    </row>
    <row r="25" spans="1:14" x14ac:dyDescent="0.25">
      <c r="A25" s="77">
        <v>18</v>
      </c>
      <c r="B25" s="78" t="s">
        <v>101</v>
      </c>
      <c r="C25" s="78" t="s">
        <v>119</v>
      </c>
      <c r="D25" s="111">
        <v>303</v>
      </c>
      <c r="E25" s="112">
        <v>858122</v>
      </c>
      <c r="F25" s="113"/>
      <c r="G25" s="79">
        <f>+E25</f>
        <v>858122</v>
      </c>
      <c r="H25" s="79">
        <f>+G25</f>
        <v>858122</v>
      </c>
      <c r="I25" s="114">
        <v>21</v>
      </c>
      <c r="J25" s="23">
        <v>44165</v>
      </c>
      <c r="N25" s="103"/>
    </row>
    <row r="26" spans="1:14" x14ac:dyDescent="0.25">
      <c r="A26" s="77">
        <v>19</v>
      </c>
      <c r="B26" s="78" t="s">
        <v>101</v>
      </c>
      <c r="C26" s="78" t="s">
        <v>120</v>
      </c>
      <c r="D26" s="111">
        <v>303</v>
      </c>
      <c r="E26" s="112">
        <f>131375.72+5492.14</f>
        <v>136867.86000000002</v>
      </c>
      <c r="F26" s="113"/>
      <c r="G26" s="79">
        <f>+E26</f>
        <v>136867.86000000002</v>
      </c>
      <c r="H26" s="79"/>
      <c r="I26" s="114"/>
      <c r="J26" s="23">
        <v>43982</v>
      </c>
    </row>
    <row r="27" spans="1:14" x14ac:dyDescent="0.25">
      <c r="A27" s="77">
        <v>20</v>
      </c>
      <c r="B27" s="78" t="s">
        <v>101</v>
      </c>
      <c r="C27" s="78" t="s">
        <v>121</v>
      </c>
      <c r="D27" s="111">
        <v>303</v>
      </c>
      <c r="E27" s="112">
        <v>26509.599999999999</v>
      </c>
      <c r="F27" s="113">
        <f>+'[8]State Allocation Formulas'!C21</f>
        <v>0.75170000000000003</v>
      </c>
      <c r="G27" s="79">
        <f>+E27*F27</f>
        <v>19927.266319999999</v>
      </c>
      <c r="H27" s="79"/>
      <c r="I27" s="114"/>
      <c r="J27" s="23">
        <v>43952</v>
      </c>
    </row>
    <row r="28" spans="1:14" x14ac:dyDescent="0.25">
      <c r="A28" s="77">
        <v>21</v>
      </c>
      <c r="B28" s="78" t="s">
        <v>101</v>
      </c>
      <c r="C28" s="78" t="s">
        <v>122</v>
      </c>
      <c r="D28" s="111">
        <v>303</v>
      </c>
      <c r="E28" s="112">
        <v>27529.200000000001</v>
      </c>
      <c r="F28" s="113">
        <f>+'[8]State Allocation Formulas'!C21</f>
        <v>0.75170000000000003</v>
      </c>
      <c r="G28" s="79">
        <f>+E28*F28</f>
        <v>20693.699640000003</v>
      </c>
      <c r="H28" s="79"/>
      <c r="I28" s="114"/>
      <c r="J28" s="23">
        <v>44119</v>
      </c>
    </row>
    <row r="29" spans="1:14" x14ac:dyDescent="0.25">
      <c r="A29" s="77">
        <v>22</v>
      </c>
      <c r="B29" s="78" t="s">
        <v>101</v>
      </c>
      <c r="C29" s="78" t="s">
        <v>123</v>
      </c>
      <c r="D29" s="111">
        <v>303</v>
      </c>
      <c r="E29" s="112">
        <v>4731395</v>
      </c>
      <c r="F29" s="113"/>
      <c r="G29" s="79">
        <f>+E29</f>
        <v>4731395</v>
      </c>
      <c r="H29" s="79">
        <f>+G29</f>
        <v>4731395</v>
      </c>
      <c r="I29" s="114">
        <v>23</v>
      </c>
      <c r="J29" s="23">
        <v>44165</v>
      </c>
      <c r="N29" s="103"/>
    </row>
    <row r="30" spans="1:14" x14ac:dyDescent="0.25">
      <c r="A30" s="77">
        <v>23</v>
      </c>
      <c r="B30" s="117"/>
      <c r="C30" s="118" t="s">
        <v>124</v>
      </c>
      <c r="D30" s="119"/>
      <c r="E30" s="120">
        <f>SUM(E8:E29)</f>
        <v>14946950.569999998</v>
      </c>
      <c r="F30" s="117"/>
      <c r="G30" s="121">
        <f>SUM(G8:G29)</f>
        <v>14524477.200330999</v>
      </c>
      <c r="H30" s="121">
        <f>SUM(H8:H29)</f>
        <v>12866642.449999999</v>
      </c>
      <c r="I30" s="122"/>
      <c r="J30" s="123"/>
    </row>
    <row r="31" spans="1:14" x14ac:dyDescent="0.25">
      <c r="A31" s="77">
        <v>24</v>
      </c>
      <c r="B31" s="117" t="s">
        <v>125</v>
      </c>
      <c r="C31" s="117"/>
      <c r="D31" s="124"/>
      <c r="E31" s="112"/>
      <c r="F31" s="117"/>
      <c r="G31" s="125"/>
      <c r="H31" s="117"/>
      <c r="I31" s="122"/>
      <c r="J31" s="126"/>
    </row>
    <row r="32" spans="1:14" x14ac:dyDescent="0.25">
      <c r="A32" s="77">
        <v>25</v>
      </c>
      <c r="B32" s="78" t="s">
        <v>126</v>
      </c>
      <c r="C32" s="117" t="s">
        <v>127</v>
      </c>
      <c r="D32" s="124">
        <v>396.2</v>
      </c>
      <c r="E32" s="112">
        <v>481087.24</v>
      </c>
      <c r="F32" s="127">
        <f>+'[8]State Allocation Formulas'!C21</f>
        <v>0.75170000000000003</v>
      </c>
      <c r="G32" s="125">
        <f>+E32*F32</f>
        <v>361633.27830800001</v>
      </c>
      <c r="H32" s="117"/>
      <c r="I32" s="122"/>
      <c r="J32" s="126">
        <v>44196</v>
      </c>
    </row>
    <row r="33" spans="1:10" x14ac:dyDescent="0.25">
      <c r="A33" s="77">
        <v>26</v>
      </c>
      <c r="B33" s="78" t="s">
        <v>126</v>
      </c>
      <c r="C33" s="117" t="s">
        <v>128</v>
      </c>
      <c r="D33" s="124">
        <v>397.2</v>
      </c>
      <c r="E33" s="112">
        <v>290586.03999999998</v>
      </c>
      <c r="F33" s="127">
        <f>+'[8]State Allocation Formulas'!C21</f>
        <v>0.75170000000000003</v>
      </c>
      <c r="G33" s="125">
        <f>+E33*F33</f>
        <v>218433.52626799999</v>
      </c>
      <c r="H33" s="117"/>
      <c r="I33" s="122"/>
      <c r="J33" s="126">
        <v>44196</v>
      </c>
    </row>
    <row r="34" spans="1:10" x14ac:dyDescent="0.25">
      <c r="A34" s="77">
        <v>27</v>
      </c>
      <c r="B34" s="78" t="s">
        <v>126</v>
      </c>
      <c r="C34" s="78" t="s">
        <v>129</v>
      </c>
      <c r="D34" s="111">
        <v>376.2</v>
      </c>
      <c r="E34" s="112">
        <v>36096.400000000001</v>
      </c>
      <c r="F34" s="78"/>
      <c r="G34" s="79">
        <f t="shared" ref="G34:G50" si="0">+E34</f>
        <v>36096.400000000001</v>
      </c>
      <c r="H34" s="79"/>
      <c r="I34" s="114"/>
      <c r="J34" s="128">
        <v>43946</v>
      </c>
    </row>
    <row r="35" spans="1:10" x14ac:dyDescent="0.25">
      <c r="A35" s="77">
        <v>28</v>
      </c>
      <c r="B35" s="78" t="s">
        <v>126</v>
      </c>
      <c r="C35" s="78" t="s">
        <v>130</v>
      </c>
      <c r="D35" s="111">
        <v>376</v>
      </c>
      <c r="E35" s="112">
        <v>55032.54</v>
      </c>
      <c r="F35" s="78"/>
      <c r="G35" s="79">
        <f t="shared" si="0"/>
        <v>55032.54</v>
      </c>
      <c r="H35" s="79"/>
      <c r="I35" s="114"/>
      <c r="J35" s="128">
        <v>44075</v>
      </c>
    </row>
    <row r="36" spans="1:10" x14ac:dyDescent="0.25">
      <c r="A36" s="77">
        <v>29</v>
      </c>
      <c r="B36" s="78" t="s">
        <v>126</v>
      </c>
      <c r="C36" s="78" t="s">
        <v>55</v>
      </c>
      <c r="D36" s="111">
        <v>378</v>
      </c>
      <c r="E36" s="112">
        <v>611717</v>
      </c>
      <c r="F36" s="78"/>
      <c r="G36" s="79">
        <f>+E36</f>
        <v>611717</v>
      </c>
      <c r="H36" s="79">
        <f>+G36</f>
        <v>611717</v>
      </c>
      <c r="I36" s="114">
        <v>27</v>
      </c>
      <c r="J36" s="128">
        <v>44196</v>
      </c>
    </row>
    <row r="37" spans="1:10" x14ac:dyDescent="0.25">
      <c r="A37" s="77">
        <v>30</v>
      </c>
      <c r="B37" s="78" t="s">
        <v>126</v>
      </c>
      <c r="C37" s="78" t="s">
        <v>131</v>
      </c>
      <c r="D37" s="111">
        <v>378</v>
      </c>
      <c r="E37" s="112">
        <f>95413.54+555120</f>
        <v>650533.54</v>
      </c>
      <c r="F37" s="78"/>
      <c r="G37" s="79">
        <f t="shared" si="0"/>
        <v>650533.54</v>
      </c>
      <c r="H37" s="79"/>
      <c r="I37" s="114"/>
      <c r="J37" s="128">
        <v>44119</v>
      </c>
    </row>
    <row r="38" spans="1:10" x14ac:dyDescent="0.25">
      <c r="A38" s="77">
        <v>31</v>
      </c>
      <c r="B38" s="78" t="s">
        <v>126</v>
      </c>
      <c r="C38" s="78" t="s">
        <v>132</v>
      </c>
      <c r="D38" s="111">
        <v>380</v>
      </c>
      <c r="E38" s="112">
        <v>62.76</v>
      </c>
      <c r="F38" s="78"/>
      <c r="G38" s="79">
        <f t="shared" si="0"/>
        <v>62.76</v>
      </c>
      <c r="H38" s="79"/>
      <c r="I38" s="114"/>
      <c r="J38" s="128">
        <v>44136</v>
      </c>
    </row>
    <row r="39" spans="1:10" x14ac:dyDescent="0.25">
      <c r="A39" s="77">
        <v>32</v>
      </c>
      <c r="B39" s="78" t="s">
        <v>126</v>
      </c>
      <c r="C39" s="78" t="s">
        <v>133</v>
      </c>
      <c r="D39" s="124">
        <v>385</v>
      </c>
      <c r="E39" s="112">
        <v>40010.83</v>
      </c>
      <c r="F39" s="78"/>
      <c r="G39" s="79">
        <f t="shared" si="0"/>
        <v>40010.83</v>
      </c>
      <c r="H39" s="79"/>
      <c r="I39" s="114"/>
      <c r="J39" s="128">
        <v>44181</v>
      </c>
    </row>
    <row r="40" spans="1:10" x14ac:dyDescent="0.25">
      <c r="A40" s="77">
        <v>33</v>
      </c>
      <c r="B40" s="78" t="s">
        <v>126</v>
      </c>
      <c r="C40" s="78" t="s">
        <v>134</v>
      </c>
      <c r="D40" s="111">
        <v>385</v>
      </c>
      <c r="E40" s="112">
        <v>21467.7</v>
      </c>
      <c r="F40" s="78"/>
      <c r="G40" s="79">
        <f t="shared" si="0"/>
        <v>21467.7</v>
      </c>
      <c r="H40" s="79"/>
      <c r="I40" s="114"/>
      <c r="J40" s="128">
        <v>43981</v>
      </c>
    </row>
    <row r="41" spans="1:10" x14ac:dyDescent="0.25">
      <c r="A41" s="77">
        <v>34</v>
      </c>
      <c r="B41" s="78" t="s">
        <v>126</v>
      </c>
      <c r="C41" s="78" t="s">
        <v>57</v>
      </c>
      <c r="D41" s="129">
        <v>381</v>
      </c>
      <c r="E41" s="130">
        <v>3919185.28</v>
      </c>
      <c r="F41" s="113">
        <f>+'[8]State Allocation Formulas'!C21</f>
        <v>0.75170000000000003</v>
      </c>
      <c r="G41" s="79">
        <f>+E41*F41</f>
        <v>2946051.574976</v>
      </c>
      <c r="H41" s="79">
        <f>+G41</f>
        <v>2946051.574976</v>
      </c>
      <c r="I41" s="114">
        <v>28</v>
      </c>
      <c r="J41" s="128">
        <v>44196</v>
      </c>
    </row>
    <row r="42" spans="1:10" x14ac:dyDescent="0.25">
      <c r="A42" s="77">
        <v>35</v>
      </c>
      <c r="B42" s="78" t="s">
        <v>126</v>
      </c>
      <c r="C42" s="78" t="s">
        <v>135</v>
      </c>
      <c r="D42" s="129">
        <v>392.2</v>
      </c>
      <c r="E42" s="130">
        <v>2180374.04</v>
      </c>
      <c r="F42" s="113">
        <f>+'[8]State Allocation Formulas'!C21</f>
        <v>0.75170000000000003</v>
      </c>
      <c r="G42" s="79">
        <f t="shared" ref="G42:G43" si="1">+E42*F42</f>
        <v>1638987.1658680001</v>
      </c>
      <c r="H42" s="79"/>
      <c r="I42" s="114"/>
      <c r="J42" s="128">
        <v>44196</v>
      </c>
    </row>
    <row r="43" spans="1:10" x14ac:dyDescent="0.25">
      <c r="A43" s="77">
        <v>36</v>
      </c>
      <c r="B43" s="78" t="s">
        <v>126</v>
      </c>
      <c r="C43" s="78" t="s">
        <v>136</v>
      </c>
      <c r="D43" s="129">
        <v>383</v>
      </c>
      <c r="E43" s="130">
        <v>1320143.48</v>
      </c>
      <c r="F43" s="113">
        <f>+'[8]State Allocation Formulas'!C21</f>
        <v>0.75170000000000003</v>
      </c>
      <c r="G43" s="79">
        <f t="shared" si="1"/>
        <v>992351.85391599999</v>
      </c>
      <c r="H43" s="79"/>
      <c r="I43" s="114"/>
      <c r="J43" s="128">
        <v>44196</v>
      </c>
    </row>
    <row r="44" spans="1:10" x14ac:dyDescent="0.25">
      <c r="A44" s="77">
        <v>37</v>
      </c>
      <c r="B44" s="78" t="s">
        <v>126</v>
      </c>
      <c r="C44" s="78" t="s">
        <v>137</v>
      </c>
      <c r="D44" s="111">
        <v>380</v>
      </c>
      <c r="E44" s="112">
        <v>31924.36</v>
      </c>
      <c r="F44" s="78"/>
      <c r="G44" s="79">
        <f t="shared" si="0"/>
        <v>31924.36</v>
      </c>
      <c r="H44" s="79"/>
      <c r="I44" s="114"/>
      <c r="J44" s="128">
        <v>44136</v>
      </c>
    </row>
    <row r="45" spans="1:10" x14ac:dyDescent="0.25">
      <c r="A45" s="77">
        <v>38</v>
      </c>
      <c r="B45" s="78" t="s">
        <v>126</v>
      </c>
      <c r="C45" s="78" t="str">
        <f>_xlfn.CONCAT('[7]2020 Budget by State -w- FERC'!$E$4,'[7]2020 Budget by State -w- FERC'!$F$4)</f>
        <v>FP-101413GP BUILDINGS - WALLAWALLA</v>
      </c>
      <c r="D45" s="111">
        <v>375.1</v>
      </c>
      <c r="E45" s="112">
        <v>124289.24</v>
      </c>
      <c r="F45" s="78"/>
      <c r="G45" s="79">
        <f t="shared" si="0"/>
        <v>124289.24</v>
      </c>
      <c r="H45" s="79"/>
      <c r="I45" s="114"/>
      <c r="J45" s="128">
        <v>44196</v>
      </c>
    </row>
    <row r="46" spans="1:10" x14ac:dyDescent="0.25">
      <c r="A46" s="77">
        <v>39</v>
      </c>
      <c r="B46" s="78" t="s">
        <v>126</v>
      </c>
      <c r="C46" s="78" t="str">
        <f>_xlfn.CONCAT('[7]2020 Budget by State -w- FERC'!$E$5,'[7]2020 Budget by State -w- FERC'!$F$5)</f>
        <v>FP-101416GP TOOLS - WALLAWALLA</v>
      </c>
      <c r="D46" s="111">
        <v>394.1</v>
      </c>
      <c r="E46" s="112">
        <v>4282.32</v>
      </c>
      <c r="F46" s="78"/>
      <c r="G46" s="79">
        <f t="shared" si="0"/>
        <v>4282.32</v>
      </c>
      <c r="H46" s="79"/>
      <c r="I46" s="114"/>
      <c r="J46" s="128">
        <v>44196</v>
      </c>
    </row>
    <row r="47" spans="1:10" x14ac:dyDescent="0.25">
      <c r="A47" s="77">
        <v>40</v>
      </c>
      <c r="B47" s="78" t="s">
        <v>126</v>
      </c>
      <c r="C47" s="78" t="s">
        <v>138</v>
      </c>
      <c r="D47" s="111">
        <v>367.1</v>
      </c>
      <c r="E47" s="112">
        <v>7616.94</v>
      </c>
      <c r="F47" s="78"/>
      <c r="G47" s="79">
        <f t="shared" si="0"/>
        <v>7616.94</v>
      </c>
      <c r="H47" s="78"/>
      <c r="I47" s="114"/>
      <c r="J47" s="128">
        <v>44196</v>
      </c>
    </row>
    <row r="48" spans="1:10" x14ac:dyDescent="0.25">
      <c r="A48" s="77">
        <v>41</v>
      </c>
      <c r="B48" s="78" t="s">
        <v>126</v>
      </c>
      <c r="C48" s="78" t="s">
        <v>139</v>
      </c>
      <c r="D48" s="111">
        <v>391.3</v>
      </c>
      <c r="E48" s="112">
        <v>54854.48</v>
      </c>
      <c r="F48" s="113">
        <f>+'[8]State Allocation Formulas'!C21</f>
        <v>0.75170000000000003</v>
      </c>
      <c r="G48" s="79">
        <f>+E48*F48</f>
        <v>41234.112616000006</v>
      </c>
      <c r="H48" s="78"/>
      <c r="I48" s="114"/>
      <c r="J48" s="128">
        <v>44196</v>
      </c>
    </row>
    <row r="49" spans="1:14" x14ac:dyDescent="0.25">
      <c r="A49" s="77">
        <v>42</v>
      </c>
      <c r="B49" s="78" t="s">
        <v>126</v>
      </c>
      <c r="C49" s="78" t="s">
        <v>140</v>
      </c>
      <c r="D49" s="111">
        <v>376.2</v>
      </c>
      <c r="E49" s="112">
        <v>2757265.26</v>
      </c>
      <c r="F49" s="78"/>
      <c r="G49" s="79">
        <f t="shared" si="0"/>
        <v>2757265.26</v>
      </c>
      <c r="H49" s="79">
        <f>+G49</f>
        <v>2757265.26</v>
      </c>
      <c r="I49" s="114">
        <v>1</v>
      </c>
      <c r="J49" s="128">
        <v>44012</v>
      </c>
    </row>
    <row r="50" spans="1:14" x14ac:dyDescent="0.25">
      <c r="A50" s="77">
        <v>43</v>
      </c>
      <c r="B50" s="78" t="s">
        <v>126</v>
      </c>
      <c r="C50" s="78" t="s">
        <v>141</v>
      </c>
      <c r="D50" s="111">
        <v>376.1</v>
      </c>
      <c r="E50" s="112">
        <f>37762.19+709879.16</f>
        <v>747641.35000000009</v>
      </c>
      <c r="F50" s="78"/>
      <c r="G50" s="79">
        <f t="shared" si="0"/>
        <v>747641.35000000009</v>
      </c>
      <c r="H50" s="79"/>
      <c r="I50" s="114"/>
      <c r="J50" s="128">
        <v>43891</v>
      </c>
    </row>
    <row r="51" spans="1:14" x14ac:dyDescent="0.25">
      <c r="A51" s="77">
        <v>45</v>
      </c>
      <c r="B51" s="78" t="s">
        <v>126</v>
      </c>
      <c r="C51" s="78" t="s">
        <v>142</v>
      </c>
      <c r="D51" s="111">
        <v>381</v>
      </c>
      <c r="E51" s="112">
        <v>363466.8</v>
      </c>
      <c r="F51" s="113">
        <f>+'[8]State Allocation Formulas'!C21</f>
        <v>0.75170000000000003</v>
      </c>
      <c r="G51" s="79">
        <f>+E51*F51</f>
        <v>273217.99356000003</v>
      </c>
      <c r="H51" s="79"/>
      <c r="I51" s="114"/>
      <c r="J51" s="23">
        <v>44196</v>
      </c>
    </row>
    <row r="52" spans="1:14" x14ac:dyDescent="0.25">
      <c r="A52" s="77">
        <v>46</v>
      </c>
      <c r="B52" s="78" t="s">
        <v>126</v>
      </c>
      <c r="C52" s="78" t="s">
        <v>143</v>
      </c>
      <c r="D52" s="111">
        <v>376.2</v>
      </c>
      <c r="E52" s="112">
        <v>3360413</v>
      </c>
      <c r="F52" s="78"/>
      <c r="G52" s="79">
        <f t="shared" ref="G52:G72" si="2">+E52</f>
        <v>3360413</v>
      </c>
      <c r="H52" s="79">
        <f>+G52</f>
        <v>3360413</v>
      </c>
      <c r="I52" s="114">
        <v>3</v>
      </c>
      <c r="J52" s="128">
        <v>44165</v>
      </c>
      <c r="N52" s="103"/>
    </row>
    <row r="53" spans="1:14" x14ac:dyDescent="0.25">
      <c r="A53" s="77">
        <v>47</v>
      </c>
      <c r="B53" s="78" t="s">
        <v>126</v>
      </c>
      <c r="C53" s="16" t="s">
        <v>144</v>
      </c>
      <c r="D53" s="111">
        <v>367.1</v>
      </c>
      <c r="E53" s="112">
        <v>2363557.25</v>
      </c>
      <c r="F53" s="78"/>
      <c r="G53" s="79">
        <f t="shared" si="2"/>
        <v>2363557.25</v>
      </c>
      <c r="H53" s="79"/>
      <c r="I53" s="114"/>
      <c r="J53" s="128">
        <v>44895</v>
      </c>
    </row>
    <row r="54" spans="1:14" x14ac:dyDescent="0.25">
      <c r="A54" s="77">
        <v>48</v>
      </c>
      <c r="B54" s="78" t="s">
        <v>126</v>
      </c>
      <c r="C54" s="78" t="s">
        <v>145</v>
      </c>
      <c r="D54" s="111">
        <v>378</v>
      </c>
      <c r="E54" s="112">
        <v>20008.89</v>
      </c>
      <c r="F54" s="78"/>
      <c r="G54" s="79">
        <f t="shared" si="2"/>
        <v>20008.89</v>
      </c>
      <c r="H54" s="79"/>
      <c r="I54" s="114"/>
      <c r="J54" s="128">
        <v>43861</v>
      </c>
    </row>
    <row r="55" spans="1:14" x14ac:dyDescent="0.25">
      <c r="A55" s="77">
        <v>49</v>
      </c>
      <c r="B55" s="78" t="s">
        <v>126</v>
      </c>
      <c r="C55" s="78" t="s">
        <v>146</v>
      </c>
      <c r="D55" s="111">
        <v>376.2</v>
      </c>
      <c r="E55" s="112">
        <v>179168.59</v>
      </c>
      <c r="F55" s="78"/>
      <c r="G55" s="79">
        <f t="shared" si="2"/>
        <v>179168.59</v>
      </c>
      <c r="H55" s="79"/>
      <c r="I55" s="114" t="s">
        <v>147</v>
      </c>
      <c r="J55" s="128">
        <v>44196</v>
      </c>
    </row>
    <row r="56" spans="1:14" x14ac:dyDescent="0.25">
      <c r="A56" s="77">
        <v>50</v>
      </c>
      <c r="B56" s="78" t="s">
        <v>126</v>
      </c>
      <c r="C56" s="78" t="s">
        <v>148</v>
      </c>
      <c r="D56" s="111">
        <v>376.2</v>
      </c>
      <c r="E56" s="112">
        <v>239545.87</v>
      </c>
      <c r="F56" s="78"/>
      <c r="G56" s="79">
        <f t="shared" si="2"/>
        <v>239545.87</v>
      </c>
      <c r="H56" s="79"/>
      <c r="I56" s="114" t="s">
        <v>147</v>
      </c>
      <c r="J56" s="128">
        <v>44196</v>
      </c>
    </row>
    <row r="57" spans="1:14" x14ac:dyDescent="0.25">
      <c r="A57" s="77">
        <v>51</v>
      </c>
      <c r="B57" s="78" t="s">
        <v>126</v>
      </c>
      <c r="C57" s="78" t="s">
        <v>149</v>
      </c>
      <c r="D57" s="111">
        <v>376.2</v>
      </c>
      <c r="E57" s="112">
        <v>112657.85</v>
      </c>
      <c r="F57" s="78"/>
      <c r="G57" s="79">
        <f t="shared" si="2"/>
        <v>112657.85</v>
      </c>
      <c r="H57" s="79"/>
      <c r="I57" s="114"/>
      <c r="J57" s="128">
        <v>44165</v>
      </c>
    </row>
    <row r="58" spans="1:14" x14ac:dyDescent="0.25">
      <c r="A58" s="77">
        <v>52</v>
      </c>
      <c r="B58" s="78" t="s">
        <v>126</v>
      </c>
      <c r="C58" s="78" t="s">
        <v>150</v>
      </c>
      <c r="D58" s="111">
        <v>376.2</v>
      </c>
      <c r="E58" s="112">
        <v>1321132.3500000001</v>
      </c>
      <c r="F58" s="78"/>
      <c r="G58" s="79">
        <f t="shared" si="2"/>
        <v>1321132.3500000001</v>
      </c>
      <c r="H58" s="79"/>
      <c r="I58" s="114" t="s">
        <v>147</v>
      </c>
      <c r="J58" s="128">
        <v>44196</v>
      </c>
    </row>
    <row r="59" spans="1:14" x14ac:dyDescent="0.25">
      <c r="A59" s="77">
        <v>53</v>
      </c>
      <c r="B59" s="78" t="s">
        <v>126</v>
      </c>
      <c r="C59" s="78" t="s">
        <v>151</v>
      </c>
      <c r="D59" s="111">
        <v>376.2</v>
      </c>
      <c r="E59" s="112">
        <v>588710.21</v>
      </c>
      <c r="F59" s="78"/>
      <c r="G59" s="79">
        <f t="shared" si="2"/>
        <v>588710.21</v>
      </c>
      <c r="H59" s="79"/>
      <c r="I59" s="114"/>
      <c r="J59" s="128">
        <v>44166</v>
      </c>
    </row>
    <row r="60" spans="1:14" x14ac:dyDescent="0.25">
      <c r="A60" s="77">
        <v>54</v>
      </c>
      <c r="B60" s="78" t="s">
        <v>126</v>
      </c>
      <c r="C60" s="78" t="s">
        <v>152</v>
      </c>
      <c r="D60" s="111">
        <v>376.2</v>
      </c>
      <c r="E60" s="112">
        <v>1714110.95</v>
      </c>
      <c r="F60" s="78"/>
      <c r="G60" s="79">
        <f t="shared" si="2"/>
        <v>1714110.95</v>
      </c>
      <c r="H60" s="79"/>
      <c r="I60" s="114" t="s">
        <v>147</v>
      </c>
      <c r="J60" s="128">
        <v>44196</v>
      </c>
    </row>
    <row r="61" spans="1:14" x14ac:dyDescent="0.25">
      <c r="A61" s="77">
        <v>55</v>
      </c>
      <c r="B61" s="78" t="s">
        <v>126</v>
      </c>
      <c r="C61" s="78" t="s">
        <v>153</v>
      </c>
      <c r="D61" s="111">
        <v>376.2</v>
      </c>
      <c r="E61" s="112">
        <f>244987.08+245475.4</f>
        <v>490462.48</v>
      </c>
      <c r="F61" s="78"/>
      <c r="G61" s="79">
        <f t="shared" si="2"/>
        <v>490462.48</v>
      </c>
      <c r="H61" s="79"/>
      <c r="I61" s="114"/>
      <c r="J61" s="128">
        <v>44042</v>
      </c>
    </row>
    <row r="62" spans="1:14" x14ac:dyDescent="0.25">
      <c r="A62" s="77">
        <v>56</v>
      </c>
      <c r="B62" s="78" t="s">
        <v>126</v>
      </c>
      <c r="C62" s="78" t="s">
        <v>154</v>
      </c>
      <c r="D62" s="111">
        <v>378</v>
      </c>
      <c r="E62" s="112">
        <v>17894.23</v>
      </c>
      <c r="F62" s="113"/>
      <c r="G62" s="79">
        <f t="shared" si="2"/>
        <v>17894.23</v>
      </c>
      <c r="H62" s="79"/>
      <c r="I62" s="114"/>
      <c r="J62" s="128">
        <v>43951</v>
      </c>
    </row>
    <row r="63" spans="1:14" x14ac:dyDescent="0.25">
      <c r="A63" s="77">
        <v>57</v>
      </c>
      <c r="B63" s="78" t="s">
        <v>126</v>
      </c>
      <c r="C63" s="78" t="s">
        <v>155</v>
      </c>
      <c r="D63" s="111">
        <v>376.1</v>
      </c>
      <c r="E63" s="112">
        <v>517249.44</v>
      </c>
      <c r="F63" s="113"/>
      <c r="G63" s="79">
        <f t="shared" si="2"/>
        <v>517249.44</v>
      </c>
      <c r="H63" s="79"/>
      <c r="I63" s="114" t="s">
        <v>147</v>
      </c>
      <c r="J63" s="128">
        <v>44166</v>
      </c>
    </row>
    <row r="64" spans="1:14" x14ac:dyDescent="0.25">
      <c r="A64" s="77">
        <v>58</v>
      </c>
      <c r="B64" s="78" t="s">
        <v>126</v>
      </c>
      <c r="C64" s="78" t="s">
        <v>156</v>
      </c>
      <c r="D64" s="111">
        <v>376.2</v>
      </c>
      <c r="E64" s="112">
        <v>4257740</v>
      </c>
      <c r="F64" s="78"/>
      <c r="G64" s="79">
        <f t="shared" si="2"/>
        <v>4257740</v>
      </c>
      <c r="H64" s="79">
        <f>+G64</f>
        <v>4257740</v>
      </c>
      <c r="I64" s="114">
        <v>5</v>
      </c>
      <c r="J64" s="23">
        <v>44042</v>
      </c>
    </row>
    <row r="65" spans="1:14" x14ac:dyDescent="0.25">
      <c r="A65" s="77">
        <v>59</v>
      </c>
      <c r="B65" s="78" t="s">
        <v>126</v>
      </c>
      <c r="C65" s="78" t="s">
        <v>157</v>
      </c>
      <c r="D65" s="111">
        <v>376.2</v>
      </c>
      <c r="E65" s="112">
        <v>3462856.75</v>
      </c>
      <c r="F65" s="78"/>
      <c r="G65" s="79">
        <f t="shared" si="2"/>
        <v>3462856.75</v>
      </c>
      <c r="H65" s="79"/>
      <c r="I65" s="114" t="s">
        <v>147</v>
      </c>
      <c r="J65" s="23">
        <v>44165</v>
      </c>
    </row>
    <row r="66" spans="1:14" x14ac:dyDescent="0.25">
      <c r="A66" s="77">
        <v>60</v>
      </c>
      <c r="B66" s="78" t="s">
        <v>126</v>
      </c>
      <c r="C66" s="78" t="s">
        <v>158</v>
      </c>
      <c r="D66" s="111">
        <v>376.2</v>
      </c>
      <c r="E66" s="112">
        <v>1079817.45</v>
      </c>
      <c r="F66" s="78"/>
      <c r="G66" s="79">
        <f t="shared" si="2"/>
        <v>1079817.45</v>
      </c>
      <c r="H66" s="79"/>
      <c r="I66" s="114" t="s">
        <v>147</v>
      </c>
      <c r="J66" s="23">
        <v>44196</v>
      </c>
    </row>
    <row r="67" spans="1:14" x14ac:dyDescent="0.25">
      <c r="A67" s="77">
        <v>61</v>
      </c>
      <c r="B67" s="78" t="s">
        <v>126</v>
      </c>
      <c r="C67" s="78" t="s">
        <v>159</v>
      </c>
      <c r="D67" s="111">
        <v>378</v>
      </c>
      <c r="E67" s="112">
        <v>1015615.47</v>
      </c>
      <c r="F67" s="78"/>
      <c r="G67" s="79">
        <f t="shared" si="2"/>
        <v>1015615.47</v>
      </c>
      <c r="H67" s="79">
        <f>+G67</f>
        <v>1015615.47</v>
      </c>
      <c r="I67" s="114">
        <v>6</v>
      </c>
      <c r="J67" s="23">
        <v>44012</v>
      </c>
    </row>
    <row r="68" spans="1:14" x14ac:dyDescent="0.25">
      <c r="A68" s="77">
        <v>62</v>
      </c>
      <c r="B68" s="78" t="s">
        <v>126</v>
      </c>
      <c r="C68" s="78" t="s">
        <v>160</v>
      </c>
      <c r="D68" s="111">
        <v>378</v>
      </c>
      <c r="E68" s="112">
        <v>1308260.44</v>
      </c>
      <c r="F68" s="78"/>
      <c r="G68" s="79">
        <f t="shared" si="2"/>
        <v>1308260.44</v>
      </c>
      <c r="H68" s="79">
        <f>+G68</f>
        <v>1308260.44</v>
      </c>
      <c r="I68" s="114">
        <v>7</v>
      </c>
      <c r="J68" s="23">
        <v>44074</v>
      </c>
      <c r="N68" s="103"/>
    </row>
    <row r="69" spans="1:14" x14ac:dyDescent="0.25">
      <c r="A69" s="77">
        <v>63</v>
      </c>
      <c r="B69" s="78" t="s">
        <v>126</v>
      </c>
      <c r="C69" s="78" t="s">
        <v>161</v>
      </c>
      <c r="D69" s="111">
        <v>378</v>
      </c>
      <c r="E69" s="112">
        <v>1160244.8899999999</v>
      </c>
      <c r="F69" s="78"/>
      <c r="G69" s="79">
        <f t="shared" si="2"/>
        <v>1160244.8899999999</v>
      </c>
      <c r="H69" s="79">
        <f>+G69</f>
        <v>1160244.8899999999</v>
      </c>
      <c r="I69" s="114">
        <v>8</v>
      </c>
      <c r="J69" s="128">
        <v>44165</v>
      </c>
      <c r="M69" s="103"/>
    </row>
    <row r="70" spans="1:14" x14ac:dyDescent="0.25">
      <c r="A70" s="77">
        <v>64</v>
      </c>
      <c r="B70" s="78" t="s">
        <v>126</v>
      </c>
      <c r="C70" s="78" t="s">
        <v>162</v>
      </c>
      <c r="D70" s="111">
        <v>376.2</v>
      </c>
      <c r="E70" s="112">
        <v>9795152</v>
      </c>
      <c r="F70" s="78"/>
      <c r="G70" s="79">
        <f t="shared" si="2"/>
        <v>9795152</v>
      </c>
      <c r="H70" s="79">
        <f>+G70</f>
        <v>9795152</v>
      </c>
      <c r="I70" s="114">
        <v>9</v>
      </c>
      <c r="J70" s="23">
        <v>44074</v>
      </c>
    </row>
    <row r="71" spans="1:14" x14ac:dyDescent="0.25">
      <c r="A71" s="77">
        <v>65</v>
      </c>
      <c r="B71" s="78" t="s">
        <v>126</v>
      </c>
      <c r="C71" s="78" t="s">
        <v>163</v>
      </c>
      <c r="D71" s="111">
        <v>378</v>
      </c>
      <c r="E71" s="112">
        <v>77932.33</v>
      </c>
      <c r="F71" s="78"/>
      <c r="G71" s="79">
        <f t="shared" si="2"/>
        <v>77932.33</v>
      </c>
      <c r="H71" s="79"/>
      <c r="I71" s="114"/>
      <c r="J71" s="128">
        <v>43860</v>
      </c>
      <c r="M71" s="103"/>
    </row>
    <row r="72" spans="1:14" x14ac:dyDescent="0.25">
      <c r="A72" s="77">
        <v>66</v>
      </c>
      <c r="B72" s="78" t="s">
        <v>126</v>
      </c>
      <c r="C72" s="78" t="s">
        <v>164</v>
      </c>
      <c r="D72" s="111">
        <v>378</v>
      </c>
      <c r="E72" s="112">
        <v>77959.740000000005</v>
      </c>
      <c r="F72" s="78"/>
      <c r="G72" s="79">
        <f t="shared" si="2"/>
        <v>77959.740000000005</v>
      </c>
      <c r="H72" s="79"/>
      <c r="I72" s="114"/>
      <c r="J72" s="128">
        <v>43860</v>
      </c>
    </row>
    <row r="73" spans="1:14" x14ac:dyDescent="0.25">
      <c r="A73" s="77">
        <v>67</v>
      </c>
      <c r="B73" s="78" t="s">
        <v>126</v>
      </c>
      <c r="C73" s="16" t="s">
        <v>165</v>
      </c>
      <c r="D73" s="111">
        <v>367.1</v>
      </c>
      <c r="E73" s="112">
        <f>75261.08+2363375.85</f>
        <v>2438636.9300000002</v>
      </c>
      <c r="F73" s="78"/>
      <c r="G73" s="79">
        <f>+E73</f>
        <v>2438636.9300000002</v>
      </c>
      <c r="H73" s="79"/>
      <c r="I73" s="114" t="s">
        <v>147</v>
      </c>
      <c r="J73" s="128">
        <v>44165</v>
      </c>
    </row>
    <row r="74" spans="1:14" x14ac:dyDescent="0.25">
      <c r="A74" s="77">
        <v>68</v>
      </c>
      <c r="B74" s="78" t="s">
        <v>126</v>
      </c>
      <c r="C74" s="16" t="s">
        <v>166</v>
      </c>
      <c r="D74" s="111">
        <v>376.2</v>
      </c>
      <c r="E74" s="112">
        <v>1526471.05</v>
      </c>
      <c r="F74" s="78"/>
      <c r="G74" s="79">
        <f t="shared" ref="G74:G145" si="3">+E74</f>
        <v>1526471.05</v>
      </c>
      <c r="H74" s="79">
        <f t="shared" ref="H74" si="4">+G74</f>
        <v>1526471.05</v>
      </c>
      <c r="I74" s="114">
        <v>10</v>
      </c>
      <c r="J74" s="23">
        <v>43850</v>
      </c>
    </row>
    <row r="75" spans="1:14" x14ac:dyDescent="0.25">
      <c r="A75" s="77">
        <v>69</v>
      </c>
      <c r="B75" s="78" t="s">
        <v>126</v>
      </c>
      <c r="C75" s="16" t="s">
        <v>167</v>
      </c>
      <c r="D75" s="111">
        <v>376.3</v>
      </c>
      <c r="E75" s="112">
        <v>441993.69</v>
      </c>
      <c r="F75" s="78"/>
      <c r="G75" s="79">
        <f t="shared" si="3"/>
        <v>441993.69</v>
      </c>
      <c r="H75" s="79"/>
      <c r="I75" s="114" t="s">
        <v>147</v>
      </c>
      <c r="J75" s="23">
        <v>43920</v>
      </c>
    </row>
    <row r="76" spans="1:14" x14ac:dyDescent="0.25">
      <c r="A76" s="77">
        <v>70</v>
      </c>
      <c r="B76" s="78" t="s">
        <v>126</v>
      </c>
      <c r="C76" s="16" t="s">
        <v>168</v>
      </c>
      <c r="D76" s="111">
        <v>380.3</v>
      </c>
      <c r="E76" s="112">
        <v>100949.38</v>
      </c>
      <c r="F76" s="78"/>
      <c r="G76" s="79">
        <f t="shared" si="3"/>
        <v>100949.38</v>
      </c>
      <c r="H76" s="79"/>
      <c r="I76" s="114" t="s">
        <v>147</v>
      </c>
      <c r="J76" s="23">
        <v>43920</v>
      </c>
    </row>
    <row r="77" spans="1:14" x14ac:dyDescent="0.25">
      <c r="A77" s="77">
        <v>71</v>
      </c>
      <c r="B77" s="78" t="s">
        <v>126</v>
      </c>
      <c r="C77" s="16" t="s">
        <v>169</v>
      </c>
      <c r="D77" s="111">
        <v>378</v>
      </c>
      <c r="E77" s="112">
        <v>136928</v>
      </c>
      <c r="F77" s="78"/>
      <c r="G77" s="79">
        <f t="shared" si="3"/>
        <v>136928</v>
      </c>
      <c r="H77" s="79">
        <f>+G77</f>
        <v>136928</v>
      </c>
      <c r="I77" s="114">
        <v>12</v>
      </c>
      <c r="J77" s="23">
        <v>44074</v>
      </c>
    </row>
    <row r="78" spans="1:14" x14ac:dyDescent="0.25">
      <c r="A78" s="77">
        <v>72</v>
      </c>
      <c r="B78" s="78" t="s">
        <v>126</v>
      </c>
      <c r="C78" s="16" t="s">
        <v>170</v>
      </c>
      <c r="D78" s="111">
        <v>378</v>
      </c>
      <c r="E78" s="112">
        <v>324.69</v>
      </c>
      <c r="F78" s="78"/>
      <c r="G78" s="79">
        <f t="shared" si="3"/>
        <v>324.69</v>
      </c>
      <c r="H78" s="79"/>
      <c r="I78" s="114"/>
      <c r="J78" s="23">
        <v>44012</v>
      </c>
    </row>
    <row r="79" spans="1:14" x14ac:dyDescent="0.25">
      <c r="A79" s="77">
        <v>73</v>
      </c>
      <c r="B79" s="78" t="s">
        <v>126</v>
      </c>
      <c r="C79" s="16" t="s">
        <v>58</v>
      </c>
      <c r="D79" s="111">
        <v>376.3</v>
      </c>
      <c r="E79" s="112">
        <v>639913.04</v>
      </c>
      <c r="F79" s="78"/>
      <c r="G79" s="79">
        <f t="shared" si="3"/>
        <v>639913.04</v>
      </c>
      <c r="H79" s="79">
        <f>+G79</f>
        <v>639913.04</v>
      </c>
      <c r="I79" s="114">
        <v>27</v>
      </c>
      <c r="J79" s="23">
        <v>44196</v>
      </c>
    </row>
    <row r="80" spans="1:14" x14ac:dyDescent="0.25">
      <c r="A80" s="77">
        <v>74</v>
      </c>
      <c r="B80" s="78" t="s">
        <v>126</v>
      </c>
      <c r="C80" s="16" t="s">
        <v>171</v>
      </c>
      <c r="D80" s="111">
        <v>376</v>
      </c>
      <c r="E80" s="112">
        <v>122698.76</v>
      </c>
      <c r="F80" s="78"/>
      <c r="G80" s="79">
        <f t="shared" si="3"/>
        <v>122698.76</v>
      </c>
      <c r="H80" s="79"/>
      <c r="I80" s="114"/>
      <c r="J80" s="23">
        <v>44196</v>
      </c>
    </row>
    <row r="81" spans="1:10" x14ac:dyDescent="0.25">
      <c r="A81" s="77">
        <v>75</v>
      </c>
      <c r="B81" s="78" t="s">
        <v>126</v>
      </c>
      <c r="C81" s="16" t="s">
        <v>59</v>
      </c>
      <c r="D81" s="111">
        <v>380.3</v>
      </c>
      <c r="E81" s="112">
        <v>951862.52</v>
      </c>
      <c r="F81" s="78"/>
      <c r="G81" s="79">
        <f t="shared" si="3"/>
        <v>951862.52</v>
      </c>
      <c r="H81" s="79">
        <f>+G81</f>
        <v>951862.52</v>
      </c>
      <c r="I81" s="114">
        <v>27</v>
      </c>
      <c r="J81" s="23">
        <v>44196</v>
      </c>
    </row>
    <row r="82" spans="1:10" x14ac:dyDescent="0.25">
      <c r="A82" s="77">
        <v>76</v>
      </c>
      <c r="B82" s="78" t="s">
        <v>126</v>
      </c>
      <c r="C82" s="16" t="s">
        <v>172</v>
      </c>
      <c r="D82" s="111">
        <v>380</v>
      </c>
      <c r="E82" s="112">
        <v>72198.240000000005</v>
      </c>
      <c r="F82" s="78"/>
      <c r="G82" s="79">
        <f t="shared" si="3"/>
        <v>72198.240000000005</v>
      </c>
      <c r="H82" s="79"/>
      <c r="I82" s="114"/>
      <c r="J82" s="23">
        <v>44196</v>
      </c>
    </row>
    <row r="83" spans="1:10" x14ac:dyDescent="0.25">
      <c r="A83" s="77">
        <v>77</v>
      </c>
      <c r="B83" s="78" t="s">
        <v>126</v>
      </c>
      <c r="C83" s="16" t="s">
        <v>60</v>
      </c>
      <c r="D83" s="111">
        <v>376.3</v>
      </c>
      <c r="E83" s="112">
        <v>79311</v>
      </c>
      <c r="F83" s="78"/>
      <c r="G83" s="79">
        <f t="shared" si="3"/>
        <v>79311</v>
      </c>
      <c r="H83" s="79">
        <f>+G83</f>
        <v>79311</v>
      </c>
      <c r="I83" s="114">
        <v>27</v>
      </c>
      <c r="J83" s="23">
        <v>44196</v>
      </c>
    </row>
    <row r="84" spans="1:10" x14ac:dyDescent="0.25">
      <c r="A84" s="77">
        <v>78</v>
      </c>
      <c r="B84" s="78" t="s">
        <v>126</v>
      </c>
      <c r="C84" s="16" t="s">
        <v>173</v>
      </c>
      <c r="D84" s="111">
        <v>376</v>
      </c>
      <c r="E84" s="112">
        <v>35499.24</v>
      </c>
      <c r="F84" s="78"/>
      <c r="G84" s="79">
        <f t="shared" si="3"/>
        <v>35499.24</v>
      </c>
      <c r="H84" s="79"/>
      <c r="I84" s="114"/>
      <c r="J84" s="23">
        <v>44196</v>
      </c>
    </row>
    <row r="85" spans="1:10" x14ac:dyDescent="0.25">
      <c r="A85" s="77">
        <v>79</v>
      </c>
      <c r="B85" s="78" t="s">
        <v>126</v>
      </c>
      <c r="C85" s="16" t="s">
        <v>61</v>
      </c>
      <c r="D85" s="111">
        <v>380.3</v>
      </c>
      <c r="E85" s="112">
        <v>133027.99</v>
      </c>
      <c r="F85" s="78"/>
      <c r="G85" s="79">
        <f t="shared" si="3"/>
        <v>133027.99</v>
      </c>
      <c r="H85" s="79">
        <f>+G85</f>
        <v>133027.99</v>
      </c>
      <c r="I85" s="114">
        <v>27</v>
      </c>
      <c r="J85" s="23">
        <v>44196</v>
      </c>
    </row>
    <row r="86" spans="1:10" x14ac:dyDescent="0.25">
      <c r="A86" s="77">
        <v>80</v>
      </c>
      <c r="B86" s="78" t="s">
        <v>126</v>
      </c>
      <c r="C86" s="16" t="s">
        <v>174</v>
      </c>
      <c r="D86" s="111">
        <v>380</v>
      </c>
      <c r="E86" s="112">
        <v>75135.570000000007</v>
      </c>
      <c r="F86" s="78"/>
      <c r="G86" s="79">
        <f t="shared" si="3"/>
        <v>75135.570000000007</v>
      </c>
      <c r="H86" s="79"/>
      <c r="I86" s="114"/>
      <c r="J86" s="23">
        <v>44196</v>
      </c>
    </row>
    <row r="87" spans="1:10" x14ac:dyDescent="0.25">
      <c r="A87" s="77">
        <v>81</v>
      </c>
      <c r="B87" s="78" t="s">
        <v>126</v>
      </c>
      <c r="C87" s="16" t="s">
        <v>62</v>
      </c>
      <c r="D87" s="111">
        <v>376.3</v>
      </c>
      <c r="E87" s="112">
        <v>800173.4</v>
      </c>
      <c r="F87" s="78"/>
      <c r="G87" s="79">
        <f t="shared" si="3"/>
        <v>800173.4</v>
      </c>
      <c r="H87" s="79">
        <f>+G87</f>
        <v>800173.4</v>
      </c>
      <c r="I87" s="114">
        <v>27</v>
      </c>
      <c r="J87" s="23">
        <v>44196</v>
      </c>
    </row>
    <row r="88" spans="1:10" x14ac:dyDescent="0.25">
      <c r="A88" s="77">
        <v>82</v>
      </c>
      <c r="B88" s="78" t="s">
        <v>126</v>
      </c>
      <c r="C88" s="16" t="s">
        <v>175</v>
      </c>
      <c r="D88" s="111">
        <v>376</v>
      </c>
      <c r="E88" s="112">
        <v>270033.86</v>
      </c>
      <c r="F88" s="78"/>
      <c r="G88" s="79">
        <f t="shared" si="3"/>
        <v>270033.86</v>
      </c>
      <c r="H88" s="79"/>
      <c r="I88" s="114"/>
      <c r="J88" s="23">
        <v>44196</v>
      </c>
    </row>
    <row r="89" spans="1:10" x14ac:dyDescent="0.25">
      <c r="A89" s="77">
        <v>83</v>
      </c>
      <c r="B89" s="78" t="s">
        <v>126</v>
      </c>
      <c r="C89" s="16" t="s">
        <v>63</v>
      </c>
      <c r="D89" s="111">
        <v>380.3</v>
      </c>
      <c r="E89" s="112">
        <v>1330260</v>
      </c>
      <c r="F89" s="78"/>
      <c r="G89" s="79">
        <f t="shared" si="3"/>
        <v>1330260</v>
      </c>
      <c r="H89" s="79">
        <f>+G89</f>
        <v>1330260</v>
      </c>
      <c r="I89" s="114">
        <v>27</v>
      </c>
      <c r="J89" s="23">
        <v>44196</v>
      </c>
    </row>
    <row r="90" spans="1:10" x14ac:dyDescent="0.25">
      <c r="A90" s="77">
        <v>84</v>
      </c>
      <c r="B90" s="78" t="s">
        <v>126</v>
      </c>
      <c r="C90" s="16" t="s">
        <v>176</v>
      </c>
      <c r="D90" s="111">
        <v>380</v>
      </c>
      <c r="E90" s="112">
        <v>65462.16</v>
      </c>
      <c r="F90" s="78"/>
      <c r="G90" s="79">
        <f t="shared" si="3"/>
        <v>65462.16</v>
      </c>
      <c r="H90" s="79"/>
      <c r="I90" s="114"/>
      <c r="J90" s="23">
        <v>44196</v>
      </c>
    </row>
    <row r="91" spans="1:10" x14ac:dyDescent="0.25">
      <c r="A91" s="77">
        <v>85</v>
      </c>
      <c r="B91" s="78" t="s">
        <v>126</v>
      </c>
      <c r="C91" s="16" t="s">
        <v>64</v>
      </c>
      <c r="D91" s="111">
        <v>376.3</v>
      </c>
      <c r="E91" s="112">
        <v>484622.4</v>
      </c>
      <c r="F91" s="78"/>
      <c r="G91" s="79">
        <f t="shared" si="3"/>
        <v>484622.4</v>
      </c>
      <c r="H91" s="79">
        <f>+G91</f>
        <v>484622.4</v>
      </c>
      <c r="I91" s="114">
        <v>27</v>
      </c>
      <c r="J91" s="23">
        <v>44196</v>
      </c>
    </row>
    <row r="92" spans="1:10" x14ac:dyDescent="0.25">
      <c r="A92" s="77">
        <v>86</v>
      </c>
      <c r="B92" s="78" t="s">
        <v>126</v>
      </c>
      <c r="C92" s="16" t="s">
        <v>177</v>
      </c>
      <c r="D92" s="111">
        <v>376</v>
      </c>
      <c r="E92" s="112">
        <v>149164.20000000001</v>
      </c>
      <c r="F92" s="78"/>
      <c r="G92" s="79">
        <f t="shared" si="3"/>
        <v>149164.20000000001</v>
      </c>
      <c r="H92" s="79"/>
      <c r="I92" s="114"/>
      <c r="J92" s="23">
        <v>44196</v>
      </c>
    </row>
    <row r="93" spans="1:10" x14ac:dyDescent="0.25">
      <c r="A93" s="77">
        <v>87</v>
      </c>
      <c r="B93" s="78" t="s">
        <v>126</v>
      </c>
      <c r="C93" s="16" t="s">
        <v>65</v>
      </c>
      <c r="D93" s="111">
        <v>380.3</v>
      </c>
      <c r="E93" s="112">
        <v>447800.6</v>
      </c>
      <c r="F93" s="78"/>
      <c r="G93" s="79">
        <f t="shared" si="3"/>
        <v>447800.6</v>
      </c>
      <c r="H93" s="79">
        <f>+G93</f>
        <v>447800.6</v>
      </c>
      <c r="I93" s="114">
        <v>27</v>
      </c>
      <c r="J93" s="23">
        <v>44196</v>
      </c>
    </row>
    <row r="94" spans="1:10" x14ac:dyDescent="0.25">
      <c r="A94" s="77">
        <v>88</v>
      </c>
      <c r="B94" s="78" t="s">
        <v>126</v>
      </c>
      <c r="C94" s="16" t="s">
        <v>178</v>
      </c>
      <c r="D94" s="111">
        <v>380</v>
      </c>
      <c r="E94" s="112">
        <v>74578.679999999993</v>
      </c>
      <c r="F94" s="78"/>
      <c r="G94" s="79">
        <f t="shared" si="3"/>
        <v>74578.679999999993</v>
      </c>
      <c r="H94" s="79"/>
      <c r="I94" s="114"/>
      <c r="J94" s="23">
        <v>44196</v>
      </c>
    </row>
    <row r="95" spans="1:10" x14ac:dyDescent="0.25">
      <c r="A95" s="77">
        <v>89</v>
      </c>
      <c r="B95" s="78" t="s">
        <v>126</v>
      </c>
      <c r="C95" s="16" t="s">
        <v>66</v>
      </c>
      <c r="D95" s="111">
        <v>376.3</v>
      </c>
      <c r="E95" s="112">
        <f>62.26+1294410.92</f>
        <v>1294473.18</v>
      </c>
      <c r="F95" s="78"/>
      <c r="G95" s="79">
        <f t="shared" si="3"/>
        <v>1294473.18</v>
      </c>
      <c r="H95" s="79">
        <f>+E95</f>
        <v>1294473.18</v>
      </c>
      <c r="I95" s="114">
        <v>27</v>
      </c>
      <c r="J95" s="23">
        <v>44196</v>
      </c>
    </row>
    <row r="96" spans="1:10" x14ac:dyDescent="0.25">
      <c r="A96" s="77">
        <v>90</v>
      </c>
      <c r="B96" s="78" t="s">
        <v>126</v>
      </c>
      <c r="C96" s="16" t="s">
        <v>179</v>
      </c>
      <c r="D96" s="129">
        <v>376</v>
      </c>
      <c r="E96" s="131">
        <v>126071.52</v>
      </c>
      <c r="F96" s="78"/>
      <c r="G96" s="79">
        <f t="shared" si="3"/>
        <v>126071.52</v>
      </c>
      <c r="H96" s="79"/>
      <c r="I96" s="114"/>
      <c r="J96" s="128">
        <v>44196</v>
      </c>
    </row>
    <row r="97" spans="1:10" x14ac:dyDescent="0.25">
      <c r="A97" s="77">
        <v>91</v>
      </c>
      <c r="B97" s="78" t="s">
        <v>126</v>
      </c>
      <c r="C97" s="16" t="s">
        <v>67</v>
      </c>
      <c r="D97" s="129">
        <v>380.3</v>
      </c>
      <c r="E97" s="131">
        <v>1568619.36</v>
      </c>
      <c r="F97" s="78"/>
      <c r="G97" s="79">
        <f t="shared" si="3"/>
        <v>1568619.36</v>
      </c>
      <c r="H97" s="79">
        <f>+E97</f>
        <v>1568619.36</v>
      </c>
      <c r="I97" s="114">
        <v>27</v>
      </c>
      <c r="J97" s="128">
        <v>44196</v>
      </c>
    </row>
    <row r="98" spans="1:10" x14ac:dyDescent="0.25">
      <c r="A98" s="77">
        <v>92</v>
      </c>
      <c r="B98" s="78" t="s">
        <v>126</v>
      </c>
      <c r="C98" s="16" t="s">
        <v>180</v>
      </c>
      <c r="D98" s="129">
        <v>380</v>
      </c>
      <c r="E98" s="131">
        <v>74578.679999999993</v>
      </c>
      <c r="F98" s="78"/>
      <c r="G98" s="79">
        <f t="shared" si="3"/>
        <v>74578.679999999993</v>
      </c>
      <c r="H98" s="79"/>
      <c r="I98" s="114"/>
      <c r="J98" s="128">
        <v>44196</v>
      </c>
    </row>
    <row r="99" spans="1:10" x14ac:dyDescent="0.25">
      <c r="A99" s="77">
        <v>93</v>
      </c>
      <c r="B99" s="78" t="s">
        <v>126</v>
      </c>
      <c r="C99" s="16" t="s">
        <v>68</v>
      </c>
      <c r="D99" s="111">
        <v>376.3</v>
      </c>
      <c r="E99" s="112">
        <f>1976.8+1394533.32</f>
        <v>1396510.12</v>
      </c>
      <c r="F99" s="78"/>
      <c r="G99" s="79">
        <f t="shared" si="3"/>
        <v>1396510.12</v>
      </c>
      <c r="H99" s="79">
        <f>+E99</f>
        <v>1396510.12</v>
      </c>
      <c r="I99" s="114">
        <v>27</v>
      </c>
      <c r="J99" s="23">
        <v>44196</v>
      </c>
    </row>
    <row r="100" spans="1:10" x14ac:dyDescent="0.25">
      <c r="A100" s="77">
        <v>94</v>
      </c>
      <c r="B100" s="78" t="s">
        <v>126</v>
      </c>
      <c r="C100" s="16" t="s">
        <v>181</v>
      </c>
      <c r="D100" s="111">
        <v>376</v>
      </c>
      <c r="E100" s="112">
        <v>54857.760000000002</v>
      </c>
      <c r="F100" s="78"/>
      <c r="G100" s="79">
        <f t="shared" si="3"/>
        <v>54857.760000000002</v>
      </c>
      <c r="H100" s="79"/>
      <c r="I100" s="114"/>
      <c r="J100" s="23">
        <v>44196</v>
      </c>
    </row>
    <row r="101" spans="1:10" x14ac:dyDescent="0.25">
      <c r="A101" s="77">
        <v>95</v>
      </c>
      <c r="B101" s="78" t="s">
        <v>126</v>
      </c>
      <c r="C101" s="16" t="s">
        <v>69</v>
      </c>
      <c r="D101" s="111">
        <v>380.3</v>
      </c>
      <c r="E101" s="112">
        <v>2118035.96</v>
      </c>
      <c r="F101" s="78"/>
      <c r="G101" s="79">
        <f t="shared" si="3"/>
        <v>2118035.96</v>
      </c>
      <c r="H101" s="79">
        <f>+G101</f>
        <v>2118035.96</v>
      </c>
      <c r="I101" s="114">
        <v>27</v>
      </c>
      <c r="J101" s="23">
        <v>44196</v>
      </c>
    </row>
    <row r="102" spans="1:10" x14ac:dyDescent="0.25">
      <c r="A102" s="77">
        <v>96</v>
      </c>
      <c r="B102" s="78" t="s">
        <v>126</v>
      </c>
      <c r="C102" s="16" t="s">
        <v>182</v>
      </c>
      <c r="D102" s="111">
        <v>380</v>
      </c>
      <c r="E102" s="112">
        <v>74578.679999999993</v>
      </c>
      <c r="F102" s="78"/>
      <c r="G102" s="79">
        <f t="shared" si="3"/>
        <v>74578.679999999993</v>
      </c>
      <c r="H102" s="79"/>
      <c r="I102" s="114"/>
      <c r="J102" s="23">
        <v>44196</v>
      </c>
    </row>
    <row r="103" spans="1:10" x14ac:dyDescent="0.25">
      <c r="A103" s="77">
        <v>97</v>
      </c>
      <c r="B103" s="78" t="s">
        <v>126</v>
      </c>
      <c r="C103" s="16" t="s">
        <v>70</v>
      </c>
      <c r="D103" s="111">
        <v>376.3</v>
      </c>
      <c r="E103" s="112">
        <v>255366.68</v>
      </c>
      <c r="F103" s="78"/>
      <c r="G103" s="79">
        <f t="shared" si="3"/>
        <v>255366.68</v>
      </c>
      <c r="H103" s="79">
        <f>+G103</f>
        <v>255366.68</v>
      </c>
      <c r="I103" s="114">
        <v>27</v>
      </c>
      <c r="J103" s="23">
        <v>44196</v>
      </c>
    </row>
    <row r="104" spans="1:10" x14ac:dyDescent="0.25">
      <c r="A104" s="77">
        <v>98</v>
      </c>
      <c r="B104" s="78" t="s">
        <v>126</v>
      </c>
      <c r="C104" s="16" t="s">
        <v>183</v>
      </c>
      <c r="D104" s="111">
        <v>376</v>
      </c>
      <c r="E104" s="112">
        <v>100812.24</v>
      </c>
      <c r="F104" s="78"/>
      <c r="G104" s="79">
        <f t="shared" si="3"/>
        <v>100812.24</v>
      </c>
      <c r="H104" s="79"/>
      <c r="I104" s="114"/>
      <c r="J104" s="23">
        <v>44196</v>
      </c>
    </row>
    <row r="105" spans="1:10" x14ac:dyDescent="0.25">
      <c r="A105" s="77">
        <v>99</v>
      </c>
      <c r="B105" s="78" t="s">
        <v>126</v>
      </c>
      <c r="C105" s="16" t="s">
        <v>71</v>
      </c>
      <c r="D105" s="111">
        <v>380.3</v>
      </c>
      <c r="E105" s="112">
        <v>884722.06</v>
      </c>
      <c r="F105" s="78"/>
      <c r="G105" s="79">
        <f t="shared" si="3"/>
        <v>884722.06</v>
      </c>
      <c r="H105" s="79">
        <f>+G105</f>
        <v>884722.06</v>
      </c>
      <c r="I105" s="114">
        <v>27</v>
      </c>
      <c r="J105" s="23">
        <v>44196</v>
      </c>
    </row>
    <row r="106" spans="1:10" x14ac:dyDescent="0.25">
      <c r="A106" s="77">
        <v>100</v>
      </c>
      <c r="B106" s="78" t="s">
        <v>126</v>
      </c>
      <c r="C106" s="16" t="s">
        <v>184</v>
      </c>
      <c r="D106" s="111">
        <v>380</v>
      </c>
      <c r="E106" s="112">
        <v>74578.679999999993</v>
      </c>
      <c r="F106" s="78"/>
      <c r="G106" s="79">
        <f t="shared" si="3"/>
        <v>74578.679999999993</v>
      </c>
      <c r="H106" s="79"/>
      <c r="I106" s="114"/>
      <c r="J106" s="23">
        <v>44196</v>
      </c>
    </row>
    <row r="107" spans="1:10" x14ac:dyDescent="0.25">
      <c r="A107" s="77">
        <v>101</v>
      </c>
      <c r="B107" s="78" t="s">
        <v>126</v>
      </c>
      <c r="C107" s="16" t="s">
        <v>72</v>
      </c>
      <c r="D107" s="111">
        <v>376.3</v>
      </c>
      <c r="E107" s="112">
        <v>613354.97</v>
      </c>
      <c r="F107" s="78"/>
      <c r="G107" s="79">
        <f t="shared" si="3"/>
        <v>613354.97</v>
      </c>
      <c r="H107" s="79">
        <f>+G107</f>
        <v>613354.97</v>
      </c>
      <c r="I107" s="114">
        <v>27</v>
      </c>
      <c r="J107" s="23">
        <v>44196</v>
      </c>
    </row>
    <row r="108" spans="1:10" x14ac:dyDescent="0.25">
      <c r="A108" s="77">
        <v>102</v>
      </c>
      <c r="B108" s="78" t="s">
        <v>126</v>
      </c>
      <c r="C108" s="16" t="s">
        <v>185</v>
      </c>
      <c r="D108" s="111">
        <v>376</v>
      </c>
      <c r="E108" s="112">
        <v>97392.48</v>
      </c>
      <c r="F108" s="78"/>
      <c r="G108" s="79">
        <f t="shared" si="3"/>
        <v>97392.48</v>
      </c>
      <c r="H108" s="79"/>
      <c r="I108" s="114"/>
      <c r="J108" s="23">
        <v>44196</v>
      </c>
    </row>
    <row r="109" spans="1:10" x14ac:dyDescent="0.25">
      <c r="A109" s="77">
        <v>103</v>
      </c>
      <c r="B109" s="78" t="s">
        <v>126</v>
      </c>
      <c r="C109" s="16" t="s">
        <v>73</v>
      </c>
      <c r="D109" s="111">
        <v>380.3</v>
      </c>
      <c r="E109" s="112">
        <v>1801553.41</v>
      </c>
      <c r="F109" s="78"/>
      <c r="G109" s="79">
        <f t="shared" si="3"/>
        <v>1801553.41</v>
      </c>
      <c r="H109" s="79">
        <f>+G109</f>
        <v>1801553.41</v>
      </c>
      <c r="I109" s="114">
        <v>27</v>
      </c>
      <c r="J109" s="23">
        <v>44196</v>
      </c>
    </row>
    <row r="110" spans="1:10" x14ac:dyDescent="0.25">
      <c r="A110" s="77">
        <v>104</v>
      </c>
      <c r="B110" s="78" t="s">
        <v>126</v>
      </c>
      <c r="C110" s="16" t="s">
        <v>186</v>
      </c>
      <c r="D110" s="111">
        <v>380</v>
      </c>
      <c r="E110" s="112">
        <v>74578.679999999993</v>
      </c>
      <c r="F110" s="78"/>
      <c r="G110" s="79">
        <f t="shared" si="3"/>
        <v>74578.679999999993</v>
      </c>
      <c r="H110" s="79"/>
      <c r="I110" s="114"/>
      <c r="J110" s="23">
        <v>44196</v>
      </c>
    </row>
    <row r="111" spans="1:10" x14ac:dyDescent="0.25">
      <c r="A111" s="77">
        <v>105</v>
      </c>
      <c r="B111" s="78" t="s">
        <v>126</v>
      </c>
      <c r="C111" s="16" t="s">
        <v>187</v>
      </c>
      <c r="D111" s="111">
        <v>394</v>
      </c>
      <c r="E111" s="112">
        <v>88997.82</v>
      </c>
      <c r="F111" s="78"/>
      <c r="G111" s="79">
        <f t="shared" si="3"/>
        <v>88997.82</v>
      </c>
      <c r="H111" s="79"/>
      <c r="I111" s="114"/>
      <c r="J111" s="23">
        <v>44196</v>
      </c>
    </row>
    <row r="112" spans="1:10" x14ac:dyDescent="0.25">
      <c r="A112" s="77">
        <v>106</v>
      </c>
      <c r="B112" s="78" t="s">
        <v>126</v>
      </c>
      <c r="C112" s="16" t="s">
        <v>74</v>
      </c>
      <c r="D112" s="111">
        <v>376.3</v>
      </c>
      <c r="E112" s="112">
        <v>1417842.72</v>
      </c>
      <c r="F112" s="78"/>
      <c r="G112" s="79">
        <f t="shared" si="3"/>
        <v>1417842.72</v>
      </c>
      <c r="H112" s="79">
        <f>+G112</f>
        <v>1417842.72</v>
      </c>
      <c r="I112" s="114">
        <v>27</v>
      </c>
      <c r="J112" s="23">
        <v>44196</v>
      </c>
    </row>
    <row r="113" spans="1:10" x14ac:dyDescent="0.25">
      <c r="A113" s="77">
        <v>107</v>
      </c>
      <c r="B113" s="78" t="s">
        <v>126</v>
      </c>
      <c r="C113" s="16" t="s">
        <v>188</v>
      </c>
      <c r="D113" s="111">
        <v>376</v>
      </c>
      <c r="E113" s="112">
        <v>145471.79999999999</v>
      </c>
      <c r="F113" s="78"/>
      <c r="G113" s="79">
        <f t="shared" si="3"/>
        <v>145471.79999999999</v>
      </c>
      <c r="H113" s="79"/>
      <c r="I113" s="114"/>
      <c r="J113" s="23">
        <v>44196</v>
      </c>
    </row>
    <row r="114" spans="1:10" x14ac:dyDescent="0.25">
      <c r="A114" s="77">
        <v>108</v>
      </c>
      <c r="B114" s="78" t="s">
        <v>126</v>
      </c>
      <c r="C114" s="16" t="s">
        <v>75</v>
      </c>
      <c r="D114" s="111">
        <v>380.3</v>
      </c>
      <c r="E114" s="112">
        <v>2952964.66</v>
      </c>
      <c r="F114" s="78"/>
      <c r="G114" s="79">
        <f t="shared" si="3"/>
        <v>2952964.66</v>
      </c>
      <c r="H114" s="79">
        <f>+G114</f>
        <v>2952964.66</v>
      </c>
      <c r="I114" s="114">
        <v>27</v>
      </c>
      <c r="J114" s="23">
        <v>44196</v>
      </c>
    </row>
    <row r="115" spans="1:10" x14ac:dyDescent="0.25">
      <c r="A115" s="77">
        <v>109</v>
      </c>
      <c r="B115" s="78" t="s">
        <v>126</v>
      </c>
      <c r="C115" s="16" t="s">
        <v>189</v>
      </c>
      <c r="D115" s="111">
        <v>380</v>
      </c>
      <c r="E115" s="112">
        <v>72740.759999999995</v>
      </c>
      <c r="F115" s="78"/>
      <c r="G115" s="79">
        <f t="shared" si="3"/>
        <v>72740.759999999995</v>
      </c>
      <c r="H115" s="79"/>
      <c r="I115" s="114"/>
      <c r="J115" s="23">
        <v>44196</v>
      </c>
    </row>
    <row r="116" spans="1:10" x14ac:dyDescent="0.25">
      <c r="A116" s="77">
        <v>110</v>
      </c>
      <c r="B116" s="78" t="s">
        <v>126</v>
      </c>
      <c r="C116" s="16" t="s">
        <v>190</v>
      </c>
      <c r="D116" s="111">
        <v>376</v>
      </c>
      <c r="E116" s="112">
        <v>296950</v>
      </c>
      <c r="F116" s="78"/>
      <c r="G116" s="79">
        <f t="shared" si="3"/>
        <v>296950</v>
      </c>
      <c r="H116" s="79"/>
      <c r="I116" s="114"/>
      <c r="J116" s="23">
        <v>44196</v>
      </c>
    </row>
    <row r="117" spans="1:10" x14ac:dyDescent="0.25">
      <c r="A117" s="77">
        <v>111</v>
      </c>
      <c r="B117" s="78" t="s">
        <v>126</v>
      </c>
      <c r="C117" s="16" t="s">
        <v>191</v>
      </c>
      <c r="D117" s="111">
        <v>376.3</v>
      </c>
      <c r="E117" s="112">
        <v>5004463.92</v>
      </c>
      <c r="F117" s="78"/>
      <c r="G117" s="79">
        <f t="shared" si="3"/>
        <v>5004463.92</v>
      </c>
      <c r="H117" s="79"/>
      <c r="I117" s="114"/>
      <c r="J117" s="23">
        <v>44196</v>
      </c>
    </row>
    <row r="118" spans="1:10" x14ac:dyDescent="0.25">
      <c r="A118" s="77">
        <v>112</v>
      </c>
      <c r="B118" s="78" t="s">
        <v>126</v>
      </c>
      <c r="C118" s="16" t="s">
        <v>192</v>
      </c>
      <c r="D118" s="111">
        <v>380</v>
      </c>
      <c r="E118" s="112">
        <v>4410563.92</v>
      </c>
      <c r="F118" s="78"/>
      <c r="G118" s="79">
        <f t="shared" si="3"/>
        <v>4410563.92</v>
      </c>
      <c r="H118" s="79"/>
      <c r="I118" s="114"/>
      <c r="J118" s="23">
        <v>44196</v>
      </c>
    </row>
    <row r="119" spans="1:10" x14ac:dyDescent="0.25">
      <c r="A119" s="77">
        <v>113</v>
      </c>
      <c r="B119" s="78" t="s">
        <v>126</v>
      </c>
      <c r="C119" s="16" t="s">
        <v>193</v>
      </c>
      <c r="D119" s="111">
        <v>380.3</v>
      </c>
      <c r="E119" s="112">
        <v>71392.820000000007</v>
      </c>
      <c r="F119" s="78"/>
      <c r="G119" s="79">
        <f t="shared" si="3"/>
        <v>71392.820000000007</v>
      </c>
      <c r="H119" s="79"/>
      <c r="I119" s="114" t="s">
        <v>147</v>
      </c>
      <c r="J119" s="23">
        <v>43831</v>
      </c>
    </row>
    <row r="120" spans="1:10" x14ac:dyDescent="0.25">
      <c r="A120" s="77">
        <v>114</v>
      </c>
      <c r="B120" s="78" t="s">
        <v>126</v>
      </c>
      <c r="C120" s="16" t="s">
        <v>194</v>
      </c>
      <c r="D120" s="111">
        <v>376.3</v>
      </c>
      <c r="E120" s="112">
        <v>433146.02</v>
      </c>
      <c r="F120" s="78"/>
      <c r="G120" s="79">
        <f t="shared" si="3"/>
        <v>433146.02</v>
      </c>
      <c r="H120" s="79">
        <f>+G120</f>
        <v>433146.02</v>
      </c>
      <c r="I120" s="114">
        <v>14</v>
      </c>
      <c r="J120" s="23">
        <v>44042</v>
      </c>
    </row>
    <row r="121" spans="1:10" x14ac:dyDescent="0.25">
      <c r="A121" s="77">
        <v>115</v>
      </c>
      <c r="B121" s="78" t="s">
        <v>126</v>
      </c>
      <c r="C121" s="16" t="s">
        <v>195</v>
      </c>
      <c r="D121" s="111">
        <v>378</v>
      </c>
      <c r="E121" s="112">
        <v>177166.29</v>
      </c>
      <c r="F121" s="78"/>
      <c r="G121" s="79">
        <f t="shared" si="3"/>
        <v>177166.29</v>
      </c>
      <c r="H121" s="79">
        <f>+G121</f>
        <v>177166.29</v>
      </c>
      <c r="I121" s="114">
        <v>15</v>
      </c>
      <c r="J121" s="23">
        <v>44104</v>
      </c>
    </row>
    <row r="122" spans="1:10" x14ac:dyDescent="0.25">
      <c r="A122" s="77">
        <v>116</v>
      </c>
      <c r="B122" s="78" t="s">
        <v>126</v>
      </c>
      <c r="C122" s="16" t="s">
        <v>196</v>
      </c>
      <c r="D122" s="111">
        <v>376.3</v>
      </c>
      <c r="E122" s="112">
        <v>125671.29</v>
      </c>
      <c r="F122" s="78"/>
      <c r="G122" s="79">
        <f t="shared" si="3"/>
        <v>125671.29</v>
      </c>
      <c r="H122" s="79">
        <f t="shared" ref="H122:H130" si="5">+G122</f>
        <v>125671.29</v>
      </c>
      <c r="I122" s="114">
        <v>16</v>
      </c>
      <c r="J122" s="23">
        <v>44043</v>
      </c>
    </row>
    <row r="123" spans="1:10" x14ac:dyDescent="0.25">
      <c r="A123" s="77">
        <v>117</v>
      </c>
      <c r="B123" s="78" t="s">
        <v>126</v>
      </c>
      <c r="C123" s="16" t="s">
        <v>197</v>
      </c>
      <c r="D123" s="111">
        <v>376.1</v>
      </c>
      <c r="E123" s="112">
        <v>312625</v>
      </c>
      <c r="F123" s="78"/>
      <c r="G123" s="79">
        <f t="shared" si="3"/>
        <v>312625</v>
      </c>
      <c r="H123" s="79">
        <f t="shared" si="5"/>
        <v>312625</v>
      </c>
      <c r="I123" s="114">
        <v>17</v>
      </c>
      <c r="J123" s="23">
        <v>44165</v>
      </c>
    </row>
    <row r="124" spans="1:10" x14ac:dyDescent="0.25">
      <c r="A124" s="77">
        <v>118</v>
      </c>
      <c r="B124" s="78" t="s">
        <v>126</v>
      </c>
      <c r="C124" s="16" t="s">
        <v>198</v>
      </c>
      <c r="D124" s="111">
        <v>378</v>
      </c>
      <c r="E124" s="112">
        <v>352513.6</v>
      </c>
      <c r="F124" s="78"/>
      <c r="G124" s="79">
        <f t="shared" si="3"/>
        <v>352513.6</v>
      </c>
      <c r="H124" s="79">
        <f t="shared" si="5"/>
        <v>352513.6</v>
      </c>
      <c r="I124" s="114">
        <v>18</v>
      </c>
      <c r="J124" s="23">
        <v>44135</v>
      </c>
    </row>
    <row r="125" spans="1:10" x14ac:dyDescent="0.25">
      <c r="A125" s="77">
        <v>119</v>
      </c>
      <c r="B125" s="78" t="s">
        <v>126</v>
      </c>
      <c r="C125" s="16" t="s">
        <v>199</v>
      </c>
      <c r="D125" s="111">
        <v>378</v>
      </c>
      <c r="E125" s="112">
        <v>124719</v>
      </c>
      <c r="F125" s="78"/>
      <c r="G125" s="79">
        <f t="shared" si="3"/>
        <v>124719</v>
      </c>
      <c r="H125" s="79">
        <f t="shared" si="5"/>
        <v>124719</v>
      </c>
      <c r="I125" s="114">
        <v>19</v>
      </c>
      <c r="J125" s="23">
        <v>44155</v>
      </c>
    </row>
    <row r="126" spans="1:10" x14ac:dyDescent="0.25">
      <c r="A126" s="77">
        <v>120</v>
      </c>
      <c r="B126" s="78" t="s">
        <v>126</v>
      </c>
      <c r="C126" s="16" t="s">
        <v>200</v>
      </c>
      <c r="D126" s="111">
        <v>378</v>
      </c>
      <c r="E126" s="112">
        <v>124719</v>
      </c>
      <c r="F126" s="78"/>
      <c r="G126" s="79">
        <f t="shared" si="3"/>
        <v>124719</v>
      </c>
      <c r="H126" s="79">
        <f t="shared" si="5"/>
        <v>124719</v>
      </c>
      <c r="I126" s="114">
        <v>20</v>
      </c>
      <c r="J126" s="23">
        <v>44155</v>
      </c>
    </row>
    <row r="127" spans="1:10" x14ac:dyDescent="0.25">
      <c r="A127" s="77">
        <v>121</v>
      </c>
      <c r="B127" s="78" t="s">
        <v>126</v>
      </c>
      <c r="C127" s="16" t="s">
        <v>201</v>
      </c>
      <c r="D127" s="111">
        <v>378</v>
      </c>
      <c r="E127" s="112">
        <v>464483</v>
      </c>
      <c r="F127" s="78"/>
      <c r="G127" s="79">
        <f t="shared" si="3"/>
        <v>464483</v>
      </c>
      <c r="H127" s="79">
        <f t="shared" si="5"/>
        <v>464483</v>
      </c>
      <c r="I127" s="114">
        <v>22</v>
      </c>
      <c r="J127" s="23">
        <v>44165</v>
      </c>
    </row>
    <row r="128" spans="1:10" x14ac:dyDescent="0.25">
      <c r="A128" s="77">
        <v>122</v>
      </c>
      <c r="B128" s="78" t="s">
        <v>126</v>
      </c>
      <c r="C128" s="16" t="s">
        <v>202</v>
      </c>
      <c r="D128" s="111">
        <v>385</v>
      </c>
      <c r="E128" s="112">
        <v>58451</v>
      </c>
      <c r="F128" s="78"/>
      <c r="G128" s="79">
        <f t="shared" si="3"/>
        <v>58451</v>
      </c>
      <c r="H128" s="79"/>
      <c r="I128" s="114"/>
      <c r="J128" s="23">
        <v>44104</v>
      </c>
    </row>
    <row r="129" spans="1:10" x14ac:dyDescent="0.25">
      <c r="A129" s="77">
        <v>123</v>
      </c>
      <c r="B129" s="78" t="s">
        <v>126</v>
      </c>
      <c r="C129" s="16" t="s">
        <v>203</v>
      </c>
      <c r="D129" s="111">
        <v>378</v>
      </c>
      <c r="E129" s="112">
        <v>143033.60000000001</v>
      </c>
      <c r="F129" s="78"/>
      <c r="G129" s="79">
        <f t="shared" si="3"/>
        <v>143033.60000000001</v>
      </c>
      <c r="H129" s="79">
        <f t="shared" si="5"/>
        <v>143033.60000000001</v>
      </c>
      <c r="I129" s="114">
        <v>24</v>
      </c>
      <c r="J129" s="23">
        <v>44073</v>
      </c>
    </row>
    <row r="130" spans="1:10" x14ac:dyDescent="0.25">
      <c r="A130" s="77">
        <v>124</v>
      </c>
      <c r="B130" s="78" t="s">
        <v>126</v>
      </c>
      <c r="C130" s="16" t="s">
        <v>204</v>
      </c>
      <c r="D130" s="111">
        <v>378</v>
      </c>
      <c r="E130" s="112">
        <v>144470.20000000001</v>
      </c>
      <c r="F130" s="78"/>
      <c r="G130" s="79">
        <f t="shared" si="3"/>
        <v>144470.20000000001</v>
      </c>
      <c r="H130" s="79">
        <f t="shared" si="5"/>
        <v>144470.20000000001</v>
      </c>
      <c r="I130" s="114">
        <v>25</v>
      </c>
      <c r="J130" s="23">
        <v>44073</v>
      </c>
    </row>
    <row r="131" spans="1:10" x14ac:dyDescent="0.25">
      <c r="A131" s="77">
        <v>125</v>
      </c>
      <c r="B131" s="78" t="s">
        <v>126</v>
      </c>
      <c r="C131" s="16" t="s">
        <v>76</v>
      </c>
      <c r="D131" s="111">
        <v>376.2</v>
      </c>
      <c r="E131" s="112">
        <v>1725636</v>
      </c>
      <c r="F131" s="78"/>
      <c r="G131" s="79">
        <f t="shared" si="3"/>
        <v>1725636</v>
      </c>
      <c r="H131" s="79">
        <f>+G131</f>
        <v>1725636</v>
      </c>
      <c r="I131" s="114">
        <v>26</v>
      </c>
      <c r="J131" s="23">
        <v>44407</v>
      </c>
    </row>
    <row r="132" spans="1:10" x14ac:dyDescent="0.25">
      <c r="A132" s="77">
        <v>126</v>
      </c>
      <c r="B132" s="78" t="s">
        <v>126</v>
      </c>
      <c r="C132" s="16" t="s">
        <v>205</v>
      </c>
      <c r="D132" s="111">
        <v>376.3</v>
      </c>
      <c r="E132" s="112">
        <v>19400.099999999999</v>
      </c>
      <c r="F132" s="78"/>
      <c r="G132" s="79">
        <f t="shared" si="3"/>
        <v>19400.099999999999</v>
      </c>
      <c r="H132" s="79"/>
      <c r="I132" s="114"/>
      <c r="J132" s="23">
        <v>43889</v>
      </c>
    </row>
    <row r="133" spans="1:10" x14ac:dyDescent="0.25">
      <c r="A133" s="77">
        <v>127</v>
      </c>
      <c r="B133" s="78" t="s">
        <v>126</v>
      </c>
      <c r="C133" s="16" t="s">
        <v>206</v>
      </c>
      <c r="D133" s="111">
        <v>378</v>
      </c>
      <c r="E133" s="112">
        <v>5607.8</v>
      </c>
      <c r="F133" s="78"/>
      <c r="G133" s="79">
        <f t="shared" si="3"/>
        <v>5607.8</v>
      </c>
      <c r="H133" s="79"/>
      <c r="I133" s="114"/>
      <c r="J133" s="23">
        <v>44124</v>
      </c>
    </row>
    <row r="134" spans="1:10" x14ac:dyDescent="0.25">
      <c r="A134" s="77">
        <v>128</v>
      </c>
      <c r="B134" s="78" t="s">
        <v>126</v>
      </c>
      <c r="C134" s="16" t="s">
        <v>207</v>
      </c>
      <c r="D134" s="111">
        <v>378</v>
      </c>
      <c r="E134" s="112">
        <v>5845.1</v>
      </c>
      <c r="F134" s="78"/>
      <c r="G134" s="79">
        <f t="shared" si="3"/>
        <v>5845.1</v>
      </c>
      <c r="H134" s="79"/>
      <c r="I134" s="114"/>
      <c r="J134" s="23">
        <v>44094</v>
      </c>
    </row>
    <row r="135" spans="1:10" x14ac:dyDescent="0.25">
      <c r="A135" s="77">
        <v>129</v>
      </c>
      <c r="B135" s="78" t="s">
        <v>126</v>
      </c>
      <c r="C135" s="16" t="s">
        <v>208</v>
      </c>
      <c r="D135" s="111">
        <v>376.2</v>
      </c>
      <c r="E135" s="112">
        <v>1196019</v>
      </c>
      <c r="F135" s="78"/>
      <c r="G135" s="79">
        <f t="shared" si="3"/>
        <v>1196019</v>
      </c>
      <c r="H135" s="79"/>
      <c r="I135" s="114" t="s">
        <v>147</v>
      </c>
      <c r="J135" s="23">
        <v>44195</v>
      </c>
    </row>
    <row r="136" spans="1:10" x14ac:dyDescent="0.25">
      <c r="A136" s="77">
        <v>130</v>
      </c>
      <c r="B136" s="78" t="s">
        <v>126</v>
      </c>
      <c r="C136" s="16" t="s">
        <v>209</v>
      </c>
      <c r="D136" s="111">
        <v>376</v>
      </c>
      <c r="E136" s="112">
        <v>1178410</v>
      </c>
      <c r="F136" s="78"/>
      <c r="G136" s="79">
        <f t="shared" si="3"/>
        <v>1178410</v>
      </c>
      <c r="H136" s="79"/>
      <c r="I136" s="114"/>
      <c r="J136" s="23">
        <v>44196</v>
      </c>
    </row>
    <row r="137" spans="1:10" x14ac:dyDescent="0.25">
      <c r="A137" s="77">
        <v>131</v>
      </c>
      <c r="B137" s="78" t="s">
        <v>126</v>
      </c>
      <c r="C137" s="16" t="s">
        <v>210</v>
      </c>
      <c r="D137" s="111">
        <v>380</v>
      </c>
      <c r="E137" s="112">
        <v>128780</v>
      </c>
      <c r="F137" s="78"/>
      <c r="G137" s="79">
        <f t="shared" si="3"/>
        <v>128780</v>
      </c>
      <c r="H137" s="79"/>
      <c r="I137" s="114"/>
      <c r="J137" s="23">
        <v>44196</v>
      </c>
    </row>
    <row r="138" spans="1:10" x14ac:dyDescent="0.25">
      <c r="A138" s="77">
        <v>132</v>
      </c>
      <c r="B138" s="78" t="s">
        <v>126</v>
      </c>
      <c r="C138" s="16" t="s">
        <v>211</v>
      </c>
      <c r="D138" s="111">
        <v>376.3</v>
      </c>
      <c r="E138" s="112">
        <v>121015.44</v>
      </c>
      <c r="F138" s="78"/>
      <c r="G138" s="79">
        <f t="shared" si="3"/>
        <v>121015.44</v>
      </c>
      <c r="H138" s="79"/>
      <c r="I138" s="114"/>
      <c r="J138" s="23">
        <v>43936</v>
      </c>
    </row>
    <row r="139" spans="1:10" x14ac:dyDescent="0.25">
      <c r="A139" s="77">
        <v>133</v>
      </c>
      <c r="B139" s="78" t="s">
        <v>126</v>
      </c>
      <c r="C139" s="16" t="s">
        <v>212</v>
      </c>
      <c r="D139" s="111">
        <v>376.3</v>
      </c>
      <c r="E139" s="112">
        <v>169486.67</v>
      </c>
      <c r="F139" s="78"/>
      <c r="G139" s="79">
        <f t="shared" si="3"/>
        <v>169486.67</v>
      </c>
      <c r="H139" s="79"/>
      <c r="I139" s="114"/>
      <c r="J139" s="23">
        <v>43952</v>
      </c>
    </row>
    <row r="140" spans="1:10" x14ac:dyDescent="0.25">
      <c r="A140" s="77">
        <v>134</v>
      </c>
      <c r="B140" s="78" t="s">
        <v>126</v>
      </c>
      <c r="C140" s="78" t="s">
        <v>213</v>
      </c>
      <c r="D140" s="111">
        <v>376.3</v>
      </c>
      <c r="E140" s="112">
        <v>10487.23</v>
      </c>
      <c r="F140" s="78"/>
      <c r="G140" s="79">
        <f t="shared" si="3"/>
        <v>10487.23</v>
      </c>
      <c r="H140" s="79"/>
      <c r="I140" s="114"/>
      <c r="J140" s="128">
        <v>43981</v>
      </c>
    </row>
    <row r="141" spans="1:10" x14ac:dyDescent="0.25">
      <c r="A141" s="77">
        <v>135</v>
      </c>
      <c r="B141" s="78" t="s">
        <v>126</v>
      </c>
      <c r="C141" s="78" t="s">
        <v>214</v>
      </c>
      <c r="D141" s="111">
        <v>376.2</v>
      </c>
      <c r="E141" s="112">
        <v>16510.169999999998</v>
      </c>
      <c r="F141" s="78"/>
      <c r="G141" s="79">
        <f t="shared" si="3"/>
        <v>16510.169999999998</v>
      </c>
      <c r="H141" s="79"/>
      <c r="I141" s="114"/>
      <c r="J141" s="128">
        <v>44195</v>
      </c>
    </row>
    <row r="142" spans="1:10" x14ac:dyDescent="0.25">
      <c r="A142" s="77">
        <v>136</v>
      </c>
      <c r="B142" s="78" t="s">
        <v>126</v>
      </c>
      <c r="C142" s="78" t="s">
        <v>215</v>
      </c>
      <c r="D142" s="111">
        <v>376.3</v>
      </c>
      <c r="E142" s="112">
        <v>52336.62</v>
      </c>
      <c r="F142" s="78"/>
      <c r="G142" s="79">
        <f t="shared" si="3"/>
        <v>52336.62</v>
      </c>
      <c r="H142" s="79"/>
      <c r="I142" s="114"/>
      <c r="J142" s="128">
        <v>43981</v>
      </c>
    </row>
    <row r="143" spans="1:10" x14ac:dyDescent="0.25">
      <c r="A143" s="77">
        <v>137</v>
      </c>
      <c r="B143" s="78" t="s">
        <v>126</v>
      </c>
      <c r="C143" s="78" t="s">
        <v>216</v>
      </c>
      <c r="D143" s="111">
        <v>376.1</v>
      </c>
      <c r="E143" s="112">
        <v>1145.58</v>
      </c>
      <c r="F143" s="78"/>
      <c r="G143" s="79">
        <f t="shared" si="3"/>
        <v>1145.58</v>
      </c>
      <c r="H143" s="79"/>
      <c r="I143" s="114"/>
      <c r="J143" s="23">
        <v>43862</v>
      </c>
    </row>
    <row r="144" spans="1:10" x14ac:dyDescent="0.25">
      <c r="A144" s="77">
        <v>138</v>
      </c>
      <c r="B144" s="78" t="s">
        <v>126</v>
      </c>
      <c r="C144" s="78" t="s">
        <v>217</v>
      </c>
      <c r="D144" s="111">
        <v>376.3</v>
      </c>
      <c r="E144" s="112">
        <v>-87097.05</v>
      </c>
      <c r="F144" s="78"/>
      <c r="G144" s="79">
        <f t="shared" si="3"/>
        <v>-87097.05</v>
      </c>
      <c r="H144" s="79"/>
      <c r="I144" s="114"/>
      <c r="J144" s="128">
        <v>44155</v>
      </c>
    </row>
    <row r="145" spans="1:10" x14ac:dyDescent="0.25">
      <c r="A145" s="77">
        <v>139</v>
      </c>
      <c r="B145" s="78" t="s">
        <v>126</v>
      </c>
      <c r="C145" s="78" t="s">
        <v>218</v>
      </c>
      <c r="D145" s="111">
        <v>380.3</v>
      </c>
      <c r="E145" s="112">
        <v>-21795.91</v>
      </c>
      <c r="F145" s="78"/>
      <c r="G145" s="79">
        <f t="shared" si="3"/>
        <v>-21795.91</v>
      </c>
      <c r="H145" s="79"/>
      <c r="I145" s="114"/>
      <c r="J145" s="128">
        <v>44155</v>
      </c>
    </row>
    <row r="146" spans="1:10" x14ac:dyDescent="0.25">
      <c r="A146" s="77">
        <v>140</v>
      </c>
      <c r="B146" s="117"/>
      <c r="C146" s="118"/>
      <c r="D146" s="119"/>
      <c r="E146" s="120">
        <f>SUM(E34:E145)</f>
        <v>88517757.529999986</v>
      </c>
      <c r="F146" s="117"/>
      <c r="G146" s="79">
        <f t="shared" ref="G146:G194" si="6">+E146</f>
        <v>88517757.529999986</v>
      </c>
      <c r="H146" s="121">
        <f>SUM(H34:H145)</f>
        <v>52174455.754975997</v>
      </c>
      <c r="I146" s="122"/>
      <c r="J146" s="123"/>
    </row>
    <row r="147" spans="1:10" x14ac:dyDescent="0.25">
      <c r="A147" s="77">
        <v>141</v>
      </c>
      <c r="B147" s="78" t="s">
        <v>219</v>
      </c>
      <c r="C147" s="78" t="s">
        <v>220</v>
      </c>
      <c r="D147" s="111">
        <v>392.2</v>
      </c>
      <c r="E147" s="112">
        <v>219131.38</v>
      </c>
      <c r="F147" s="78"/>
      <c r="G147" s="79">
        <f t="shared" si="6"/>
        <v>219131.38</v>
      </c>
      <c r="H147" s="79"/>
      <c r="I147" s="114"/>
      <c r="J147" s="128">
        <v>44012</v>
      </c>
    </row>
    <row r="148" spans="1:10" x14ac:dyDescent="0.25">
      <c r="A148" s="77">
        <v>142</v>
      </c>
      <c r="B148" s="78" t="s">
        <v>219</v>
      </c>
      <c r="C148" s="78" t="s">
        <v>221</v>
      </c>
      <c r="D148" s="111">
        <v>394.1</v>
      </c>
      <c r="E148" s="112">
        <v>1359.54</v>
      </c>
      <c r="F148" s="78"/>
      <c r="G148" s="79">
        <f t="shared" si="6"/>
        <v>1359.54</v>
      </c>
      <c r="H148" s="79"/>
      <c r="I148" s="114"/>
      <c r="J148" s="128">
        <v>43921</v>
      </c>
    </row>
    <row r="149" spans="1:10" x14ac:dyDescent="0.25">
      <c r="A149" s="77">
        <v>143</v>
      </c>
      <c r="B149" s="78" t="s">
        <v>219</v>
      </c>
      <c r="C149" s="78" t="s">
        <v>222</v>
      </c>
      <c r="D149" s="111">
        <v>390.1</v>
      </c>
      <c r="E149" s="112">
        <v>36245.61</v>
      </c>
      <c r="F149" s="78"/>
      <c r="G149" s="79">
        <f t="shared" si="6"/>
        <v>36245.61</v>
      </c>
      <c r="H149" s="79"/>
      <c r="I149" s="114"/>
      <c r="J149" s="128">
        <v>43860</v>
      </c>
    </row>
    <row r="150" spans="1:10" x14ac:dyDescent="0.25">
      <c r="A150" s="77">
        <v>144</v>
      </c>
      <c r="B150" s="78" t="s">
        <v>219</v>
      </c>
      <c r="C150" s="78" t="s">
        <v>223</v>
      </c>
      <c r="D150" s="111">
        <v>391.3</v>
      </c>
      <c r="E150" s="112">
        <v>27223.01</v>
      </c>
      <c r="F150" s="113">
        <f>+'[8]State Allocation Formulas'!C21</f>
        <v>0.75170000000000003</v>
      </c>
      <c r="G150" s="79">
        <f t="shared" si="6"/>
        <v>27223.01</v>
      </c>
      <c r="H150" s="79"/>
      <c r="I150" s="114"/>
      <c r="J150" s="128">
        <v>43952</v>
      </c>
    </row>
    <row r="151" spans="1:10" x14ac:dyDescent="0.25">
      <c r="A151" s="77">
        <v>146</v>
      </c>
      <c r="B151" s="78" t="s">
        <v>219</v>
      </c>
      <c r="C151" s="78" t="s">
        <v>224</v>
      </c>
      <c r="D151" s="111">
        <v>391.1</v>
      </c>
      <c r="E151" s="112">
        <v>176798.64</v>
      </c>
      <c r="F151" s="113">
        <f>+'[8]State Allocation Formulas'!C21</f>
        <v>0.75170000000000003</v>
      </c>
      <c r="G151" s="79">
        <f t="shared" si="6"/>
        <v>176798.64</v>
      </c>
      <c r="H151" s="79"/>
      <c r="I151" s="114"/>
      <c r="J151" s="128">
        <v>44196</v>
      </c>
    </row>
    <row r="152" spans="1:10" x14ac:dyDescent="0.25">
      <c r="A152" s="77">
        <v>147</v>
      </c>
      <c r="B152" s="78" t="s">
        <v>219</v>
      </c>
      <c r="C152" s="78" t="s">
        <v>225</v>
      </c>
      <c r="D152" s="111">
        <v>391.5</v>
      </c>
      <c r="E152" s="112">
        <v>50980</v>
      </c>
      <c r="F152" s="113">
        <f>+'[8]State Allocation Formulas'!C21</f>
        <v>0.75170000000000003</v>
      </c>
      <c r="G152" s="79">
        <f t="shared" si="6"/>
        <v>50980</v>
      </c>
      <c r="H152" s="79"/>
      <c r="I152" s="114"/>
      <c r="J152" s="128">
        <v>44196</v>
      </c>
    </row>
    <row r="153" spans="1:10" x14ac:dyDescent="0.25">
      <c r="A153" s="77">
        <v>148</v>
      </c>
      <c r="B153" s="78" t="s">
        <v>219</v>
      </c>
      <c r="C153" s="78" t="s">
        <v>226</v>
      </c>
      <c r="D153" s="111">
        <v>391.3</v>
      </c>
      <c r="E153" s="112">
        <v>17333.2</v>
      </c>
      <c r="F153" s="113">
        <f>+'[8]State Allocation Formulas'!C21</f>
        <v>0.75170000000000003</v>
      </c>
      <c r="G153" s="79">
        <f t="shared" si="6"/>
        <v>17333.2</v>
      </c>
      <c r="H153" s="79"/>
      <c r="I153" s="114"/>
      <c r="J153" s="128">
        <v>43952</v>
      </c>
    </row>
    <row r="154" spans="1:10" x14ac:dyDescent="0.25">
      <c r="A154" s="77">
        <v>149</v>
      </c>
      <c r="B154" s="78" t="s">
        <v>219</v>
      </c>
      <c r="C154" s="78" t="s">
        <v>227</v>
      </c>
      <c r="D154" s="111">
        <v>390.1</v>
      </c>
      <c r="E154" s="112">
        <v>316076</v>
      </c>
      <c r="F154" s="78"/>
      <c r="G154" s="79">
        <f t="shared" si="6"/>
        <v>316076</v>
      </c>
      <c r="H154" s="79"/>
      <c r="I154" s="114"/>
      <c r="J154" s="128">
        <v>44013</v>
      </c>
    </row>
    <row r="155" spans="1:10" x14ac:dyDescent="0.25">
      <c r="A155" s="77">
        <v>150</v>
      </c>
      <c r="B155" s="78" t="s">
        <v>219</v>
      </c>
      <c r="C155" s="78" t="s">
        <v>228</v>
      </c>
      <c r="D155" s="111">
        <v>390.1</v>
      </c>
      <c r="E155" s="112">
        <v>15243.69</v>
      </c>
      <c r="F155" s="78"/>
      <c r="G155" s="79">
        <f t="shared" si="6"/>
        <v>15243.69</v>
      </c>
      <c r="H155" s="79"/>
      <c r="I155" s="114"/>
      <c r="J155" s="128">
        <v>44155</v>
      </c>
    </row>
    <row r="156" spans="1:10" x14ac:dyDescent="0.25">
      <c r="A156" s="77">
        <v>151</v>
      </c>
      <c r="B156" s="78" t="s">
        <v>219</v>
      </c>
      <c r="C156" s="78" t="s">
        <v>229</v>
      </c>
      <c r="D156" s="111">
        <v>390</v>
      </c>
      <c r="E156" s="112">
        <v>20392</v>
      </c>
      <c r="F156" s="78"/>
      <c r="G156" s="79">
        <f t="shared" si="6"/>
        <v>20392</v>
      </c>
      <c r="H156" s="79"/>
      <c r="I156" s="114"/>
      <c r="J156" s="128">
        <v>43987</v>
      </c>
    </row>
    <row r="157" spans="1:10" x14ac:dyDescent="0.25">
      <c r="A157" s="77">
        <v>152</v>
      </c>
      <c r="B157" s="78" t="s">
        <v>219</v>
      </c>
      <c r="C157" s="78" t="s">
        <v>230</v>
      </c>
      <c r="D157" s="111">
        <v>397</v>
      </c>
      <c r="E157" s="112">
        <v>509800</v>
      </c>
      <c r="F157" s="132">
        <f>+'[8]State Allocation Formulas'!C21</f>
        <v>0.75170000000000003</v>
      </c>
      <c r="G157" s="79">
        <f t="shared" si="6"/>
        <v>509800</v>
      </c>
      <c r="H157" s="79"/>
      <c r="I157" s="114"/>
      <c r="J157" s="128">
        <v>44196</v>
      </c>
    </row>
    <row r="158" spans="1:10" x14ac:dyDescent="0.25">
      <c r="A158" s="77">
        <v>153</v>
      </c>
      <c r="B158" s="78" t="s">
        <v>219</v>
      </c>
      <c r="C158" s="78" t="s">
        <v>231</v>
      </c>
      <c r="D158" s="111">
        <v>397</v>
      </c>
      <c r="E158" s="112">
        <v>1223.52</v>
      </c>
      <c r="F158" s="132">
        <f>+'[8]State Allocation Formulas'!C21</f>
        <v>0.75170000000000003</v>
      </c>
      <c r="G158" s="79">
        <f t="shared" si="6"/>
        <v>1223.52</v>
      </c>
      <c r="H158" s="79"/>
      <c r="I158" s="114"/>
      <c r="J158" s="128">
        <v>44196</v>
      </c>
    </row>
    <row r="159" spans="1:10" x14ac:dyDescent="0.25">
      <c r="A159" s="77">
        <v>154</v>
      </c>
      <c r="B159" s="78" t="s">
        <v>219</v>
      </c>
      <c r="C159" s="78" t="s">
        <v>232</v>
      </c>
      <c r="D159" s="111">
        <v>394.1</v>
      </c>
      <c r="E159" s="112">
        <v>14274.4</v>
      </c>
      <c r="F159" s="78"/>
      <c r="G159" s="79">
        <f t="shared" si="6"/>
        <v>14274.4</v>
      </c>
      <c r="H159" s="79"/>
      <c r="I159" s="114"/>
      <c r="J159" s="128">
        <v>43862</v>
      </c>
    </row>
    <row r="160" spans="1:10" x14ac:dyDescent="0.25">
      <c r="A160" s="77">
        <v>155</v>
      </c>
      <c r="B160" s="78" t="s">
        <v>219</v>
      </c>
      <c r="C160" s="78" t="s">
        <v>233</v>
      </c>
      <c r="D160" s="111">
        <v>394.1</v>
      </c>
      <c r="E160" s="112">
        <v>6627.4</v>
      </c>
      <c r="F160" s="78"/>
      <c r="G160" s="79">
        <f t="shared" si="6"/>
        <v>6627.4</v>
      </c>
      <c r="H160" s="79"/>
      <c r="I160" s="114"/>
      <c r="J160" s="128">
        <v>43862</v>
      </c>
    </row>
    <row r="161" spans="1:10" x14ac:dyDescent="0.25">
      <c r="A161" s="77">
        <v>156</v>
      </c>
      <c r="B161" s="78" t="s">
        <v>219</v>
      </c>
      <c r="C161" s="78" t="s">
        <v>234</v>
      </c>
      <c r="D161" s="111">
        <v>390.1</v>
      </c>
      <c r="E161" s="112">
        <v>1064539.08</v>
      </c>
      <c r="F161" s="78"/>
      <c r="G161" s="79">
        <f t="shared" si="6"/>
        <v>1064539.08</v>
      </c>
      <c r="H161" s="79">
        <f>+G161</f>
        <v>1064539.08</v>
      </c>
      <c r="I161" s="114">
        <v>13</v>
      </c>
      <c r="J161" s="128">
        <v>44134</v>
      </c>
    </row>
    <row r="162" spans="1:10" x14ac:dyDescent="0.25">
      <c r="A162" s="77">
        <v>157</v>
      </c>
      <c r="B162" s="78" t="s">
        <v>219</v>
      </c>
      <c r="C162" s="78" t="s">
        <v>235</v>
      </c>
      <c r="D162" s="111">
        <v>397</v>
      </c>
      <c r="E162" s="112">
        <v>158321.16</v>
      </c>
      <c r="F162" s="113">
        <f>+'[8]State Allocation Formulas'!C21</f>
        <v>0.75170000000000003</v>
      </c>
      <c r="G162" s="79">
        <f t="shared" si="6"/>
        <v>158321.16</v>
      </c>
      <c r="H162" s="79"/>
      <c r="I162" s="114"/>
      <c r="J162" s="128">
        <v>44150</v>
      </c>
    </row>
    <row r="163" spans="1:10" x14ac:dyDescent="0.25">
      <c r="A163" s="77">
        <v>158</v>
      </c>
      <c r="B163" s="78" t="s">
        <v>219</v>
      </c>
      <c r="C163" s="78" t="s">
        <v>236</v>
      </c>
      <c r="D163" s="111">
        <v>390.1</v>
      </c>
      <c r="E163" s="112">
        <v>620912.69999999995</v>
      </c>
      <c r="F163" s="78"/>
      <c r="G163" s="79">
        <f t="shared" si="6"/>
        <v>620912.69999999995</v>
      </c>
      <c r="H163" s="79"/>
      <c r="I163" s="114"/>
      <c r="J163" s="128">
        <v>44136</v>
      </c>
    </row>
    <row r="164" spans="1:10" x14ac:dyDescent="0.25">
      <c r="A164" s="77">
        <v>159</v>
      </c>
      <c r="B164" s="78" t="s">
        <v>219</v>
      </c>
      <c r="C164" s="78" t="s">
        <v>237</v>
      </c>
      <c r="D164" s="111">
        <v>390.1</v>
      </c>
      <c r="E164" s="112">
        <v>76470</v>
      </c>
      <c r="F164" s="78"/>
      <c r="G164" s="79">
        <f t="shared" si="6"/>
        <v>76470</v>
      </c>
      <c r="H164" s="79"/>
      <c r="I164" s="114"/>
      <c r="J164" s="128">
        <v>44043</v>
      </c>
    </row>
    <row r="165" spans="1:10" x14ac:dyDescent="0.25">
      <c r="A165" s="77">
        <v>160</v>
      </c>
      <c r="B165" s="78" t="s">
        <v>219</v>
      </c>
      <c r="C165" s="78" t="s">
        <v>238</v>
      </c>
      <c r="D165" s="111">
        <v>394.1</v>
      </c>
      <c r="E165" s="112">
        <v>33646.800000000003</v>
      </c>
      <c r="F165" s="78"/>
      <c r="G165" s="79">
        <f t="shared" si="6"/>
        <v>33646.800000000003</v>
      </c>
      <c r="H165" s="79"/>
      <c r="I165" s="114"/>
      <c r="J165" s="128">
        <v>43951</v>
      </c>
    </row>
    <row r="166" spans="1:10" x14ac:dyDescent="0.25">
      <c r="A166" s="77">
        <v>161</v>
      </c>
      <c r="B166" s="78" t="s">
        <v>219</v>
      </c>
      <c r="C166" s="78" t="s">
        <v>239</v>
      </c>
      <c r="D166" s="111">
        <v>394.1</v>
      </c>
      <c r="E166" s="112">
        <v>23450.799999999999</v>
      </c>
      <c r="F166" s="78"/>
      <c r="G166" s="79">
        <f t="shared" si="6"/>
        <v>23450.799999999999</v>
      </c>
      <c r="H166" s="79"/>
      <c r="I166" s="114"/>
      <c r="J166" s="128">
        <v>43951</v>
      </c>
    </row>
    <row r="167" spans="1:10" x14ac:dyDescent="0.25">
      <c r="A167" s="77">
        <v>162</v>
      </c>
      <c r="B167" s="78" t="s">
        <v>219</v>
      </c>
      <c r="C167" s="78" t="s">
        <v>240</v>
      </c>
      <c r="D167" s="111">
        <v>394.1</v>
      </c>
      <c r="E167" s="112">
        <v>23450.799999999999</v>
      </c>
      <c r="F167" s="78"/>
      <c r="G167" s="79">
        <f t="shared" si="6"/>
        <v>23450.799999999999</v>
      </c>
      <c r="H167" s="79"/>
      <c r="I167" s="114"/>
      <c r="J167" s="128">
        <v>43988</v>
      </c>
    </row>
    <row r="168" spans="1:10" x14ac:dyDescent="0.25">
      <c r="A168" s="77">
        <v>163</v>
      </c>
      <c r="B168" s="78" t="s">
        <v>219</v>
      </c>
      <c r="C168" s="78" t="s">
        <v>241</v>
      </c>
      <c r="D168" s="111">
        <v>394.1</v>
      </c>
      <c r="E168" s="112">
        <v>23450.799999999999</v>
      </c>
      <c r="F168" s="78"/>
      <c r="G168" s="79">
        <f t="shared" si="6"/>
        <v>23450.799999999999</v>
      </c>
      <c r="H168" s="79"/>
      <c r="I168" s="114"/>
      <c r="J168" s="128">
        <v>44135</v>
      </c>
    </row>
    <row r="169" spans="1:10" x14ac:dyDescent="0.25">
      <c r="A169" s="77">
        <v>164</v>
      </c>
      <c r="B169" s="78" t="s">
        <v>219</v>
      </c>
      <c r="C169" s="78" t="s">
        <v>242</v>
      </c>
      <c r="D169" s="111">
        <v>394.1</v>
      </c>
      <c r="E169" s="112">
        <v>8156.8</v>
      </c>
      <c r="F169" s="78"/>
      <c r="G169" s="79">
        <f t="shared" si="6"/>
        <v>8156.8</v>
      </c>
      <c r="H169" s="79"/>
      <c r="I169" s="114"/>
      <c r="J169" s="128">
        <v>43982</v>
      </c>
    </row>
    <row r="170" spans="1:10" x14ac:dyDescent="0.25">
      <c r="A170" s="77">
        <v>165</v>
      </c>
      <c r="B170" s="78" t="s">
        <v>219</v>
      </c>
      <c r="C170" s="78" t="s">
        <v>243</v>
      </c>
      <c r="D170" s="111">
        <v>394.1</v>
      </c>
      <c r="E170" s="112">
        <v>25490</v>
      </c>
      <c r="F170" s="78"/>
      <c r="G170" s="79">
        <f t="shared" si="6"/>
        <v>25490</v>
      </c>
      <c r="H170" s="79"/>
      <c r="I170" s="114"/>
      <c r="J170" s="128">
        <v>43951</v>
      </c>
    </row>
    <row r="171" spans="1:10" x14ac:dyDescent="0.25">
      <c r="A171" s="77">
        <v>166</v>
      </c>
      <c r="B171" s="78" t="s">
        <v>219</v>
      </c>
      <c r="C171" s="78" t="s">
        <v>244</v>
      </c>
      <c r="D171" s="111">
        <v>394.1</v>
      </c>
      <c r="E171" s="112">
        <v>20392</v>
      </c>
      <c r="F171" s="78"/>
      <c r="G171" s="79">
        <f t="shared" si="6"/>
        <v>20392</v>
      </c>
      <c r="H171" s="79"/>
      <c r="I171" s="114"/>
      <c r="J171" s="128">
        <v>44135</v>
      </c>
    </row>
    <row r="172" spans="1:10" x14ac:dyDescent="0.25">
      <c r="A172" s="77">
        <v>167</v>
      </c>
      <c r="B172" s="78" t="s">
        <v>219</v>
      </c>
      <c r="C172" s="78" t="s">
        <v>245</v>
      </c>
      <c r="D172" s="111">
        <v>394.1</v>
      </c>
      <c r="E172" s="112">
        <v>7137.2</v>
      </c>
      <c r="F172" s="78"/>
      <c r="G172" s="79">
        <f t="shared" si="6"/>
        <v>7137.2</v>
      </c>
      <c r="H172" s="79"/>
      <c r="I172" s="114"/>
      <c r="J172" s="128">
        <v>43925</v>
      </c>
    </row>
    <row r="173" spans="1:10" x14ac:dyDescent="0.25">
      <c r="A173" s="77">
        <v>168</v>
      </c>
      <c r="B173" s="78" t="s">
        <v>219</v>
      </c>
      <c r="C173" s="78" t="s">
        <v>246</v>
      </c>
      <c r="D173" s="111">
        <v>394</v>
      </c>
      <c r="E173" s="112">
        <v>76238.350000000006</v>
      </c>
      <c r="F173" s="113">
        <f>+'[8]State Allocation Formulas'!C21</f>
        <v>0.75170000000000003</v>
      </c>
      <c r="G173" s="79">
        <f t="shared" si="6"/>
        <v>76238.350000000006</v>
      </c>
      <c r="H173" s="79"/>
      <c r="I173" s="114"/>
      <c r="J173" s="128">
        <v>44012</v>
      </c>
    </row>
    <row r="174" spans="1:10" x14ac:dyDescent="0.25">
      <c r="A174" s="77">
        <v>169</v>
      </c>
      <c r="B174" s="78" t="s">
        <v>219</v>
      </c>
      <c r="C174" s="78" t="s">
        <v>247</v>
      </c>
      <c r="D174" s="111">
        <v>390.1</v>
      </c>
      <c r="E174" s="112">
        <v>195305.21</v>
      </c>
      <c r="F174" s="78"/>
      <c r="G174" s="79">
        <f t="shared" si="6"/>
        <v>195305.21</v>
      </c>
      <c r="H174" s="79"/>
      <c r="I174" s="114"/>
      <c r="J174" s="128">
        <v>44104</v>
      </c>
    </row>
    <row r="175" spans="1:10" x14ac:dyDescent="0.25">
      <c r="A175" s="77">
        <v>170</v>
      </c>
      <c r="B175" s="78" t="s">
        <v>219</v>
      </c>
      <c r="C175" s="78" t="s">
        <v>248</v>
      </c>
      <c r="D175" s="111">
        <v>394</v>
      </c>
      <c r="E175" s="112">
        <v>11422.98</v>
      </c>
      <c r="F175" s="113">
        <f>+'[8]State Allocation Formulas'!C21</f>
        <v>0.75170000000000003</v>
      </c>
      <c r="G175" s="79">
        <f t="shared" si="6"/>
        <v>11422.98</v>
      </c>
      <c r="H175" s="79"/>
      <c r="I175" s="114"/>
      <c r="J175" s="128">
        <v>43920</v>
      </c>
    </row>
    <row r="176" spans="1:10" x14ac:dyDescent="0.25">
      <c r="A176" s="77">
        <v>171</v>
      </c>
      <c r="B176" s="78" t="s">
        <v>219</v>
      </c>
      <c r="C176" s="78" t="s">
        <v>249</v>
      </c>
      <c r="D176" s="111">
        <v>394</v>
      </c>
      <c r="E176" s="112">
        <v>13240.14</v>
      </c>
      <c r="F176" s="113">
        <f>+'[8]State Allocation Formulas'!C21</f>
        <v>0.75170000000000003</v>
      </c>
      <c r="G176" s="79">
        <f t="shared" si="6"/>
        <v>13240.14</v>
      </c>
      <c r="H176" s="79"/>
      <c r="I176" s="114"/>
      <c r="J176" s="128">
        <v>44012</v>
      </c>
    </row>
    <row r="177" spans="1:10" x14ac:dyDescent="0.25">
      <c r="A177" s="77">
        <v>172</v>
      </c>
      <c r="B177" s="78" t="s">
        <v>219</v>
      </c>
      <c r="C177" s="78" t="s">
        <v>250</v>
      </c>
      <c r="D177" s="111">
        <v>390</v>
      </c>
      <c r="E177" s="112">
        <v>67673.91</v>
      </c>
      <c r="F177" s="113">
        <f>+'[8]State Allocation Formulas'!C21</f>
        <v>0.75170000000000003</v>
      </c>
      <c r="G177" s="79">
        <f t="shared" si="6"/>
        <v>67673.91</v>
      </c>
      <c r="H177" s="79"/>
      <c r="I177" s="114"/>
      <c r="J177" s="128">
        <v>43900</v>
      </c>
    </row>
    <row r="178" spans="1:10" x14ac:dyDescent="0.25">
      <c r="A178" s="77">
        <v>173</v>
      </c>
      <c r="B178" s="78" t="s">
        <v>219</v>
      </c>
      <c r="C178" s="78" t="s">
        <v>251</v>
      </c>
      <c r="D178" s="111">
        <v>394</v>
      </c>
      <c r="E178" s="112">
        <v>5955.01</v>
      </c>
      <c r="F178" s="113">
        <f>+'[8]State Allocation Formulas'!C21</f>
        <v>0.75170000000000003</v>
      </c>
      <c r="G178" s="79">
        <f t="shared" si="6"/>
        <v>5955.01</v>
      </c>
      <c r="H178" s="79"/>
      <c r="I178" s="114"/>
      <c r="J178" s="128">
        <v>43891</v>
      </c>
    </row>
    <row r="179" spans="1:10" x14ac:dyDescent="0.25">
      <c r="A179" s="77">
        <v>174</v>
      </c>
      <c r="B179" s="78" t="s">
        <v>219</v>
      </c>
      <c r="C179" s="78" t="s">
        <v>252</v>
      </c>
      <c r="D179" s="111">
        <v>390.1</v>
      </c>
      <c r="E179" s="112">
        <v>23392</v>
      </c>
      <c r="F179" s="78"/>
      <c r="G179" s="79">
        <f t="shared" si="6"/>
        <v>23392</v>
      </c>
      <c r="H179" s="79"/>
      <c r="I179" s="114"/>
      <c r="J179" s="128">
        <v>43920</v>
      </c>
    </row>
    <row r="180" spans="1:10" x14ac:dyDescent="0.25">
      <c r="A180" s="77">
        <v>175</v>
      </c>
      <c r="B180" s="78" t="s">
        <v>219</v>
      </c>
      <c r="C180" s="78" t="s">
        <v>253</v>
      </c>
      <c r="D180" s="111">
        <v>390.1</v>
      </c>
      <c r="E180" s="112">
        <v>46705.599999999999</v>
      </c>
      <c r="F180" s="78"/>
      <c r="G180" s="79">
        <f t="shared" si="6"/>
        <v>46705.599999999999</v>
      </c>
      <c r="H180" s="79"/>
      <c r="I180" s="114"/>
      <c r="J180" s="128">
        <v>44094</v>
      </c>
    </row>
    <row r="181" spans="1:10" x14ac:dyDescent="0.25">
      <c r="A181" s="77">
        <v>176</v>
      </c>
      <c r="B181" s="78" t="s">
        <v>219</v>
      </c>
      <c r="C181" s="78" t="s">
        <v>254</v>
      </c>
      <c r="D181" s="111">
        <v>390.1</v>
      </c>
      <c r="E181" s="112">
        <v>18294</v>
      </c>
      <c r="F181" s="78"/>
      <c r="G181" s="79">
        <f t="shared" si="6"/>
        <v>18294</v>
      </c>
      <c r="H181" s="79"/>
      <c r="I181" s="114"/>
      <c r="J181" s="128">
        <v>44185</v>
      </c>
    </row>
    <row r="182" spans="1:10" x14ac:dyDescent="0.25">
      <c r="A182" s="77">
        <v>177</v>
      </c>
      <c r="B182" s="78" t="s">
        <v>219</v>
      </c>
      <c r="C182" s="78" t="s">
        <v>255</v>
      </c>
      <c r="D182" s="111">
        <v>390.1</v>
      </c>
      <c r="E182" s="112">
        <v>13196</v>
      </c>
      <c r="F182" s="78"/>
      <c r="G182" s="79">
        <f t="shared" si="6"/>
        <v>13196</v>
      </c>
      <c r="H182" s="79"/>
      <c r="I182" s="114"/>
      <c r="J182" s="128">
        <v>44014</v>
      </c>
    </row>
    <row r="183" spans="1:10" x14ac:dyDescent="0.25">
      <c r="A183" s="77">
        <v>178</v>
      </c>
      <c r="B183" s="78" t="s">
        <v>219</v>
      </c>
      <c r="C183" s="78" t="s">
        <v>256</v>
      </c>
      <c r="D183" s="111">
        <v>390.1</v>
      </c>
      <c r="E183" s="112">
        <v>5607.8</v>
      </c>
      <c r="F183" s="78"/>
      <c r="G183" s="79">
        <f t="shared" si="6"/>
        <v>5607.8</v>
      </c>
      <c r="H183" s="79"/>
      <c r="I183" s="114"/>
      <c r="J183" s="128">
        <v>44124</v>
      </c>
    </row>
    <row r="184" spans="1:10" x14ac:dyDescent="0.25">
      <c r="A184" s="77">
        <v>179</v>
      </c>
      <c r="B184" s="78" t="s">
        <v>219</v>
      </c>
      <c r="C184" s="78" t="s">
        <v>257</v>
      </c>
      <c r="D184" s="111">
        <v>390.1</v>
      </c>
      <c r="E184" s="112">
        <v>3958.8</v>
      </c>
      <c r="F184" s="78"/>
      <c r="G184" s="79">
        <f t="shared" si="6"/>
        <v>3958.8</v>
      </c>
      <c r="H184" s="79"/>
      <c r="I184" s="114"/>
      <c r="J184" s="128">
        <v>44141</v>
      </c>
    </row>
    <row r="185" spans="1:10" x14ac:dyDescent="0.25">
      <c r="A185" s="77">
        <v>180</v>
      </c>
      <c r="B185" s="78" t="s">
        <v>219</v>
      </c>
      <c r="C185" s="78" t="s">
        <v>258</v>
      </c>
      <c r="D185" s="111">
        <v>394.1</v>
      </c>
      <c r="E185" s="112">
        <v>4282.32</v>
      </c>
      <c r="F185" s="113"/>
      <c r="G185" s="79">
        <f t="shared" si="6"/>
        <v>4282.32</v>
      </c>
      <c r="H185" s="79"/>
      <c r="I185" s="114"/>
      <c r="J185" s="128">
        <v>43956</v>
      </c>
    </row>
    <row r="186" spans="1:10" x14ac:dyDescent="0.25">
      <c r="A186" s="77">
        <v>181</v>
      </c>
      <c r="B186" s="78" t="s">
        <v>219</v>
      </c>
      <c r="C186" s="78" t="s">
        <v>259</v>
      </c>
      <c r="D186" s="111">
        <v>394.1</v>
      </c>
      <c r="E186" s="112">
        <v>3059.82</v>
      </c>
      <c r="F186" s="78"/>
      <c r="G186" s="79">
        <f t="shared" si="6"/>
        <v>3059.82</v>
      </c>
      <c r="H186" s="79"/>
      <c r="I186" s="114"/>
      <c r="J186" s="128">
        <v>43956</v>
      </c>
    </row>
    <row r="187" spans="1:10" x14ac:dyDescent="0.25">
      <c r="A187" s="77">
        <v>182</v>
      </c>
      <c r="B187" s="78" t="s">
        <v>219</v>
      </c>
      <c r="C187" s="78" t="s">
        <v>260</v>
      </c>
      <c r="D187" s="111">
        <v>391.5</v>
      </c>
      <c r="E187" s="112">
        <v>2447.04</v>
      </c>
      <c r="F187" s="78"/>
      <c r="G187" s="79">
        <f t="shared" si="6"/>
        <v>2447.04</v>
      </c>
      <c r="H187" s="79"/>
      <c r="I187" s="114"/>
      <c r="J187" s="128">
        <v>43931</v>
      </c>
    </row>
    <row r="188" spans="1:10" x14ac:dyDescent="0.25">
      <c r="A188" s="77">
        <v>183</v>
      </c>
      <c r="B188" s="78" t="s">
        <v>219</v>
      </c>
      <c r="C188" s="78" t="s">
        <v>261</v>
      </c>
      <c r="D188" s="111">
        <v>390.1</v>
      </c>
      <c r="E188" s="112">
        <v>2039.2</v>
      </c>
      <c r="F188" s="78"/>
      <c r="G188" s="79">
        <f t="shared" si="6"/>
        <v>2039.2</v>
      </c>
      <c r="H188" s="79"/>
      <c r="I188" s="114"/>
      <c r="J188" s="128">
        <v>44155</v>
      </c>
    </row>
    <row r="189" spans="1:10" x14ac:dyDescent="0.25">
      <c r="A189" s="77">
        <v>184</v>
      </c>
      <c r="B189" s="78" t="s">
        <v>219</v>
      </c>
      <c r="C189" s="78" t="s">
        <v>262</v>
      </c>
      <c r="D189" s="111">
        <v>398</v>
      </c>
      <c r="E189" s="112">
        <v>2039.2</v>
      </c>
      <c r="F189" s="78"/>
      <c r="G189" s="79">
        <f t="shared" si="6"/>
        <v>2039.2</v>
      </c>
      <c r="H189" s="79"/>
      <c r="I189" s="114"/>
      <c r="J189" s="128">
        <v>43997</v>
      </c>
    </row>
    <row r="190" spans="1:10" x14ac:dyDescent="0.25">
      <c r="A190" s="77">
        <v>185</v>
      </c>
      <c r="B190" s="78" t="s">
        <v>219</v>
      </c>
      <c r="C190" s="78" t="s">
        <v>263</v>
      </c>
      <c r="D190" s="111">
        <v>394.1</v>
      </c>
      <c r="E190" s="112">
        <v>15905.76</v>
      </c>
      <c r="F190" s="78"/>
      <c r="G190" s="79">
        <f t="shared" si="6"/>
        <v>15905.76</v>
      </c>
      <c r="H190" s="79"/>
      <c r="I190" s="114"/>
      <c r="J190" s="128">
        <v>44140</v>
      </c>
    </row>
    <row r="191" spans="1:10" x14ac:dyDescent="0.25">
      <c r="A191" s="77">
        <v>186</v>
      </c>
      <c r="B191" s="78" t="s">
        <v>219</v>
      </c>
      <c r="C191" s="78" t="s">
        <v>264</v>
      </c>
      <c r="D191" s="111">
        <v>390.1</v>
      </c>
      <c r="E191" s="112">
        <f>62904.33+37467.85</f>
        <v>100372.18</v>
      </c>
      <c r="F191" s="113"/>
      <c r="G191" s="79">
        <f t="shared" si="6"/>
        <v>100372.18</v>
      </c>
      <c r="H191" s="79"/>
      <c r="I191" s="114"/>
      <c r="J191" s="128">
        <v>43879</v>
      </c>
    </row>
    <row r="192" spans="1:10" x14ac:dyDescent="0.25">
      <c r="A192" s="77">
        <v>187</v>
      </c>
      <c r="B192" s="78" t="s">
        <v>219</v>
      </c>
      <c r="C192" s="78" t="s">
        <v>265</v>
      </c>
      <c r="D192" s="111">
        <v>394.1</v>
      </c>
      <c r="E192" s="112">
        <v>2039.2</v>
      </c>
      <c r="F192" s="113"/>
      <c r="G192" s="79">
        <f t="shared" si="6"/>
        <v>2039.2</v>
      </c>
      <c r="H192" s="79"/>
      <c r="I192" s="114"/>
      <c r="J192" s="128">
        <v>43966</v>
      </c>
    </row>
    <row r="193" spans="1:14" x14ac:dyDescent="0.25">
      <c r="A193" s="77">
        <v>188</v>
      </c>
      <c r="B193" s="78" t="s">
        <v>219</v>
      </c>
      <c r="C193" s="78" t="s">
        <v>266</v>
      </c>
      <c r="D193" s="111">
        <v>394.1</v>
      </c>
      <c r="E193" s="112">
        <v>5534.02</v>
      </c>
      <c r="F193" s="113">
        <f>+'[8]State Allocation Formulas'!C21</f>
        <v>0.75170000000000003</v>
      </c>
      <c r="G193" s="79">
        <f t="shared" si="6"/>
        <v>5534.02</v>
      </c>
      <c r="H193" s="79"/>
      <c r="I193" s="114"/>
      <c r="J193" s="128">
        <v>43845</v>
      </c>
    </row>
    <row r="194" spans="1:14" x14ac:dyDescent="0.25">
      <c r="A194" s="77">
        <v>189</v>
      </c>
      <c r="B194" s="78" t="s">
        <v>219</v>
      </c>
      <c r="C194" s="78" t="s">
        <v>267</v>
      </c>
      <c r="D194" s="111">
        <v>394.1</v>
      </c>
      <c r="E194" s="112">
        <v>6159.1</v>
      </c>
      <c r="F194" s="78"/>
      <c r="G194" s="79">
        <f t="shared" si="6"/>
        <v>6159.1</v>
      </c>
      <c r="H194" s="79"/>
      <c r="I194" s="114"/>
      <c r="J194" s="128">
        <v>43890</v>
      </c>
    </row>
    <row r="195" spans="1:14" x14ac:dyDescent="0.25">
      <c r="A195" s="77">
        <v>190</v>
      </c>
      <c r="B195" s="117"/>
      <c r="C195" s="118" t="s">
        <v>268</v>
      </c>
      <c r="D195" s="119"/>
      <c r="E195" s="120">
        <f>SUM(E147:E194)</f>
        <v>4122994.1699999995</v>
      </c>
      <c r="F195" s="117"/>
      <c r="G195" s="121">
        <f>SUM(G147:G194)</f>
        <v>4122994.1699999995</v>
      </c>
      <c r="H195" s="121">
        <f>SUM(H147:H194)</f>
        <v>1064539.08</v>
      </c>
      <c r="I195" s="122"/>
      <c r="J195" s="123"/>
    </row>
    <row r="196" spans="1:14" x14ac:dyDescent="0.25">
      <c r="B196" s="117"/>
      <c r="C196" s="117"/>
      <c r="D196" s="124"/>
      <c r="E196" s="112"/>
      <c r="F196" s="117"/>
      <c r="G196" s="133"/>
      <c r="H196" s="133"/>
      <c r="I196" s="122"/>
      <c r="J196" s="123"/>
    </row>
    <row r="197" spans="1:14" x14ac:dyDescent="0.25">
      <c r="B197" s="117"/>
      <c r="C197" s="118"/>
      <c r="D197" s="124"/>
      <c r="E197" s="112"/>
      <c r="F197" s="117"/>
      <c r="G197" s="133"/>
      <c r="H197" s="133"/>
      <c r="I197" s="122"/>
      <c r="J197" s="123"/>
    </row>
    <row r="198" spans="1:14" x14ac:dyDescent="0.25">
      <c r="B198" s="117"/>
      <c r="C198" s="117"/>
      <c r="D198" s="124"/>
      <c r="E198" s="112"/>
      <c r="F198" s="117"/>
      <c r="G198" s="133"/>
      <c r="H198" s="133"/>
      <c r="I198" s="117"/>
      <c r="J198" s="123"/>
    </row>
    <row r="199" spans="1:14" ht="16.5" thickBot="1" x14ac:dyDescent="0.3">
      <c r="A199" s="77">
        <v>191</v>
      </c>
      <c r="B199" s="117"/>
      <c r="C199" s="118" t="s">
        <v>269</v>
      </c>
      <c r="D199" s="119"/>
      <c r="E199" s="120">
        <f>E30+E146+E195</f>
        <v>107587702.26999998</v>
      </c>
      <c r="F199" s="117"/>
      <c r="G199" s="134">
        <f>G30+G146+G195</f>
        <v>107165228.90033099</v>
      </c>
      <c r="H199" s="135">
        <f>H30+H146+H195</f>
        <v>66105637.284975991</v>
      </c>
      <c r="I199" s="117"/>
      <c r="J199" s="136"/>
    </row>
    <row r="200" spans="1:14" ht="16.5" thickTop="1" x14ac:dyDescent="0.25">
      <c r="B200" s="117"/>
      <c r="C200" s="117"/>
      <c r="D200" s="124"/>
      <c r="E200" s="112"/>
      <c r="F200" s="117"/>
      <c r="G200" s="133"/>
      <c r="H200" s="117"/>
      <c r="I200" s="117"/>
      <c r="J200" s="126"/>
    </row>
    <row r="201" spans="1:14" x14ac:dyDescent="0.25">
      <c r="B201" s="117"/>
      <c r="C201" s="118"/>
      <c r="D201" s="124"/>
      <c r="E201" s="112"/>
      <c r="F201" s="117"/>
      <c r="G201" s="133"/>
      <c r="H201" s="117"/>
      <c r="I201" s="117"/>
      <c r="J201" s="126"/>
    </row>
    <row r="202" spans="1:14" x14ac:dyDescent="0.25">
      <c r="B202" s="78"/>
      <c r="C202" s="78"/>
      <c r="D202" s="111"/>
      <c r="E202" s="111"/>
      <c r="F202" s="78"/>
      <c r="G202" s="78"/>
      <c r="H202" s="79"/>
      <c r="I202" s="78"/>
      <c r="J202" s="128"/>
    </row>
    <row r="203" spans="1:14" x14ac:dyDescent="0.25">
      <c r="A203" s="77">
        <v>192</v>
      </c>
      <c r="B203" s="78" t="s">
        <v>270</v>
      </c>
      <c r="C203" s="78"/>
      <c r="D203" s="111"/>
      <c r="E203" s="111"/>
      <c r="F203" s="78"/>
      <c r="G203" s="137"/>
      <c r="H203" s="78"/>
      <c r="I203" s="78"/>
      <c r="J203" s="128"/>
    </row>
    <row r="204" spans="1:14" x14ac:dyDescent="0.25">
      <c r="A204" s="77">
        <v>193</v>
      </c>
      <c r="B204" s="138"/>
      <c r="C204" s="78"/>
      <c r="D204" s="111"/>
      <c r="E204" s="111"/>
      <c r="F204" s="78"/>
      <c r="G204" s="114" t="s">
        <v>271</v>
      </c>
      <c r="H204" s="162" t="s">
        <v>423</v>
      </c>
      <c r="I204" s="114" t="s">
        <v>273</v>
      </c>
      <c r="J204" s="139" t="s">
        <v>274</v>
      </c>
    </row>
    <row r="205" spans="1:14" x14ac:dyDescent="0.25">
      <c r="A205" s="77">
        <v>194</v>
      </c>
      <c r="B205" s="114" t="s">
        <v>147</v>
      </c>
      <c r="C205" s="78" t="s">
        <v>275</v>
      </c>
      <c r="D205" s="111">
        <f>SUMIF(I8:I194,B205,G8:G194)</f>
        <v>12762873.219999999</v>
      </c>
      <c r="F205" s="78"/>
      <c r="G205" s="114" t="s">
        <v>276</v>
      </c>
      <c r="H205" s="114" t="s">
        <v>277</v>
      </c>
      <c r="I205" s="163" t="s">
        <v>424</v>
      </c>
      <c r="J205" s="139" t="s">
        <v>279</v>
      </c>
      <c r="N205" s="16" t="s">
        <v>425</v>
      </c>
    </row>
    <row r="206" spans="1:14" x14ac:dyDescent="0.25">
      <c r="A206" s="77">
        <v>195</v>
      </c>
      <c r="B206" s="114"/>
      <c r="C206" s="138"/>
      <c r="D206" s="111"/>
      <c r="E206" s="111"/>
      <c r="F206" s="78">
        <f>+VALUE(G206)</f>
        <v>303</v>
      </c>
      <c r="G206" s="78">
        <v>303</v>
      </c>
      <c r="H206" s="79">
        <f>+H30</f>
        <v>12866642.449999999</v>
      </c>
      <c r="I206" s="132">
        <v>0.12809999999999999</v>
      </c>
      <c r="J206" s="140">
        <f>+H206*I206</f>
        <v>1648216.8978449998</v>
      </c>
      <c r="N206" s="16">
        <v>10</v>
      </c>
    </row>
    <row r="207" spans="1:14" x14ac:dyDescent="0.25">
      <c r="A207" s="77">
        <v>196</v>
      </c>
      <c r="B207" s="138"/>
      <c r="F207" s="78">
        <f t="shared" ref="F207:F221" si="7">+VALUE(G207)</f>
        <v>367.1</v>
      </c>
      <c r="G207" s="164">
        <v>367.1</v>
      </c>
      <c r="H207" s="79">
        <f t="shared" ref="H207:H221" si="8">+SUMIF($D$34:$D$194,G207,$H$34:$H$194)</f>
        <v>0</v>
      </c>
      <c r="I207" s="165">
        <f>+'[8]EOP Depreciation Expense Adj'!E17</f>
        <v>1.4999999999999999E-2</v>
      </c>
      <c r="J207" s="140">
        <f t="shared" ref="J207:J221" si="9">+H207*I207</f>
        <v>0</v>
      </c>
      <c r="L207" s="143"/>
    </row>
    <row r="208" spans="1:14" x14ac:dyDescent="0.25">
      <c r="A208" s="77">
        <v>197</v>
      </c>
      <c r="B208" s="138"/>
      <c r="C208" s="138"/>
      <c r="D208" s="111"/>
      <c r="E208" s="111"/>
      <c r="F208" s="78">
        <f t="shared" si="7"/>
        <v>374.2</v>
      </c>
      <c r="G208" s="164">
        <v>374.2</v>
      </c>
      <c r="H208" s="79">
        <f t="shared" si="8"/>
        <v>0</v>
      </c>
      <c r="I208" s="165">
        <f>+'[8]EOP Depreciation Expense Adj'!E20</f>
        <v>1.6399999999999998E-2</v>
      </c>
      <c r="J208" s="140">
        <f t="shared" si="9"/>
        <v>0</v>
      </c>
      <c r="L208" s="143"/>
    </row>
    <row r="209" spans="1:12" x14ac:dyDescent="0.25">
      <c r="A209" s="77">
        <v>198</v>
      </c>
      <c r="B209" s="138"/>
      <c r="C209" s="78"/>
      <c r="D209" s="111"/>
      <c r="E209" s="111"/>
      <c r="F209" s="78">
        <f t="shared" si="7"/>
        <v>376.1</v>
      </c>
      <c r="G209" s="164">
        <v>376.1</v>
      </c>
      <c r="H209" s="79">
        <f t="shared" si="8"/>
        <v>312625</v>
      </c>
      <c r="I209" s="165">
        <f>+'[8]EOP Depreciation Expense Adj'!E24</f>
        <v>3.56E-2</v>
      </c>
      <c r="J209" s="166">
        <f t="shared" si="9"/>
        <v>11129.45</v>
      </c>
      <c r="L209" s="143"/>
    </row>
    <row r="210" spans="1:12" x14ac:dyDescent="0.25">
      <c r="A210" s="77">
        <v>199</v>
      </c>
      <c r="B210" s="138"/>
      <c r="C210" s="78"/>
      <c r="D210" s="111"/>
      <c r="E210" s="111"/>
      <c r="F210" s="78">
        <f t="shared" si="7"/>
        <v>376.2</v>
      </c>
      <c r="G210" s="164">
        <v>376.2</v>
      </c>
      <c r="H210" s="79">
        <f t="shared" si="8"/>
        <v>23422677.309999999</v>
      </c>
      <c r="I210" s="165">
        <f>+'[8]EOP Depreciation Expense Adj'!E22</f>
        <v>1.52E-2</v>
      </c>
      <c r="J210" s="166">
        <f t="shared" si="9"/>
        <v>356024.69511199999</v>
      </c>
      <c r="L210" s="143"/>
    </row>
    <row r="211" spans="1:12" x14ac:dyDescent="0.25">
      <c r="A211" s="77">
        <v>200</v>
      </c>
      <c r="B211" s="138"/>
      <c r="C211" s="78"/>
      <c r="D211" s="111"/>
      <c r="E211" s="111"/>
      <c r="F211" s="78">
        <f t="shared" si="7"/>
        <v>376.3</v>
      </c>
      <c r="G211" s="164">
        <v>376.3</v>
      </c>
      <c r="H211" s="79">
        <f t="shared" si="8"/>
        <v>7540384.8199999994</v>
      </c>
      <c r="I211" s="165">
        <f>+'[8]EOP Depreciation Expense Adj'!E23</f>
        <v>2.81E-2</v>
      </c>
      <c r="J211" s="166">
        <f t="shared" si="9"/>
        <v>211884.81344199998</v>
      </c>
      <c r="L211" s="143"/>
    </row>
    <row r="212" spans="1:12" x14ac:dyDescent="0.25">
      <c r="A212" s="77">
        <v>201</v>
      </c>
      <c r="B212" s="138"/>
      <c r="C212" s="78"/>
      <c r="D212" s="111"/>
      <c r="E212" s="111"/>
      <c r="F212" s="78">
        <f t="shared" si="7"/>
        <v>378</v>
      </c>
      <c r="G212" s="164">
        <v>378</v>
      </c>
      <c r="H212" s="79">
        <f t="shared" si="8"/>
        <v>5763870.4899999993</v>
      </c>
      <c r="I212" s="165">
        <f>+'[8]EOP Depreciation Expense Adj'!E26</f>
        <v>1.9699999999999999E-2</v>
      </c>
      <c r="J212" s="166">
        <f t="shared" si="9"/>
        <v>113548.24865299997</v>
      </c>
      <c r="L212" s="143"/>
    </row>
    <row r="213" spans="1:12" x14ac:dyDescent="0.25">
      <c r="A213" s="77">
        <v>202</v>
      </c>
      <c r="B213" s="138"/>
      <c r="C213" s="78"/>
      <c r="D213" s="111"/>
      <c r="E213" s="111"/>
      <c r="F213" s="78">
        <f t="shared" si="7"/>
        <v>380.1</v>
      </c>
      <c r="G213" s="164">
        <v>380.1</v>
      </c>
      <c r="H213" s="79">
        <f t="shared" si="8"/>
        <v>0</v>
      </c>
      <c r="I213" s="165">
        <f>+'[8]EOP Depreciation Expense Adj'!E28</f>
        <v>3.4700000000000002E-2</v>
      </c>
      <c r="J213" s="140">
        <f t="shared" si="9"/>
        <v>0</v>
      </c>
      <c r="L213" s="143"/>
    </row>
    <row r="214" spans="1:12" x14ac:dyDescent="0.25">
      <c r="A214" s="77">
        <v>203</v>
      </c>
      <c r="B214" s="78"/>
      <c r="C214" s="78"/>
      <c r="D214" s="111"/>
      <c r="E214" s="111"/>
      <c r="F214" s="78">
        <f t="shared" si="7"/>
        <v>380.3</v>
      </c>
      <c r="G214" s="167">
        <v>380.3</v>
      </c>
      <c r="H214" s="79">
        <f t="shared" si="8"/>
        <v>12188846.560000001</v>
      </c>
      <c r="I214" s="168">
        <f>+'[8]EOP Depreciation Expense Adj'!E27</f>
        <v>3.3599999999999998E-2</v>
      </c>
      <c r="J214" s="166">
        <f t="shared" si="9"/>
        <v>409545.24441599997</v>
      </c>
      <c r="L214" s="143"/>
    </row>
    <row r="215" spans="1:12" x14ac:dyDescent="0.25">
      <c r="A215" s="77">
        <v>204</v>
      </c>
      <c r="B215" s="78"/>
      <c r="C215" s="78"/>
      <c r="D215" s="111"/>
      <c r="E215" s="111"/>
      <c r="F215" s="78">
        <f t="shared" si="7"/>
        <v>381</v>
      </c>
      <c r="G215" s="164">
        <v>381</v>
      </c>
      <c r="H215" s="79">
        <f t="shared" si="8"/>
        <v>2946051.574976</v>
      </c>
      <c r="I215" s="165">
        <f>+'[8]EOP Depreciation Expense Adj'!E30</f>
        <v>2.6099999999999998E-2</v>
      </c>
      <c r="J215" s="166">
        <f t="shared" si="9"/>
        <v>76891.946106873598</v>
      </c>
      <c r="L215" s="143"/>
    </row>
    <row r="216" spans="1:12" x14ac:dyDescent="0.25">
      <c r="A216" s="77">
        <v>205</v>
      </c>
      <c r="B216" s="78"/>
      <c r="C216" s="78"/>
      <c r="D216" s="111"/>
      <c r="E216" s="111"/>
      <c r="F216" s="78">
        <f t="shared" si="7"/>
        <v>383</v>
      </c>
      <c r="G216" s="164">
        <v>383</v>
      </c>
      <c r="H216" s="79">
        <f t="shared" si="8"/>
        <v>0</v>
      </c>
      <c r="I216" s="165">
        <f>+'[8]EOP Depreciation Expense Adj'!E32</f>
        <v>2.1600000000000001E-2</v>
      </c>
      <c r="J216" s="140">
        <f t="shared" si="9"/>
        <v>0</v>
      </c>
      <c r="L216" s="143"/>
    </row>
    <row r="217" spans="1:12" x14ac:dyDescent="0.25">
      <c r="A217" s="77">
        <v>206</v>
      </c>
      <c r="B217" s="78"/>
      <c r="C217" s="78"/>
      <c r="D217" s="111"/>
      <c r="E217" s="111"/>
      <c r="F217" s="78">
        <f t="shared" si="7"/>
        <v>385</v>
      </c>
      <c r="G217" s="164">
        <v>385</v>
      </c>
      <c r="H217" s="79">
        <f t="shared" si="8"/>
        <v>0</v>
      </c>
      <c r="I217" s="165">
        <f>+'[8]EOP Depreciation Expense Adj'!E33</f>
        <v>1.7000000000000001E-2</v>
      </c>
      <c r="J217" s="140">
        <f t="shared" si="9"/>
        <v>0</v>
      </c>
      <c r="L217" s="143"/>
    </row>
    <row r="218" spans="1:12" x14ac:dyDescent="0.25">
      <c r="A218" s="77">
        <v>207</v>
      </c>
      <c r="B218" s="78"/>
      <c r="C218" s="78"/>
      <c r="D218" s="111"/>
      <c r="E218" s="111"/>
      <c r="F218" s="78">
        <f t="shared" si="7"/>
        <v>390.1</v>
      </c>
      <c r="G218" s="164">
        <v>390.1</v>
      </c>
      <c r="H218" s="79">
        <f t="shared" si="8"/>
        <v>1064539.08</v>
      </c>
      <c r="I218" s="165">
        <f>+'[8]EOP Depreciation Expense Adj'!E36</f>
        <v>1.44E-2</v>
      </c>
      <c r="J218" s="166">
        <f t="shared" si="9"/>
        <v>15329.362752000001</v>
      </c>
      <c r="L218" s="143"/>
    </row>
    <row r="219" spans="1:12" x14ac:dyDescent="0.25">
      <c r="A219" s="77">
        <v>208</v>
      </c>
      <c r="B219" s="78"/>
      <c r="C219" s="78"/>
      <c r="D219" s="111"/>
      <c r="E219" s="111"/>
      <c r="F219" s="78">
        <f t="shared" si="7"/>
        <v>394.1</v>
      </c>
      <c r="G219" s="164">
        <v>394.1</v>
      </c>
      <c r="H219" s="79">
        <f t="shared" si="8"/>
        <v>0</v>
      </c>
      <c r="I219" s="165">
        <f>+'[8]EOP Depreciation Expense Adj'!E44</f>
        <v>0.1066</v>
      </c>
      <c r="J219" s="140">
        <f t="shared" si="9"/>
        <v>0</v>
      </c>
      <c r="L219" s="143"/>
    </row>
    <row r="220" spans="1:12" x14ac:dyDescent="0.25">
      <c r="A220" s="77">
        <v>209</v>
      </c>
      <c r="B220" s="78"/>
      <c r="C220" s="78"/>
      <c r="D220" s="111"/>
      <c r="E220" s="111"/>
      <c r="F220" s="78">
        <f t="shared" si="7"/>
        <v>396.2</v>
      </c>
      <c r="G220" s="164">
        <v>396.2</v>
      </c>
      <c r="H220" s="79">
        <f t="shared" si="8"/>
        <v>0</v>
      </c>
      <c r="I220" s="165">
        <f>+'[8]EOP Depreciation Expense Adj'!E47</f>
        <v>9.6300000000000011E-2</v>
      </c>
      <c r="J220" s="140">
        <f t="shared" si="9"/>
        <v>0</v>
      </c>
      <c r="L220" s="143"/>
    </row>
    <row r="221" spans="1:12" x14ac:dyDescent="0.25">
      <c r="A221" s="77">
        <v>210</v>
      </c>
      <c r="B221" s="78"/>
      <c r="C221" s="78"/>
      <c r="D221" s="111"/>
      <c r="E221" s="111"/>
      <c r="F221" s="78">
        <f t="shared" si="7"/>
        <v>397.2</v>
      </c>
      <c r="G221" s="164">
        <v>397.2</v>
      </c>
      <c r="H221" s="79">
        <f t="shared" si="8"/>
        <v>0</v>
      </c>
      <c r="I221" s="165">
        <f>+'[8]EOP Depreciation Expense Adj'!E51</f>
        <v>5.5300000000000002E-2</v>
      </c>
      <c r="J221" s="140">
        <f t="shared" si="9"/>
        <v>0</v>
      </c>
      <c r="L221" s="143"/>
    </row>
    <row r="222" spans="1:12" x14ac:dyDescent="0.25">
      <c r="A222" s="77">
        <v>211</v>
      </c>
      <c r="B222" s="78"/>
      <c r="C222" s="78"/>
      <c r="D222" s="111"/>
      <c r="E222" s="111"/>
      <c r="F222" s="78" t="s">
        <v>280</v>
      </c>
      <c r="G222" s="78"/>
      <c r="H222" s="79">
        <f>SUM(H206:H221)</f>
        <v>66105637.284975998</v>
      </c>
      <c r="I222" s="78"/>
      <c r="J222" s="166">
        <f>SUM(J206:J221)</f>
        <v>2842570.6583268726</v>
      </c>
      <c r="K222" s="167">
        <f>+J222/H222</f>
        <v>4.3000427423046883E-2</v>
      </c>
    </row>
    <row r="223" spans="1:12" x14ac:dyDescent="0.25">
      <c r="A223" s="77">
        <v>212</v>
      </c>
      <c r="B223" s="78"/>
      <c r="C223" s="78"/>
      <c r="D223" s="111"/>
      <c r="E223" s="111"/>
      <c r="F223" s="78"/>
      <c r="G223" s="78"/>
      <c r="H223" s="78"/>
      <c r="I223" s="78"/>
      <c r="J223" s="128"/>
    </row>
    <row r="224" spans="1:12" x14ac:dyDescent="0.25">
      <c r="A224" s="77">
        <v>213</v>
      </c>
      <c r="B224" s="78"/>
      <c r="C224" s="78"/>
      <c r="D224" s="111"/>
      <c r="E224" s="111"/>
      <c r="F224" s="78"/>
      <c r="G224" s="78"/>
      <c r="H224" s="79">
        <f>+H199-H222</f>
        <v>0</v>
      </c>
      <c r="I224" s="78"/>
      <c r="J224" s="128"/>
    </row>
  </sheetData>
  <autoFilter ref="A7:K195" xr:uid="{C511B5CD-DFEA-4E3B-94E5-BC8C4837758E}"/>
  <mergeCells count="4">
    <mergeCell ref="C1:I1"/>
    <mergeCell ref="C2:I2"/>
    <mergeCell ref="C3:I3"/>
    <mergeCell ref="C4:I4"/>
  </mergeCells>
  <pageMargins left="0.7" right="0.7" top="0.75" bottom="0.75" header="0.3" footer="0.3"/>
  <pageSetup scale="43" fitToHeight="0" orientation="portrait" useFirstPageNumber="1" r:id="rId1"/>
  <headerFooter scaleWithDoc="0" alignWithMargins="0">
    <oddHeader>&amp;RDocket No. UG-20___
Exhibit _____ (MCP-6)
Page &amp;P of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4C8F5-D49E-4037-9944-9BFACCC0A6E0}">
  <sheetPr>
    <pageSetUpPr fitToPage="1"/>
  </sheetPr>
  <dimension ref="A1:M154"/>
  <sheetViews>
    <sheetView topLeftCell="A113" zoomScale="70" zoomScaleNormal="70" workbookViewId="0">
      <selection activeCell="H139" sqref="H139"/>
    </sheetView>
  </sheetViews>
  <sheetFormatPr defaultColWidth="9.140625" defaultRowHeight="15.75" x14ac:dyDescent="0.25"/>
  <cols>
    <col min="1" max="1" width="9.140625" style="77"/>
    <col min="2" max="2" width="14.140625" style="16" bestFit="1" customWidth="1"/>
    <col min="3" max="3" width="48.42578125" style="16" bestFit="1" customWidth="1"/>
    <col min="4" max="4" width="10.85546875" style="16" customWidth="1"/>
    <col min="5" max="5" width="18.85546875" style="16" bestFit="1" customWidth="1"/>
    <col min="6" max="6" width="9.85546875" style="16" bestFit="1" customWidth="1"/>
    <col min="7" max="7" width="16" style="16" bestFit="1" customWidth="1"/>
    <col min="8" max="8" width="18" style="16" bestFit="1" customWidth="1"/>
    <col min="9" max="9" width="12.28515625" style="16" bestFit="1" customWidth="1"/>
    <col min="10" max="10" width="16" style="16" bestFit="1" customWidth="1"/>
    <col min="11" max="11" width="14.5703125" style="16" bestFit="1" customWidth="1"/>
    <col min="12" max="12" width="17" style="16" bestFit="1" customWidth="1"/>
    <col min="13" max="13" width="14.85546875" style="16" customWidth="1"/>
    <col min="14" max="16384" width="9.140625" style="16"/>
  </cols>
  <sheetData>
    <row r="1" spans="1:13" x14ac:dyDescent="0.25">
      <c r="C1" s="172" t="s">
        <v>79</v>
      </c>
      <c r="D1" s="172"/>
      <c r="E1" s="172"/>
      <c r="F1" s="172"/>
      <c r="G1" s="172"/>
      <c r="H1" s="172"/>
      <c r="I1" s="172"/>
    </row>
    <row r="2" spans="1:13" x14ac:dyDescent="0.25">
      <c r="C2" s="172" t="s">
        <v>80</v>
      </c>
      <c r="D2" s="172"/>
      <c r="E2" s="172"/>
      <c r="F2" s="172"/>
      <c r="G2" s="172"/>
      <c r="H2" s="172"/>
      <c r="I2" s="172"/>
    </row>
    <row r="3" spans="1:13" x14ac:dyDescent="0.25">
      <c r="C3" s="172" t="s">
        <v>281</v>
      </c>
      <c r="D3" s="172"/>
      <c r="E3" s="172"/>
      <c r="F3" s="172"/>
      <c r="G3" s="172"/>
      <c r="H3" s="172"/>
      <c r="I3" s="172"/>
    </row>
    <row r="4" spans="1:13" x14ac:dyDescent="0.25">
      <c r="C4" s="173"/>
      <c r="D4" s="173"/>
      <c r="E4" s="173"/>
      <c r="F4" s="173"/>
      <c r="G4" s="173"/>
      <c r="H4" s="173"/>
      <c r="I4" s="173"/>
    </row>
    <row r="6" spans="1:13" s="77" customFormat="1" x14ac:dyDescent="0.25">
      <c r="B6" s="77" t="s">
        <v>82</v>
      </c>
      <c r="C6" s="77" t="s">
        <v>83</v>
      </c>
      <c r="D6" s="77" t="s">
        <v>84</v>
      </c>
      <c r="E6" s="77" t="s">
        <v>85</v>
      </c>
      <c r="F6" s="104" t="s">
        <v>86</v>
      </c>
      <c r="G6" s="77" t="s">
        <v>87</v>
      </c>
      <c r="H6" s="77" t="s">
        <v>88</v>
      </c>
      <c r="I6" s="77" t="s">
        <v>89</v>
      </c>
      <c r="J6" s="77" t="s">
        <v>90</v>
      </c>
    </row>
    <row r="7" spans="1:13" ht="146.25" customHeight="1" x14ac:dyDescent="0.25">
      <c r="A7" s="106" t="s">
        <v>91</v>
      </c>
      <c r="B7" s="107" t="s">
        <v>92</v>
      </c>
      <c r="C7" s="107" t="s">
        <v>93</v>
      </c>
      <c r="D7" s="108" t="s">
        <v>94</v>
      </c>
      <c r="E7" s="141" t="s">
        <v>282</v>
      </c>
      <c r="F7" s="107" t="s">
        <v>96</v>
      </c>
      <c r="G7" s="107" t="s">
        <v>97</v>
      </c>
      <c r="H7" s="107" t="s">
        <v>98</v>
      </c>
      <c r="I7" s="107" t="s">
        <v>99</v>
      </c>
      <c r="J7" s="107" t="s">
        <v>100</v>
      </c>
    </row>
    <row r="8" spans="1:13" x14ac:dyDescent="0.25">
      <c r="A8" s="77" t="s">
        <v>283</v>
      </c>
      <c r="B8" s="78" t="s">
        <v>101</v>
      </c>
      <c r="C8" s="78" t="s">
        <v>284</v>
      </c>
      <c r="D8" s="111">
        <v>303</v>
      </c>
      <c r="E8" s="112">
        <v>1268624.99</v>
      </c>
      <c r="F8" s="113">
        <f>+'[9]State Allocation Formulas'!$C$21</f>
        <v>0.74850000000000005</v>
      </c>
      <c r="G8" s="79">
        <f t="shared" ref="G8:G17" si="0">+E8*F8</f>
        <v>949565.80501500005</v>
      </c>
      <c r="H8" s="79"/>
      <c r="I8" s="114"/>
      <c r="J8" s="115"/>
      <c r="K8" s="116"/>
      <c r="L8" s="16" t="e">
        <f>+VALUE(RIGHT(LEFT(B8,9),6))</f>
        <v>#VALUE!</v>
      </c>
      <c r="M8" s="16">
        <f>+VALUE(RIGHT(LEFT(C8,9),6))</f>
        <v>101480</v>
      </c>
    </row>
    <row r="9" spans="1:13" x14ac:dyDescent="0.25">
      <c r="A9" s="77">
        <v>2</v>
      </c>
      <c r="B9" s="78" t="s">
        <v>101</v>
      </c>
      <c r="C9" s="78" t="s">
        <v>285</v>
      </c>
      <c r="D9" s="111">
        <v>303</v>
      </c>
      <c r="E9" s="112">
        <v>118850.12</v>
      </c>
      <c r="F9" s="113">
        <f>+'[9]State Allocation Formulas'!$C$21</f>
        <v>0.74850000000000005</v>
      </c>
      <c r="G9" s="79">
        <f t="shared" si="0"/>
        <v>88959.31482</v>
      </c>
      <c r="H9" s="79"/>
      <c r="I9" s="114"/>
      <c r="J9" s="23"/>
      <c r="M9" s="16">
        <f t="shared" ref="M9:M72" si="1">+VALUE(RIGHT(LEFT(C9,9),6))</f>
        <v>200064</v>
      </c>
    </row>
    <row r="10" spans="1:13" x14ac:dyDescent="0.25">
      <c r="A10" s="77">
        <v>3</v>
      </c>
      <c r="B10" s="78" t="s">
        <v>101</v>
      </c>
      <c r="C10" s="78" t="s">
        <v>286</v>
      </c>
      <c r="D10" s="111">
        <v>303</v>
      </c>
      <c r="E10" s="112">
        <v>124010.28</v>
      </c>
      <c r="F10" s="113">
        <f>+'[9]State Allocation Formulas'!$C$21</f>
        <v>0.74850000000000005</v>
      </c>
      <c r="G10" s="79">
        <f t="shared" si="0"/>
        <v>92821.69458000001</v>
      </c>
      <c r="H10" s="79"/>
      <c r="I10" s="114"/>
      <c r="J10" s="23"/>
      <c r="M10" s="16">
        <f t="shared" si="1"/>
        <v>200663</v>
      </c>
    </row>
    <row r="11" spans="1:13" x14ac:dyDescent="0.25">
      <c r="A11" s="77">
        <v>4</v>
      </c>
      <c r="B11" s="78" t="s">
        <v>101</v>
      </c>
      <c r="C11" s="78" t="s">
        <v>287</v>
      </c>
      <c r="D11" s="111">
        <v>303</v>
      </c>
      <c r="E11" s="112">
        <v>101504.52</v>
      </c>
      <c r="F11" s="113">
        <f>+'[9]State Allocation Formulas'!$C$21</f>
        <v>0.74850000000000005</v>
      </c>
      <c r="G11" s="79">
        <f t="shared" si="0"/>
        <v>75976.133220000003</v>
      </c>
      <c r="H11" s="79"/>
      <c r="I11" s="114"/>
      <c r="J11" s="23"/>
      <c r="M11" s="16">
        <f t="shared" si="1"/>
        <v>315865</v>
      </c>
    </row>
    <row r="12" spans="1:13" x14ac:dyDescent="0.25">
      <c r="A12" s="77">
        <v>5</v>
      </c>
      <c r="B12" s="78" t="s">
        <v>101</v>
      </c>
      <c r="C12" s="78" t="s">
        <v>288</v>
      </c>
      <c r="D12" s="111">
        <v>303</v>
      </c>
      <c r="E12" s="112">
        <v>19324.46</v>
      </c>
      <c r="F12" s="113">
        <f>+'[9]State Allocation Formulas'!$C$21</f>
        <v>0.74850000000000005</v>
      </c>
      <c r="G12" s="79">
        <f t="shared" si="0"/>
        <v>14464.35831</v>
      </c>
      <c r="H12" s="79"/>
      <c r="I12" s="114"/>
      <c r="J12" s="23"/>
      <c r="M12" s="16">
        <f t="shared" si="1"/>
        <v>316447</v>
      </c>
    </row>
    <row r="13" spans="1:13" x14ac:dyDescent="0.25">
      <c r="A13" s="77">
        <v>6</v>
      </c>
      <c r="B13" s="78" t="s">
        <v>101</v>
      </c>
      <c r="C13" s="78" t="s">
        <v>289</v>
      </c>
      <c r="D13" s="111">
        <v>303</v>
      </c>
      <c r="E13" s="112">
        <v>56940.42</v>
      </c>
      <c r="F13" s="113">
        <f>+'[9]State Allocation Formulas'!$C$21</f>
        <v>0.74850000000000005</v>
      </c>
      <c r="G13" s="79">
        <f t="shared" si="0"/>
        <v>42619.904370000004</v>
      </c>
      <c r="H13" s="79"/>
      <c r="I13" s="114"/>
      <c r="J13" s="23"/>
      <c r="M13" s="16">
        <f t="shared" si="1"/>
        <v>317047</v>
      </c>
    </row>
    <row r="14" spans="1:13" x14ac:dyDescent="0.25">
      <c r="A14" s="77">
        <v>7</v>
      </c>
      <c r="B14" s="78" t="s">
        <v>101</v>
      </c>
      <c r="C14" s="78" t="s">
        <v>290</v>
      </c>
      <c r="D14" s="111">
        <v>303</v>
      </c>
      <c r="E14" s="112">
        <v>21160.86</v>
      </c>
      <c r="F14" s="113">
        <f>+'[9]State Allocation Formulas'!$C$21</f>
        <v>0.74850000000000005</v>
      </c>
      <c r="G14" s="79">
        <f t="shared" si="0"/>
        <v>15838.903710000002</v>
      </c>
      <c r="H14" s="79"/>
      <c r="I14" s="114"/>
      <c r="J14" s="23"/>
      <c r="M14" s="16">
        <f t="shared" si="1"/>
        <v>317050</v>
      </c>
    </row>
    <row r="15" spans="1:13" x14ac:dyDescent="0.25">
      <c r="A15" s="77">
        <v>8</v>
      </c>
      <c r="B15" s="78" t="s">
        <v>101</v>
      </c>
      <c r="C15" s="78" t="s">
        <v>291</v>
      </c>
      <c r="D15" s="111">
        <v>303</v>
      </c>
      <c r="E15" s="112">
        <v>65552.53</v>
      </c>
      <c r="F15" s="113">
        <f>+'[9]State Allocation Formulas'!$C$21</f>
        <v>0.74850000000000005</v>
      </c>
      <c r="G15" s="79">
        <f t="shared" si="0"/>
        <v>49066.068705000005</v>
      </c>
      <c r="H15" s="79"/>
      <c r="I15" s="114"/>
      <c r="J15" s="23"/>
      <c r="M15" s="16">
        <f t="shared" si="1"/>
        <v>317101</v>
      </c>
    </row>
    <row r="16" spans="1:13" x14ac:dyDescent="0.25">
      <c r="A16" s="77">
        <v>9</v>
      </c>
      <c r="B16" s="78" t="s">
        <v>101</v>
      </c>
      <c r="C16" s="78" t="s">
        <v>292</v>
      </c>
      <c r="D16" s="111">
        <v>303</v>
      </c>
      <c r="E16" s="112">
        <v>165560.01999999999</v>
      </c>
      <c r="F16" s="113">
        <f>+'[9]State Allocation Formulas'!$C$21</f>
        <v>0.74850000000000005</v>
      </c>
      <c r="G16" s="79">
        <f t="shared" si="0"/>
        <v>123921.67497000001</v>
      </c>
      <c r="H16" s="79"/>
      <c r="I16" s="114"/>
      <c r="J16" s="23"/>
      <c r="M16" s="16">
        <f t="shared" si="1"/>
        <v>317103</v>
      </c>
    </row>
    <row r="17" spans="1:13" x14ac:dyDescent="0.25">
      <c r="A17" s="77">
        <v>10</v>
      </c>
      <c r="B17" s="78" t="s">
        <v>101</v>
      </c>
      <c r="C17" s="78" t="s">
        <v>293</v>
      </c>
      <c r="D17" s="111">
        <v>303</v>
      </c>
      <c r="E17" s="112">
        <v>4517.63</v>
      </c>
      <c r="F17" s="113">
        <f>+'[9]State Allocation Formulas'!$C$21</f>
        <v>0.74850000000000005</v>
      </c>
      <c r="G17" s="79">
        <f t="shared" si="0"/>
        <v>3381.4460550000003</v>
      </c>
      <c r="H17" s="79"/>
      <c r="I17" s="114"/>
      <c r="J17" s="23"/>
      <c r="M17" s="16">
        <f t="shared" si="1"/>
        <v>317297</v>
      </c>
    </row>
    <row r="18" spans="1:13" x14ac:dyDescent="0.25">
      <c r="A18" s="77">
        <v>11</v>
      </c>
      <c r="B18" s="78" t="s">
        <v>101</v>
      </c>
      <c r="C18" s="78" t="s">
        <v>294</v>
      </c>
      <c r="D18" s="111">
        <v>303</v>
      </c>
      <c r="E18" s="112">
        <v>965778.4</v>
      </c>
      <c r="F18" s="78"/>
      <c r="G18" s="79">
        <f>+E18</f>
        <v>965778.4</v>
      </c>
      <c r="H18" s="79">
        <f>+G18</f>
        <v>965778.4</v>
      </c>
      <c r="I18" s="114">
        <f>+'[9]MCP-6 - Supporting Explanations'!A26</f>
        <v>10</v>
      </c>
      <c r="J18" s="23">
        <v>43617</v>
      </c>
      <c r="M18" s="16">
        <f t="shared" si="1"/>
        <v>317322</v>
      </c>
    </row>
    <row r="19" spans="1:13" x14ac:dyDescent="0.25">
      <c r="B19" s="78"/>
      <c r="C19" s="78"/>
      <c r="D19" s="111"/>
      <c r="E19" s="112"/>
      <c r="F19" s="78"/>
      <c r="G19" s="79"/>
      <c r="H19" s="78"/>
      <c r="I19" s="114"/>
      <c r="J19" s="78"/>
      <c r="M19" s="16" t="e">
        <f t="shared" si="1"/>
        <v>#VALUE!</v>
      </c>
    </row>
    <row r="20" spans="1:13" x14ac:dyDescent="0.25">
      <c r="A20" s="77">
        <v>12</v>
      </c>
      <c r="B20" s="117"/>
      <c r="C20" s="118" t="s">
        <v>124</v>
      </c>
      <c r="D20" s="119"/>
      <c r="E20" s="120">
        <f>SUM(E8:E18)</f>
        <v>2911824.23</v>
      </c>
      <c r="F20" s="117"/>
      <c r="G20" s="121">
        <f>SUM(G8:G18)</f>
        <v>2422393.7037549997</v>
      </c>
      <c r="H20" s="121">
        <f>SUM(H8:H18)</f>
        <v>965778.4</v>
      </c>
      <c r="I20" s="122"/>
      <c r="J20" s="142"/>
      <c r="M20" s="16" t="e">
        <f t="shared" si="1"/>
        <v>#VALUE!</v>
      </c>
    </row>
    <row r="21" spans="1:13" x14ac:dyDescent="0.25">
      <c r="A21" s="77">
        <v>13</v>
      </c>
      <c r="B21" s="117" t="s">
        <v>125</v>
      </c>
      <c r="C21" s="117"/>
      <c r="D21" s="124"/>
      <c r="E21" s="112"/>
      <c r="F21" s="117"/>
      <c r="G21" s="125"/>
      <c r="H21" s="117"/>
      <c r="I21" s="122"/>
      <c r="J21" s="117"/>
      <c r="M21" s="16" t="e">
        <f t="shared" si="1"/>
        <v>#VALUE!</v>
      </c>
    </row>
    <row r="22" spans="1:13" x14ac:dyDescent="0.25">
      <c r="A22" s="77">
        <v>14</v>
      </c>
      <c r="B22" s="78" t="s">
        <v>126</v>
      </c>
      <c r="C22" s="78" t="s">
        <v>295</v>
      </c>
      <c r="D22" s="111">
        <v>376</v>
      </c>
      <c r="E22" s="112">
        <v>387566</v>
      </c>
      <c r="F22" s="78"/>
      <c r="G22" s="79"/>
      <c r="H22" s="78"/>
      <c r="I22" s="114"/>
      <c r="J22" s="78"/>
      <c r="M22" s="16">
        <f t="shared" si="1"/>
        <v>101170</v>
      </c>
    </row>
    <row r="23" spans="1:13" x14ac:dyDescent="0.25">
      <c r="A23" s="77">
        <v>15</v>
      </c>
      <c r="B23" s="78" t="s">
        <v>126</v>
      </c>
      <c r="C23" s="78" t="s">
        <v>296</v>
      </c>
      <c r="D23" s="111">
        <v>376</v>
      </c>
      <c r="E23" s="112">
        <v>398194.88</v>
      </c>
      <c r="F23" s="78"/>
      <c r="G23" s="79"/>
      <c r="H23" s="78"/>
      <c r="I23" s="114"/>
      <c r="J23" s="78"/>
      <c r="M23" s="16">
        <f t="shared" si="1"/>
        <v>101172</v>
      </c>
    </row>
    <row r="24" spans="1:13" x14ac:dyDescent="0.25">
      <c r="A24" s="77">
        <v>16</v>
      </c>
      <c r="B24" s="78" t="s">
        <v>126</v>
      </c>
      <c r="C24" s="78" t="s">
        <v>297</v>
      </c>
      <c r="D24" s="111">
        <v>380</v>
      </c>
      <c r="E24" s="112">
        <v>2844250</v>
      </c>
      <c r="F24" s="78"/>
      <c r="G24" s="79"/>
      <c r="H24" s="78"/>
      <c r="I24" s="114"/>
      <c r="J24" s="78"/>
      <c r="M24" s="16">
        <f t="shared" si="1"/>
        <v>101176</v>
      </c>
    </row>
    <row r="25" spans="1:13" x14ac:dyDescent="0.25">
      <c r="A25" s="77">
        <v>17</v>
      </c>
      <c r="B25" s="78" t="s">
        <v>126</v>
      </c>
      <c r="C25" s="78" t="s">
        <v>298</v>
      </c>
      <c r="D25" s="111">
        <v>380</v>
      </c>
      <c r="E25" s="112">
        <v>170655</v>
      </c>
      <c r="F25" s="78"/>
      <c r="G25" s="79"/>
      <c r="H25" s="78"/>
      <c r="I25" s="114"/>
      <c r="J25" s="78"/>
      <c r="M25" s="16">
        <f t="shared" si="1"/>
        <v>101177</v>
      </c>
    </row>
    <row r="26" spans="1:13" x14ac:dyDescent="0.25">
      <c r="A26" s="77">
        <v>18</v>
      </c>
      <c r="B26" s="78" t="s">
        <v>126</v>
      </c>
      <c r="C26" s="78" t="s">
        <v>299</v>
      </c>
      <c r="D26" s="111">
        <v>382</v>
      </c>
      <c r="E26" s="112">
        <v>111676.56</v>
      </c>
      <c r="F26" s="78"/>
      <c r="G26" s="79"/>
      <c r="H26" s="78"/>
      <c r="I26" s="114"/>
      <c r="J26" s="78"/>
      <c r="M26" s="16">
        <f t="shared" si="1"/>
        <v>101178</v>
      </c>
    </row>
    <row r="27" spans="1:13" x14ac:dyDescent="0.25">
      <c r="A27" s="77">
        <v>19</v>
      </c>
      <c r="B27" s="78" t="s">
        <v>126</v>
      </c>
      <c r="C27" s="78" t="s">
        <v>300</v>
      </c>
      <c r="D27" s="111">
        <v>382</v>
      </c>
      <c r="E27" s="112">
        <v>331980.90999999997</v>
      </c>
      <c r="F27" s="78"/>
      <c r="G27" s="79"/>
      <c r="H27" s="78"/>
      <c r="I27" s="114"/>
      <c r="J27" s="78"/>
      <c r="M27" s="16">
        <f t="shared" si="1"/>
        <v>101179</v>
      </c>
    </row>
    <row r="28" spans="1:13" x14ac:dyDescent="0.25">
      <c r="A28" s="77">
        <v>20</v>
      </c>
      <c r="B28" s="78" t="s">
        <v>126</v>
      </c>
      <c r="C28" s="78" t="s">
        <v>301</v>
      </c>
      <c r="D28" s="111">
        <v>385</v>
      </c>
      <c r="E28" s="112">
        <v>73402.080000000002</v>
      </c>
      <c r="F28" s="78"/>
      <c r="G28" s="79"/>
      <c r="H28" s="78"/>
      <c r="I28" s="114"/>
      <c r="J28" s="78"/>
      <c r="M28" s="16">
        <f t="shared" si="1"/>
        <v>101180</v>
      </c>
    </row>
    <row r="29" spans="1:13" x14ac:dyDescent="0.25">
      <c r="A29" s="77">
        <v>21</v>
      </c>
      <c r="B29" s="78" t="s">
        <v>126</v>
      </c>
      <c r="C29" s="78" t="s">
        <v>302</v>
      </c>
      <c r="D29" s="111">
        <v>385</v>
      </c>
      <c r="E29" s="112">
        <v>122336.92</v>
      </c>
      <c r="F29" s="78"/>
      <c r="G29" s="79"/>
      <c r="H29" s="78"/>
      <c r="I29" s="114"/>
      <c r="J29" s="78"/>
      <c r="M29" s="16">
        <f t="shared" si="1"/>
        <v>101181</v>
      </c>
    </row>
    <row r="30" spans="1:13" x14ac:dyDescent="0.25">
      <c r="A30" s="77">
        <v>22</v>
      </c>
      <c r="B30" s="78" t="s">
        <v>126</v>
      </c>
      <c r="C30" s="78" t="s">
        <v>303</v>
      </c>
      <c r="D30" s="111">
        <v>392</v>
      </c>
      <c r="E30" s="112">
        <v>729365.6</v>
      </c>
      <c r="F30" s="78"/>
      <c r="G30" s="79"/>
      <c r="H30" s="78"/>
      <c r="I30" s="114"/>
      <c r="J30" s="78"/>
      <c r="M30" s="16">
        <f t="shared" si="1"/>
        <v>101184</v>
      </c>
    </row>
    <row r="31" spans="1:13" x14ac:dyDescent="0.25">
      <c r="A31" s="77">
        <v>23</v>
      </c>
      <c r="B31" s="78" t="s">
        <v>126</v>
      </c>
      <c r="C31" s="78" t="s">
        <v>304</v>
      </c>
      <c r="D31" s="111">
        <v>396</v>
      </c>
      <c r="E31" s="112">
        <v>673288.56</v>
      </c>
      <c r="F31" s="78"/>
      <c r="G31" s="79"/>
      <c r="H31" s="78"/>
      <c r="I31" s="114"/>
      <c r="J31" s="78"/>
      <c r="M31" s="16">
        <f t="shared" si="1"/>
        <v>101186</v>
      </c>
    </row>
    <row r="32" spans="1:13" x14ac:dyDescent="0.25">
      <c r="A32" s="77">
        <v>24</v>
      </c>
      <c r="B32" s="78" t="s">
        <v>126</v>
      </c>
      <c r="C32" s="78" t="s">
        <v>305</v>
      </c>
      <c r="D32" s="111">
        <v>397</v>
      </c>
      <c r="E32" s="112">
        <v>19663.8</v>
      </c>
      <c r="F32" s="78"/>
      <c r="G32" s="79"/>
      <c r="H32" s="78"/>
      <c r="I32" s="114"/>
      <c r="J32" s="78"/>
      <c r="M32" s="16">
        <f t="shared" si="1"/>
        <v>101187</v>
      </c>
    </row>
    <row r="33" spans="1:13" x14ac:dyDescent="0.25">
      <c r="A33" s="77">
        <v>25</v>
      </c>
      <c r="B33" s="78" t="s">
        <v>126</v>
      </c>
      <c r="C33" s="78" t="s">
        <v>306</v>
      </c>
      <c r="D33" s="111">
        <v>376</v>
      </c>
      <c r="E33" s="112">
        <v>2907081.16</v>
      </c>
      <c r="F33" s="78"/>
      <c r="G33" s="79">
        <f t="shared" ref="G33:G41" si="2">+E33</f>
        <v>2907081.16</v>
      </c>
      <c r="H33" s="79"/>
      <c r="I33" s="114" t="s">
        <v>307</v>
      </c>
      <c r="J33" s="78"/>
      <c r="L33" s="23"/>
      <c r="M33" s="16">
        <f t="shared" si="1"/>
        <v>101190</v>
      </c>
    </row>
    <row r="34" spans="1:13" x14ac:dyDescent="0.25">
      <c r="A34" s="77">
        <v>26</v>
      </c>
      <c r="B34" s="78" t="s">
        <v>126</v>
      </c>
      <c r="C34" s="78" t="s">
        <v>130</v>
      </c>
      <c r="D34" s="111">
        <v>376</v>
      </c>
      <c r="E34" s="112">
        <v>2628604.12</v>
      </c>
      <c r="F34" s="78"/>
      <c r="G34" s="79">
        <f t="shared" si="2"/>
        <v>2628604.12</v>
      </c>
      <c r="H34" s="79">
        <f>+G34</f>
        <v>2628604.12</v>
      </c>
      <c r="I34" s="114">
        <f>+'[9]MCP-6 - Supporting Explanations'!A8</f>
        <v>1</v>
      </c>
      <c r="J34" s="23">
        <v>46022</v>
      </c>
      <c r="M34" s="16">
        <f t="shared" si="1"/>
        <v>101192</v>
      </c>
    </row>
    <row r="35" spans="1:13" x14ac:dyDescent="0.25">
      <c r="A35" s="77">
        <v>27</v>
      </c>
      <c r="B35" s="78" t="s">
        <v>126</v>
      </c>
      <c r="C35" s="78" t="s">
        <v>308</v>
      </c>
      <c r="D35" s="111">
        <v>378</v>
      </c>
      <c r="E35" s="112">
        <v>113770</v>
      </c>
      <c r="F35" s="78"/>
      <c r="G35" s="79">
        <f t="shared" si="2"/>
        <v>113770</v>
      </c>
      <c r="H35" s="79"/>
      <c r="I35" s="114" t="s">
        <v>307</v>
      </c>
      <c r="J35" s="78"/>
      <c r="L35" s="23"/>
      <c r="M35" s="16">
        <f t="shared" si="1"/>
        <v>101194</v>
      </c>
    </row>
    <row r="36" spans="1:13" x14ac:dyDescent="0.25">
      <c r="A36" s="77">
        <v>28</v>
      </c>
      <c r="B36" s="78" t="s">
        <v>126</v>
      </c>
      <c r="C36" s="78" t="s">
        <v>131</v>
      </c>
      <c r="D36" s="111">
        <v>378</v>
      </c>
      <c r="E36" s="112">
        <v>929537.23</v>
      </c>
      <c r="F36" s="78"/>
      <c r="G36" s="79">
        <f t="shared" si="2"/>
        <v>929537.23</v>
      </c>
      <c r="H36" s="79"/>
      <c r="I36" s="114"/>
      <c r="J36" s="78"/>
      <c r="L36" s="23"/>
      <c r="M36" s="16">
        <f t="shared" si="1"/>
        <v>101196</v>
      </c>
    </row>
    <row r="37" spans="1:13" x14ac:dyDescent="0.25">
      <c r="A37" s="77">
        <v>29</v>
      </c>
      <c r="B37" s="78" t="s">
        <v>126</v>
      </c>
      <c r="C37" s="78" t="s">
        <v>132</v>
      </c>
      <c r="D37" s="111">
        <v>380</v>
      </c>
      <c r="E37" s="112">
        <v>12633047.1</v>
      </c>
      <c r="F37" s="78"/>
      <c r="G37" s="79">
        <f t="shared" si="2"/>
        <v>12633047.1</v>
      </c>
      <c r="H37" s="79"/>
      <c r="I37" s="114" t="s">
        <v>307</v>
      </c>
      <c r="J37" s="78"/>
      <c r="L37" s="23"/>
      <c r="M37" s="16">
        <f t="shared" si="1"/>
        <v>101197</v>
      </c>
    </row>
    <row r="38" spans="1:13" x14ac:dyDescent="0.25">
      <c r="A38" s="77">
        <v>30</v>
      </c>
      <c r="B38" s="78" t="s">
        <v>126</v>
      </c>
      <c r="C38" s="78" t="s">
        <v>309</v>
      </c>
      <c r="D38" s="111">
        <v>382</v>
      </c>
      <c r="E38" s="112">
        <v>141074.79999999999</v>
      </c>
      <c r="F38" s="78"/>
      <c r="G38" s="79">
        <f t="shared" si="2"/>
        <v>141074.79999999999</v>
      </c>
      <c r="H38" s="79"/>
      <c r="I38" s="114" t="s">
        <v>307</v>
      </c>
      <c r="J38" s="78"/>
      <c r="L38" s="23"/>
      <c r="M38" s="16">
        <f t="shared" si="1"/>
        <v>101198</v>
      </c>
    </row>
    <row r="39" spans="1:13" x14ac:dyDescent="0.25">
      <c r="A39" s="77">
        <v>31</v>
      </c>
      <c r="B39" s="78" t="s">
        <v>126</v>
      </c>
      <c r="C39" s="78" t="s">
        <v>310</v>
      </c>
      <c r="D39" s="111">
        <v>382</v>
      </c>
      <c r="E39" s="112">
        <v>709924.8</v>
      </c>
      <c r="F39" s="78"/>
      <c r="G39" s="79">
        <f t="shared" si="2"/>
        <v>709924.8</v>
      </c>
      <c r="H39" s="79"/>
      <c r="I39" s="114" t="s">
        <v>307</v>
      </c>
      <c r="J39" s="79"/>
      <c r="L39" s="23"/>
      <c r="M39" s="16">
        <f t="shared" si="1"/>
        <v>101199</v>
      </c>
    </row>
    <row r="40" spans="1:13" x14ac:dyDescent="0.25">
      <c r="A40" s="77">
        <v>32</v>
      </c>
      <c r="B40" s="78" t="s">
        <v>126</v>
      </c>
      <c r="C40" s="78" t="s">
        <v>133</v>
      </c>
      <c r="D40" s="111">
        <v>385</v>
      </c>
      <c r="E40" s="112">
        <v>171169.28</v>
      </c>
      <c r="F40" s="78"/>
      <c r="G40" s="79">
        <f t="shared" si="2"/>
        <v>171169.28</v>
      </c>
      <c r="H40" s="79"/>
      <c r="I40" s="114" t="s">
        <v>307</v>
      </c>
      <c r="J40" s="78"/>
      <c r="L40" s="23"/>
      <c r="M40" s="16">
        <f t="shared" si="1"/>
        <v>101200</v>
      </c>
    </row>
    <row r="41" spans="1:13" x14ac:dyDescent="0.25">
      <c r="A41" s="77">
        <v>33</v>
      </c>
      <c r="B41" s="78" t="s">
        <v>126</v>
      </c>
      <c r="C41" s="78" t="s">
        <v>134</v>
      </c>
      <c r="D41" s="111">
        <v>385</v>
      </c>
      <c r="E41" s="112">
        <v>256050.84</v>
      </c>
      <c r="F41" s="78"/>
      <c r="G41" s="79">
        <f t="shared" si="2"/>
        <v>256050.84</v>
      </c>
      <c r="H41" s="79"/>
      <c r="I41" s="114"/>
      <c r="J41" s="78"/>
      <c r="L41" s="23"/>
      <c r="M41" s="16">
        <f t="shared" si="1"/>
        <v>101201</v>
      </c>
    </row>
    <row r="42" spans="1:13" x14ac:dyDescent="0.25">
      <c r="A42" s="77">
        <v>34</v>
      </c>
      <c r="B42" s="78" t="s">
        <v>126</v>
      </c>
      <c r="C42" s="78" t="s">
        <v>311</v>
      </c>
      <c r="D42" s="111">
        <v>381</v>
      </c>
      <c r="E42" s="112">
        <v>2947488.36</v>
      </c>
      <c r="F42" s="113">
        <f>+'[9]State Allocation Formulas'!C16</f>
        <v>0.74490000000000001</v>
      </c>
      <c r="G42" s="79">
        <f>+E42*F42</f>
        <v>2195584.0793639999</v>
      </c>
      <c r="H42" s="79"/>
      <c r="I42" s="114" t="s">
        <v>307</v>
      </c>
      <c r="J42" s="137"/>
      <c r="K42" s="143"/>
      <c r="L42" s="23"/>
      <c r="M42" s="16">
        <f t="shared" si="1"/>
        <v>101210</v>
      </c>
    </row>
    <row r="43" spans="1:13" x14ac:dyDescent="0.25">
      <c r="A43" s="77">
        <v>35</v>
      </c>
      <c r="B43" s="78" t="s">
        <v>126</v>
      </c>
      <c r="C43" s="78" t="s">
        <v>312</v>
      </c>
      <c r="D43" s="111">
        <v>383</v>
      </c>
      <c r="E43" s="112">
        <v>669513.72</v>
      </c>
      <c r="F43" s="113">
        <f>+'[9]State Allocation Formulas'!C16</f>
        <v>0.74490000000000001</v>
      </c>
      <c r="G43" s="79">
        <f>+E43*F43</f>
        <v>498720.770028</v>
      </c>
      <c r="H43" s="79"/>
      <c r="I43" s="114" t="s">
        <v>307</v>
      </c>
      <c r="J43" s="78"/>
      <c r="M43" s="16">
        <f t="shared" si="1"/>
        <v>101259</v>
      </c>
    </row>
    <row r="44" spans="1:13" x14ac:dyDescent="0.25">
      <c r="A44" s="77">
        <v>36</v>
      </c>
      <c r="B44" s="78" t="s">
        <v>126</v>
      </c>
      <c r="C44" s="78" t="s">
        <v>137</v>
      </c>
      <c r="D44" s="111">
        <v>380</v>
      </c>
      <c r="E44" s="112">
        <v>341310</v>
      </c>
      <c r="F44" s="78"/>
      <c r="G44" s="79">
        <f>+E44</f>
        <v>341310</v>
      </c>
      <c r="H44" s="79"/>
      <c r="I44" s="114"/>
      <c r="J44" s="79"/>
      <c r="L44" s="23"/>
      <c r="M44" s="16">
        <f t="shared" si="1"/>
        <v>101275</v>
      </c>
    </row>
    <row r="45" spans="1:13" x14ac:dyDescent="0.25">
      <c r="A45" s="77">
        <v>37</v>
      </c>
      <c r="B45" s="78" t="s">
        <v>126</v>
      </c>
      <c r="C45" s="78" t="s">
        <v>313</v>
      </c>
      <c r="D45" s="111">
        <v>378</v>
      </c>
      <c r="E45" s="112">
        <v>967078.48</v>
      </c>
      <c r="F45" s="78"/>
      <c r="G45" s="79">
        <f>+E45</f>
        <v>967078.48</v>
      </c>
      <c r="H45" s="79"/>
      <c r="I45" s="114" t="s">
        <v>307</v>
      </c>
      <c r="J45" s="78"/>
      <c r="L45" s="23"/>
      <c r="M45" s="16">
        <f t="shared" si="1"/>
        <v>101505</v>
      </c>
    </row>
    <row r="46" spans="1:13" x14ac:dyDescent="0.25">
      <c r="A46" s="77">
        <v>38</v>
      </c>
      <c r="B46" s="78" t="s">
        <v>126</v>
      </c>
      <c r="C46" s="78" t="s">
        <v>314</v>
      </c>
      <c r="D46" s="111">
        <v>376</v>
      </c>
      <c r="E46" s="112">
        <v>575105.22</v>
      </c>
      <c r="F46" s="78"/>
      <c r="G46" s="79">
        <f>+E46</f>
        <v>575105.22</v>
      </c>
      <c r="H46" s="79"/>
      <c r="I46" s="114" t="s">
        <v>147</v>
      </c>
      <c r="J46" s="78"/>
      <c r="L46" s="23"/>
      <c r="M46" s="16">
        <f t="shared" si="1"/>
        <v>200686</v>
      </c>
    </row>
    <row r="47" spans="1:13" x14ac:dyDescent="0.25">
      <c r="A47" s="77">
        <v>39</v>
      </c>
      <c r="B47" s="78" t="s">
        <v>126</v>
      </c>
      <c r="C47" s="78" t="s">
        <v>315</v>
      </c>
      <c r="D47" s="111">
        <v>376</v>
      </c>
      <c r="E47" s="112">
        <v>2802736.39</v>
      </c>
      <c r="F47" s="78"/>
      <c r="G47" s="79">
        <f>+E47</f>
        <v>2802736.39</v>
      </c>
      <c r="H47" s="79"/>
      <c r="I47" s="114" t="s">
        <v>147</v>
      </c>
      <c r="J47" s="78"/>
      <c r="L47" s="23"/>
      <c r="M47" s="16">
        <f t="shared" si="1"/>
        <v>200687</v>
      </c>
    </row>
    <row r="48" spans="1:13" x14ac:dyDescent="0.25">
      <c r="A48" s="77">
        <v>40</v>
      </c>
      <c r="B48" s="78" t="s">
        <v>126</v>
      </c>
      <c r="C48" s="78" t="s">
        <v>316</v>
      </c>
      <c r="D48" s="111">
        <v>376</v>
      </c>
      <c r="E48" s="112">
        <v>2802736.39</v>
      </c>
      <c r="F48" s="78"/>
      <c r="G48" s="79"/>
      <c r="H48" s="79"/>
      <c r="I48" s="114"/>
      <c r="J48" s="78"/>
      <c r="M48" s="16">
        <f t="shared" si="1"/>
        <v>200688</v>
      </c>
    </row>
    <row r="49" spans="1:13" x14ac:dyDescent="0.25">
      <c r="A49" s="77">
        <v>41</v>
      </c>
      <c r="B49" s="78" t="s">
        <v>126</v>
      </c>
      <c r="C49" s="78" t="s">
        <v>140</v>
      </c>
      <c r="D49" s="111">
        <v>376</v>
      </c>
      <c r="E49" s="112">
        <v>833125.93</v>
      </c>
      <c r="F49" s="78"/>
      <c r="G49" s="79">
        <f>+E49</f>
        <v>833125.93</v>
      </c>
      <c r="H49" s="79"/>
      <c r="I49" s="114"/>
      <c r="J49" s="78"/>
      <c r="L49" s="23"/>
      <c r="M49" s="16">
        <f t="shared" si="1"/>
        <v>300233</v>
      </c>
    </row>
    <row r="50" spans="1:13" x14ac:dyDescent="0.25">
      <c r="A50" s="77">
        <v>42</v>
      </c>
      <c r="B50" s="78" t="s">
        <v>126</v>
      </c>
      <c r="C50" s="78" t="s">
        <v>317</v>
      </c>
      <c r="D50" s="111">
        <v>376</v>
      </c>
      <c r="E50" s="112">
        <v>1791361.95</v>
      </c>
      <c r="F50" s="78"/>
      <c r="G50" s="79">
        <f>+E50</f>
        <v>1791361.95</v>
      </c>
      <c r="H50" s="79"/>
      <c r="I50" s="114" t="s">
        <v>147</v>
      </c>
      <c r="J50" s="78"/>
      <c r="L50" s="23"/>
      <c r="M50" s="16">
        <f t="shared" si="1"/>
        <v>300363</v>
      </c>
    </row>
    <row r="51" spans="1:13" x14ac:dyDescent="0.25">
      <c r="A51" s="77">
        <v>43</v>
      </c>
      <c r="B51" s="78" t="s">
        <v>126</v>
      </c>
      <c r="C51" s="78" t="s">
        <v>141</v>
      </c>
      <c r="D51" s="111">
        <v>376</v>
      </c>
      <c r="E51" s="112">
        <v>526983.79</v>
      </c>
      <c r="F51" s="78"/>
      <c r="G51" s="79">
        <f>+E51</f>
        <v>526983.79</v>
      </c>
      <c r="H51" s="79"/>
      <c r="I51" s="114"/>
      <c r="J51" s="78"/>
      <c r="L51" s="23"/>
      <c r="M51" s="16">
        <f t="shared" si="1"/>
        <v>302369</v>
      </c>
    </row>
    <row r="52" spans="1:13" x14ac:dyDescent="0.25">
      <c r="A52" s="77">
        <v>44</v>
      </c>
      <c r="B52" s="78" t="s">
        <v>126</v>
      </c>
      <c r="C52" s="78" t="s">
        <v>318</v>
      </c>
      <c r="D52" s="111">
        <v>376</v>
      </c>
      <c r="E52" s="112">
        <v>291706.28000000003</v>
      </c>
      <c r="F52" s="78"/>
      <c r="G52" s="79"/>
      <c r="H52" s="79"/>
      <c r="I52" s="114"/>
      <c r="J52" s="78"/>
      <c r="M52" s="16">
        <f t="shared" si="1"/>
        <v>302370</v>
      </c>
    </row>
    <row r="53" spans="1:13" x14ac:dyDescent="0.25">
      <c r="A53" s="77">
        <v>45</v>
      </c>
      <c r="B53" s="78" t="s">
        <v>126</v>
      </c>
      <c r="C53" s="78" t="s">
        <v>319</v>
      </c>
      <c r="D53" s="111">
        <v>376</v>
      </c>
      <c r="E53" s="112">
        <v>29284.38</v>
      </c>
      <c r="F53" s="78"/>
      <c r="G53" s="79">
        <f t="shared" ref="G53:G59" si="3">+E53</f>
        <v>29284.38</v>
      </c>
      <c r="H53" s="79"/>
      <c r="I53" s="114" t="s">
        <v>307</v>
      </c>
      <c r="J53" s="79"/>
      <c r="L53" s="23"/>
      <c r="M53" s="16">
        <f t="shared" si="1"/>
        <v>302588</v>
      </c>
    </row>
    <row r="54" spans="1:13" x14ac:dyDescent="0.25">
      <c r="A54" s="77">
        <v>46</v>
      </c>
      <c r="B54" s="78" t="s">
        <v>126</v>
      </c>
      <c r="C54" s="78" t="s">
        <v>320</v>
      </c>
      <c r="D54" s="111">
        <v>376</v>
      </c>
      <c r="E54" s="112">
        <v>2401110.4</v>
      </c>
      <c r="F54" s="78"/>
      <c r="G54" s="79">
        <f t="shared" si="3"/>
        <v>2401110.4</v>
      </c>
      <c r="H54" s="79"/>
      <c r="I54" s="114" t="s">
        <v>147</v>
      </c>
      <c r="J54" s="79"/>
      <c r="L54" s="23"/>
      <c r="M54" s="16">
        <f t="shared" si="1"/>
        <v>302594</v>
      </c>
    </row>
    <row r="55" spans="1:13" x14ac:dyDescent="0.25">
      <c r="A55" s="77">
        <v>47</v>
      </c>
      <c r="B55" s="78" t="s">
        <v>126</v>
      </c>
      <c r="C55" s="78" t="s">
        <v>321</v>
      </c>
      <c r="D55" s="111">
        <v>378</v>
      </c>
      <c r="E55" s="112">
        <v>4088411.51</v>
      </c>
      <c r="F55" s="78"/>
      <c r="G55" s="79">
        <f t="shared" si="3"/>
        <v>4088411.51</v>
      </c>
      <c r="H55" s="79">
        <f>+G55</f>
        <v>4088411.51</v>
      </c>
      <c r="I55" s="114">
        <f>+'[9]MCP-6 - Supporting Explanations'!A10</f>
        <v>2</v>
      </c>
      <c r="J55" s="23">
        <v>43830</v>
      </c>
      <c r="M55" s="16">
        <f t="shared" si="1"/>
        <v>302596</v>
      </c>
    </row>
    <row r="56" spans="1:13" x14ac:dyDescent="0.25">
      <c r="A56" s="77">
        <v>48</v>
      </c>
      <c r="B56" s="78" t="s">
        <v>126</v>
      </c>
      <c r="C56" s="78" t="s">
        <v>322</v>
      </c>
      <c r="D56" s="111">
        <v>376</v>
      </c>
      <c r="E56" s="112">
        <v>447715.93</v>
      </c>
      <c r="F56" s="78"/>
      <c r="G56" s="79">
        <f t="shared" si="3"/>
        <v>447715.93</v>
      </c>
      <c r="H56" s="79"/>
      <c r="I56" s="114"/>
      <c r="J56" s="78"/>
      <c r="L56" s="23"/>
      <c r="M56" s="16">
        <f t="shared" si="1"/>
        <v>306987</v>
      </c>
    </row>
    <row r="57" spans="1:13" x14ac:dyDescent="0.25">
      <c r="A57" s="77">
        <v>49</v>
      </c>
      <c r="B57" s="78" t="s">
        <v>126</v>
      </c>
      <c r="C57" s="78" t="s">
        <v>323</v>
      </c>
      <c r="D57" s="111">
        <v>378</v>
      </c>
      <c r="E57" s="112">
        <v>963378.75</v>
      </c>
      <c r="F57" s="78"/>
      <c r="G57" s="79">
        <f t="shared" si="3"/>
        <v>963378.75</v>
      </c>
      <c r="H57" s="79"/>
      <c r="I57" s="114" t="s">
        <v>307</v>
      </c>
      <c r="J57" s="78"/>
      <c r="L57" s="23"/>
      <c r="M57" s="16">
        <f t="shared" si="1"/>
        <v>306998</v>
      </c>
    </row>
    <row r="58" spans="1:13" x14ac:dyDescent="0.25">
      <c r="A58" s="77">
        <v>50</v>
      </c>
      <c r="B58" s="78" t="s">
        <v>126</v>
      </c>
      <c r="C58" s="78" t="s">
        <v>324</v>
      </c>
      <c r="D58" s="111">
        <v>376</v>
      </c>
      <c r="E58" s="112">
        <v>394191.9</v>
      </c>
      <c r="F58" s="78"/>
      <c r="G58" s="79">
        <f t="shared" si="3"/>
        <v>394191.9</v>
      </c>
      <c r="H58" s="79"/>
      <c r="I58" s="114" t="s">
        <v>147</v>
      </c>
      <c r="J58" s="78"/>
      <c r="L58" s="23"/>
      <c r="M58" s="16">
        <f t="shared" si="1"/>
        <v>307212</v>
      </c>
    </row>
    <row r="59" spans="1:13" x14ac:dyDescent="0.25">
      <c r="A59" s="77">
        <v>51</v>
      </c>
      <c r="B59" s="78" t="s">
        <v>126</v>
      </c>
      <c r="C59" s="78" t="s">
        <v>325</v>
      </c>
      <c r="D59" s="111">
        <v>376</v>
      </c>
      <c r="E59" s="112">
        <v>2436352.2999999998</v>
      </c>
      <c r="F59" s="78"/>
      <c r="G59" s="79">
        <f t="shared" si="3"/>
        <v>2436352.2999999998</v>
      </c>
      <c r="H59" s="79">
        <f>+G59</f>
        <v>2436352.2999999998</v>
      </c>
      <c r="I59" s="114">
        <f>+'[9]MCP-6 - Supporting Explanations'!A14</f>
        <v>4</v>
      </c>
      <c r="J59" s="23">
        <v>43830</v>
      </c>
      <c r="M59" s="16">
        <f t="shared" si="1"/>
        <v>307221</v>
      </c>
    </row>
    <row r="60" spans="1:13" x14ac:dyDescent="0.25">
      <c r="A60" s="77">
        <v>52</v>
      </c>
      <c r="B60" s="78" t="s">
        <v>126</v>
      </c>
      <c r="C60" s="78" t="s">
        <v>326</v>
      </c>
      <c r="D60" s="111">
        <v>381</v>
      </c>
      <c r="E60" s="112">
        <v>12236196.65</v>
      </c>
      <c r="F60" s="113">
        <f>+'[9]State Allocation Formulas'!C16</f>
        <v>0.74490000000000001</v>
      </c>
      <c r="G60" s="79">
        <f>+E60*F60</f>
        <v>9114742.8845850006</v>
      </c>
      <c r="H60" s="79">
        <f>+G60</f>
        <v>9114742.8845850006</v>
      </c>
      <c r="I60" s="114">
        <f>+'[9]MCP-6 - Supporting Explanations'!A16</f>
        <v>5</v>
      </c>
      <c r="J60" s="128">
        <v>43830</v>
      </c>
      <c r="L60" s="23"/>
      <c r="M60" s="16">
        <f t="shared" si="1"/>
        <v>308023</v>
      </c>
    </row>
    <row r="61" spans="1:13" x14ac:dyDescent="0.25">
      <c r="A61" s="77">
        <v>53</v>
      </c>
      <c r="B61" s="78" t="s">
        <v>126</v>
      </c>
      <c r="C61" s="78" t="s">
        <v>327</v>
      </c>
      <c r="D61" s="111">
        <v>378</v>
      </c>
      <c r="E61" s="112">
        <v>103618.58</v>
      </c>
      <c r="F61" s="78"/>
      <c r="G61" s="79">
        <f t="shared" ref="G61:G67" si="4">+E61</f>
        <v>103618.58</v>
      </c>
      <c r="H61" s="79"/>
      <c r="I61" s="114"/>
      <c r="J61" s="78"/>
      <c r="L61" s="23"/>
      <c r="M61" s="16">
        <f t="shared" si="1"/>
        <v>312009</v>
      </c>
    </row>
    <row r="62" spans="1:13" x14ac:dyDescent="0.25">
      <c r="A62" s="77">
        <v>54</v>
      </c>
      <c r="B62" s="78" t="s">
        <v>126</v>
      </c>
      <c r="C62" s="78" t="s">
        <v>328</v>
      </c>
      <c r="D62" s="111">
        <v>376</v>
      </c>
      <c r="E62" s="112">
        <v>2528268.04</v>
      </c>
      <c r="F62" s="78"/>
      <c r="G62" s="79">
        <f t="shared" si="4"/>
        <v>2528268.04</v>
      </c>
      <c r="H62" s="79"/>
      <c r="I62" s="114" t="s">
        <v>147</v>
      </c>
      <c r="J62" s="78"/>
      <c r="L62" s="23"/>
      <c r="M62" s="16">
        <f t="shared" si="1"/>
        <v>316034</v>
      </c>
    </row>
    <row r="63" spans="1:13" x14ac:dyDescent="0.25">
      <c r="A63" s="77">
        <v>55</v>
      </c>
      <c r="B63" s="78" t="s">
        <v>126</v>
      </c>
      <c r="C63" s="78" t="s">
        <v>329</v>
      </c>
      <c r="D63" s="111">
        <v>376</v>
      </c>
      <c r="E63" s="112">
        <v>349487.35999999999</v>
      </c>
      <c r="F63" s="78"/>
      <c r="G63" s="79">
        <f t="shared" si="4"/>
        <v>349487.35999999999</v>
      </c>
      <c r="H63" s="79"/>
      <c r="I63" s="114"/>
      <c r="J63" s="78"/>
      <c r="L63" s="23"/>
      <c r="M63" s="16">
        <f t="shared" si="1"/>
        <v>316043</v>
      </c>
    </row>
    <row r="64" spans="1:13" x14ac:dyDescent="0.25">
      <c r="A64" s="77">
        <v>56</v>
      </c>
      <c r="B64" s="78" t="s">
        <v>126</v>
      </c>
      <c r="C64" s="78" t="s">
        <v>330</v>
      </c>
      <c r="D64" s="111">
        <v>376</v>
      </c>
      <c r="E64" s="112">
        <v>404455.13</v>
      </c>
      <c r="F64" s="78"/>
      <c r="G64" s="79">
        <f t="shared" si="4"/>
        <v>404455.13</v>
      </c>
      <c r="H64" s="79"/>
      <c r="I64" s="114"/>
      <c r="J64" s="78"/>
      <c r="L64" s="23"/>
      <c r="M64" s="16">
        <f t="shared" si="1"/>
        <v>316045</v>
      </c>
    </row>
    <row r="65" spans="1:13" x14ac:dyDescent="0.25">
      <c r="A65" s="77">
        <v>57</v>
      </c>
      <c r="B65" s="78" t="s">
        <v>126</v>
      </c>
      <c r="C65" s="78" t="s">
        <v>331</v>
      </c>
      <c r="D65" s="111">
        <v>376</v>
      </c>
      <c r="E65" s="112">
        <v>1276607.46</v>
      </c>
      <c r="F65" s="78"/>
      <c r="G65" s="79">
        <f t="shared" si="4"/>
        <v>1276607.46</v>
      </c>
      <c r="H65" s="79"/>
      <c r="I65" s="114" t="s">
        <v>332</v>
      </c>
      <c r="J65" s="78"/>
      <c r="L65" s="23"/>
      <c r="M65" s="16">
        <f t="shared" si="1"/>
        <v>316046</v>
      </c>
    </row>
    <row r="66" spans="1:13" x14ac:dyDescent="0.25">
      <c r="A66" s="77">
        <v>58</v>
      </c>
      <c r="B66" s="78" t="s">
        <v>126</v>
      </c>
      <c r="C66" s="78" t="s">
        <v>333</v>
      </c>
      <c r="D66" s="111">
        <v>376</v>
      </c>
      <c r="E66" s="112">
        <v>155443.13</v>
      </c>
      <c r="F66" s="78"/>
      <c r="G66" s="79">
        <f t="shared" si="4"/>
        <v>155443.13</v>
      </c>
      <c r="H66" s="79"/>
      <c r="I66" s="114"/>
      <c r="J66" s="78"/>
      <c r="L66" s="23"/>
      <c r="M66" s="16">
        <f t="shared" si="1"/>
        <v>316153</v>
      </c>
    </row>
    <row r="67" spans="1:13" x14ac:dyDescent="0.25">
      <c r="A67" s="77">
        <v>59</v>
      </c>
      <c r="B67" s="78" t="s">
        <v>126</v>
      </c>
      <c r="C67" s="78" t="s">
        <v>334</v>
      </c>
      <c r="D67" s="111">
        <v>378</v>
      </c>
      <c r="E67" s="112">
        <v>148367.69</v>
      </c>
      <c r="F67" s="78"/>
      <c r="G67" s="79">
        <f t="shared" si="4"/>
        <v>148367.69</v>
      </c>
      <c r="H67" s="79"/>
      <c r="I67" s="114"/>
      <c r="J67" s="78"/>
      <c r="L67" s="23"/>
      <c r="M67" s="16">
        <f t="shared" si="1"/>
        <v>316158</v>
      </c>
    </row>
    <row r="68" spans="1:13" x14ac:dyDescent="0.25">
      <c r="A68" s="77">
        <v>60</v>
      </c>
      <c r="B68" s="78" t="s">
        <v>126</v>
      </c>
      <c r="C68" s="78" t="s">
        <v>335</v>
      </c>
      <c r="D68" s="111">
        <v>376</v>
      </c>
      <c r="E68" s="112">
        <v>197024.53</v>
      </c>
      <c r="F68" s="78"/>
      <c r="G68" s="79"/>
      <c r="H68" s="79"/>
      <c r="I68" s="114"/>
      <c r="J68" s="78"/>
      <c r="M68" s="16">
        <f t="shared" si="1"/>
        <v>316243</v>
      </c>
    </row>
    <row r="69" spans="1:13" x14ac:dyDescent="0.25">
      <c r="A69" s="77">
        <v>61</v>
      </c>
      <c r="B69" s="78" t="s">
        <v>126</v>
      </c>
      <c r="C69" s="78" t="s">
        <v>336</v>
      </c>
      <c r="D69" s="111">
        <v>378</v>
      </c>
      <c r="E69" s="112">
        <v>492208.54</v>
      </c>
      <c r="F69" s="78"/>
      <c r="G69" s="79">
        <f>+E69</f>
        <v>492208.54</v>
      </c>
      <c r="H69" s="79"/>
      <c r="I69" s="114"/>
      <c r="J69" s="78"/>
      <c r="L69" s="23"/>
      <c r="M69" s="16">
        <f t="shared" si="1"/>
        <v>316299</v>
      </c>
    </row>
    <row r="70" spans="1:13" x14ac:dyDescent="0.25">
      <c r="A70" s="77">
        <v>62</v>
      </c>
      <c r="B70" s="78" t="s">
        <v>126</v>
      </c>
      <c r="C70" s="78" t="s">
        <v>337</v>
      </c>
      <c r="D70" s="111">
        <v>376</v>
      </c>
      <c r="E70" s="112">
        <v>274270.17</v>
      </c>
      <c r="F70" s="78"/>
      <c r="G70" s="79"/>
      <c r="H70" s="79"/>
      <c r="I70" s="114"/>
      <c r="J70" s="78"/>
      <c r="L70" s="23"/>
      <c r="M70" s="16">
        <f t="shared" si="1"/>
        <v>316401</v>
      </c>
    </row>
    <row r="71" spans="1:13" x14ac:dyDescent="0.25">
      <c r="A71" s="77">
        <v>63</v>
      </c>
      <c r="B71" s="78" t="s">
        <v>126</v>
      </c>
      <c r="C71" s="78" t="s">
        <v>338</v>
      </c>
      <c r="D71" s="111">
        <v>376</v>
      </c>
      <c r="E71" s="112">
        <v>184432.46</v>
      </c>
      <c r="F71" s="78"/>
      <c r="G71" s="79"/>
      <c r="H71" s="79"/>
      <c r="I71" s="114"/>
      <c r="J71" s="78"/>
      <c r="L71" s="23"/>
      <c r="M71" s="16">
        <f t="shared" si="1"/>
        <v>316407</v>
      </c>
    </row>
    <row r="72" spans="1:13" x14ac:dyDescent="0.25">
      <c r="A72" s="77">
        <v>64</v>
      </c>
      <c r="B72" s="78" t="s">
        <v>126</v>
      </c>
      <c r="C72" s="78" t="s">
        <v>156</v>
      </c>
      <c r="D72" s="111">
        <v>376</v>
      </c>
      <c r="E72" s="112">
        <v>2282179.7200000002</v>
      </c>
      <c r="F72" s="78"/>
      <c r="G72" s="79">
        <f>+E72</f>
        <v>2282179.7200000002</v>
      </c>
      <c r="H72" s="79">
        <f>+G72</f>
        <v>2282179.7200000002</v>
      </c>
      <c r="I72" s="114">
        <f>+'[9]MCP-6 - Supporting Explanations'!A18</f>
        <v>6</v>
      </c>
      <c r="J72" s="23">
        <v>43830</v>
      </c>
      <c r="M72" s="16">
        <f t="shared" si="1"/>
        <v>316429</v>
      </c>
    </row>
    <row r="73" spans="1:13" x14ac:dyDescent="0.25">
      <c r="A73" s="77">
        <v>65</v>
      </c>
      <c r="B73" s="78" t="s">
        <v>126</v>
      </c>
      <c r="C73" s="16" t="s">
        <v>339</v>
      </c>
      <c r="D73" s="111">
        <v>376</v>
      </c>
      <c r="E73" s="112">
        <v>277492.69</v>
      </c>
      <c r="F73" s="78"/>
      <c r="G73" s="79">
        <f>+E73</f>
        <v>277492.69</v>
      </c>
      <c r="H73" s="79"/>
      <c r="I73" s="114" t="s">
        <v>307</v>
      </c>
      <c r="J73" s="78"/>
      <c r="L73" s="23"/>
      <c r="M73" s="16">
        <f t="shared" ref="M73:M125" si="5">+VALUE(RIGHT(LEFT(C73,9),6))</f>
        <v>316431</v>
      </c>
    </row>
    <row r="74" spans="1:13" x14ac:dyDescent="0.25">
      <c r="A74" s="77">
        <v>66</v>
      </c>
      <c r="B74" s="78" t="s">
        <v>126</v>
      </c>
      <c r="C74" s="78" t="s">
        <v>340</v>
      </c>
      <c r="D74" s="111">
        <v>376</v>
      </c>
      <c r="E74" s="112">
        <v>3387285.01</v>
      </c>
      <c r="F74" s="78"/>
      <c r="G74" s="79">
        <f>+E74</f>
        <v>3387285.01</v>
      </c>
      <c r="H74" s="79"/>
      <c r="I74" s="114"/>
      <c r="J74" s="78"/>
      <c r="L74" s="23"/>
      <c r="M74" s="16">
        <f t="shared" si="5"/>
        <v>316569</v>
      </c>
    </row>
    <row r="75" spans="1:13" x14ac:dyDescent="0.25">
      <c r="A75" s="77">
        <v>67</v>
      </c>
      <c r="B75" s="78" t="s">
        <v>126</v>
      </c>
      <c r="C75" s="78" t="s">
        <v>341</v>
      </c>
      <c r="D75" s="111">
        <v>376</v>
      </c>
      <c r="E75" s="112">
        <v>2306938.46</v>
      </c>
      <c r="F75" s="78"/>
      <c r="G75" s="79"/>
      <c r="H75" s="79"/>
      <c r="I75" s="114"/>
      <c r="J75" s="78"/>
      <c r="M75" s="16">
        <f t="shared" si="5"/>
        <v>316573</v>
      </c>
    </row>
    <row r="76" spans="1:13" x14ac:dyDescent="0.25">
      <c r="A76" s="77">
        <v>68</v>
      </c>
      <c r="B76" s="78" t="s">
        <v>126</v>
      </c>
      <c r="C76" s="78" t="s">
        <v>342</v>
      </c>
      <c r="D76" s="111">
        <v>376</v>
      </c>
      <c r="E76" s="112">
        <v>1620273.71</v>
      </c>
      <c r="F76" s="78"/>
      <c r="G76" s="79"/>
      <c r="H76" s="79"/>
      <c r="I76" s="114"/>
      <c r="J76" s="78"/>
      <c r="M76" s="16">
        <f t="shared" si="5"/>
        <v>316575</v>
      </c>
    </row>
    <row r="77" spans="1:13" x14ac:dyDescent="0.25">
      <c r="A77" s="77">
        <v>69</v>
      </c>
      <c r="B77" s="78" t="s">
        <v>126</v>
      </c>
      <c r="C77" s="78" t="s">
        <v>343</v>
      </c>
      <c r="D77" s="111">
        <v>376</v>
      </c>
      <c r="E77" s="112">
        <v>1128679.6599999999</v>
      </c>
      <c r="F77" s="78"/>
      <c r="G77" s="79">
        <f t="shared" ref="G77:G82" si="6">+E77</f>
        <v>1128679.6599999999</v>
      </c>
      <c r="H77" s="79"/>
      <c r="I77" s="114" t="s">
        <v>147</v>
      </c>
      <c r="J77" s="78"/>
      <c r="L77" s="23"/>
      <c r="M77" s="16">
        <f t="shared" si="5"/>
        <v>316579</v>
      </c>
    </row>
    <row r="78" spans="1:13" x14ac:dyDescent="0.25">
      <c r="A78" s="77">
        <v>70</v>
      </c>
      <c r="B78" s="78" t="s">
        <v>126</v>
      </c>
      <c r="C78" s="78" t="s">
        <v>344</v>
      </c>
      <c r="D78" s="111">
        <v>378</v>
      </c>
      <c r="E78" s="112">
        <v>1038473.63</v>
      </c>
      <c r="F78" s="78"/>
      <c r="G78" s="79">
        <f t="shared" si="6"/>
        <v>1038473.63</v>
      </c>
      <c r="H78" s="79">
        <f>+G78</f>
        <v>1038473.63</v>
      </c>
      <c r="I78" s="114">
        <f>+'[9]MCP-6 - Supporting Explanations'!A20</f>
        <v>7</v>
      </c>
      <c r="J78" s="23">
        <v>43830</v>
      </c>
      <c r="M78" s="16">
        <f t="shared" si="5"/>
        <v>316586</v>
      </c>
    </row>
    <row r="79" spans="1:13" x14ac:dyDescent="0.25">
      <c r="A79" s="77">
        <v>71</v>
      </c>
      <c r="B79" s="78" t="s">
        <v>126</v>
      </c>
      <c r="C79" s="78" t="s">
        <v>345</v>
      </c>
      <c r="D79" s="111">
        <v>378</v>
      </c>
      <c r="E79" s="112">
        <v>963617.88</v>
      </c>
      <c r="F79" s="78"/>
      <c r="G79" s="79">
        <f t="shared" si="6"/>
        <v>963617.88</v>
      </c>
      <c r="H79" s="79"/>
      <c r="I79" s="114" t="s">
        <v>307</v>
      </c>
      <c r="J79" s="78"/>
      <c r="L79" s="23"/>
      <c r="M79" s="16">
        <f t="shared" si="5"/>
        <v>316587</v>
      </c>
    </row>
    <row r="80" spans="1:13" x14ac:dyDescent="0.25">
      <c r="A80" s="77">
        <v>72</v>
      </c>
      <c r="B80" s="78" t="s">
        <v>126</v>
      </c>
      <c r="C80" s="78" t="s">
        <v>162</v>
      </c>
      <c r="D80" s="111">
        <v>376</v>
      </c>
      <c r="E80" s="112">
        <v>7244612.3200000003</v>
      </c>
      <c r="F80" s="78"/>
      <c r="G80" s="79">
        <f t="shared" si="6"/>
        <v>7244612.3200000003</v>
      </c>
      <c r="H80" s="79">
        <f>+G80</f>
        <v>7244612.3200000003</v>
      </c>
      <c r="I80" s="114">
        <f>+'[9]MCP-6 - Supporting Explanations'!A22</f>
        <v>8</v>
      </c>
      <c r="J80" s="23">
        <v>43830</v>
      </c>
      <c r="M80" s="16">
        <f t="shared" si="5"/>
        <v>316670</v>
      </c>
    </row>
    <row r="81" spans="1:13" x14ac:dyDescent="0.25">
      <c r="A81" s="77">
        <v>73</v>
      </c>
      <c r="B81" s="78" t="s">
        <v>126</v>
      </c>
      <c r="C81" s="78" t="s">
        <v>346</v>
      </c>
      <c r="D81" s="111">
        <v>378</v>
      </c>
      <c r="E81" s="112">
        <v>142071.15</v>
      </c>
      <c r="F81" s="78"/>
      <c r="G81" s="79">
        <f t="shared" si="6"/>
        <v>142071.15</v>
      </c>
      <c r="H81" s="79"/>
      <c r="I81" s="114"/>
      <c r="J81" s="78"/>
      <c r="L81" s="23"/>
      <c r="M81" s="16">
        <f t="shared" si="5"/>
        <v>316822</v>
      </c>
    </row>
    <row r="82" spans="1:13" x14ac:dyDescent="0.25">
      <c r="A82" s="77">
        <v>74</v>
      </c>
      <c r="B82" s="78" t="s">
        <v>126</v>
      </c>
      <c r="C82" s="78" t="s">
        <v>347</v>
      </c>
      <c r="D82" s="111">
        <v>378</v>
      </c>
      <c r="E82" s="112">
        <v>142071.15</v>
      </c>
      <c r="F82" s="78"/>
      <c r="G82" s="79">
        <f t="shared" si="6"/>
        <v>142071.15</v>
      </c>
      <c r="H82" s="79"/>
      <c r="I82" s="114"/>
      <c r="J82" s="78"/>
      <c r="L82" s="23"/>
      <c r="M82" s="16">
        <f t="shared" si="5"/>
        <v>316823</v>
      </c>
    </row>
    <row r="83" spans="1:13" x14ac:dyDescent="0.25">
      <c r="A83" s="77">
        <v>75</v>
      </c>
      <c r="B83" s="78" t="s">
        <v>126</v>
      </c>
      <c r="C83" s="78" t="s">
        <v>348</v>
      </c>
      <c r="D83" s="111">
        <v>378</v>
      </c>
      <c r="E83" s="112">
        <v>194009.60000000001</v>
      </c>
      <c r="F83" s="78"/>
      <c r="G83" s="79"/>
      <c r="H83" s="79"/>
      <c r="I83" s="114"/>
      <c r="J83" s="78"/>
      <c r="L83" s="23"/>
      <c r="M83" s="16">
        <f t="shared" si="5"/>
        <v>316845</v>
      </c>
    </row>
    <row r="84" spans="1:13" x14ac:dyDescent="0.25">
      <c r="A84" s="77">
        <v>76</v>
      </c>
      <c r="B84" s="78" t="s">
        <v>126</v>
      </c>
      <c r="C84" s="16" t="s">
        <v>349</v>
      </c>
      <c r="D84" s="111">
        <v>376</v>
      </c>
      <c r="E84" s="112">
        <v>187720.5</v>
      </c>
      <c r="F84" s="78"/>
      <c r="G84" s="79">
        <f t="shared" ref="G84:G91" si="7">+E84</f>
        <v>187720.5</v>
      </c>
      <c r="H84" s="79"/>
      <c r="I84" s="114"/>
      <c r="J84" s="78"/>
      <c r="L84" s="23"/>
      <c r="M84" s="16">
        <f t="shared" si="5"/>
        <v>316865</v>
      </c>
    </row>
    <row r="85" spans="1:13" x14ac:dyDescent="0.25">
      <c r="A85" s="77">
        <v>77</v>
      </c>
      <c r="B85" s="78" t="s">
        <v>126</v>
      </c>
      <c r="C85" s="16" t="s">
        <v>350</v>
      </c>
      <c r="D85" s="111">
        <v>367</v>
      </c>
      <c r="E85" s="112">
        <v>2534003.84</v>
      </c>
      <c r="F85" s="78"/>
      <c r="G85" s="79">
        <f t="shared" si="7"/>
        <v>2534003.84</v>
      </c>
      <c r="H85" s="79"/>
      <c r="I85" s="114" t="s">
        <v>147</v>
      </c>
      <c r="J85" s="78"/>
      <c r="L85" s="23"/>
      <c r="M85" s="16">
        <f t="shared" si="5"/>
        <v>316923</v>
      </c>
    </row>
    <row r="86" spans="1:13" x14ac:dyDescent="0.25">
      <c r="A86" s="77">
        <v>78</v>
      </c>
      <c r="B86" s="78" t="s">
        <v>126</v>
      </c>
      <c r="C86" s="78" t="s">
        <v>351</v>
      </c>
      <c r="D86" s="111">
        <v>376</v>
      </c>
      <c r="E86" s="112">
        <v>323673</v>
      </c>
      <c r="F86" s="78"/>
      <c r="G86" s="79">
        <f t="shared" si="7"/>
        <v>323673</v>
      </c>
      <c r="H86" s="79"/>
      <c r="I86" s="114" t="s">
        <v>307</v>
      </c>
      <c r="J86" s="78"/>
      <c r="L86" s="23"/>
      <c r="M86" s="16">
        <f t="shared" si="5"/>
        <v>316939</v>
      </c>
    </row>
    <row r="87" spans="1:13" x14ac:dyDescent="0.25">
      <c r="A87" s="77">
        <v>79</v>
      </c>
      <c r="B87" s="78" t="s">
        <v>126</v>
      </c>
      <c r="C87" s="78" t="s">
        <v>352</v>
      </c>
      <c r="D87" s="111">
        <v>378</v>
      </c>
      <c r="E87" s="112">
        <v>179104.89</v>
      </c>
      <c r="F87" s="78"/>
      <c r="G87" s="79">
        <f t="shared" si="7"/>
        <v>179104.89</v>
      </c>
      <c r="H87" s="79"/>
      <c r="I87" s="114" t="s">
        <v>307</v>
      </c>
      <c r="J87" s="78"/>
      <c r="L87" s="23"/>
      <c r="M87" s="16">
        <f t="shared" si="5"/>
        <v>316940</v>
      </c>
    </row>
    <row r="88" spans="1:13" x14ac:dyDescent="0.25">
      <c r="A88" s="77">
        <v>80</v>
      </c>
      <c r="B88" s="78" t="s">
        <v>126</v>
      </c>
      <c r="C88" s="78" t="s">
        <v>353</v>
      </c>
      <c r="D88" s="111">
        <v>376</v>
      </c>
      <c r="E88" s="112">
        <v>138053.53</v>
      </c>
      <c r="F88" s="78"/>
      <c r="G88" s="79">
        <f t="shared" si="7"/>
        <v>138053.53</v>
      </c>
      <c r="H88" s="79"/>
      <c r="I88" s="114"/>
      <c r="J88" s="78"/>
      <c r="L88" s="23"/>
      <c r="M88" s="16">
        <f t="shared" si="5"/>
        <v>316958</v>
      </c>
    </row>
    <row r="89" spans="1:13" x14ac:dyDescent="0.25">
      <c r="A89" s="77">
        <v>81</v>
      </c>
      <c r="B89" s="78" t="s">
        <v>126</v>
      </c>
      <c r="C89" s="78" t="s">
        <v>354</v>
      </c>
      <c r="D89" s="111">
        <v>378</v>
      </c>
      <c r="E89" s="112">
        <v>164966.5</v>
      </c>
      <c r="F89" s="78"/>
      <c r="G89" s="79">
        <f t="shared" si="7"/>
        <v>164966.5</v>
      </c>
      <c r="H89" s="79"/>
      <c r="I89" s="114" t="s">
        <v>307</v>
      </c>
      <c r="J89" s="78"/>
      <c r="L89" s="23"/>
      <c r="M89" s="16">
        <f t="shared" si="5"/>
        <v>316978</v>
      </c>
    </row>
    <row r="90" spans="1:13" x14ac:dyDescent="0.25">
      <c r="A90" s="77">
        <v>82</v>
      </c>
      <c r="B90" s="78" t="s">
        <v>126</v>
      </c>
      <c r="C90" s="16" t="s">
        <v>355</v>
      </c>
      <c r="D90" s="111">
        <v>376</v>
      </c>
      <c r="E90" s="112">
        <v>1028640.41</v>
      </c>
      <c r="F90" s="78"/>
      <c r="G90" s="79">
        <f t="shared" si="7"/>
        <v>1028640.41</v>
      </c>
      <c r="H90" s="79">
        <f>+G90</f>
        <v>1028640.41</v>
      </c>
      <c r="I90" s="114">
        <f>+'[9]MCP-6 - Supporting Explanations'!A24</f>
        <v>9</v>
      </c>
      <c r="J90" s="23">
        <v>43703</v>
      </c>
      <c r="M90" s="16">
        <f t="shared" si="5"/>
        <v>317060</v>
      </c>
    </row>
    <row r="91" spans="1:13" x14ac:dyDescent="0.25">
      <c r="A91" s="77">
        <v>83</v>
      </c>
      <c r="B91" s="78" t="s">
        <v>126</v>
      </c>
      <c r="C91" s="78" t="s">
        <v>356</v>
      </c>
      <c r="D91" s="111">
        <v>376</v>
      </c>
      <c r="E91" s="112">
        <v>213529.89</v>
      </c>
      <c r="F91" s="78"/>
      <c r="G91" s="79">
        <f t="shared" si="7"/>
        <v>213529.89</v>
      </c>
      <c r="H91" s="79"/>
      <c r="I91" s="114"/>
      <c r="J91" s="78"/>
      <c r="L91" s="23"/>
      <c r="M91" s="16">
        <f t="shared" si="5"/>
        <v>317219</v>
      </c>
    </row>
    <row r="92" spans="1:13" x14ac:dyDescent="0.25">
      <c r="A92" s="77">
        <v>84</v>
      </c>
      <c r="B92" s="78" t="s">
        <v>126</v>
      </c>
      <c r="C92" s="78" t="s">
        <v>357</v>
      </c>
      <c r="D92" s="111">
        <v>376</v>
      </c>
      <c r="E92" s="112">
        <v>136401.32</v>
      </c>
      <c r="F92" s="78"/>
      <c r="G92" s="79"/>
      <c r="H92" s="79"/>
      <c r="I92" s="114"/>
      <c r="J92" s="78"/>
      <c r="M92" s="16">
        <f t="shared" si="5"/>
        <v>317307</v>
      </c>
    </row>
    <row r="93" spans="1:13" x14ac:dyDescent="0.25">
      <c r="A93" s="77">
        <v>85</v>
      </c>
      <c r="B93" s="78" t="s">
        <v>126</v>
      </c>
      <c r="C93" s="78" t="s">
        <v>358</v>
      </c>
      <c r="D93" s="111">
        <v>376</v>
      </c>
      <c r="E93" s="112">
        <v>139882.25</v>
      </c>
      <c r="F93" s="78"/>
      <c r="G93" s="79">
        <f>+E93</f>
        <v>139882.25</v>
      </c>
      <c r="H93" s="79"/>
      <c r="I93" s="114" t="s">
        <v>307</v>
      </c>
      <c r="J93" s="78"/>
      <c r="L93" s="23"/>
      <c r="M93" s="16">
        <f t="shared" si="5"/>
        <v>317332</v>
      </c>
    </row>
    <row r="94" spans="1:13" x14ac:dyDescent="0.25">
      <c r="A94" s="77">
        <v>86</v>
      </c>
      <c r="B94" s="117"/>
      <c r="C94" s="118"/>
      <c r="D94" s="119"/>
      <c r="E94" s="120">
        <f>SUM(E22:E93)</f>
        <v>95786292.169999957</v>
      </c>
      <c r="F94" s="117"/>
      <c r="G94" s="121">
        <f>SUM(G22:G93)</f>
        <v>77871967.943976998</v>
      </c>
      <c r="H94" s="121">
        <f>SUM(H22:H93)</f>
        <v>29862016.894584998</v>
      </c>
      <c r="I94" s="122"/>
      <c r="J94" s="142"/>
      <c r="M94" s="16" t="e">
        <f t="shared" si="5"/>
        <v>#VALUE!</v>
      </c>
    </row>
    <row r="95" spans="1:13" x14ac:dyDescent="0.25">
      <c r="B95" s="117"/>
      <c r="C95" s="117"/>
      <c r="D95" s="124"/>
      <c r="E95" s="112"/>
      <c r="F95" s="117"/>
      <c r="G95" s="133"/>
      <c r="H95" s="133"/>
      <c r="I95" s="122"/>
      <c r="J95" s="117"/>
      <c r="M95" s="16" t="e">
        <f t="shared" si="5"/>
        <v>#VALUE!</v>
      </c>
    </row>
    <row r="96" spans="1:13" x14ac:dyDescent="0.25">
      <c r="A96" s="77">
        <v>87</v>
      </c>
      <c r="B96" s="78" t="s">
        <v>219</v>
      </c>
      <c r="C96" s="78" t="s">
        <v>359</v>
      </c>
      <c r="D96" s="111">
        <v>397</v>
      </c>
      <c r="E96" s="112">
        <v>78151</v>
      </c>
      <c r="F96" s="113">
        <f>+'[9]State Allocation Formulas'!$C$21</f>
        <v>0.74850000000000005</v>
      </c>
      <c r="G96" s="79">
        <f>+E96*F96</f>
        <v>58496.023500000003</v>
      </c>
      <c r="H96" s="79"/>
      <c r="I96" s="114"/>
      <c r="J96" s="78"/>
      <c r="L96" s="23"/>
      <c r="M96" s="16">
        <f t="shared" si="5"/>
        <v>101164</v>
      </c>
    </row>
    <row r="97" spans="1:13" x14ac:dyDescent="0.25">
      <c r="A97" s="77">
        <v>88</v>
      </c>
      <c r="B97" s="78" t="s">
        <v>219</v>
      </c>
      <c r="C97" s="78" t="s">
        <v>220</v>
      </c>
      <c r="D97" s="111">
        <v>392</v>
      </c>
      <c r="E97" s="112">
        <v>1182172.56</v>
      </c>
      <c r="F97" s="78"/>
      <c r="G97" s="79">
        <f>+E97</f>
        <v>1182172.56</v>
      </c>
      <c r="H97" s="79"/>
      <c r="I97" s="114"/>
      <c r="J97" s="78"/>
      <c r="L97" s="23"/>
      <c r="M97" s="16">
        <f t="shared" si="5"/>
        <v>101204</v>
      </c>
    </row>
    <row r="98" spans="1:13" x14ac:dyDescent="0.25">
      <c r="A98" s="77">
        <v>89</v>
      </c>
      <c r="B98" s="78" t="s">
        <v>219</v>
      </c>
      <c r="C98" s="78" t="s">
        <v>360</v>
      </c>
      <c r="D98" s="111">
        <v>396</v>
      </c>
      <c r="E98" s="112">
        <v>1727285.36</v>
      </c>
      <c r="F98" s="78"/>
      <c r="G98" s="79">
        <f>+E98</f>
        <v>1727285.36</v>
      </c>
      <c r="H98" s="79"/>
      <c r="I98" s="114"/>
      <c r="J98" s="78"/>
      <c r="L98" s="23"/>
      <c r="M98" s="16">
        <f t="shared" si="5"/>
        <v>101206</v>
      </c>
    </row>
    <row r="99" spans="1:13" x14ac:dyDescent="0.25">
      <c r="A99" s="77">
        <v>90</v>
      </c>
      <c r="B99" s="78" t="s">
        <v>219</v>
      </c>
      <c r="C99" s="78" t="s">
        <v>361</v>
      </c>
      <c r="D99" s="111">
        <v>397</v>
      </c>
      <c r="E99" s="112">
        <v>19663.8</v>
      </c>
      <c r="F99" s="78"/>
      <c r="G99" s="79">
        <f>+E99</f>
        <v>19663.8</v>
      </c>
      <c r="H99" s="79"/>
      <c r="I99" s="114"/>
      <c r="J99" s="78"/>
      <c r="L99" s="23"/>
      <c r="M99" s="16">
        <f t="shared" si="5"/>
        <v>101207</v>
      </c>
    </row>
    <row r="100" spans="1:13" x14ac:dyDescent="0.25">
      <c r="A100" s="77">
        <v>91</v>
      </c>
      <c r="B100" s="78" t="s">
        <v>219</v>
      </c>
      <c r="C100" s="78" t="s">
        <v>362</v>
      </c>
      <c r="D100" s="111">
        <v>390</v>
      </c>
      <c r="E100" s="112">
        <v>15126</v>
      </c>
      <c r="F100" s="113">
        <f>+'[9]State Allocation Formulas'!C21</f>
        <v>0.74850000000000005</v>
      </c>
      <c r="G100" s="79">
        <f>+E100*F100</f>
        <v>11321.811000000002</v>
      </c>
      <c r="H100" s="79"/>
      <c r="I100" s="114"/>
      <c r="J100" s="78"/>
      <c r="L100" s="23"/>
      <c r="M100" s="16">
        <f t="shared" si="5"/>
        <v>101213</v>
      </c>
    </row>
    <row r="101" spans="1:13" x14ac:dyDescent="0.25">
      <c r="A101" s="77">
        <v>92</v>
      </c>
      <c r="B101" s="78" t="s">
        <v>219</v>
      </c>
      <c r="C101" s="78" t="s">
        <v>363</v>
      </c>
      <c r="D101" s="111">
        <v>392</v>
      </c>
      <c r="E101" s="112">
        <v>82976.2</v>
      </c>
      <c r="F101" s="113">
        <f>+'[9]State Allocation Formulas'!C21</f>
        <v>0.74850000000000005</v>
      </c>
      <c r="G101" s="79">
        <f>+E101*F101</f>
        <v>62107.685700000002</v>
      </c>
      <c r="H101" s="79"/>
      <c r="I101" s="114"/>
      <c r="J101" s="78"/>
      <c r="L101" s="23"/>
      <c r="M101" s="16">
        <f t="shared" si="5"/>
        <v>101215</v>
      </c>
    </row>
    <row r="102" spans="1:13" x14ac:dyDescent="0.25">
      <c r="A102" s="77">
        <v>93</v>
      </c>
      <c r="B102" s="78" t="s">
        <v>219</v>
      </c>
      <c r="C102" s="78" t="s">
        <v>364</v>
      </c>
      <c r="D102" s="111">
        <v>394</v>
      </c>
      <c r="E102" s="112">
        <v>143849.46</v>
      </c>
      <c r="F102" s="113">
        <f>+'[9]State Allocation Formulas'!C21</f>
        <v>0.74850000000000005</v>
      </c>
      <c r="G102" s="79">
        <f>+E102*F102</f>
        <v>107671.32081</v>
      </c>
      <c r="H102" s="79"/>
      <c r="I102" s="114"/>
      <c r="J102" s="78"/>
      <c r="L102" s="23"/>
      <c r="M102" s="16">
        <f t="shared" si="5"/>
        <v>101216</v>
      </c>
    </row>
    <row r="103" spans="1:13" x14ac:dyDescent="0.25">
      <c r="A103" s="77">
        <v>94</v>
      </c>
      <c r="B103" s="78" t="s">
        <v>219</v>
      </c>
      <c r="C103" s="78" t="s">
        <v>365</v>
      </c>
      <c r="D103" s="111">
        <v>394</v>
      </c>
      <c r="E103" s="112">
        <v>51529.24</v>
      </c>
      <c r="F103" s="78"/>
      <c r="G103" s="79"/>
      <c r="H103" s="79"/>
      <c r="I103" s="114"/>
      <c r="J103" s="78"/>
      <c r="M103" s="16">
        <f t="shared" si="5"/>
        <v>101237</v>
      </c>
    </row>
    <row r="104" spans="1:13" x14ac:dyDescent="0.25">
      <c r="A104" s="77">
        <v>95</v>
      </c>
      <c r="B104" s="78" t="s">
        <v>219</v>
      </c>
      <c r="C104" s="78" t="s">
        <v>366</v>
      </c>
      <c r="D104" s="111">
        <v>394</v>
      </c>
      <c r="E104" s="112">
        <v>16336.08</v>
      </c>
      <c r="F104" s="78"/>
      <c r="G104" s="79"/>
      <c r="H104" s="79"/>
      <c r="I104" s="114"/>
      <c r="J104" s="78"/>
      <c r="M104" s="16">
        <f t="shared" si="5"/>
        <v>101255</v>
      </c>
    </row>
    <row r="105" spans="1:13" x14ac:dyDescent="0.25">
      <c r="A105" s="77">
        <v>96</v>
      </c>
      <c r="B105" s="78" t="s">
        <v>219</v>
      </c>
      <c r="C105" s="78" t="s">
        <v>367</v>
      </c>
      <c r="D105" s="111">
        <v>394</v>
      </c>
      <c r="E105" s="112">
        <v>13815.08</v>
      </c>
      <c r="F105" s="78"/>
      <c r="G105" s="79">
        <f t="shared" ref="G105:G114" si="8">+E105</f>
        <v>13815.08</v>
      </c>
      <c r="H105" s="79"/>
      <c r="I105" s="114"/>
      <c r="J105" s="78"/>
      <c r="L105" s="23"/>
      <c r="M105" s="16">
        <f t="shared" si="5"/>
        <v>101261</v>
      </c>
    </row>
    <row r="106" spans="1:13" x14ac:dyDescent="0.25">
      <c r="A106" s="77">
        <v>97</v>
      </c>
      <c r="B106" s="78" t="s">
        <v>219</v>
      </c>
      <c r="C106" s="78" t="s">
        <v>368</v>
      </c>
      <c r="D106" s="111">
        <v>391</v>
      </c>
      <c r="E106" s="112">
        <v>13109.2</v>
      </c>
      <c r="F106" s="113"/>
      <c r="G106" s="79">
        <f t="shared" si="8"/>
        <v>13109.2</v>
      </c>
      <c r="H106" s="79"/>
      <c r="I106" s="114"/>
      <c r="J106" s="78"/>
      <c r="L106" s="23"/>
      <c r="M106" s="16">
        <f t="shared" si="5"/>
        <v>101269</v>
      </c>
    </row>
    <row r="107" spans="1:13" x14ac:dyDescent="0.25">
      <c r="A107" s="77">
        <v>98</v>
      </c>
      <c r="B107" s="78" t="s">
        <v>219</v>
      </c>
      <c r="C107" s="78" t="s">
        <v>369</v>
      </c>
      <c r="D107" s="111">
        <v>391</v>
      </c>
      <c r="E107" s="112">
        <v>15126</v>
      </c>
      <c r="F107" s="78"/>
      <c r="G107" s="79">
        <f t="shared" si="8"/>
        <v>15126</v>
      </c>
      <c r="H107" s="79"/>
      <c r="I107" s="114"/>
      <c r="J107" s="78"/>
      <c r="L107" s="23"/>
      <c r="M107" s="16">
        <f t="shared" si="5"/>
        <v>101305</v>
      </c>
    </row>
    <row r="108" spans="1:13" x14ac:dyDescent="0.25">
      <c r="A108" s="77">
        <v>99</v>
      </c>
      <c r="B108" s="78" t="s">
        <v>219</v>
      </c>
      <c r="C108" s="78" t="s">
        <v>370</v>
      </c>
      <c r="D108" s="111">
        <v>394</v>
      </c>
      <c r="E108" s="112">
        <v>47899</v>
      </c>
      <c r="F108" s="78"/>
      <c r="G108" s="79">
        <f t="shared" si="8"/>
        <v>47899</v>
      </c>
      <c r="H108" s="79"/>
      <c r="I108" s="114"/>
      <c r="J108" s="78"/>
      <c r="L108" s="23"/>
      <c r="M108" s="16">
        <f t="shared" si="5"/>
        <v>101307</v>
      </c>
    </row>
    <row r="109" spans="1:13" x14ac:dyDescent="0.25">
      <c r="A109" s="77">
        <v>100</v>
      </c>
      <c r="B109" s="78" t="s">
        <v>219</v>
      </c>
      <c r="C109" s="78" t="s">
        <v>371</v>
      </c>
      <c r="D109" s="111">
        <v>394</v>
      </c>
      <c r="E109" s="112">
        <v>98924.04</v>
      </c>
      <c r="F109" s="78"/>
      <c r="G109" s="79">
        <f t="shared" si="8"/>
        <v>98924.04</v>
      </c>
      <c r="H109" s="79"/>
      <c r="I109" s="114"/>
      <c r="J109" s="78"/>
      <c r="L109" s="23"/>
      <c r="M109" s="16">
        <f t="shared" si="5"/>
        <v>101326</v>
      </c>
    </row>
    <row r="110" spans="1:13" x14ac:dyDescent="0.25">
      <c r="A110" s="77">
        <v>101</v>
      </c>
      <c r="B110" s="78" t="s">
        <v>219</v>
      </c>
      <c r="C110" s="78" t="s">
        <v>372</v>
      </c>
      <c r="D110" s="111">
        <v>394</v>
      </c>
      <c r="E110" s="112">
        <v>41344.400000000001</v>
      </c>
      <c r="F110" s="78"/>
      <c r="G110" s="79">
        <f t="shared" si="8"/>
        <v>41344.400000000001</v>
      </c>
      <c r="H110" s="79"/>
      <c r="I110" s="114"/>
      <c r="J110" s="78"/>
      <c r="L110" s="23"/>
      <c r="M110" s="16">
        <f t="shared" si="5"/>
        <v>101344</v>
      </c>
    </row>
    <row r="111" spans="1:13" x14ac:dyDescent="0.25">
      <c r="A111" s="77">
        <v>102</v>
      </c>
      <c r="B111" s="78" t="s">
        <v>219</v>
      </c>
      <c r="C111" s="78" t="s">
        <v>373</v>
      </c>
      <c r="D111" s="111">
        <v>394</v>
      </c>
      <c r="E111" s="112">
        <v>29243.599999999999</v>
      </c>
      <c r="F111" s="78"/>
      <c r="G111" s="79">
        <f t="shared" si="8"/>
        <v>29243.599999999999</v>
      </c>
      <c r="H111" s="79"/>
      <c r="I111" s="114"/>
      <c r="J111" s="78"/>
      <c r="L111" s="23"/>
      <c r="M111" s="16">
        <f t="shared" si="5"/>
        <v>101362</v>
      </c>
    </row>
    <row r="112" spans="1:13" x14ac:dyDescent="0.25">
      <c r="A112" s="77">
        <v>103</v>
      </c>
      <c r="B112" s="78" t="s">
        <v>219</v>
      </c>
      <c r="C112" s="78" t="s">
        <v>374</v>
      </c>
      <c r="D112" s="111">
        <v>394</v>
      </c>
      <c r="E112" s="112">
        <v>38319.199999999997</v>
      </c>
      <c r="F112" s="78"/>
      <c r="G112" s="79">
        <f t="shared" si="8"/>
        <v>38319.199999999997</v>
      </c>
      <c r="H112" s="79"/>
      <c r="I112" s="114"/>
      <c r="J112" s="78"/>
      <c r="L112" s="23"/>
      <c r="M112" s="16">
        <f t="shared" si="5"/>
        <v>101398</v>
      </c>
    </row>
    <row r="113" spans="1:13" x14ac:dyDescent="0.25">
      <c r="A113" s="77">
        <v>104</v>
      </c>
      <c r="B113" s="78" t="s">
        <v>219</v>
      </c>
      <c r="C113" s="78" t="s">
        <v>375</v>
      </c>
      <c r="D113" s="111">
        <v>394</v>
      </c>
      <c r="E113" s="112">
        <v>25714.2</v>
      </c>
      <c r="F113" s="78"/>
      <c r="G113" s="79">
        <f t="shared" si="8"/>
        <v>25714.2</v>
      </c>
      <c r="H113" s="79"/>
      <c r="I113" s="114"/>
      <c r="J113" s="78"/>
      <c r="L113" s="23"/>
      <c r="M113" s="16">
        <f t="shared" si="5"/>
        <v>101416</v>
      </c>
    </row>
    <row r="114" spans="1:13" x14ac:dyDescent="0.25">
      <c r="A114" s="77">
        <v>105</v>
      </c>
      <c r="B114" s="78" t="s">
        <v>219</v>
      </c>
      <c r="C114" s="78" t="s">
        <v>376</v>
      </c>
      <c r="D114" s="111">
        <v>394</v>
      </c>
      <c r="E114" s="112">
        <v>26218.42</v>
      </c>
      <c r="F114" s="78"/>
      <c r="G114" s="79">
        <f t="shared" si="8"/>
        <v>26218.42</v>
      </c>
      <c r="H114" s="79"/>
      <c r="I114" s="114"/>
      <c r="J114" s="78"/>
      <c r="L114" s="23"/>
      <c r="M114" s="16">
        <f t="shared" si="5"/>
        <v>101451</v>
      </c>
    </row>
    <row r="115" spans="1:13" x14ac:dyDescent="0.25">
      <c r="A115" s="77">
        <v>106</v>
      </c>
      <c r="B115" s="78" t="s">
        <v>219</v>
      </c>
      <c r="C115" s="78" t="s">
        <v>377</v>
      </c>
      <c r="D115" s="111">
        <v>391</v>
      </c>
      <c r="E115" s="112">
        <v>37815</v>
      </c>
      <c r="F115" s="113">
        <f>+'[9]State Allocation Formulas'!C21</f>
        <v>0.74850000000000005</v>
      </c>
      <c r="G115" s="79">
        <f>+E115*F115</f>
        <v>28304.527500000004</v>
      </c>
      <c r="H115" s="79"/>
      <c r="I115" s="114"/>
      <c r="J115" s="78"/>
      <c r="L115" s="23"/>
      <c r="M115" s="16">
        <f t="shared" si="5"/>
        <v>200661</v>
      </c>
    </row>
    <row r="116" spans="1:13" x14ac:dyDescent="0.25">
      <c r="A116" s="77">
        <v>107</v>
      </c>
      <c r="B116" s="78" t="s">
        <v>219</v>
      </c>
      <c r="C116" s="78" t="s">
        <v>378</v>
      </c>
      <c r="D116" s="111">
        <v>391</v>
      </c>
      <c r="E116" s="112">
        <v>113041.64</v>
      </c>
      <c r="F116" s="113">
        <f>+'[9]State Allocation Formulas'!C21</f>
        <v>0.74850000000000005</v>
      </c>
      <c r="G116" s="79">
        <f>+E116*F116</f>
        <v>84611.667540000009</v>
      </c>
      <c r="H116" s="79"/>
      <c r="I116" s="114"/>
      <c r="J116" s="78"/>
      <c r="L116" s="23"/>
      <c r="M116" s="16">
        <f t="shared" si="5"/>
        <v>200662</v>
      </c>
    </row>
    <row r="117" spans="1:13" x14ac:dyDescent="0.25">
      <c r="A117" s="77">
        <v>108</v>
      </c>
      <c r="B117" s="78" t="s">
        <v>219</v>
      </c>
      <c r="C117" s="78" t="s">
        <v>379</v>
      </c>
      <c r="D117" s="111">
        <v>391</v>
      </c>
      <c r="E117" s="112">
        <v>125738.62</v>
      </c>
      <c r="F117" s="113">
        <f>+'[9]State Allocation Formulas'!C21</f>
        <v>0.74850000000000005</v>
      </c>
      <c r="G117" s="79">
        <f>+E117*F117</f>
        <v>94115.357069999998</v>
      </c>
      <c r="H117" s="79"/>
      <c r="I117" s="114"/>
      <c r="J117" s="78"/>
      <c r="L117" s="23"/>
      <c r="M117" s="16">
        <f t="shared" si="5"/>
        <v>306967</v>
      </c>
    </row>
    <row r="118" spans="1:13" x14ac:dyDescent="0.25">
      <c r="A118" s="77">
        <v>109</v>
      </c>
      <c r="B118" s="78" t="s">
        <v>219</v>
      </c>
      <c r="C118" s="78" t="s">
        <v>380</v>
      </c>
      <c r="D118" s="111">
        <v>390</v>
      </c>
      <c r="E118" s="112">
        <v>1966245.17</v>
      </c>
      <c r="F118" s="78"/>
      <c r="G118" s="79">
        <f>+E118</f>
        <v>1966245.17</v>
      </c>
      <c r="H118" s="79">
        <f>+G118</f>
        <v>1966245.17</v>
      </c>
      <c r="I118" s="114">
        <f>+'[9]MCP-6 - Supporting Explanations'!A12</f>
        <v>3</v>
      </c>
      <c r="J118" s="23">
        <v>43525</v>
      </c>
      <c r="M118" s="16">
        <f t="shared" si="5"/>
        <v>307020</v>
      </c>
    </row>
    <row r="119" spans="1:13" x14ac:dyDescent="0.25">
      <c r="A119" s="77">
        <v>110</v>
      </c>
      <c r="B119" s="78" t="s">
        <v>219</v>
      </c>
      <c r="C119" s="78" t="s">
        <v>381</v>
      </c>
      <c r="D119" s="111">
        <v>391</v>
      </c>
      <c r="E119" s="112">
        <v>75630</v>
      </c>
      <c r="F119" s="113">
        <f>+'[9]State Allocation Formulas'!C21</f>
        <v>0.74850000000000005</v>
      </c>
      <c r="G119" s="79">
        <f>+E119*F119</f>
        <v>56609.055000000008</v>
      </c>
      <c r="H119" s="79"/>
      <c r="I119" s="114"/>
      <c r="J119" s="78"/>
      <c r="L119" s="23"/>
      <c r="M119" s="16">
        <f t="shared" si="5"/>
        <v>316832</v>
      </c>
    </row>
    <row r="120" spans="1:13" x14ac:dyDescent="0.25">
      <c r="A120" s="77">
        <v>111</v>
      </c>
      <c r="B120" s="78" t="s">
        <v>219</v>
      </c>
      <c r="C120" s="78" t="s">
        <v>382</v>
      </c>
      <c r="D120" s="111">
        <v>397</v>
      </c>
      <c r="E120" s="112">
        <v>299529.03999999998</v>
      </c>
      <c r="F120" s="113">
        <f>+'[9]State Allocation Formulas'!C21</f>
        <v>0.74850000000000005</v>
      </c>
      <c r="G120" s="79">
        <f>+E120*F120</f>
        <v>224197.48644000001</v>
      </c>
      <c r="H120" s="79"/>
      <c r="I120" s="114"/>
      <c r="J120" s="78"/>
      <c r="L120" s="23"/>
      <c r="M120" s="16">
        <f t="shared" si="5"/>
        <v>316853</v>
      </c>
    </row>
    <row r="121" spans="1:13" x14ac:dyDescent="0.25">
      <c r="A121" s="77">
        <v>112</v>
      </c>
      <c r="B121" s="78" t="s">
        <v>219</v>
      </c>
      <c r="C121" s="78" t="s">
        <v>383</v>
      </c>
      <c r="D121" s="111">
        <v>391</v>
      </c>
      <c r="E121" s="112">
        <v>49915.8</v>
      </c>
      <c r="F121" s="113">
        <f>+'[9]State Allocation Formulas'!C21</f>
        <v>0.74850000000000005</v>
      </c>
      <c r="G121" s="79">
        <f>+E121*F121</f>
        <v>37361.976300000002</v>
      </c>
      <c r="H121" s="79"/>
      <c r="I121" s="114"/>
      <c r="J121" s="78"/>
      <c r="L121" s="23"/>
      <c r="M121" s="16">
        <f t="shared" si="5"/>
        <v>316915</v>
      </c>
    </row>
    <row r="122" spans="1:13" x14ac:dyDescent="0.25">
      <c r="A122" s="77">
        <v>113</v>
      </c>
      <c r="B122" s="78" t="s">
        <v>219</v>
      </c>
      <c r="C122" s="78" t="s">
        <v>384</v>
      </c>
      <c r="D122" s="111">
        <v>394</v>
      </c>
      <c r="E122" s="112">
        <v>58789.72</v>
      </c>
      <c r="F122" s="113">
        <f>+'[9]State Allocation Formulas'!C21</f>
        <v>0.74850000000000005</v>
      </c>
      <c r="G122" s="79">
        <f>+E122*F122</f>
        <v>44004.105420000007</v>
      </c>
      <c r="H122" s="79"/>
      <c r="I122" s="114"/>
      <c r="J122" s="78"/>
      <c r="L122" s="23"/>
      <c r="M122" s="16">
        <f t="shared" si="5"/>
        <v>317120</v>
      </c>
    </row>
    <row r="123" spans="1:13" x14ac:dyDescent="0.25">
      <c r="A123" s="77">
        <v>114</v>
      </c>
      <c r="B123" s="78" t="s">
        <v>219</v>
      </c>
      <c r="C123" s="78" t="s">
        <v>385</v>
      </c>
      <c r="D123" s="111">
        <v>390</v>
      </c>
      <c r="E123" s="112">
        <v>20168</v>
      </c>
      <c r="F123" s="78"/>
      <c r="G123" s="79">
        <f>+E123</f>
        <v>20168</v>
      </c>
      <c r="H123" s="79"/>
      <c r="I123" s="114"/>
      <c r="J123" s="78"/>
      <c r="L123" s="23"/>
      <c r="M123" s="16">
        <f t="shared" si="5"/>
        <v>317191</v>
      </c>
    </row>
    <row r="124" spans="1:13" x14ac:dyDescent="0.25">
      <c r="A124" s="77">
        <v>115</v>
      </c>
      <c r="B124" s="78" t="s">
        <v>219</v>
      </c>
      <c r="C124" s="78" t="s">
        <v>386</v>
      </c>
      <c r="D124" s="111">
        <v>390</v>
      </c>
      <c r="E124" s="112">
        <v>201680</v>
      </c>
      <c r="F124" s="78"/>
      <c r="G124" s="79">
        <f>+E124</f>
        <v>201680</v>
      </c>
      <c r="H124" s="79"/>
      <c r="I124" s="114"/>
      <c r="J124" s="78"/>
      <c r="L124" s="23"/>
      <c r="M124" s="16">
        <f t="shared" si="5"/>
        <v>317290</v>
      </c>
    </row>
    <row r="125" spans="1:13" x14ac:dyDescent="0.25">
      <c r="A125" s="77">
        <v>116</v>
      </c>
      <c r="B125" s="78" t="s">
        <v>219</v>
      </c>
      <c r="C125" s="78" t="s">
        <v>228</v>
      </c>
      <c r="D125" s="111">
        <v>390</v>
      </c>
      <c r="E125" s="112">
        <v>65546</v>
      </c>
      <c r="F125" s="78"/>
      <c r="G125" s="79">
        <f>+E125</f>
        <v>65546</v>
      </c>
      <c r="H125" s="79"/>
      <c r="I125" s="114"/>
      <c r="J125" s="78"/>
      <c r="L125" s="23"/>
      <c r="M125" s="16">
        <f t="shared" si="5"/>
        <v>317291</v>
      </c>
    </row>
    <row r="126" spans="1:13" x14ac:dyDescent="0.25">
      <c r="A126" s="77">
        <v>117</v>
      </c>
      <c r="B126" s="117"/>
      <c r="C126" s="118" t="s">
        <v>268</v>
      </c>
      <c r="D126" s="119"/>
      <c r="E126" s="120">
        <f>SUM(E96:E125)</f>
        <v>6680901.830000001</v>
      </c>
      <c r="F126" s="117"/>
      <c r="G126" s="121">
        <f>SUM(G96:G125)</f>
        <v>6341275.0462799994</v>
      </c>
      <c r="H126" s="121">
        <f>SUM(H96:H125)</f>
        <v>1966245.17</v>
      </c>
      <c r="I126" s="122"/>
      <c r="J126" s="142"/>
    </row>
    <row r="127" spans="1:13" x14ac:dyDescent="0.25">
      <c r="B127" s="117"/>
      <c r="C127" s="117"/>
      <c r="D127" s="124"/>
      <c r="E127" s="112"/>
      <c r="F127" s="117"/>
      <c r="G127" s="133"/>
      <c r="H127" s="133"/>
      <c r="I127" s="122"/>
      <c r="J127" s="142"/>
    </row>
    <row r="128" spans="1:13" x14ac:dyDescent="0.25">
      <c r="B128" s="117"/>
      <c r="C128" s="118"/>
      <c r="D128" s="124"/>
      <c r="E128" s="112"/>
      <c r="F128" s="117"/>
      <c r="G128" s="133"/>
      <c r="H128" s="133"/>
      <c r="I128" s="122"/>
      <c r="J128" s="142"/>
    </row>
    <row r="129" spans="1:11" x14ac:dyDescent="0.25">
      <c r="B129" s="117"/>
      <c r="C129" s="117"/>
      <c r="D129" s="124"/>
      <c r="E129" s="112"/>
      <c r="F129" s="117"/>
      <c r="G129" s="133"/>
      <c r="H129" s="133"/>
      <c r="I129" s="117"/>
      <c r="J129" s="142"/>
    </row>
    <row r="130" spans="1:11" ht="16.5" thickBot="1" x14ac:dyDescent="0.3">
      <c r="A130" s="77">
        <v>118</v>
      </c>
      <c r="B130" s="117"/>
      <c r="C130" s="118" t="s">
        <v>269</v>
      </c>
      <c r="D130" s="119"/>
      <c r="E130" s="120">
        <f>E20+E94+E126</f>
        <v>105379018.22999996</v>
      </c>
      <c r="F130" s="117"/>
      <c r="G130" s="134">
        <f>G20+G94+G126</f>
        <v>86635636.694012001</v>
      </c>
      <c r="H130" s="135">
        <f>H20+H94+H126</f>
        <v>32794040.464584999</v>
      </c>
      <c r="I130" s="117"/>
      <c r="J130" s="144"/>
      <c r="K130" s="16">
        <f>+J130/H130</f>
        <v>0</v>
      </c>
    </row>
    <row r="131" spans="1:11" ht="16.5" thickTop="1" x14ac:dyDescent="0.25">
      <c r="B131" s="117"/>
      <c r="C131" s="117"/>
      <c r="D131" s="124"/>
      <c r="E131" s="112"/>
      <c r="F131" s="117"/>
      <c r="G131" s="133"/>
      <c r="H131" s="117"/>
      <c r="I131" s="117"/>
      <c r="J131" s="117"/>
    </row>
    <row r="132" spans="1:11" x14ac:dyDescent="0.25">
      <c r="B132" s="117"/>
      <c r="C132" s="118"/>
      <c r="D132" s="124"/>
      <c r="E132" s="112"/>
      <c r="F132" s="117"/>
      <c r="G132" s="133"/>
      <c r="H132" s="117"/>
      <c r="I132" s="117"/>
      <c r="J132" s="117"/>
    </row>
    <row r="133" spans="1:11" x14ac:dyDescent="0.25">
      <c r="B133" s="78"/>
      <c r="C133" s="78"/>
      <c r="D133" s="111"/>
      <c r="E133" s="111"/>
      <c r="F133" s="78"/>
      <c r="G133" s="78"/>
      <c r="H133" s="79"/>
      <c r="I133" s="78"/>
      <c r="J133" s="78"/>
    </row>
    <row r="134" spans="1:11" x14ac:dyDescent="0.25">
      <c r="A134" s="77">
        <v>119</v>
      </c>
      <c r="B134" s="78" t="s">
        <v>270</v>
      </c>
      <c r="C134" s="78"/>
      <c r="D134" s="111"/>
      <c r="E134" s="111"/>
      <c r="F134" s="78"/>
      <c r="G134" s="137"/>
      <c r="H134" s="78"/>
      <c r="I134" s="78"/>
      <c r="J134" s="78"/>
    </row>
    <row r="135" spans="1:11" x14ac:dyDescent="0.25">
      <c r="A135" s="77">
        <v>120</v>
      </c>
      <c r="B135" s="138"/>
      <c r="C135" s="78"/>
      <c r="D135" s="111"/>
      <c r="E135" s="111"/>
      <c r="F135" s="78"/>
      <c r="G135" s="114" t="s">
        <v>271</v>
      </c>
      <c r="H135" s="114" t="s">
        <v>272</v>
      </c>
      <c r="I135" s="114" t="s">
        <v>273</v>
      </c>
      <c r="J135" s="114" t="s">
        <v>274</v>
      </c>
    </row>
    <row r="136" spans="1:11" x14ac:dyDescent="0.25">
      <c r="A136" s="77">
        <v>121</v>
      </c>
      <c r="B136" s="114" t="s">
        <v>147</v>
      </c>
      <c r="C136" s="78" t="s">
        <v>275</v>
      </c>
      <c r="D136" s="111"/>
      <c r="E136" s="111">
        <f>+G54+G58+G46+G47+G50+G62+G65+G77+G85</f>
        <v>15432064.859999999</v>
      </c>
      <c r="F136" s="78"/>
      <c r="G136" s="114" t="s">
        <v>276</v>
      </c>
      <c r="H136" s="114" t="s">
        <v>277</v>
      </c>
      <c r="I136" s="77" t="s">
        <v>278</v>
      </c>
      <c r="J136" s="114" t="s">
        <v>279</v>
      </c>
    </row>
    <row r="137" spans="1:11" x14ac:dyDescent="0.25">
      <c r="A137" s="77">
        <v>122</v>
      </c>
      <c r="B137" s="114" t="s">
        <v>307</v>
      </c>
      <c r="C137" s="78" t="s">
        <v>387</v>
      </c>
      <c r="D137" s="111"/>
      <c r="E137" s="145">
        <f>+G33+G35+G37+G38+G39+G40+G42+G43+G45+G53+G57+G73+G79+G86+G87+G89+G93</f>
        <v>23378850.809392001</v>
      </c>
      <c r="F137" s="78"/>
      <c r="G137" s="78">
        <v>303</v>
      </c>
      <c r="H137" s="79">
        <f>+H20</f>
        <v>965778.4</v>
      </c>
      <c r="I137" s="78">
        <v>12.81</v>
      </c>
      <c r="J137" s="140">
        <f t="shared" ref="J137:J151" si="9">+H137*I137/100</f>
        <v>123716.21304000002</v>
      </c>
    </row>
    <row r="138" spans="1:11" x14ac:dyDescent="0.25">
      <c r="A138" s="77">
        <v>123</v>
      </c>
      <c r="B138" s="138"/>
      <c r="C138" s="138" t="s">
        <v>388</v>
      </c>
      <c r="D138" s="111"/>
      <c r="E138" s="111">
        <f>SUM(E136:E137)</f>
        <v>38810915.669392005</v>
      </c>
      <c r="F138" s="78"/>
      <c r="G138" s="78">
        <v>367</v>
      </c>
      <c r="H138" s="79">
        <f>+H85</f>
        <v>0</v>
      </c>
      <c r="I138" s="78">
        <v>1.82</v>
      </c>
      <c r="J138" s="140">
        <f t="shared" si="9"/>
        <v>0</v>
      </c>
    </row>
    <row r="139" spans="1:11" x14ac:dyDescent="0.25">
      <c r="A139" s="77">
        <v>124</v>
      </c>
      <c r="B139" s="138"/>
      <c r="C139" s="78"/>
      <c r="D139" s="111"/>
      <c r="E139" s="111"/>
      <c r="F139" s="78"/>
      <c r="G139" s="78">
        <v>376</v>
      </c>
      <c r="H139" s="79">
        <f>+H33+H34+H46+H47+H49+H50+H51+H53+H54+H56+H58+H59+H62+H63+H64+H65+H66+H72+H73+H74+H77+H80+H84+H86+H88+H90+H91+H93</f>
        <v>15620388.870000001</v>
      </c>
      <c r="I139" s="78">
        <v>1.25</v>
      </c>
      <c r="J139" s="140">
        <f t="shared" si="9"/>
        <v>195254.86087500001</v>
      </c>
    </row>
    <row r="140" spans="1:11" x14ac:dyDescent="0.25">
      <c r="A140" s="77">
        <v>125</v>
      </c>
      <c r="B140" s="138"/>
      <c r="C140" s="78"/>
      <c r="D140" s="111"/>
      <c r="E140" s="111"/>
      <c r="F140" s="78"/>
      <c r="G140" s="78">
        <v>378</v>
      </c>
      <c r="H140" s="79">
        <f>+H35+H36+H45+H55+H57+H61+H67+H69+H78+H79+H81+H82+H87+H89</f>
        <v>5126885.1399999997</v>
      </c>
      <c r="I140" s="78">
        <v>1.92</v>
      </c>
      <c r="J140" s="140">
        <f t="shared" si="9"/>
        <v>98436.194687999989</v>
      </c>
    </row>
    <row r="141" spans="1:11" x14ac:dyDescent="0.25">
      <c r="A141" s="77">
        <v>126</v>
      </c>
      <c r="B141" s="138"/>
      <c r="C141" s="78"/>
      <c r="D141" s="111"/>
      <c r="E141" s="111"/>
      <c r="F141" s="78"/>
      <c r="G141" s="78">
        <v>380</v>
      </c>
      <c r="H141" s="79">
        <f>+H37+H44</f>
        <v>0</v>
      </c>
      <c r="I141" s="78">
        <v>3.88</v>
      </c>
      <c r="J141" s="140">
        <f t="shared" si="9"/>
        <v>0</v>
      </c>
    </row>
    <row r="142" spans="1:11" x14ac:dyDescent="0.25">
      <c r="A142" s="77">
        <v>127</v>
      </c>
      <c r="B142" s="138"/>
      <c r="C142" s="78"/>
      <c r="D142" s="111"/>
      <c r="E142" s="111"/>
      <c r="F142" s="78"/>
      <c r="G142" s="78">
        <v>381</v>
      </c>
      <c r="H142" s="79">
        <f>+H42+H60</f>
        <v>9114742.8845850006</v>
      </c>
      <c r="I142" s="78">
        <v>2.27</v>
      </c>
      <c r="J142" s="140">
        <f t="shared" si="9"/>
        <v>206904.6634800795</v>
      </c>
    </row>
    <row r="143" spans="1:11" x14ac:dyDescent="0.25">
      <c r="A143" s="77">
        <v>128</v>
      </c>
      <c r="B143" s="138"/>
      <c r="C143" s="78"/>
      <c r="D143" s="111"/>
      <c r="E143" s="111"/>
      <c r="F143" s="78"/>
      <c r="G143" s="78">
        <v>382</v>
      </c>
      <c r="H143" s="79">
        <f>+H38+H39</f>
        <v>0</v>
      </c>
      <c r="I143" s="78">
        <v>1.86</v>
      </c>
      <c r="J143" s="140">
        <f t="shared" si="9"/>
        <v>0</v>
      </c>
    </row>
    <row r="144" spans="1:11" x14ac:dyDescent="0.25">
      <c r="A144" s="77">
        <v>129</v>
      </c>
      <c r="B144" s="78"/>
      <c r="C144" s="78"/>
      <c r="D144" s="111"/>
      <c r="E144" s="111"/>
      <c r="F144" s="78"/>
      <c r="G144" s="16">
        <v>383</v>
      </c>
      <c r="H144" s="103">
        <f>+H43</f>
        <v>0</v>
      </c>
      <c r="I144" s="16">
        <v>2.3199999999999998</v>
      </c>
      <c r="J144" s="140">
        <f t="shared" si="9"/>
        <v>0</v>
      </c>
    </row>
    <row r="145" spans="1:11" x14ac:dyDescent="0.25">
      <c r="A145" s="77">
        <v>130</v>
      </c>
      <c r="B145" s="78"/>
      <c r="C145" s="78"/>
      <c r="D145" s="111"/>
      <c r="E145" s="111"/>
      <c r="F145" s="78"/>
      <c r="G145" s="78">
        <v>385</v>
      </c>
      <c r="H145" s="79">
        <f>+H40+H41</f>
        <v>0</v>
      </c>
      <c r="I145" s="78">
        <v>2.1800000000000002</v>
      </c>
      <c r="J145" s="140">
        <f t="shared" si="9"/>
        <v>0</v>
      </c>
    </row>
    <row r="146" spans="1:11" x14ac:dyDescent="0.25">
      <c r="A146" s="77">
        <v>131</v>
      </c>
      <c r="B146" s="78"/>
      <c r="C146" s="78"/>
      <c r="D146" s="111"/>
      <c r="E146" s="111"/>
      <c r="F146" s="78"/>
      <c r="G146" s="78">
        <v>390</v>
      </c>
      <c r="H146" s="79">
        <f>+H100+H118+H123+H124+H125</f>
        <v>1966245.17</v>
      </c>
      <c r="I146" s="78">
        <v>1.24</v>
      </c>
      <c r="J146" s="140">
        <f t="shared" si="9"/>
        <v>24381.440107999999</v>
      </c>
    </row>
    <row r="147" spans="1:11" x14ac:dyDescent="0.25">
      <c r="A147" s="77">
        <v>132</v>
      </c>
      <c r="B147" s="78"/>
      <c r="C147" s="78"/>
      <c r="D147" s="111"/>
      <c r="E147" s="111"/>
      <c r="F147" s="78"/>
      <c r="G147" s="78">
        <v>391</v>
      </c>
      <c r="H147" s="79">
        <f>+H106+H107+H115+H116+H117+H119+H121</f>
        <v>0</v>
      </c>
      <c r="I147" s="78">
        <v>0.05</v>
      </c>
      <c r="J147" s="140">
        <f t="shared" si="9"/>
        <v>0</v>
      </c>
    </row>
    <row r="148" spans="1:11" x14ac:dyDescent="0.25">
      <c r="A148" s="77">
        <v>133</v>
      </c>
      <c r="B148" s="78"/>
      <c r="C148" s="78"/>
      <c r="D148" s="111"/>
      <c r="E148" s="111"/>
      <c r="F148" s="78"/>
      <c r="G148" s="78">
        <v>392</v>
      </c>
      <c r="H148" s="79">
        <f>+H97+H101</f>
        <v>0</v>
      </c>
      <c r="I148" s="78">
        <v>6.15</v>
      </c>
      <c r="J148" s="140">
        <f t="shared" si="9"/>
        <v>0</v>
      </c>
    </row>
    <row r="149" spans="1:11" x14ac:dyDescent="0.25">
      <c r="A149" s="77">
        <v>134</v>
      </c>
      <c r="B149" s="78"/>
      <c r="C149" s="78"/>
      <c r="D149" s="111"/>
      <c r="E149" s="111"/>
      <c r="F149" s="78"/>
      <c r="G149" s="78">
        <v>394</v>
      </c>
      <c r="H149" s="79">
        <f>+H102+H105+H108+H109+H110+H111+H112+H113+H114+H122</f>
        <v>0</v>
      </c>
      <c r="I149" s="78">
        <v>3.56</v>
      </c>
      <c r="J149" s="140">
        <f t="shared" si="9"/>
        <v>0</v>
      </c>
    </row>
    <row r="150" spans="1:11" x14ac:dyDescent="0.25">
      <c r="A150" s="77">
        <v>135</v>
      </c>
      <c r="B150" s="78"/>
      <c r="C150" s="78"/>
      <c r="D150" s="111"/>
      <c r="E150" s="111"/>
      <c r="F150" s="78"/>
      <c r="G150" s="78">
        <v>396</v>
      </c>
      <c r="H150" s="79">
        <f>+H98</f>
        <v>0</v>
      </c>
      <c r="I150" s="78">
        <v>5.18</v>
      </c>
      <c r="J150" s="140">
        <f t="shared" si="9"/>
        <v>0</v>
      </c>
    </row>
    <row r="151" spans="1:11" x14ac:dyDescent="0.25">
      <c r="A151" s="77">
        <v>136</v>
      </c>
      <c r="B151" s="78"/>
      <c r="C151" s="78"/>
      <c r="D151" s="111"/>
      <c r="E151" s="111"/>
      <c r="F151" s="78"/>
      <c r="G151" s="78">
        <v>397</v>
      </c>
      <c r="H151" s="79">
        <f>+H96+H99+H120</f>
        <v>0</v>
      </c>
      <c r="I151" s="78">
        <v>0.13</v>
      </c>
      <c r="J151" s="140">
        <f t="shared" si="9"/>
        <v>0</v>
      </c>
    </row>
    <row r="152" spans="1:11" x14ac:dyDescent="0.25">
      <c r="A152" s="77">
        <v>137</v>
      </c>
      <c r="B152" s="78"/>
      <c r="C152" s="78"/>
      <c r="D152" s="146"/>
      <c r="E152" s="146"/>
      <c r="F152" s="78" t="s">
        <v>280</v>
      </c>
      <c r="G152" s="78"/>
      <c r="H152" s="79">
        <f>SUM(H137:H151)</f>
        <v>32794040.464584999</v>
      </c>
      <c r="I152" s="78"/>
      <c r="J152" s="79">
        <f>SUM(J137:J151)</f>
        <v>648693.37219107943</v>
      </c>
      <c r="K152" s="16">
        <f>+J152/H152</f>
        <v>1.9780830998596149E-2</v>
      </c>
    </row>
    <row r="153" spans="1:11" x14ac:dyDescent="0.25">
      <c r="A153" s="77">
        <v>138</v>
      </c>
      <c r="B153" s="78"/>
      <c r="C153" s="78"/>
      <c r="D153" s="146"/>
      <c r="E153" s="146"/>
      <c r="F153" s="78"/>
      <c r="G153" s="78"/>
      <c r="H153" s="78"/>
      <c r="I153" s="78"/>
      <c r="J153" s="78"/>
    </row>
    <row r="154" spans="1:11" x14ac:dyDescent="0.25">
      <c r="A154" s="77">
        <v>139</v>
      </c>
      <c r="B154" s="78"/>
      <c r="C154" s="78"/>
      <c r="D154" s="146"/>
      <c r="E154" s="146"/>
      <c r="F154" s="78"/>
      <c r="G154" s="78"/>
      <c r="H154" s="79">
        <f>+H130-H152</f>
        <v>0</v>
      </c>
      <c r="I154" s="78"/>
      <c r="J154" s="78"/>
    </row>
  </sheetData>
  <mergeCells count="4">
    <mergeCell ref="C1:I1"/>
    <mergeCell ref="C2:I2"/>
    <mergeCell ref="C3:I3"/>
    <mergeCell ref="C4:I4"/>
  </mergeCells>
  <pageMargins left="0.7" right="0.7" top="0.75" bottom="0.75" header="0.3" footer="0.3"/>
  <pageSetup scale="45" fitToHeight="0" orientation="portrait" useFirstPageNumber="1" r:id="rId1"/>
  <headerFooter scaleWithDoc="0" alignWithMargins="0">
    <oddHeader>&amp;RDocket No. UG-19___
Exhibit _____ (MCP-6)
Page &amp;P of 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3932-02E5-47AB-A41C-E71F8DF2F9C6}">
  <sheetPr>
    <tabColor theme="9"/>
  </sheetPr>
  <dimension ref="A1:I36"/>
  <sheetViews>
    <sheetView view="pageBreakPreview" zoomScaleNormal="100" zoomScaleSheetLayoutView="100" workbookViewId="0">
      <selection activeCell="E9" sqref="E9"/>
    </sheetView>
  </sheetViews>
  <sheetFormatPr defaultColWidth="9.140625" defaultRowHeight="15.75" x14ac:dyDescent="0.25"/>
  <cols>
    <col min="1" max="1" width="9.42578125" style="77" bestFit="1" customWidth="1"/>
    <col min="2" max="2" width="33" style="16" bestFit="1" customWidth="1"/>
    <col min="3" max="3" width="10.28515625" style="16" bestFit="1" customWidth="1"/>
    <col min="4" max="4" width="27.28515625" style="16" customWidth="1"/>
    <col min="5" max="5" width="18.140625" style="16" bestFit="1" customWidth="1"/>
    <col min="6" max="6" width="13.140625" style="16" bestFit="1" customWidth="1"/>
    <col min="7" max="7" width="10.140625" style="16" bestFit="1" customWidth="1"/>
    <col min="8" max="8" width="13.5703125" style="16" bestFit="1" customWidth="1"/>
    <col min="9" max="9" width="9.140625" style="16"/>
    <col min="10" max="10" width="9.7109375" style="16" bestFit="1" customWidth="1"/>
    <col min="11" max="16384" width="9.140625" style="16"/>
  </cols>
  <sheetData>
    <row r="1" spans="1:9" x14ac:dyDescent="0.25">
      <c r="B1" s="174" t="s">
        <v>389</v>
      </c>
      <c r="C1" s="174"/>
      <c r="D1" s="174"/>
      <c r="E1" s="174"/>
      <c r="F1" s="174"/>
      <c r="G1" s="147"/>
      <c r="H1" s="147"/>
      <c r="I1" s="147"/>
    </row>
    <row r="2" spans="1:9" x14ac:dyDescent="0.25">
      <c r="B2" s="174" t="s">
        <v>390</v>
      </c>
      <c r="C2" s="174"/>
      <c r="D2" s="174"/>
      <c r="E2" s="174"/>
      <c r="F2" s="174"/>
      <c r="G2" s="147"/>
      <c r="H2" s="147"/>
      <c r="I2" s="147"/>
    </row>
    <row r="3" spans="1:9" x14ac:dyDescent="0.25">
      <c r="B3" s="174" t="s">
        <v>391</v>
      </c>
      <c r="C3" s="174"/>
      <c r="D3" s="174"/>
      <c r="E3" s="174"/>
      <c r="F3" s="174"/>
      <c r="G3" s="147"/>
      <c r="H3" s="147"/>
      <c r="I3" s="147"/>
    </row>
    <row r="4" spans="1:9" x14ac:dyDescent="0.25">
      <c r="B4" s="174" t="s">
        <v>392</v>
      </c>
      <c r="C4" s="174"/>
      <c r="D4" s="174"/>
      <c r="E4" s="174"/>
      <c r="F4" s="174"/>
      <c r="G4" s="147"/>
      <c r="H4" s="147"/>
      <c r="I4" s="147"/>
    </row>
    <row r="5" spans="1:9" x14ac:dyDescent="0.25">
      <c r="B5" s="174" t="s">
        <v>393</v>
      </c>
      <c r="C5" s="174"/>
      <c r="D5" s="174"/>
      <c r="E5" s="174"/>
      <c r="F5" s="174"/>
      <c r="G5" s="147"/>
      <c r="H5" s="147"/>
      <c r="I5" s="147"/>
    </row>
    <row r="7" spans="1:9" s="77" customFormat="1" x14ac:dyDescent="0.25">
      <c r="B7" s="77" t="s">
        <v>394</v>
      </c>
      <c r="C7" s="77" t="s">
        <v>395</v>
      </c>
      <c r="D7" s="77" t="s">
        <v>147</v>
      </c>
      <c r="E7" s="77" t="s">
        <v>396</v>
      </c>
      <c r="F7" s="77" t="s">
        <v>397</v>
      </c>
    </row>
    <row r="8" spans="1:9" x14ac:dyDescent="0.25">
      <c r="A8" s="148" t="s">
        <v>398</v>
      </c>
    </row>
    <row r="9" spans="1:9" x14ac:dyDescent="0.25">
      <c r="A9" s="77">
        <v>1</v>
      </c>
      <c r="B9" s="16" t="s">
        <v>399</v>
      </c>
      <c r="E9" s="149">
        <f>+'[8]MCP-6 - 2020 Plant Additions'!H199</f>
        <v>66105637.284975991</v>
      </c>
    </row>
    <row r="11" spans="1:9" x14ac:dyDescent="0.25">
      <c r="A11" s="77">
        <v>2</v>
      </c>
      <c r="B11" s="16" t="s">
        <v>400</v>
      </c>
      <c r="C11" s="150">
        <f>E32</f>
        <v>1.1581842116175691E-2</v>
      </c>
    </row>
    <row r="12" spans="1:9" x14ac:dyDescent="0.25">
      <c r="A12" s="77">
        <v>3</v>
      </c>
      <c r="B12" s="16" t="s">
        <v>401</v>
      </c>
      <c r="E12" s="151">
        <f>+E9*C11</f>
        <v>765625.05402376899</v>
      </c>
    </row>
    <row r="14" spans="1:9" x14ac:dyDescent="0.25">
      <c r="A14" s="77">
        <v>4</v>
      </c>
      <c r="E14" s="152"/>
    </row>
    <row r="16" spans="1:9" x14ac:dyDescent="0.25">
      <c r="A16" s="77">
        <v>5</v>
      </c>
      <c r="B16" s="16" t="s">
        <v>402</v>
      </c>
      <c r="D16" s="16" t="s">
        <v>403</v>
      </c>
      <c r="E16" s="153">
        <f>+E9</f>
        <v>66105637.284975991</v>
      </c>
      <c r="F16" s="153"/>
    </row>
    <row r="17" spans="1:7" x14ac:dyDescent="0.25">
      <c r="E17" s="153"/>
      <c r="F17" s="153"/>
    </row>
    <row r="18" spans="1:7" x14ac:dyDescent="0.25">
      <c r="A18" s="77">
        <v>6</v>
      </c>
      <c r="B18" s="16" t="s">
        <v>404</v>
      </c>
      <c r="D18" s="16" t="s">
        <v>405</v>
      </c>
      <c r="E18" s="154">
        <f>+'[8]MCP-6 - 2020 Plant Additions'!J222</f>
        <v>2842570.6583268726</v>
      </c>
      <c r="F18" s="154">
        <f>+E18</f>
        <v>2842570.6583268726</v>
      </c>
    </row>
    <row r="19" spans="1:7" x14ac:dyDescent="0.25">
      <c r="A19" s="77">
        <v>7</v>
      </c>
      <c r="B19" s="16" t="s">
        <v>406</v>
      </c>
      <c r="D19" s="16" t="s">
        <v>407</v>
      </c>
      <c r="E19" s="154">
        <f>+E18/2</f>
        <v>1421285.3291634363</v>
      </c>
      <c r="F19" s="153"/>
    </row>
    <row r="20" spans="1:7" x14ac:dyDescent="0.25">
      <c r="A20" s="77">
        <v>8</v>
      </c>
      <c r="B20" s="16" t="s">
        <v>408</v>
      </c>
      <c r="D20" s="16" t="s">
        <v>409</v>
      </c>
      <c r="E20" s="153">
        <f>+E16*0.0375</f>
        <v>2478961.3981865994</v>
      </c>
      <c r="F20" s="153"/>
    </row>
    <row r="21" spans="1:7" x14ac:dyDescent="0.25">
      <c r="A21" s="77">
        <v>9</v>
      </c>
      <c r="B21" s="16" t="s">
        <v>410</v>
      </c>
      <c r="D21" s="16" t="s">
        <v>411</v>
      </c>
      <c r="E21" s="154">
        <f>(+E20-E18)*0.21</f>
        <v>-76357.944629457386</v>
      </c>
      <c r="F21" s="153"/>
    </row>
    <row r="22" spans="1:7" x14ac:dyDescent="0.25">
      <c r="A22" s="77">
        <v>10</v>
      </c>
      <c r="B22" s="16" t="s">
        <v>412</v>
      </c>
      <c r="D22" s="16" t="s">
        <v>413</v>
      </c>
      <c r="E22" s="154">
        <f>+E21/2</f>
        <v>-38178.972314728693</v>
      </c>
      <c r="F22" s="153"/>
    </row>
    <row r="23" spans="1:7" x14ac:dyDescent="0.25">
      <c r="A23" s="77">
        <v>11</v>
      </c>
      <c r="B23" s="16" t="s">
        <v>414</v>
      </c>
      <c r="D23" s="16" t="s">
        <v>415</v>
      </c>
      <c r="E23" s="153"/>
      <c r="F23" s="154">
        <f>+F18*0.21</f>
        <v>596939.83824864321</v>
      </c>
    </row>
    <row r="24" spans="1:7" x14ac:dyDescent="0.25">
      <c r="E24" s="153"/>
      <c r="F24" s="153"/>
    </row>
    <row r="25" spans="1:7" x14ac:dyDescent="0.25">
      <c r="A25" s="77">
        <v>12</v>
      </c>
      <c r="B25" s="16" t="s">
        <v>416</v>
      </c>
      <c r="E25" s="154">
        <f>+E16-E22-E19</f>
        <v>64722530.928127281</v>
      </c>
      <c r="F25" s="153"/>
    </row>
    <row r="26" spans="1:7" x14ac:dyDescent="0.25">
      <c r="E26" s="153"/>
      <c r="F26" s="153"/>
    </row>
    <row r="27" spans="1:7" x14ac:dyDescent="0.25">
      <c r="A27" s="77">
        <v>13</v>
      </c>
      <c r="B27" s="16" t="s">
        <v>417</v>
      </c>
      <c r="E27" s="155">
        <v>1281027.22</v>
      </c>
      <c r="F27" s="156"/>
      <c r="G27" s="153"/>
    </row>
    <row r="28" spans="1:7" x14ac:dyDescent="0.25">
      <c r="B28" t="s">
        <v>418</v>
      </c>
      <c r="F28" s="156"/>
      <c r="G28" s="153"/>
    </row>
    <row r="29" spans="1:7" x14ac:dyDescent="0.25">
      <c r="A29" s="77" t="s">
        <v>270</v>
      </c>
      <c r="F29" s="153"/>
      <c r="G29" s="153"/>
    </row>
    <row r="30" spans="1:7" x14ac:dyDescent="0.25">
      <c r="A30" s="54" t="s">
        <v>419</v>
      </c>
      <c r="B30" s="14" t="s">
        <v>420</v>
      </c>
      <c r="C30" s="14"/>
      <c r="D30" s="14"/>
      <c r="E30" s="157">
        <v>241152000</v>
      </c>
      <c r="F30" s="153"/>
      <c r="G30" s="153"/>
    </row>
    <row r="31" spans="1:7" x14ac:dyDescent="0.25">
      <c r="A31" s="158"/>
      <c r="B31" s="16" t="s">
        <v>421</v>
      </c>
      <c r="E31" s="159">
        <v>2792984.39</v>
      </c>
      <c r="F31" s="153"/>
      <c r="G31" s="153"/>
    </row>
    <row r="32" spans="1:7" x14ac:dyDescent="0.25">
      <c r="A32" s="160"/>
      <c r="B32" s="35" t="s">
        <v>422</v>
      </c>
      <c r="C32" s="35"/>
      <c r="D32" s="35"/>
      <c r="E32" s="161">
        <f>E31/E30</f>
        <v>1.1581842116175691E-2</v>
      </c>
      <c r="F32" s="153"/>
      <c r="G32" s="153"/>
    </row>
    <row r="33" spans="6:7" x14ac:dyDescent="0.25">
      <c r="F33" s="153"/>
      <c r="G33" s="153"/>
    </row>
    <row r="34" spans="6:7" x14ac:dyDescent="0.25">
      <c r="F34" s="153"/>
      <c r="G34" s="153"/>
    </row>
    <row r="35" spans="6:7" x14ac:dyDescent="0.25">
      <c r="F35" s="153"/>
      <c r="G35" s="153"/>
    </row>
    <row r="36" spans="6:7" x14ac:dyDescent="0.25">
      <c r="F36" s="153"/>
      <c r="G36" s="153"/>
    </row>
  </sheetData>
  <mergeCells count="5">
    <mergeCell ref="B1:F1"/>
    <mergeCell ref="B2:F2"/>
    <mergeCell ref="B3:F3"/>
    <mergeCell ref="B4:F4"/>
    <mergeCell ref="B5:F5"/>
  </mergeCells>
  <printOptions horizontalCentered="1"/>
  <pageMargins left="0.7" right="0.7" top="0.75" bottom="0.75" header="0.3" footer="0.3"/>
  <pageSetup scale="84" fitToHeight="0" orientation="landscape" r:id="rId1"/>
  <headerFooter scaleWithDoc="0" alignWithMargins="0">
    <oddHeader>&amp;RPage &amp;P of &amp;N</oddHeader>
    <oddFooter>&amp;LElectronic Tab Name:&amp;A</oddFoot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A1358-E1DB-487A-8272-D6148ED6674D}">
  <sheetPr>
    <tabColor theme="9"/>
  </sheetPr>
  <dimension ref="A1:J36"/>
  <sheetViews>
    <sheetView view="pageBreakPreview" zoomScaleNormal="100" zoomScaleSheetLayoutView="100" workbookViewId="0">
      <selection activeCell="H6" sqref="H6:J26"/>
    </sheetView>
  </sheetViews>
  <sheetFormatPr defaultColWidth="9.140625" defaultRowHeight="15.75" x14ac:dyDescent="0.25"/>
  <cols>
    <col min="1" max="1" width="9.42578125" style="77" bestFit="1" customWidth="1"/>
    <col min="2" max="2" width="33" style="16" bestFit="1" customWidth="1"/>
    <col min="3" max="3" width="10.28515625" style="16" bestFit="1" customWidth="1"/>
    <col min="4" max="4" width="27.28515625" style="16" customWidth="1"/>
    <col min="5" max="5" width="18.140625" style="16" bestFit="1" customWidth="1"/>
    <col min="6" max="6" width="13.140625" style="16" bestFit="1" customWidth="1"/>
    <col min="7" max="7" width="10.140625" style="16" bestFit="1" customWidth="1"/>
    <col min="8" max="8" width="17.7109375" style="16" bestFit="1" customWidth="1"/>
    <col min="9" max="9" width="13.85546875" style="16" customWidth="1"/>
    <col min="10" max="10" width="16.42578125" style="16" bestFit="1" customWidth="1"/>
    <col min="11" max="16384" width="9.140625" style="16"/>
  </cols>
  <sheetData>
    <row r="1" spans="1:9" x14ac:dyDescent="0.25">
      <c r="B1" s="174" t="s">
        <v>389</v>
      </c>
      <c r="C1" s="174"/>
      <c r="D1" s="174"/>
      <c r="E1" s="174"/>
      <c r="F1" s="174"/>
      <c r="G1" s="147"/>
      <c r="H1" s="147"/>
      <c r="I1" s="147"/>
    </row>
    <row r="2" spans="1:9" x14ac:dyDescent="0.25">
      <c r="B2" s="174" t="s">
        <v>390</v>
      </c>
      <c r="C2" s="174"/>
      <c r="D2" s="174"/>
      <c r="E2" s="174"/>
      <c r="F2" s="174"/>
      <c r="G2" s="147"/>
      <c r="H2" s="147"/>
      <c r="I2" s="147"/>
    </row>
    <row r="3" spans="1:9" x14ac:dyDescent="0.25">
      <c r="B3" s="174" t="s">
        <v>391</v>
      </c>
      <c r="C3" s="174"/>
      <c r="D3" s="174"/>
      <c r="E3" s="174"/>
      <c r="F3" s="174"/>
      <c r="G3" s="147"/>
      <c r="H3" s="147"/>
      <c r="I3" s="147"/>
    </row>
    <row r="4" spans="1:9" x14ac:dyDescent="0.25">
      <c r="B4" s="174" t="s">
        <v>392</v>
      </c>
      <c r="C4" s="174"/>
      <c r="D4" s="174"/>
      <c r="E4" s="174"/>
      <c r="F4" s="174"/>
      <c r="G4" s="147"/>
      <c r="H4" s="147"/>
      <c r="I4" s="147"/>
    </row>
    <row r="5" spans="1:9" x14ac:dyDescent="0.25">
      <c r="B5" s="174" t="s">
        <v>393</v>
      </c>
      <c r="C5" s="174"/>
      <c r="D5" s="174"/>
      <c r="E5" s="174"/>
      <c r="F5" s="174"/>
      <c r="G5" s="147"/>
      <c r="H5" s="147"/>
      <c r="I5" s="147"/>
    </row>
    <row r="7" spans="1:9" s="77" customFormat="1" x14ac:dyDescent="0.25">
      <c r="B7" s="77" t="s">
        <v>394</v>
      </c>
      <c r="C7" s="77" t="s">
        <v>395</v>
      </c>
      <c r="D7" s="77" t="s">
        <v>147</v>
      </c>
      <c r="E7" s="77" t="s">
        <v>396</v>
      </c>
      <c r="F7" s="77" t="s">
        <v>397</v>
      </c>
    </row>
    <row r="8" spans="1:9" x14ac:dyDescent="0.25">
      <c r="A8" s="148" t="s">
        <v>398</v>
      </c>
    </row>
    <row r="9" spans="1:9" x14ac:dyDescent="0.25">
      <c r="A9" s="77">
        <v>1</v>
      </c>
      <c r="B9" s="16" t="s">
        <v>399</v>
      </c>
      <c r="E9" s="149">
        <f>+'Pro Forma Plant Additions (CA)'!E9-SUM('Exh BGM-6'!L4:L7,'Exh BGM-6'!L25,'Exh BGM-6'!L31:L33,'Exh BGM-6'!L37)</f>
        <v>38777312.614975989</v>
      </c>
      <c r="H9" s="149">
        <f>+E9-'Pro Forma Plant Additions (CA)'!E9</f>
        <v>-27328324.670000002</v>
      </c>
    </row>
    <row r="11" spans="1:9" x14ac:dyDescent="0.25">
      <c r="A11" s="77">
        <v>2</v>
      </c>
      <c r="B11" s="16" t="s">
        <v>400</v>
      </c>
      <c r="C11" s="150">
        <f>E32</f>
        <v>1.1581842116175691E-2</v>
      </c>
      <c r="H11" s="149"/>
    </row>
    <row r="12" spans="1:9" x14ac:dyDescent="0.25">
      <c r="A12" s="77">
        <v>3</v>
      </c>
      <c r="B12" s="16" t="s">
        <v>401</v>
      </c>
      <c r="E12" s="151">
        <f>+E9*C11</f>
        <v>449112.7123962398</v>
      </c>
      <c r="H12" s="149">
        <f>+E12-'Pro Forma Plant Additions (CA)'!E12</f>
        <v>-316512.34162752918</v>
      </c>
    </row>
    <row r="14" spans="1:9" x14ac:dyDescent="0.25">
      <c r="A14" s="77">
        <v>4</v>
      </c>
      <c r="E14" s="152"/>
    </row>
    <row r="16" spans="1:9" x14ac:dyDescent="0.25">
      <c r="A16" s="77">
        <v>5</v>
      </c>
      <c r="B16" s="16" t="s">
        <v>402</v>
      </c>
      <c r="D16" s="16" t="s">
        <v>403</v>
      </c>
      <c r="E16" s="153">
        <f>+E9</f>
        <v>38777312.614975989</v>
      </c>
      <c r="F16" s="153"/>
      <c r="H16" s="149">
        <f>+E16-'Pro Forma Plant Additions (CA)'!E16</f>
        <v>-27328324.670000002</v>
      </c>
    </row>
    <row r="17" spans="1:10" x14ac:dyDescent="0.25">
      <c r="E17" s="153"/>
      <c r="F17" s="153"/>
    </row>
    <row r="18" spans="1:10" x14ac:dyDescent="0.25">
      <c r="A18" s="77">
        <v>6</v>
      </c>
      <c r="B18" s="16" t="s">
        <v>404</v>
      </c>
      <c r="D18" s="16" t="s">
        <v>405</v>
      </c>
      <c r="E18" s="154">
        <f>+'Pro Forma Plant Additions (CA)'!E18-SUM('Exh BGM-6'!X4:X7,'Exh BGM-6'!X25,'Exh BGM-6'!X31:X33,'Exh BGM-6'!X37)</f>
        <v>1678768.7481428727</v>
      </c>
      <c r="F18" s="154">
        <f>+E18</f>
        <v>1678768.7481428727</v>
      </c>
      <c r="H18" s="149">
        <f>+E18-'Pro Forma Plant Additions (CA)'!E18</f>
        <v>-1163801.9101839999</v>
      </c>
      <c r="J18" s="149">
        <f>+H18+H12</f>
        <v>-1480314.251811529</v>
      </c>
    </row>
    <row r="19" spans="1:10" x14ac:dyDescent="0.25">
      <c r="A19" s="77">
        <v>7</v>
      </c>
      <c r="B19" s="16" t="s">
        <v>406</v>
      </c>
      <c r="D19" s="16" t="s">
        <v>407</v>
      </c>
      <c r="E19" s="154">
        <f>+E18/2</f>
        <v>839384.37407143635</v>
      </c>
      <c r="F19" s="153"/>
      <c r="H19" s="149">
        <f>+E19-'Pro Forma Plant Additions (CA)'!E19</f>
        <v>-581900.95509199996</v>
      </c>
    </row>
    <row r="20" spans="1:10" x14ac:dyDescent="0.25">
      <c r="A20" s="77">
        <v>8</v>
      </c>
      <c r="B20" s="16" t="s">
        <v>408</v>
      </c>
      <c r="D20" s="16" t="s">
        <v>409</v>
      </c>
      <c r="E20" s="153">
        <f>+E16*0.0375</f>
        <v>1454149.2230615995</v>
      </c>
      <c r="F20" s="153"/>
      <c r="H20" s="149">
        <f>+E20-'Pro Forma Plant Additions (CA)'!E20</f>
        <v>-1024812.1751249998</v>
      </c>
    </row>
    <row r="21" spans="1:10" x14ac:dyDescent="0.25">
      <c r="A21" s="77">
        <v>9</v>
      </c>
      <c r="B21" s="16" t="s">
        <v>410</v>
      </c>
      <c r="D21" s="16" t="s">
        <v>411</v>
      </c>
      <c r="E21" s="154">
        <f>(+E20-E18)*0.21</f>
        <v>-47170.100267067362</v>
      </c>
      <c r="F21" s="153"/>
      <c r="H21" s="149">
        <f>+E21-'Pro Forma Plant Additions (CA)'!E21</f>
        <v>29187.844362390024</v>
      </c>
    </row>
    <row r="22" spans="1:10" x14ac:dyDescent="0.25">
      <c r="A22" s="77">
        <v>10</v>
      </c>
      <c r="B22" s="16" t="s">
        <v>412</v>
      </c>
      <c r="D22" s="16" t="s">
        <v>413</v>
      </c>
      <c r="E22" s="154">
        <f>+E21/2</f>
        <v>-23585.050133533681</v>
      </c>
      <c r="F22" s="153"/>
      <c r="H22" s="149">
        <f>+E22-'Pro Forma Plant Additions (CA)'!E22</f>
        <v>14593.922181195012</v>
      </c>
    </row>
    <row r="23" spans="1:10" x14ac:dyDescent="0.25">
      <c r="A23" s="77">
        <v>11</v>
      </c>
      <c r="B23" s="16" t="s">
        <v>414</v>
      </c>
      <c r="D23" s="16" t="s">
        <v>415</v>
      </c>
      <c r="E23" s="153"/>
      <c r="F23" s="154">
        <f>+F18*0.21</f>
        <v>352541.43711000326</v>
      </c>
      <c r="I23" s="149">
        <f>+F23-'Pro Forma Plant Additions (CA)'!F23</f>
        <v>-244398.40113863995</v>
      </c>
    </row>
    <row r="24" spans="1:10" x14ac:dyDescent="0.25">
      <c r="E24" s="153"/>
      <c r="F24" s="153"/>
    </row>
    <row r="25" spans="1:10" x14ac:dyDescent="0.25">
      <c r="A25" s="77">
        <v>12</v>
      </c>
      <c r="B25" s="16" t="s">
        <v>416</v>
      </c>
      <c r="E25" s="154">
        <f>+E16-E22-E19</f>
        <v>37961513.291038089</v>
      </c>
      <c r="F25" s="153"/>
      <c r="H25" s="149">
        <f>+E25-'Pro Forma Plant Additions (CA)'!E25</f>
        <v>-26761017.637089193</v>
      </c>
    </row>
    <row r="26" spans="1:10" x14ac:dyDescent="0.25">
      <c r="E26" s="153"/>
      <c r="F26" s="153"/>
    </row>
    <row r="27" spans="1:10" x14ac:dyDescent="0.25">
      <c r="A27" s="77">
        <v>13</v>
      </c>
      <c r="B27" s="16" t="s">
        <v>417</v>
      </c>
      <c r="E27" s="155">
        <v>1281027.22</v>
      </c>
      <c r="F27" s="156"/>
      <c r="G27" s="153"/>
      <c r="H27" s="149">
        <f>+E27-'Pro Forma Plant Additions (CA)'!E27</f>
        <v>0</v>
      </c>
    </row>
    <row r="28" spans="1:10" x14ac:dyDescent="0.25">
      <c r="B28" t="s">
        <v>418</v>
      </c>
      <c r="F28" s="156"/>
      <c r="G28" s="153"/>
    </row>
    <row r="29" spans="1:10" x14ac:dyDescent="0.25">
      <c r="A29" s="77" t="s">
        <v>270</v>
      </c>
      <c r="F29" s="153"/>
      <c r="G29" s="153"/>
    </row>
    <row r="30" spans="1:10" x14ac:dyDescent="0.25">
      <c r="A30" s="54" t="s">
        <v>419</v>
      </c>
      <c r="B30" s="14" t="s">
        <v>420</v>
      </c>
      <c r="C30" s="14"/>
      <c r="D30" s="14"/>
      <c r="E30" s="157">
        <v>241152000</v>
      </c>
      <c r="F30" s="153"/>
      <c r="G30" s="153"/>
    </row>
    <row r="31" spans="1:10" x14ac:dyDescent="0.25">
      <c r="A31" s="158"/>
      <c r="B31" s="16" t="s">
        <v>421</v>
      </c>
      <c r="E31" s="159">
        <v>2792984.39</v>
      </c>
      <c r="F31" s="153"/>
      <c r="G31" s="153"/>
    </row>
    <row r="32" spans="1:10" x14ac:dyDescent="0.25">
      <c r="A32" s="160"/>
      <c r="B32" s="35" t="s">
        <v>422</v>
      </c>
      <c r="C32" s="35"/>
      <c r="D32" s="35"/>
      <c r="E32" s="161">
        <f>E31/E30</f>
        <v>1.1581842116175691E-2</v>
      </c>
      <c r="F32" s="153"/>
      <c r="G32" s="153"/>
    </row>
    <row r="33" spans="6:7" x14ac:dyDescent="0.25">
      <c r="F33" s="153"/>
      <c r="G33" s="153"/>
    </row>
    <row r="34" spans="6:7" x14ac:dyDescent="0.25">
      <c r="F34" s="153"/>
      <c r="G34" s="153"/>
    </row>
    <row r="35" spans="6:7" x14ac:dyDescent="0.25">
      <c r="F35" s="153"/>
      <c r="G35" s="153"/>
    </row>
    <row r="36" spans="6:7" x14ac:dyDescent="0.25">
      <c r="F36" s="153"/>
      <c r="G36" s="153"/>
    </row>
  </sheetData>
  <mergeCells count="5">
    <mergeCell ref="B1:F1"/>
    <mergeCell ref="B2:F2"/>
    <mergeCell ref="B3:F3"/>
    <mergeCell ref="B4:F4"/>
    <mergeCell ref="B5:F5"/>
  </mergeCells>
  <printOptions horizontalCentered="1"/>
  <pageMargins left="0.7" right="0.7" top="0.75" bottom="0.75" header="0.3" footer="0.3"/>
  <pageSetup scale="84" fitToHeight="0" orientation="landscape" r:id="rId1"/>
  <headerFooter scaleWithDoc="0" alignWithMargins="0">
    <oddHeader>&amp;RPage &amp;P of &amp;N</oddHeader>
    <oddFooter>&amp;LElectronic Tab Name:&amp;A</oddFoot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D1DCC-7B16-48E8-BD75-A2581C5B08D5}">
  <sheetPr>
    <tabColor theme="9"/>
  </sheetPr>
  <dimension ref="A1:J36"/>
  <sheetViews>
    <sheetView view="pageBreakPreview" zoomScaleNormal="100" zoomScaleSheetLayoutView="100" workbookViewId="0">
      <selection activeCell="H16" sqref="H16"/>
    </sheetView>
  </sheetViews>
  <sheetFormatPr defaultColWidth="9.140625" defaultRowHeight="15.75" x14ac:dyDescent="0.25"/>
  <cols>
    <col min="1" max="1" width="9.42578125" style="77" bestFit="1" customWidth="1"/>
    <col min="2" max="2" width="33" style="16" bestFit="1" customWidth="1"/>
    <col min="3" max="3" width="10.28515625" style="16" bestFit="1" customWidth="1"/>
    <col min="4" max="4" width="27.28515625" style="16" customWidth="1"/>
    <col min="5" max="5" width="18.140625" style="16" bestFit="1" customWidth="1"/>
    <col min="6" max="6" width="13.140625" style="16" bestFit="1" customWidth="1"/>
    <col min="7" max="7" width="10.140625" style="16" bestFit="1" customWidth="1"/>
    <col min="8" max="8" width="18.5703125" style="16" customWidth="1"/>
    <col min="9" max="9" width="9.140625" style="16"/>
    <col min="10" max="10" width="9.7109375" style="16" bestFit="1" customWidth="1"/>
    <col min="11" max="16384" width="9.140625" style="16"/>
  </cols>
  <sheetData>
    <row r="1" spans="1:9" x14ac:dyDescent="0.25">
      <c r="B1" s="174" t="s">
        <v>389</v>
      </c>
      <c r="C1" s="174"/>
      <c r="D1" s="174"/>
      <c r="E1" s="174"/>
      <c r="F1" s="174"/>
      <c r="G1" s="147"/>
      <c r="H1" s="147"/>
      <c r="I1" s="147"/>
    </row>
    <row r="2" spans="1:9" x14ac:dyDescent="0.25">
      <c r="B2" s="174" t="s">
        <v>390</v>
      </c>
      <c r="C2" s="174"/>
      <c r="D2" s="174"/>
      <c r="E2" s="174"/>
      <c r="F2" s="174"/>
      <c r="G2" s="147"/>
      <c r="H2" s="147"/>
      <c r="I2" s="147"/>
    </row>
    <row r="3" spans="1:9" x14ac:dyDescent="0.25">
      <c r="B3" s="174" t="s">
        <v>391</v>
      </c>
      <c r="C3" s="174"/>
      <c r="D3" s="174"/>
      <c r="E3" s="174"/>
      <c r="F3" s="174"/>
      <c r="G3" s="147"/>
      <c r="H3" s="147"/>
      <c r="I3" s="147"/>
    </row>
    <row r="4" spans="1:9" x14ac:dyDescent="0.25">
      <c r="B4" s="174" t="s">
        <v>392</v>
      </c>
      <c r="C4" s="174"/>
      <c r="D4" s="174"/>
      <c r="E4" s="174"/>
      <c r="F4" s="174"/>
      <c r="G4" s="147"/>
      <c r="H4" s="147"/>
      <c r="I4" s="147"/>
    </row>
    <row r="5" spans="1:9" x14ac:dyDescent="0.25">
      <c r="B5" s="174" t="s">
        <v>393</v>
      </c>
      <c r="C5" s="174"/>
      <c r="D5" s="174"/>
      <c r="E5" s="174"/>
      <c r="F5" s="174"/>
      <c r="G5" s="147"/>
      <c r="H5" s="147"/>
      <c r="I5" s="147"/>
    </row>
    <row r="7" spans="1:9" s="77" customFormat="1" x14ac:dyDescent="0.25">
      <c r="B7" s="77" t="s">
        <v>394</v>
      </c>
      <c r="C7" s="77" t="s">
        <v>395</v>
      </c>
      <c r="D7" s="77" t="s">
        <v>147</v>
      </c>
      <c r="E7" s="77" t="s">
        <v>396</v>
      </c>
      <c r="F7" s="77" t="s">
        <v>397</v>
      </c>
    </row>
    <row r="8" spans="1:9" x14ac:dyDescent="0.25">
      <c r="A8" s="148" t="s">
        <v>398</v>
      </c>
    </row>
    <row r="9" spans="1:9" x14ac:dyDescent="0.25">
      <c r="A9" s="77">
        <v>1</v>
      </c>
      <c r="B9" s="16" t="s">
        <v>399</v>
      </c>
      <c r="E9" s="149">
        <f>+'Pro Forma Plant Additions (CA)'!E9-SUM('Exh BGM-6'!L4:L7,'Exh BGM-6'!L25,'Exh BGM-6'!L31:L33,'Exh BGM-6'!L37)-SUM('Exh BGM-6'!L9:L13)</f>
        <v>33260983.724975988</v>
      </c>
      <c r="H9" s="149">
        <f>+E9-'Pro Forma Plant Additions (A1)'!E9</f>
        <v>-5516328.8900000006</v>
      </c>
    </row>
    <row r="11" spans="1:9" x14ac:dyDescent="0.25">
      <c r="A11" s="77">
        <v>2</v>
      </c>
      <c r="B11" s="16" t="s">
        <v>400</v>
      </c>
      <c r="C11" s="150">
        <f>E32</f>
        <v>1.1581842116175691E-2</v>
      </c>
      <c r="H11" s="149"/>
    </row>
    <row r="12" spans="1:9" x14ac:dyDescent="0.25">
      <c r="A12" s="77">
        <v>3</v>
      </c>
      <c r="B12" s="16" t="s">
        <v>401</v>
      </c>
      <c r="E12" s="151">
        <f>+E9*C11</f>
        <v>385223.46213136113</v>
      </c>
      <c r="H12" s="149">
        <f>+E12-'Pro Forma Plant Additions (A1)'!E12</f>
        <v>-63889.250264878676</v>
      </c>
    </row>
    <row r="14" spans="1:9" x14ac:dyDescent="0.25">
      <c r="A14" s="77">
        <v>4</v>
      </c>
      <c r="E14" s="152"/>
    </row>
    <row r="16" spans="1:9" x14ac:dyDescent="0.25">
      <c r="A16" s="77">
        <v>5</v>
      </c>
      <c r="B16" s="16" t="s">
        <v>402</v>
      </c>
      <c r="D16" s="16" t="s">
        <v>403</v>
      </c>
      <c r="E16" s="153">
        <f>+E9</f>
        <v>33260983.724975988</v>
      </c>
      <c r="F16" s="153"/>
      <c r="H16" s="149">
        <f>+E16-'Pro Forma Plant Additions (A1)'!E16</f>
        <v>-5516328.8900000006</v>
      </c>
    </row>
    <row r="17" spans="1:10" x14ac:dyDescent="0.25">
      <c r="E17" s="153"/>
      <c r="F17" s="153"/>
    </row>
    <row r="18" spans="1:10" x14ac:dyDescent="0.25">
      <c r="A18" s="77">
        <v>6</v>
      </c>
      <c r="B18" s="16" t="s">
        <v>404</v>
      </c>
      <c r="D18" s="16" t="s">
        <v>405</v>
      </c>
      <c r="E18" s="154">
        <f>+'Pro Forma Plant Additions (CA)'!E18-SUM('Exh BGM-6'!X4:X7,'Exh BGM-6'!X25,'Exh BGM-6'!X31:X33,'Exh BGM-6'!X37)-SUM('Exh BGM-6'!X9:X13)</f>
        <v>1504327.2703098727</v>
      </c>
      <c r="F18" s="154">
        <f>+E18</f>
        <v>1504327.2703098727</v>
      </c>
      <c r="H18" s="149">
        <f>+E18-'Pro Forma Plant Additions (A1)'!E18</f>
        <v>-174441.47783300001</v>
      </c>
      <c r="J18" s="149">
        <f>+H18+H12</f>
        <v>-238330.72809787869</v>
      </c>
    </row>
    <row r="19" spans="1:10" x14ac:dyDescent="0.25">
      <c r="A19" s="77">
        <v>7</v>
      </c>
      <c r="B19" s="16" t="s">
        <v>406</v>
      </c>
      <c r="D19" s="16" t="s">
        <v>407</v>
      </c>
      <c r="E19" s="154">
        <f>+E18/2</f>
        <v>752163.63515493635</v>
      </c>
      <c r="F19" s="153"/>
      <c r="H19" s="149">
        <f>+E19-'Pro Forma Plant Additions (A1)'!E19</f>
        <v>-87220.738916500006</v>
      </c>
    </row>
    <row r="20" spans="1:10" x14ac:dyDescent="0.25">
      <c r="A20" s="77">
        <v>8</v>
      </c>
      <c r="B20" s="16" t="s">
        <v>408</v>
      </c>
      <c r="D20" s="16" t="s">
        <v>409</v>
      </c>
      <c r="E20" s="153">
        <f>+E16*0.0375</f>
        <v>1247286.8896865996</v>
      </c>
      <c r="F20" s="153"/>
      <c r="H20" s="149">
        <f>+E20-'Pro Forma Plant Additions (A1)'!E20</f>
        <v>-206862.33337499993</v>
      </c>
    </row>
    <row r="21" spans="1:10" x14ac:dyDescent="0.25">
      <c r="A21" s="77">
        <v>9</v>
      </c>
      <c r="B21" s="16" t="s">
        <v>410</v>
      </c>
      <c r="D21" s="16" t="s">
        <v>411</v>
      </c>
      <c r="E21" s="154">
        <f>(+E20-E18)*0.21</f>
        <v>-53978.479930887348</v>
      </c>
      <c r="F21" s="153"/>
      <c r="H21" s="149">
        <f>+E21-'Pro Forma Plant Additions (A1)'!E21</f>
        <v>-6808.3796638199856</v>
      </c>
    </row>
    <row r="22" spans="1:10" x14ac:dyDescent="0.25">
      <c r="A22" s="77">
        <v>10</v>
      </c>
      <c r="B22" s="16" t="s">
        <v>412</v>
      </c>
      <c r="D22" s="16" t="s">
        <v>413</v>
      </c>
      <c r="E22" s="154">
        <f>+E21/2</f>
        <v>-26989.239965443674</v>
      </c>
      <c r="F22" s="153"/>
      <c r="H22" s="149">
        <f>+E22-'Pro Forma Plant Additions (A1)'!E22</f>
        <v>-3404.1898319099928</v>
      </c>
    </row>
    <row r="23" spans="1:10" x14ac:dyDescent="0.25">
      <c r="A23" s="77">
        <v>11</v>
      </c>
      <c r="B23" s="16" t="s">
        <v>414</v>
      </c>
      <c r="D23" s="16" t="s">
        <v>415</v>
      </c>
      <c r="E23" s="153"/>
      <c r="F23" s="154">
        <f>+F18*0.21</f>
        <v>315908.72676507325</v>
      </c>
      <c r="I23" s="149">
        <f>+F23-'Pro Forma Plant Additions (A1)'!F23</f>
        <v>-36632.710344930005</v>
      </c>
    </row>
    <row r="24" spans="1:10" x14ac:dyDescent="0.25">
      <c r="E24" s="153"/>
      <c r="F24" s="153"/>
    </row>
    <row r="25" spans="1:10" x14ac:dyDescent="0.25">
      <c r="A25" s="77">
        <v>12</v>
      </c>
      <c r="B25" s="16" t="s">
        <v>416</v>
      </c>
      <c r="E25" s="154">
        <f>+E16-E22-E19</f>
        <v>32535809.329786494</v>
      </c>
      <c r="F25" s="153"/>
      <c r="H25" s="149">
        <f>+E25-'Pro Forma Plant Additions (A1)'!E25</f>
        <v>-5425703.9612515941</v>
      </c>
    </row>
    <row r="26" spans="1:10" x14ac:dyDescent="0.25">
      <c r="E26" s="153"/>
      <c r="F26" s="153"/>
    </row>
    <row r="27" spans="1:10" x14ac:dyDescent="0.25">
      <c r="A27" s="77">
        <v>13</v>
      </c>
      <c r="B27" s="16" t="s">
        <v>417</v>
      </c>
      <c r="E27" s="155">
        <v>1281027.22</v>
      </c>
      <c r="F27" s="156"/>
      <c r="G27" s="153"/>
    </row>
    <row r="28" spans="1:10" x14ac:dyDescent="0.25">
      <c r="B28" t="s">
        <v>418</v>
      </c>
      <c r="F28" s="156"/>
      <c r="G28" s="153"/>
    </row>
    <row r="29" spans="1:10" x14ac:dyDescent="0.25">
      <c r="A29" s="77" t="s">
        <v>270</v>
      </c>
      <c r="F29" s="153"/>
      <c r="G29" s="153"/>
    </row>
    <row r="30" spans="1:10" x14ac:dyDescent="0.25">
      <c r="A30" s="54" t="s">
        <v>419</v>
      </c>
      <c r="B30" s="14" t="s">
        <v>420</v>
      </c>
      <c r="C30" s="14"/>
      <c r="D30" s="14"/>
      <c r="E30" s="157">
        <v>241152000</v>
      </c>
      <c r="F30" s="153"/>
      <c r="G30" s="153"/>
    </row>
    <row r="31" spans="1:10" x14ac:dyDescent="0.25">
      <c r="A31" s="158"/>
      <c r="B31" s="16" t="s">
        <v>421</v>
      </c>
      <c r="E31" s="159">
        <v>2792984.39</v>
      </c>
      <c r="F31" s="153"/>
      <c r="G31" s="153"/>
    </row>
    <row r="32" spans="1:10" x14ac:dyDescent="0.25">
      <c r="A32" s="160"/>
      <c r="B32" s="35" t="s">
        <v>422</v>
      </c>
      <c r="C32" s="35"/>
      <c r="D32" s="35"/>
      <c r="E32" s="161">
        <f>E31/E30</f>
        <v>1.1581842116175691E-2</v>
      </c>
      <c r="F32" s="153"/>
      <c r="G32" s="153"/>
    </row>
    <row r="33" spans="6:7" x14ac:dyDescent="0.25">
      <c r="F33" s="153"/>
      <c r="G33" s="153"/>
    </row>
    <row r="34" spans="6:7" x14ac:dyDescent="0.25">
      <c r="F34" s="153"/>
      <c r="G34" s="153"/>
    </row>
    <row r="35" spans="6:7" x14ac:dyDescent="0.25">
      <c r="F35" s="153"/>
      <c r="G35" s="153"/>
    </row>
    <row r="36" spans="6:7" x14ac:dyDescent="0.25">
      <c r="F36" s="153"/>
      <c r="G36" s="153"/>
    </row>
  </sheetData>
  <mergeCells count="5">
    <mergeCell ref="B1:F1"/>
    <mergeCell ref="B2:F2"/>
    <mergeCell ref="B3:F3"/>
    <mergeCell ref="B4:F4"/>
    <mergeCell ref="B5:F5"/>
  </mergeCells>
  <printOptions horizontalCentered="1"/>
  <pageMargins left="0.7" right="0.7" top="0.75" bottom="0.75" header="0.3" footer="0.3"/>
  <pageSetup scale="84" fitToHeight="0" orientation="landscape" r:id="rId1"/>
  <headerFooter scaleWithDoc="0" alignWithMargins="0">
    <oddHeader>&amp;RPage &amp;P of &amp;N</oddHeader>
    <oddFooter>&amp;LElectronic Tab Name:&amp;A</oddFoot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2F39-F63A-4857-AFA9-FF649EC0CFF0}">
  <sheetPr>
    <tabColor theme="9"/>
  </sheetPr>
  <dimension ref="A1:L36"/>
  <sheetViews>
    <sheetView view="pageBreakPreview" zoomScaleNormal="100" zoomScaleSheetLayoutView="100" workbookViewId="0">
      <selection activeCell="L12" sqref="L12"/>
    </sheetView>
  </sheetViews>
  <sheetFormatPr defaultColWidth="9.140625" defaultRowHeight="15.75" x14ac:dyDescent="0.25"/>
  <cols>
    <col min="1" max="1" width="9.42578125" style="77" bestFit="1" customWidth="1"/>
    <col min="2" max="2" width="33" style="16" bestFit="1" customWidth="1"/>
    <col min="3" max="3" width="10.28515625" style="16" bestFit="1" customWidth="1"/>
    <col min="4" max="4" width="27.28515625" style="16" customWidth="1"/>
    <col min="5" max="5" width="18.140625" style="16" bestFit="1" customWidth="1"/>
    <col min="6" max="6" width="13.140625" style="16" bestFit="1" customWidth="1"/>
    <col min="7" max="7" width="10.140625" style="16" bestFit="1" customWidth="1"/>
    <col min="8" max="8" width="20.7109375" style="16" customWidth="1"/>
    <col min="9" max="9" width="14.42578125" style="16" customWidth="1"/>
    <col min="10" max="10" width="18.140625" style="16" customWidth="1"/>
    <col min="11" max="11" width="9.140625" style="16"/>
    <col min="12" max="12" width="21" style="16" bestFit="1" customWidth="1"/>
    <col min="13" max="16384" width="9.140625" style="16"/>
  </cols>
  <sheetData>
    <row r="1" spans="1:12" x14ac:dyDescent="0.25">
      <c r="B1" s="174" t="s">
        <v>389</v>
      </c>
      <c r="C1" s="174"/>
      <c r="D1" s="174"/>
      <c r="E1" s="174"/>
      <c r="F1" s="174"/>
      <c r="G1" s="147"/>
      <c r="H1" s="147"/>
      <c r="I1" s="147"/>
    </row>
    <row r="2" spans="1:12" x14ac:dyDescent="0.25">
      <c r="B2" s="174" t="s">
        <v>390</v>
      </c>
      <c r="C2" s="174"/>
      <c r="D2" s="174"/>
      <c r="E2" s="174"/>
      <c r="F2" s="174"/>
      <c r="G2" s="147"/>
      <c r="H2" s="147"/>
      <c r="I2" s="147"/>
    </row>
    <row r="3" spans="1:12" x14ac:dyDescent="0.25">
      <c r="B3" s="174" t="s">
        <v>391</v>
      </c>
      <c r="C3" s="174"/>
      <c r="D3" s="174"/>
      <c r="E3" s="174"/>
      <c r="F3" s="174"/>
      <c r="G3" s="147"/>
      <c r="H3" s="147"/>
      <c r="I3" s="147"/>
    </row>
    <row r="4" spans="1:12" x14ac:dyDescent="0.25">
      <c r="B4" s="174" t="s">
        <v>392</v>
      </c>
      <c r="C4" s="174"/>
      <c r="D4" s="174"/>
      <c r="E4" s="174"/>
      <c r="F4" s="174"/>
      <c r="G4" s="147"/>
      <c r="H4" s="147"/>
      <c r="I4" s="147"/>
    </row>
    <row r="5" spans="1:12" x14ac:dyDescent="0.25">
      <c r="B5" s="174" t="s">
        <v>393</v>
      </c>
      <c r="C5" s="174"/>
      <c r="D5" s="174"/>
      <c r="E5" s="174"/>
      <c r="F5" s="174"/>
      <c r="G5" s="147"/>
      <c r="H5" s="147"/>
      <c r="I5" s="147"/>
    </row>
    <row r="7" spans="1:12" s="77" customFormat="1" x14ac:dyDescent="0.25">
      <c r="B7" s="77" t="s">
        <v>394</v>
      </c>
      <c r="C7" s="77" t="s">
        <v>395</v>
      </c>
      <c r="D7" s="77" t="s">
        <v>147</v>
      </c>
      <c r="E7" s="77" t="s">
        <v>396</v>
      </c>
      <c r="F7" s="77" t="s">
        <v>397</v>
      </c>
    </row>
    <row r="8" spans="1:12" x14ac:dyDescent="0.25">
      <c r="A8" s="148" t="s">
        <v>398</v>
      </c>
    </row>
    <row r="9" spans="1:12" x14ac:dyDescent="0.25">
      <c r="A9" s="77">
        <v>1</v>
      </c>
      <c r="B9" s="16" t="s">
        <v>399</v>
      </c>
      <c r="E9" s="149">
        <f>+'Pro Forma Plant Additions (CA)'!E9-SUM('Exh BGM-6'!L4:L7,'Exh BGM-6'!L25,'Exh BGM-6'!L31:L33,'Exh BGM-6'!L37)-SUM('Exh BGM-6'!L9:L13)-SUM('Exh BGM-6'!L15:L19,'Exh BGM-6'!L27:L29,'Exh BGM-6'!L39:L41,'Exh BGM-6'!L47:L67)</f>
        <v>7118539.0799999908</v>
      </c>
      <c r="H9" s="149">
        <f>+E9-'Pro Forma Plant Additions (A2)'!E9</f>
        <v>-26142444.644975998</v>
      </c>
    </row>
    <row r="11" spans="1:12" x14ac:dyDescent="0.25">
      <c r="A11" s="77">
        <v>2</v>
      </c>
      <c r="B11" s="16" t="s">
        <v>400</v>
      </c>
      <c r="C11" s="150">
        <f>E32</f>
        <v>1.1581842116175691E-2</v>
      </c>
      <c r="H11" s="149"/>
    </row>
    <row r="12" spans="1:12" x14ac:dyDescent="0.25">
      <c r="A12" s="77">
        <v>3</v>
      </c>
      <c r="B12" s="16" t="s">
        <v>401</v>
      </c>
      <c r="E12" s="151">
        <f>+E9*C11</f>
        <v>82445.795722386451</v>
      </c>
      <c r="H12" s="149">
        <f>+E12-'Pro Forma Plant Additions (A2)'!E12</f>
        <v>-302777.66640897468</v>
      </c>
      <c r="L12" s="24">
        <f>+H12-'Pro Forma Plant Additions (CA)'!E12</f>
        <v>-1068402.7204327437</v>
      </c>
    </row>
    <row r="14" spans="1:12" x14ac:dyDescent="0.25">
      <c r="A14" s="77">
        <v>4</v>
      </c>
      <c r="E14" s="152"/>
    </row>
    <row r="16" spans="1:12" x14ac:dyDescent="0.25">
      <c r="A16" s="77">
        <v>5</v>
      </c>
      <c r="B16" s="16" t="s">
        <v>402</v>
      </c>
      <c r="D16" s="16" t="s">
        <v>403</v>
      </c>
      <c r="E16" s="153">
        <f>+E9</f>
        <v>7118539.0799999908</v>
      </c>
      <c r="F16" s="153"/>
      <c r="H16" s="149">
        <f>+E16-'Pro Forma Plant Additions (A2)'!E16</f>
        <v>-26142444.644975998</v>
      </c>
    </row>
    <row r="17" spans="1:12" x14ac:dyDescent="0.25">
      <c r="E17" s="153"/>
      <c r="F17" s="153"/>
    </row>
    <row r="18" spans="1:12" x14ac:dyDescent="0.25">
      <c r="A18" s="77">
        <v>6</v>
      </c>
      <c r="B18" s="16" t="s">
        <v>404</v>
      </c>
      <c r="D18" s="16" t="s">
        <v>405</v>
      </c>
      <c r="E18" s="154">
        <f>+'Pro Forma Plant Additions (CA)'!E18-SUM('Exh BGM-6'!X4:X7,'Exh BGM-6'!X25,'Exh BGM-6'!X31:X33,'Exh BGM-6'!X37)-SUM('Exh BGM-6'!X9:X13)-SUM('Exh BGM-6'!X15:X19,'Exh BGM-6'!X27:X29,'Exh BGM-6'!X39:X41,'Exh BGM-6'!X47:X67)</f>
        <v>740496.80555199902</v>
      </c>
      <c r="F18" s="154">
        <f>+E18</f>
        <v>740496.80555199902</v>
      </c>
      <c r="H18" s="149">
        <f>+E18-'Pro Forma Plant Additions (A2)'!E18</f>
        <v>-763830.46475787368</v>
      </c>
      <c r="J18" s="149">
        <f>+H18+H12</f>
        <v>-1066608.1311668484</v>
      </c>
      <c r="L18" s="24">
        <f>+H18-'Pro Forma Plant Additions (CA)'!E18</f>
        <v>-3606401.1230847463</v>
      </c>
    </row>
    <row r="19" spans="1:12" x14ac:dyDescent="0.25">
      <c r="A19" s="77">
        <v>7</v>
      </c>
      <c r="B19" s="16" t="s">
        <v>406</v>
      </c>
      <c r="D19" s="16" t="s">
        <v>407</v>
      </c>
      <c r="E19" s="154">
        <f>+E18/2</f>
        <v>370248.40277599951</v>
      </c>
      <c r="F19" s="153"/>
      <c r="H19" s="149">
        <f>+E19-'Pro Forma Plant Additions (A2)'!E19</f>
        <v>-381915.23237893684</v>
      </c>
    </row>
    <row r="20" spans="1:12" x14ac:dyDescent="0.25">
      <c r="A20" s="77">
        <v>8</v>
      </c>
      <c r="B20" s="16" t="s">
        <v>408</v>
      </c>
      <c r="D20" s="16" t="s">
        <v>409</v>
      </c>
      <c r="E20" s="153">
        <f>+E16*0.0375</f>
        <v>266945.21549999964</v>
      </c>
      <c r="F20" s="153"/>
      <c r="H20" s="149">
        <f>+E20-'Pro Forma Plant Additions (A2)'!E20</f>
        <v>-980341.67418659991</v>
      </c>
    </row>
    <row r="21" spans="1:12" x14ac:dyDescent="0.25">
      <c r="A21" s="77">
        <v>9</v>
      </c>
      <c r="B21" s="16" t="s">
        <v>410</v>
      </c>
      <c r="D21" s="16" t="s">
        <v>411</v>
      </c>
      <c r="E21" s="154">
        <f>(+E20-E18)*0.21</f>
        <v>-99445.833910919871</v>
      </c>
      <c r="F21" s="153"/>
      <c r="H21" s="149">
        <f>+E21-'Pro Forma Plant Additions (A2)'!E21</f>
        <v>-45467.353980032523</v>
      </c>
    </row>
    <row r="22" spans="1:12" x14ac:dyDescent="0.25">
      <c r="A22" s="77">
        <v>10</v>
      </c>
      <c r="B22" s="16" t="s">
        <v>412</v>
      </c>
      <c r="D22" s="16" t="s">
        <v>413</v>
      </c>
      <c r="E22" s="154">
        <f>+E21/2</f>
        <v>-49722.916955459936</v>
      </c>
      <c r="F22" s="153"/>
      <c r="H22" s="149">
        <f>+E22-'Pro Forma Plant Additions (A2)'!E22</f>
        <v>-22733.676990016262</v>
      </c>
    </row>
    <row r="23" spans="1:12" x14ac:dyDescent="0.25">
      <c r="A23" s="77">
        <v>11</v>
      </c>
      <c r="B23" s="16" t="s">
        <v>414</v>
      </c>
      <c r="D23" s="16" t="s">
        <v>415</v>
      </c>
      <c r="E23" s="153"/>
      <c r="F23" s="154">
        <f>+F18*0.21</f>
        <v>155504.3291659198</v>
      </c>
      <c r="I23" s="149">
        <f>+F23-'Pro Forma Plant Additions (A2)'!F23</f>
        <v>-160404.39759915345</v>
      </c>
    </row>
    <row r="24" spans="1:12" x14ac:dyDescent="0.25">
      <c r="E24" s="153"/>
      <c r="F24" s="153"/>
    </row>
    <row r="25" spans="1:12" x14ac:dyDescent="0.25">
      <c r="A25" s="77">
        <v>12</v>
      </c>
      <c r="B25" s="16" t="s">
        <v>416</v>
      </c>
      <c r="E25" s="154">
        <f>+E16-E22-E19</f>
        <v>6798013.5941794515</v>
      </c>
      <c r="F25" s="153"/>
      <c r="H25" s="149">
        <f>+E25-'Pro Forma Plant Additions (A2)'!E25</f>
        <v>-25737795.735607043</v>
      </c>
    </row>
    <row r="26" spans="1:12" x14ac:dyDescent="0.25">
      <c r="E26" s="153"/>
      <c r="F26" s="153"/>
    </row>
    <row r="27" spans="1:12" x14ac:dyDescent="0.25">
      <c r="A27" s="77">
        <v>13</v>
      </c>
      <c r="B27" s="16" t="s">
        <v>417</v>
      </c>
      <c r="E27" s="155">
        <v>1281027.22</v>
      </c>
      <c r="F27" s="156"/>
      <c r="G27" s="153"/>
    </row>
    <row r="28" spans="1:12" x14ac:dyDescent="0.25">
      <c r="B28" t="s">
        <v>418</v>
      </c>
      <c r="F28" s="156"/>
      <c r="G28" s="153"/>
    </row>
    <row r="29" spans="1:12" x14ac:dyDescent="0.25">
      <c r="A29" s="77" t="s">
        <v>270</v>
      </c>
      <c r="F29" s="153"/>
      <c r="G29" s="153"/>
    </row>
    <row r="30" spans="1:12" x14ac:dyDescent="0.25">
      <c r="A30" s="54" t="s">
        <v>419</v>
      </c>
      <c r="B30" s="14" t="s">
        <v>420</v>
      </c>
      <c r="C30" s="14"/>
      <c r="D30" s="14"/>
      <c r="E30" s="157">
        <v>241152000</v>
      </c>
      <c r="F30" s="153"/>
      <c r="G30" s="153"/>
    </row>
    <row r="31" spans="1:12" x14ac:dyDescent="0.25">
      <c r="A31" s="158"/>
      <c r="B31" s="16" t="s">
        <v>421</v>
      </c>
      <c r="E31" s="159">
        <v>2792984.39</v>
      </c>
      <c r="F31" s="153"/>
      <c r="G31" s="153"/>
    </row>
    <row r="32" spans="1:12" x14ac:dyDescent="0.25">
      <c r="A32" s="160"/>
      <c r="B32" s="35" t="s">
        <v>422</v>
      </c>
      <c r="C32" s="35"/>
      <c r="D32" s="35"/>
      <c r="E32" s="161">
        <f>E31/E30</f>
        <v>1.1581842116175691E-2</v>
      </c>
      <c r="F32" s="153"/>
      <c r="G32" s="153"/>
    </row>
    <row r="33" spans="6:7" x14ac:dyDescent="0.25">
      <c r="F33" s="153"/>
      <c r="G33" s="153"/>
    </row>
    <row r="34" spans="6:7" x14ac:dyDescent="0.25">
      <c r="F34" s="153"/>
      <c r="G34" s="153"/>
    </row>
    <row r="35" spans="6:7" x14ac:dyDescent="0.25">
      <c r="F35" s="153"/>
      <c r="G35" s="153"/>
    </row>
    <row r="36" spans="6:7" x14ac:dyDescent="0.25">
      <c r="F36" s="153"/>
      <c r="G36" s="153"/>
    </row>
  </sheetData>
  <mergeCells count="5">
    <mergeCell ref="B1:F1"/>
    <mergeCell ref="B2:F2"/>
    <mergeCell ref="B3:F3"/>
    <mergeCell ref="B4:F4"/>
    <mergeCell ref="B5:F5"/>
  </mergeCells>
  <printOptions horizontalCentered="1"/>
  <pageMargins left="0.7" right="0.7" top="0.75" bottom="0.75" header="0.3" footer="0.3"/>
  <pageSetup scale="84" fitToHeight="0" orientation="landscape" r:id="rId1"/>
  <headerFooter scaleWithDoc="0" alignWithMargins="0">
    <oddHeader>&amp;RPage &amp;P of &amp;N</oddHeader>
    <oddFooter>&amp;LElectronic Tab Name:&amp;A</oddFooter>
  </headerFooter>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2020-06-19T07:00:00+00:00</OpenedDate>
    <SignificantOrder xmlns="dc463f71-b30c-4ab2-9473-d307f9d35888">false</SignificantOrder>
    <Date1 xmlns="dc463f71-b30c-4ab2-9473-d307f9d35888">2020-11-19T08:00:00+00:00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200568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9B141868A9DE943AC0520515758323A" ma:contentTypeVersion="52" ma:contentTypeDescription="" ma:contentTypeScope="" ma:versionID="a01e1694838e990fd531486eedd7e1d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B2B8A-EB5C-4F4A-8CE9-16396CF43D87}"/>
</file>

<file path=customXml/itemProps2.xml><?xml version="1.0" encoding="utf-8"?>
<ds:datastoreItem xmlns:ds="http://schemas.openxmlformats.org/officeDocument/2006/customXml" ds:itemID="{BD38198F-F364-4C25-8873-A29AF47F09B0}"/>
</file>

<file path=customXml/itemProps3.xml><?xml version="1.0" encoding="utf-8"?>
<ds:datastoreItem xmlns:ds="http://schemas.openxmlformats.org/officeDocument/2006/customXml" ds:itemID="{5FA57E82-3FE1-42C4-A0B7-E085368CEE40}"/>
</file>

<file path=customXml/itemProps4.xml><?xml version="1.0" encoding="utf-8"?>
<ds:datastoreItem xmlns:ds="http://schemas.openxmlformats.org/officeDocument/2006/customXml" ds:itemID="{202D4C23-4FDD-4ECB-A9BD-93B94BC947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Exh BGM-6</vt:lpstr>
      <vt:lpstr>MCP-6 - 2020 Plant Additions</vt:lpstr>
      <vt:lpstr>MCP-6 - 2020 Plant Addi (Depr )</vt:lpstr>
      <vt:lpstr>MCP-6 - 2019 Plant Additions</vt:lpstr>
      <vt:lpstr>Pro Forma Plant Additions (CA)</vt:lpstr>
      <vt:lpstr>Pro Forma Plant Additions (A1)</vt:lpstr>
      <vt:lpstr>Pro Forma Plant Additions (A2)</vt:lpstr>
      <vt:lpstr>Pro Forma Plant Additions (A3)</vt:lpstr>
      <vt:lpstr>'Exh BGM-6'!Print_Area</vt:lpstr>
      <vt:lpstr>'Pro Forma Plant Additions (A1)'!Print_Area</vt:lpstr>
      <vt:lpstr>'Pro Forma Plant Additions (A2)'!Print_Area</vt:lpstr>
      <vt:lpstr>'Pro Forma Plant Additions (A3)'!Print_Area</vt:lpstr>
      <vt:lpstr>'Pro Forma Plant Additions (CA)'!Print_Area</vt:lpstr>
      <vt:lpstr>'Exh BGM-6'!Print_Titles</vt:lpstr>
      <vt:lpstr>'MCP-6 - 2019 Plant Additions'!Print_Titles</vt:lpstr>
      <vt:lpstr>'MCP-6 - 2020 Plant Addi (Depr )'!Print_Titles</vt:lpstr>
      <vt:lpstr>'MCP-6 - 2020 Plant Additions'!Print_Titles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dc:creator>
  <cp:lastModifiedBy>Brad</cp:lastModifiedBy>
  <dcterms:created xsi:type="dcterms:W3CDTF">2020-11-18T12:55:37Z</dcterms:created>
  <dcterms:modified xsi:type="dcterms:W3CDTF">2020-11-19T12:20:43Z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0x0101006E56B4D1795A2E4DB2F0B01679ED314A00A9B141868A9DE943AC0520515758323A</vt:lpwstr>
  </property>
  <property fmtid="{D5CDD505-2E9C-101B-9397-08002B2CF9AE}" pid="3" name="_docset_NoMedatataSyncRequired">
    <vt:lpwstr>False</vt:lpwstr>
  </property>
  <property fmtid="{D5CDD505-2E9C-101B-9397-08002B2CF9AE}" pid="4" name="IsEFSEC">
    <vt:bool>false</vt:bool>
  </property>
</Properties>
</file>