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styles.xml" ContentType="application/vnd.openxmlformats-officedocument.spreadsheetml.styles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xl/customProperty27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2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ustomProperty26.bin" ContentType="application/vnd.openxmlformats-officedocument.spreadsheetml.customProperty"/>
  <Override PartName="/xl/customProperty13.bin" ContentType="application/vnd.openxmlformats-officedocument.spreadsheetml.customProperty"/>
  <Override PartName="/xl/customProperty4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16.bin" ContentType="application/vnd.openxmlformats-officedocument.spreadsheetml.customProperty"/>
  <Override PartName="/xl/customProperty2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2024 Report\2024-03-29 Capital Review, Metrics, Erng Shrg, IIJA-IRA\Revised Filing\"/>
    </mc:Choice>
  </mc:AlternateContent>
  <bookViews>
    <workbookView xWindow="0" yWindow="0" windowWidth="19200" windowHeight="6540" tabRatio="867" activeTab="2"/>
  </bookViews>
  <sheets>
    <sheet name="Elec Rev Req for COS" sheetId="41" r:id="rId1"/>
    <sheet name="Gas Rev Req for COS" sheetId="42" r:id="rId2"/>
    <sheet name="Source Data - Act v Plan by WBS" sheetId="17" r:id="rId3"/>
    <sheet name="Report Tables--&gt;" sheetId="25" r:id="rId4"/>
    <sheet name="STR RR Recalc (Table 1)" sheetId="11" r:id="rId5"/>
    <sheet name="Gross Plant Compare (Table 2)" sheetId="14" r:id="rId6"/>
    <sheet name="Variance Summary (Table 3)" sheetId="15" r:id="rId7"/>
    <sheet name="Electric Closings Summary" sheetId="1" r:id="rId8"/>
    <sheet name="Gas Closings Summary" sheetId="7" r:id="rId9"/>
    <sheet name="Rev Req Comparison" sheetId="8" r:id="rId10"/>
    <sheet name="2022 GRC SEF-23 Adds" sheetId="34" r:id="rId11"/>
    <sheet name="2022 GRC SEF-23 Retires" sheetId="33" r:id="rId12"/>
    <sheet name="2022 GRC SEF-24 Adds" sheetId="31" r:id="rId13"/>
    <sheet name="2022 GRC SEF-24 Retires" sheetId="32" r:id="rId14"/>
    <sheet name="Att D Tables--&gt;" sheetId="26" r:id="rId15"/>
    <sheet name="Att D Table" sheetId="16" r:id="rId16"/>
    <sheet name="Reconcile JAK-5 22 GRC" sheetId="36" r:id="rId17"/>
    <sheet name="Reconcile 2023 Actual GP&amp;Adds" sheetId="35" r:id="rId18"/>
    <sheet name="Ops Detail for Rpt" sheetId="20" r:id="rId19"/>
    <sheet name="Addtl Info--&gt;" sheetId="27" r:id="rId20"/>
    <sheet name="Ops Detail" sheetId="22" r:id="rId21"/>
    <sheet name="Ops Explain Table" sheetId="23" r:id="rId22"/>
    <sheet name="Eng ES Stlmt Chg" sheetId="24" r:id="rId23"/>
    <sheet name="SEF-23" sheetId="12" r:id="rId24"/>
    <sheet name="SEF-24" sheetId="13" r:id="rId25"/>
    <sheet name="2023 YE Gross Plant Detail" sheetId="2" r:id="rId26"/>
    <sheet name="2023 YE Accum Depr Detail" sheetId="3" r:id="rId27"/>
    <sheet name="2023 YE Def Tax Detail" sheetId="4" r:id="rId28"/>
    <sheet name="2023 YE Depr Expense" sheetId="5" r:id="rId29"/>
    <sheet name="2023 Retirement Depr Adj" sheetId="9" r:id="rId30"/>
    <sheet name="RB Act v Rates" sheetId="29" r:id="rId31"/>
    <sheet name="Calc Program Gross Plant" sheetId="37" r:id="rId32"/>
    <sheet name="Calc DG Gross Plant" sheetId="38" r:id="rId33"/>
    <sheet name="Calc Program Accum Depreciation" sheetId="39" r:id="rId34"/>
    <sheet name="Calc Program Deprec Exp" sheetId="40" r:id="rId35"/>
  </sheets>
  <definedNames>
    <definedName name="_xlnm._FilterDatabase" localSheetId="32" hidden="1">'Calc DG Gross Plant'!$A$4:$AE$511</definedName>
    <definedName name="_xlnm._FilterDatabase" localSheetId="2" hidden="1">'Source Data - Act v Plan by WBS'!$A$4:$K$456</definedName>
  </definedNames>
  <calcPr calcId="162913"/>
  <pivotCaches>
    <pivotCache cacheId="1" r:id="rId36"/>
    <pivotCache cacheId="5" r:id="rId3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1" l="1"/>
  <c r="M17" i="11"/>
  <c r="H455" i="17" l="1"/>
  <c r="B752" i="35"/>
  <c r="B753" i="35" s="1"/>
  <c r="B751" i="35"/>
  <c r="B750" i="35"/>
  <c r="Q751" i="35"/>
  <c r="Q750" i="35"/>
  <c r="D26" i="42" l="1"/>
  <c r="D23" i="42"/>
  <c r="D25" i="42" s="1"/>
  <c r="C23" i="42"/>
  <c r="C25" i="42" s="1"/>
  <c r="C23" i="41"/>
  <c r="D23" i="41"/>
  <c r="D25" i="41"/>
  <c r="D9" i="42" l="1"/>
  <c r="D10" i="42"/>
  <c r="D11" i="42"/>
  <c r="D12" i="42"/>
  <c r="D16" i="42"/>
  <c r="D15" i="42"/>
  <c r="D13" i="42"/>
  <c r="D20" i="42"/>
  <c r="C20" i="42"/>
  <c r="C21" i="42" s="1"/>
  <c r="C22" i="42" s="1"/>
  <c r="D18" i="42"/>
  <c r="C18" i="42"/>
  <c r="C17" i="42"/>
  <c r="C19" i="42" s="1"/>
  <c r="D9" i="41"/>
  <c r="D10" i="41"/>
  <c r="D11" i="41"/>
  <c r="D12" i="41"/>
  <c r="D15" i="41"/>
  <c r="D16" i="41"/>
  <c r="D17" i="41"/>
  <c r="D13" i="41"/>
  <c r="D20" i="41" s="1"/>
  <c r="C25" i="41"/>
  <c r="C20" i="41"/>
  <c r="C18" i="41"/>
  <c r="C17" i="41"/>
  <c r="C19" i="41" s="1"/>
  <c r="D17" i="42" l="1"/>
  <c r="D19" i="42"/>
  <c r="D21" i="42" s="1"/>
  <c r="D22" i="42" s="1"/>
  <c r="D18" i="41"/>
  <c r="D19" i="41"/>
  <c r="D21" i="41" s="1"/>
  <c r="D22" i="41" s="1"/>
  <c r="C21" i="41"/>
  <c r="C22" i="41" s="1"/>
  <c r="D26" i="41" l="1"/>
  <c r="C7" i="36" l="1"/>
  <c r="C8" i="36" s="1"/>
  <c r="C6" i="36"/>
  <c r="F14" i="15" l="1"/>
  <c r="F10" i="15"/>
  <c r="F9" i="15"/>
  <c r="F8" i="15"/>
  <c r="F7" i="15"/>
  <c r="F6" i="15"/>
  <c r="D10" i="14"/>
  <c r="D9" i="14"/>
  <c r="P9" i="8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8" i="8"/>
  <c r="M11" i="8"/>
  <c r="L11" i="8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5" i="40"/>
  <c r="K5" i="40"/>
  <c r="S5" i="40"/>
  <c r="T5" i="40"/>
  <c r="C6" i="40"/>
  <c r="J6" i="40"/>
  <c r="K6" i="40"/>
  <c r="S6" i="40"/>
  <c r="T6" i="40"/>
  <c r="J7" i="40"/>
  <c r="K7" i="40"/>
  <c r="S7" i="40"/>
  <c r="T7" i="40"/>
  <c r="J8" i="40"/>
  <c r="K8" i="40"/>
  <c r="S8" i="40"/>
  <c r="T8" i="40"/>
  <c r="J9" i="40"/>
  <c r="K9" i="40"/>
  <c r="S9" i="40"/>
  <c r="T9" i="40"/>
  <c r="J10" i="40"/>
  <c r="K10" i="40"/>
  <c r="S10" i="40"/>
  <c r="T10" i="40"/>
  <c r="J11" i="40"/>
  <c r="K11" i="40"/>
  <c r="S11" i="40"/>
  <c r="T11" i="40"/>
  <c r="J12" i="40"/>
  <c r="K12" i="40"/>
  <c r="S12" i="40"/>
  <c r="T12" i="40"/>
  <c r="J13" i="40"/>
  <c r="K13" i="40"/>
  <c r="S13" i="40"/>
  <c r="T13" i="40"/>
  <c r="J14" i="40"/>
  <c r="K14" i="40"/>
  <c r="S14" i="40"/>
  <c r="T14" i="40"/>
  <c r="J15" i="40"/>
  <c r="K15" i="40"/>
  <c r="S15" i="40"/>
  <c r="T15" i="40"/>
  <c r="J16" i="40"/>
  <c r="K16" i="40"/>
  <c r="S16" i="40"/>
  <c r="T16" i="40"/>
  <c r="J17" i="40"/>
  <c r="K17" i="40"/>
  <c r="S17" i="40"/>
  <c r="T17" i="40"/>
  <c r="J18" i="40"/>
  <c r="K18" i="40"/>
  <c r="S18" i="40"/>
  <c r="T18" i="40"/>
  <c r="J19" i="40"/>
  <c r="K19" i="40"/>
  <c r="S19" i="40"/>
  <c r="T19" i="40"/>
  <c r="J20" i="40"/>
  <c r="K20" i="40"/>
  <c r="S20" i="40"/>
  <c r="T20" i="40"/>
  <c r="J21" i="40"/>
  <c r="K21" i="40"/>
  <c r="S21" i="40"/>
  <c r="T21" i="40"/>
  <c r="J22" i="40"/>
  <c r="K22" i="40"/>
  <c r="S22" i="40"/>
  <c r="T22" i="40"/>
  <c r="J23" i="40"/>
  <c r="K23" i="40"/>
  <c r="S23" i="40"/>
  <c r="T23" i="40"/>
  <c r="J24" i="40"/>
  <c r="K24" i="40"/>
  <c r="S24" i="40"/>
  <c r="T24" i="40"/>
  <c r="J25" i="40"/>
  <c r="K25" i="40"/>
  <c r="S25" i="40"/>
  <c r="T25" i="40"/>
  <c r="J26" i="40"/>
  <c r="K26" i="40"/>
  <c r="S26" i="40"/>
  <c r="T26" i="40"/>
  <c r="J27" i="40"/>
  <c r="K27" i="40"/>
  <c r="S27" i="40"/>
  <c r="T27" i="40"/>
  <c r="J28" i="40"/>
  <c r="K28" i="40"/>
  <c r="S28" i="40"/>
  <c r="T28" i="40"/>
  <c r="J29" i="40"/>
  <c r="K29" i="40"/>
  <c r="S29" i="40"/>
  <c r="T29" i="40"/>
  <c r="J30" i="40"/>
  <c r="K30" i="40"/>
  <c r="S30" i="40"/>
  <c r="T30" i="40"/>
  <c r="J31" i="40"/>
  <c r="K31" i="40"/>
  <c r="S31" i="40"/>
  <c r="T31" i="40"/>
  <c r="J32" i="40"/>
  <c r="K32" i="40"/>
  <c r="S32" i="40"/>
  <c r="T32" i="40"/>
  <c r="J33" i="40"/>
  <c r="K33" i="40"/>
  <c r="S33" i="40"/>
  <c r="T33" i="40"/>
  <c r="J34" i="40"/>
  <c r="K34" i="40"/>
  <c r="S34" i="40"/>
  <c r="T34" i="40"/>
  <c r="J35" i="40"/>
  <c r="K35" i="40"/>
  <c r="S35" i="40"/>
  <c r="T35" i="40"/>
  <c r="J36" i="40"/>
  <c r="K36" i="40"/>
  <c r="S36" i="40"/>
  <c r="T36" i="40"/>
  <c r="J37" i="40"/>
  <c r="K37" i="40"/>
  <c r="S37" i="40"/>
  <c r="T37" i="40"/>
  <c r="J38" i="40"/>
  <c r="K38" i="40"/>
  <c r="S38" i="40"/>
  <c r="T38" i="40"/>
  <c r="J39" i="40"/>
  <c r="K39" i="40"/>
  <c r="S39" i="40"/>
  <c r="T39" i="40"/>
  <c r="J40" i="40"/>
  <c r="K40" i="40"/>
  <c r="S40" i="40"/>
  <c r="T40" i="40"/>
  <c r="J41" i="40"/>
  <c r="K41" i="40"/>
  <c r="S41" i="40"/>
  <c r="T41" i="40"/>
  <c r="J42" i="40"/>
  <c r="K42" i="40"/>
  <c r="S42" i="40"/>
  <c r="T42" i="40"/>
  <c r="J43" i="40"/>
  <c r="K43" i="40"/>
  <c r="S43" i="40"/>
  <c r="T43" i="40"/>
  <c r="J44" i="40"/>
  <c r="K44" i="40"/>
  <c r="S44" i="40"/>
  <c r="T44" i="40"/>
  <c r="J45" i="40"/>
  <c r="K45" i="40"/>
  <c r="S45" i="40"/>
  <c r="T45" i="40"/>
  <c r="J46" i="40"/>
  <c r="K46" i="40"/>
  <c r="S46" i="40"/>
  <c r="T46" i="40"/>
  <c r="J47" i="40"/>
  <c r="K47" i="40"/>
  <c r="S47" i="40"/>
  <c r="T47" i="40"/>
  <c r="M48" i="40"/>
  <c r="AB48" i="40" s="1"/>
  <c r="N48" i="40"/>
  <c r="O48" i="40"/>
  <c r="P48" i="40"/>
  <c r="Q48" i="40"/>
  <c r="V48" i="40"/>
  <c r="W48" i="40"/>
  <c r="X48" i="40"/>
  <c r="Y48" i="40"/>
  <c r="Z48" i="40"/>
  <c r="M49" i="40"/>
  <c r="N49" i="40"/>
  <c r="O49" i="40"/>
  <c r="P49" i="40"/>
  <c r="AB49" i="40" s="1"/>
  <c r="Q49" i="40"/>
  <c r="V49" i="40"/>
  <c r="W49" i="40"/>
  <c r="X49" i="40"/>
  <c r="Y49" i="40"/>
  <c r="Z49" i="40"/>
  <c r="M50" i="40"/>
  <c r="AB50" i="40" s="1"/>
  <c r="N50" i="40"/>
  <c r="O50" i="40"/>
  <c r="P50" i="40"/>
  <c r="Q50" i="40"/>
  <c r="V50" i="40"/>
  <c r="W50" i="40"/>
  <c r="X50" i="40"/>
  <c r="Y50" i="40"/>
  <c r="Z50" i="40"/>
  <c r="AB51" i="40"/>
  <c r="AB52" i="40"/>
  <c r="AB53" i="40"/>
  <c r="AB54" i="40"/>
  <c r="AB55" i="40"/>
  <c r="J5" i="39"/>
  <c r="K5" i="39"/>
  <c r="S5" i="39"/>
  <c r="T5" i="39"/>
  <c r="J6" i="39"/>
  <c r="K6" i="39"/>
  <c r="S6" i="39"/>
  <c r="T6" i="39"/>
  <c r="J7" i="39"/>
  <c r="K7" i="39"/>
  <c r="S7" i="39"/>
  <c r="T7" i="39"/>
  <c r="J8" i="39"/>
  <c r="K8" i="39"/>
  <c r="S8" i="39"/>
  <c r="T8" i="39"/>
  <c r="J9" i="39"/>
  <c r="K9" i="39"/>
  <c r="S9" i="39"/>
  <c r="T9" i="39"/>
  <c r="J10" i="39"/>
  <c r="K10" i="39"/>
  <c r="S10" i="39"/>
  <c r="T10" i="39"/>
  <c r="J11" i="39"/>
  <c r="K11" i="39"/>
  <c r="S11" i="39"/>
  <c r="T11" i="39"/>
  <c r="J12" i="39"/>
  <c r="K12" i="39"/>
  <c r="S12" i="39"/>
  <c r="T12" i="39"/>
  <c r="J13" i="39"/>
  <c r="K13" i="39"/>
  <c r="S13" i="39"/>
  <c r="T13" i="39"/>
  <c r="J14" i="39"/>
  <c r="K14" i="39"/>
  <c r="S14" i="39"/>
  <c r="T14" i="39"/>
  <c r="J15" i="39"/>
  <c r="K15" i="39"/>
  <c r="S15" i="39"/>
  <c r="T15" i="39"/>
  <c r="J16" i="39"/>
  <c r="K16" i="39"/>
  <c r="S16" i="39"/>
  <c r="T16" i="39"/>
  <c r="J17" i="39"/>
  <c r="K17" i="39"/>
  <c r="S17" i="39"/>
  <c r="T17" i="39"/>
  <c r="J18" i="39"/>
  <c r="K18" i="39"/>
  <c r="S18" i="39"/>
  <c r="T18" i="39"/>
  <c r="J19" i="39"/>
  <c r="K19" i="39"/>
  <c r="S19" i="39"/>
  <c r="T19" i="39"/>
  <c r="J20" i="39"/>
  <c r="K20" i="39"/>
  <c r="S20" i="39"/>
  <c r="T20" i="39"/>
  <c r="J21" i="39"/>
  <c r="K21" i="39"/>
  <c r="S21" i="39"/>
  <c r="T21" i="39"/>
  <c r="J22" i="39"/>
  <c r="K22" i="39"/>
  <c r="S22" i="39"/>
  <c r="T22" i="39"/>
  <c r="J23" i="39"/>
  <c r="K23" i="39"/>
  <c r="S23" i="39"/>
  <c r="T23" i="39"/>
  <c r="J24" i="39"/>
  <c r="K24" i="39"/>
  <c r="S24" i="39"/>
  <c r="T24" i="39"/>
  <c r="J25" i="39"/>
  <c r="K25" i="39"/>
  <c r="S25" i="39"/>
  <c r="T25" i="39"/>
  <c r="J26" i="39"/>
  <c r="K26" i="39"/>
  <c r="S26" i="39"/>
  <c r="T26" i="39"/>
  <c r="J27" i="39"/>
  <c r="K27" i="39"/>
  <c r="S27" i="39"/>
  <c r="T27" i="39"/>
  <c r="J28" i="39"/>
  <c r="K28" i="39"/>
  <c r="S28" i="39"/>
  <c r="T28" i="39"/>
  <c r="J29" i="39"/>
  <c r="K29" i="39"/>
  <c r="S29" i="39"/>
  <c r="T29" i="39"/>
  <c r="J30" i="39"/>
  <c r="K30" i="39"/>
  <c r="S30" i="39"/>
  <c r="T30" i="39"/>
  <c r="J31" i="39"/>
  <c r="K31" i="39"/>
  <c r="S31" i="39"/>
  <c r="T31" i="39"/>
  <c r="J32" i="39"/>
  <c r="K32" i="39"/>
  <c r="S32" i="39"/>
  <c r="T32" i="39"/>
  <c r="J33" i="39"/>
  <c r="K33" i="39"/>
  <c r="S33" i="39"/>
  <c r="T33" i="39"/>
  <c r="J34" i="39"/>
  <c r="K34" i="39"/>
  <c r="S34" i="39"/>
  <c r="T34" i="39"/>
  <c r="J35" i="39"/>
  <c r="K35" i="39"/>
  <c r="S35" i="39"/>
  <c r="T35" i="39"/>
  <c r="J36" i="39"/>
  <c r="K36" i="39"/>
  <c r="S36" i="39"/>
  <c r="T36" i="39"/>
  <c r="J37" i="39"/>
  <c r="K37" i="39"/>
  <c r="S37" i="39"/>
  <c r="T37" i="39"/>
  <c r="J38" i="39"/>
  <c r="K38" i="39"/>
  <c r="S38" i="39"/>
  <c r="T38" i="39"/>
  <c r="J39" i="39"/>
  <c r="K39" i="39"/>
  <c r="S39" i="39"/>
  <c r="T39" i="39"/>
  <c r="J40" i="39"/>
  <c r="K40" i="39"/>
  <c r="S40" i="39"/>
  <c r="T40" i="39"/>
  <c r="J41" i="39"/>
  <c r="K41" i="39"/>
  <c r="S41" i="39"/>
  <c r="T41" i="39"/>
  <c r="J42" i="39"/>
  <c r="K42" i="39"/>
  <c r="S42" i="39"/>
  <c r="T42" i="39"/>
  <c r="J43" i="39"/>
  <c r="K43" i="39"/>
  <c r="S43" i="39"/>
  <c r="T43" i="39"/>
  <c r="J44" i="39"/>
  <c r="K44" i="39"/>
  <c r="S44" i="39"/>
  <c r="T44" i="39"/>
  <c r="J45" i="39"/>
  <c r="K45" i="39"/>
  <c r="S45" i="39"/>
  <c r="T45" i="39"/>
  <c r="J46" i="39"/>
  <c r="K46" i="39"/>
  <c r="S46" i="39"/>
  <c r="T46" i="39"/>
  <c r="J47" i="39"/>
  <c r="K47" i="39"/>
  <c r="S47" i="39"/>
  <c r="T47" i="39"/>
  <c r="M48" i="39"/>
  <c r="N48" i="39"/>
  <c r="O48" i="39"/>
  <c r="P48" i="39"/>
  <c r="Q48" i="39"/>
  <c r="V48" i="39"/>
  <c r="W48" i="39"/>
  <c r="X48" i="39"/>
  <c r="Y48" i="39"/>
  <c r="Z48" i="39"/>
  <c r="M49" i="39"/>
  <c r="N49" i="39"/>
  <c r="O49" i="39"/>
  <c r="P49" i="39"/>
  <c r="Q49" i="39"/>
  <c r="V49" i="39"/>
  <c r="W49" i="39"/>
  <c r="X49" i="39"/>
  <c r="Y49" i="39"/>
  <c r="Z49" i="39"/>
  <c r="M50" i="39"/>
  <c r="N50" i="39"/>
  <c r="O50" i="39"/>
  <c r="P50" i="39"/>
  <c r="Q50" i="39"/>
  <c r="V50" i="39"/>
  <c r="W50" i="39"/>
  <c r="X50" i="39"/>
  <c r="Y50" i="39"/>
  <c r="Z50" i="39"/>
  <c r="AB51" i="39"/>
  <c r="AB52" i="39"/>
  <c r="AB53" i="39"/>
  <c r="AB54" i="39"/>
  <c r="AB55" i="39"/>
  <c r="N4" i="38"/>
  <c r="X4" i="38"/>
  <c r="D5" i="38"/>
  <c r="L5" i="38"/>
  <c r="M5" i="38"/>
  <c r="N5" i="38"/>
  <c r="O5" i="38"/>
  <c r="AA5" i="38" s="1"/>
  <c r="V5" i="38"/>
  <c r="W5" i="38"/>
  <c r="X5" i="38"/>
  <c r="Y5" i="38"/>
  <c r="AD5" i="38"/>
  <c r="D6" i="38"/>
  <c r="L6" i="38"/>
  <c r="M6" i="38"/>
  <c r="N6" i="38"/>
  <c r="V6" i="38"/>
  <c r="W6" i="38"/>
  <c r="X6" i="38"/>
  <c r="D7" i="38"/>
  <c r="L7" i="38"/>
  <c r="M7" i="38"/>
  <c r="N7" i="38"/>
  <c r="V7" i="38"/>
  <c r="W7" i="38"/>
  <c r="X7" i="38"/>
  <c r="D8" i="38"/>
  <c r="P8" i="38"/>
  <c r="R8" i="38"/>
  <c r="T8" i="38"/>
  <c r="L8" i="38"/>
  <c r="M8" i="38"/>
  <c r="N8" i="38"/>
  <c r="O8" i="38"/>
  <c r="Q8" i="38"/>
  <c r="S8" i="38"/>
  <c r="V8" i="38"/>
  <c r="W8" i="38"/>
  <c r="X8" i="38"/>
  <c r="Y8" i="38"/>
  <c r="AA8" i="38"/>
  <c r="AC8" i="38"/>
  <c r="D9" i="38"/>
  <c r="O9" i="38" s="1"/>
  <c r="L9" i="38"/>
  <c r="M9" i="38"/>
  <c r="N9" i="38"/>
  <c r="V9" i="38"/>
  <c r="W9" i="38"/>
  <c r="X9" i="38"/>
  <c r="Y9" i="38"/>
  <c r="AC9" i="38"/>
  <c r="AD9" i="38"/>
  <c r="D10" i="38"/>
  <c r="L10" i="38"/>
  <c r="M10" i="38"/>
  <c r="N10" i="38"/>
  <c r="V10" i="38"/>
  <c r="W10" i="38"/>
  <c r="X10" i="38"/>
  <c r="D11" i="38"/>
  <c r="L11" i="38"/>
  <c r="M11" i="38"/>
  <c r="N11" i="38"/>
  <c r="O11" i="38"/>
  <c r="P11" i="38"/>
  <c r="Q11" i="38"/>
  <c r="R11" i="38"/>
  <c r="S11" i="38"/>
  <c r="T11" i="38"/>
  <c r="V11" i="38"/>
  <c r="W11" i="38"/>
  <c r="X11" i="38"/>
  <c r="Y11" i="38"/>
  <c r="AC11" i="38"/>
  <c r="D12" i="38"/>
  <c r="L12" i="38"/>
  <c r="M12" i="38"/>
  <c r="N12" i="38"/>
  <c r="O12" i="38"/>
  <c r="P12" i="38"/>
  <c r="Q12" i="38"/>
  <c r="V12" i="38"/>
  <c r="W12" i="38"/>
  <c r="X12" i="38"/>
  <c r="Y12" i="38"/>
  <c r="AA12" i="38"/>
  <c r="AB12" i="38"/>
  <c r="AC12" i="38"/>
  <c r="D13" i="38"/>
  <c r="O13" i="38" s="1"/>
  <c r="AC13" i="38"/>
  <c r="AD13" i="38"/>
  <c r="L13" i="38"/>
  <c r="M13" i="38"/>
  <c r="N13" i="38"/>
  <c r="P13" i="38"/>
  <c r="R13" i="38"/>
  <c r="T13" i="38"/>
  <c r="V13" i="38"/>
  <c r="W13" i="38"/>
  <c r="X13" i="38"/>
  <c r="Y13" i="38"/>
  <c r="Z13" i="38"/>
  <c r="D14" i="38"/>
  <c r="L14" i="38"/>
  <c r="M14" i="38"/>
  <c r="N14" i="38"/>
  <c r="V14" i="38"/>
  <c r="W14" i="38"/>
  <c r="X14" i="38"/>
  <c r="D15" i="38"/>
  <c r="AD15" i="38"/>
  <c r="L15" i="38"/>
  <c r="M15" i="38"/>
  <c r="N15" i="38"/>
  <c r="O15" i="38"/>
  <c r="P15" i="38"/>
  <c r="Q15" i="38"/>
  <c r="R15" i="38"/>
  <c r="V15" i="38"/>
  <c r="W15" i="38"/>
  <c r="X15" i="38"/>
  <c r="Y15" i="38"/>
  <c r="AA15" i="38"/>
  <c r="AC15" i="38"/>
  <c r="D16" i="38"/>
  <c r="L16" i="38"/>
  <c r="M16" i="38"/>
  <c r="N16" i="38"/>
  <c r="V16" i="38"/>
  <c r="W16" i="38"/>
  <c r="X16" i="38"/>
  <c r="D17" i="38"/>
  <c r="L17" i="38"/>
  <c r="M17" i="38"/>
  <c r="N17" i="38"/>
  <c r="V17" i="38"/>
  <c r="W17" i="38"/>
  <c r="X17" i="38"/>
  <c r="D18" i="38"/>
  <c r="T18" i="38"/>
  <c r="L18" i="38"/>
  <c r="M18" i="38"/>
  <c r="N18" i="38"/>
  <c r="O18" i="38"/>
  <c r="Q18" i="38"/>
  <c r="R18" i="38"/>
  <c r="S18" i="38"/>
  <c r="V18" i="38"/>
  <c r="W18" i="38"/>
  <c r="X18" i="38"/>
  <c r="Y18" i="38"/>
  <c r="AA18" i="38"/>
  <c r="AC18" i="38"/>
  <c r="D19" i="38"/>
  <c r="L19" i="38"/>
  <c r="M19" i="38"/>
  <c r="N19" i="38"/>
  <c r="O19" i="38"/>
  <c r="T19" i="38" s="1"/>
  <c r="V19" i="38"/>
  <c r="W19" i="38"/>
  <c r="X19" i="38"/>
  <c r="Y19" i="38"/>
  <c r="AC19" i="38"/>
  <c r="AD19" i="38"/>
  <c r="D20" i="38"/>
  <c r="O20" i="38" s="1"/>
  <c r="L20" i="38"/>
  <c r="M20" i="38"/>
  <c r="N20" i="38"/>
  <c r="P20" i="38"/>
  <c r="R20" i="38"/>
  <c r="T20" i="38"/>
  <c r="V20" i="38"/>
  <c r="W20" i="38"/>
  <c r="X20" i="38"/>
  <c r="AA20" i="38"/>
  <c r="AB20" i="38"/>
  <c r="AD20" i="38"/>
  <c r="D21" i="38"/>
  <c r="L21" i="38"/>
  <c r="M21" i="38"/>
  <c r="N21" i="38"/>
  <c r="O21" i="38"/>
  <c r="P21" i="38"/>
  <c r="Q21" i="38"/>
  <c r="R21" i="38"/>
  <c r="S21" i="38"/>
  <c r="T21" i="38"/>
  <c r="V21" i="38"/>
  <c r="W21" i="38"/>
  <c r="X21" i="38"/>
  <c r="Y21" i="38"/>
  <c r="AC21" i="38"/>
  <c r="D22" i="38"/>
  <c r="L22" i="38"/>
  <c r="M22" i="38"/>
  <c r="N22" i="38"/>
  <c r="O22" i="38"/>
  <c r="P22" i="38"/>
  <c r="Q22" i="38"/>
  <c r="V22" i="38"/>
  <c r="W22" i="38"/>
  <c r="X22" i="38"/>
  <c r="Y22" i="38"/>
  <c r="AA22" i="38"/>
  <c r="AB22" i="38"/>
  <c r="AC22" i="38"/>
  <c r="D23" i="38"/>
  <c r="O23" i="38" s="1"/>
  <c r="R23" i="38"/>
  <c r="T23" i="38"/>
  <c r="L23" i="38"/>
  <c r="M23" i="38"/>
  <c r="N23" i="38"/>
  <c r="P23" i="38"/>
  <c r="V23" i="38"/>
  <c r="W23" i="38"/>
  <c r="X23" i="38"/>
  <c r="Y23" i="38"/>
  <c r="Z23" i="38"/>
  <c r="AB23" i="38"/>
  <c r="AC23" i="38"/>
  <c r="AD23" i="38"/>
  <c r="D24" i="38"/>
  <c r="L24" i="38"/>
  <c r="M24" i="38"/>
  <c r="N24" i="38"/>
  <c r="V24" i="38"/>
  <c r="W24" i="38"/>
  <c r="X24" i="38"/>
  <c r="D25" i="38"/>
  <c r="L25" i="38"/>
  <c r="M25" i="38"/>
  <c r="N25" i="38"/>
  <c r="O25" i="38"/>
  <c r="P25" i="38" s="1"/>
  <c r="V25" i="38"/>
  <c r="W25" i="38"/>
  <c r="X25" i="38"/>
  <c r="Y25" i="38"/>
  <c r="AA25" i="38"/>
  <c r="AC25" i="38"/>
  <c r="AD25" i="38"/>
  <c r="D26" i="38"/>
  <c r="O26" i="38" s="1"/>
  <c r="L26" i="38"/>
  <c r="M26" i="38"/>
  <c r="N26" i="38"/>
  <c r="V26" i="38"/>
  <c r="W26" i="38"/>
  <c r="X26" i="38"/>
  <c r="Y26" i="38"/>
  <c r="AB26" i="38"/>
  <c r="AD26" i="38"/>
  <c r="D27" i="38"/>
  <c r="L27" i="38"/>
  <c r="M27" i="38"/>
  <c r="N27" i="38"/>
  <c r="V27" i="38"/>
  <c r="W27" i="38"/>
  <c r="X27" i="38"/>
  <c r="D28" i="38"/>
  <c r="L28" i="38"/>
  <c r="M28" i="38"/>
  <c r="N28" i="38"/>
  <c r="O28" i="38"/>
  <c r="Q28" i="38"/>
  <c r="V28" i="38"/>
  <c r="W28" i="38"/>
  <c r="X28" i="38"/>
  <c r="Y28" i="38"/>
  <c r="AC28" i="38"/>
  <c r="D29" i="38"/>
  <c r="L29" i="38"/>
  <c r="M29" i="38"/>
  <c r="N29" i="38"/>
  <c r="V29" i="38"/>
  <c r="W29" i="38"/>
  <c r="X29" i="38"/>
  <c r="D30" i="38"/>
  <c r="O30" i="38" s="1"/>
  <c r="Q30" i="38" s="1"/>
  <c r="R30" i="38"/>
  <c r="S30" i="38"/>
  <c r="T30" i="38"/>
  <c r="L30" i="38"/>
  <c r="M30" i="38"/>
  <c r="N30" i="38"/>
  <c r="P30" i="38"/>
  <c r="V30" i="38"/>
  <c r="W30" i="38"/>
  <c r="X30" i="38"/>
  <c r="Y30" i="38"/>
  <c r="Z30" i="38"/>
  <c r="AA30" i="38"/>
  <c r="AC30" i="38"/>
  <c r="AD30" i="38"/>
  <c r="D31" i="38"/>
  <c r="L31" i="38"/>
  <c r="M31" i="38"/>
  <c r="N31" i="38"/>
  <c r="O31" i="38"/>
  <c r="Q31" i="38" s="1"/>
  <c r="R31" i="38"/>
  <c r="S31" i="38"/>
  <c r="V31" i="38"/>
  <c r="W31" i="38"/>
  <c r="X31" i="38"/>
  <c r="Y31" i="38"/>
  <c r="AC31" i="38"/>
  <c r="D32" i="38"/>
  <c r="R32" i="38"/>
  <c r="L32" i="38"/>
  <c r="M32" i="38"/>
  <c r="N32" i="38"/>
  <c r="O32" i="38"/>
  <c r="P32" i="38"/>
  <c r="Q32" i="38"/>
  <c r="V32" i="38"/>
  <c r="W32" i="38"/>
  <c r="X32" i="38"/>
  <c r="Y32" i="38"/>
  <c r="AA32" i="38"/>
  <c r="AB32" i="38"/>
  <c r="AC32" i="38"/>
  <c r="D33" i="38"/>
  <c r="O33" i="38" s="1"/>
  <c r="L33" i="38"/>
  <c r="M33" i="38"/>
  <c r="N33" i="38"/>
  <c r="V33" i="38"/>
  <c r="W33" i="38"/>
  <c r="X33" i="38"/>
  <c r="Y33" i="38"/>
  <c r="Z33" i="38"/>
  <c r="AB33" i="38"/>
  <c r="AC33" i="38"/>
  <c r="AD33" i="38"/>
  <c r="D34" i="38"/>
  <c r="O34" i="38" s="1"/>
  <c r="L34" i="38"/>
  <c r="M34" i="38"/>
  <c r="N34" i="38"/>
  <c r="S34" i="38"/>
  <c r="V34" i="38"/>
  <c r="W34" i="38"/>
  <c r="X34" i="38"/>
  <c r="Y34" i="38"/>
  <c r="Z34" i="38"/>
  <c r="AA34" i="38"/>
  <c r="AC34" i="38"/>
  <c r="AD34" i="38"/>
  <c r="D35" i="38"/>
  <c r="L35" i="38"/>
  <c r="M35" i="38"/>
  <c r="N35" i="38"/>
  <c r="O35" i="38"/>
  <c r="S35" i="38"/>
  <c r="T35" i="38"/>
  <c r="V35" i="38"/>
  <c r="W35" i="38"/>
  <c r="X35" i="38"/>
  <c r="Y35" i="38"/>
  <c r="AA35" i="38"/>
  <c r="AB35" i="38"/>
  <c r="AC35" i="38"/>
  <c r="D36" i="38"/>
  <c r="Y36" i="38" s="1"/>
  <c r="L36" i="38"/>
  <c r="M36" i="38"/>
  <c r="N36" i="38"/>
  <c r="O36" i="38"/>
  <c r="P36" i="38"/>
  <c r="Q36" i="38"/>
  <c r="R36" i="38"/>
  <c r="S36" i="38"/>
  <c r="T36" i="38"/>
  <c r="V36" i="38"/>
  <c r="W36" i="38"/>
  <c r="X36" i="38"/>
  <c r="AB36" i="38"/>
  <c r="AC36" i="38"/>
  <c r="AD36" i="38"/>
  <c r="D37" i="38"/>
  <c r="L37" i="38"/>
  <c r="M37" i="38"/>
  <c r="N37" i="38"/>
  <c r="O37" i="38"/>
  <c r="V37" i="38"/>
  <c r="W37" i="38"/>
  <c r="X37" i="38"/>
  <c r="Y37" i="38"/>
  <c r="D38" i="38"/>
  <c r="O38" i="38" s="1"/>
  <c r="R38" i="38" s="1"/>
  <c r="L38" i="38"/>
  <c r="M38" i="38"/>
  <c r="N38" i="38"/>
  <c r="Q38" i="38"/>
  <c r="T38" i="38"/>
  <c r="V38" i="38"/>
  <c r="W38" i="38"/>
  <c r="X38" i="38"/>
  <c r="Y38" i="38"/>
  <c r="AB38" i="38"/>
  <c r="D39" i="38"/>
  <c r="L39" i="38"/>
  <c r="M39" i="38"/>
  <c r="N39" i="38"/>
  <c r="O39" i="38"/>
  <c r="P39" i="38"/>
  <c r="Q39" i="38"/>
  <c r="R39" i="38"/>
  <c r="V39" i="38"/>
  <c r="W39" i="38"/>
  <c r="X39" i="38"/>
  <c r="Y39" i="38"/>
  <c r="AD39" i="38"/>
  <c r="D40" i="38"/>
  <c r="L40" i="38"/>
  <c r="M40" i="38"/>
  <c r="N40" i="38"/>
  <c r="O40" i="38"/>
  <c r="P40" i="38"/>
  <c r="V40" i="38"/>
  <c r="W40" i="38"/>
  <c r="X40" i="38"/>
  <c r="Y40" i="38"/>
  <c r="Z40" i="38"/>
  <c r="AA40" i="38"/>
  <c r="D41" i="38"/>
  <c r="L41" i="38"/>
  <c r="M41" i="38"/>
  <c r="N41" i="38"/>
  <c r="V41" i="38"/>
  <c r="W41" i="38"/>
  <c r="X41" i="38"/>
  <c r="D42" i="38"/>
  <c r="O42" i="38" s="1"/>
  <c r="L42" i="38"/>
  <c r="M42" i="38"/>
  <c r="N42" i="38"/>
  <c r="V42" i="38"/>
  <c r="W42" i="38"/>
  <c r="X42" i="38"/>
  <c r="Y42" i="38"/>
  <c r="Z42" i="38"/>
  <c r="D43" i="38"/>
  <c r="Y43" i="38" s="1"/>
  <c r="L43" i="38"/>
  <c r="M43" i="38"/>
  <c r="N43" i="38"/>
  <c r="V43" i="38"/>
  <c r="W43" i="38"/>
  <c r="X43" i="38"/>
  <c r="D44" i="38"/>
  <c r="O44" i="38" s="1"/>
  <c r="L44" i="38"/>
  <c r="M44" i="38"/>
  <c r="N44" i="38"/>
  <c r="S44" i="38"/>
  <c r="T44" i="38"/>
  <c r="V44" i="38"/>
  <c r="W44" i="38"/>
  <c r="X44" i="38"/>
  <c r="Y44" i="38"/>
  <c r="Z44" i="38"/>
  <c r="AA44" i="38"/>
  <c r="AB44" i="38"/>
  <c r="AC44" i="38"/>
  <c r="AD44" i="38"/>
  <c r="D45" i="38"/>
  <c r="L45" i="38"/>
  <c r="M45" i="38"/>
  <c r="N45" i="38"/>
  <c r="V45" i="38"/>
  <c r="W45" i="38"/>
  <c r="X45" i="38"/>
  <c r="D46" i="38"/>
  <c r="L46" i="38"/>
  <c r="M46" i="38"/>
  <c r="N46" i="38"/>
  <c r="O46" i="38"/>
  <c r="P46" i="38"/>
  <c r="T46" i="38"/>
  <c r="V46" i="38"/>
  <c r="W46" i="38"/>
  <c r="X46" i="38"/>
  <c r="Y46" i="38"/>
  <c r="D47" i="38"/>
  <c r="L47" i="38"/>
  <c r="M47" i="38"/>
  <c r="N47" i="38"/>
  <c r="O47" i="38"/>
  <c r="P47" i="38" s="1"/>
  <c r="V47" i="38"/>
  <c r="W47" i="38"/>
  <c r="X47" i="38"/>
  <c r="Y47" i="38"/>
  <c r="AD47" i="38"/>
  <c r="D48" i="38"/>
  <c r="Y48" i="38" s="1"/>
  <c r="L48" i="38"/>
  <c r="M48" i="38"/>
  <c r="N48" i="38"/>
  <c r="O48" i="38"/>
  <c r="Q48" i="38" s="1"/>
  <c r="P48" i="38"/>
  <c r="V48" i="38"/>
  <c r="W48" i="38"/>
  <c r="X48" i="38"/>
  <c r="AA48" i="38"/>
  <c r="AC48" i="38"/>
  <c r="AD48" i="38"/>
  <c r="D49" i="38"/>
  <c r="L49" i="38"/>
  <c r="M49" i="38"/>
  <c r="N49" i="38"/>
  <c r="O49" i="38"/>
  <c r="S49" i="38" s="1"/>
  <c r="V49" i="38"/>
  <c r="W49" i="38"/>
  <c r="X49" i="38"/>
  <c r="Y49" i="38"/>
  <c r="AA49" i="38"/>
  <c r="AB49" i="38"/>
  <c r="AC49" i="38"/>
  <c r="AD49" i="38"/>
  <c r="D50" i="38"/>
  <c r="O50" i="38" s="1"/>
  <c r="L50" i="38"/>
  <c r="M50" i="38"/>
  <c r="N50" i="38"/>
  <c r="V50" i="38"/>
  <c r="W50" i="38"/>
  <c r="X50" i="38"/>
  <c r="Y50" i="38"/>
  <c r="AC50" i="38"/>
  <c r="D51" i="38"/>
  <c r="L51" i="38"/>
  <c r="M51" i="38"/>
  <c r="N51" i="38"/>
  <c r="O51" i="38"/>
  <c r="P51" i="38" s="1"/>
  <c r="Q51" i="38"/>
  <c r="R51" i="38"/>
  <c r="S51" i="38"/>
  <c r="T51" i="38"/>
  <c r="V51" i="38"/>
  <c r="W51" i="38"/>
  <c r="X51" i="38"/>
  <c r="Y51" i="38"/>
  <c r="AA51" i="38"/>
  <c r="D52" i="38"/>
  <c r="L52" i="38"/>
  <c r="M52" i="38"/>
  <c r="N52" i="38"/>
  <c r="V52" i="38"/>
  <c r="W52" i="38"/>
  <c r="X52" i="38"/>
  <c r="D53" i="38"/>
  <c r="O53" i="38" s="1"/>
  <c r="L53" i="38"/>
  <c r="M53" i="38"/>
  <c r="N53" i="38"/>
  <c r="P53" i="38"/>
  <c r="T53" i="38"/>
  <c r="V53" i="38"/>
  <c r="W53" i="38"/>
  <c r="X53" i="38"/>
  <c r="Y53" i="38"/>
  <c r="Z53" i="38"/>
  <c r="AA53" i="38"/>
  <c r="AB53" i="38"/>
  <c r="D54" i="38"/>
  <c r="O54" i="38" s="1"/>
  <c r="R54" i="38" s="1"/>
  <c r="L54" i="38"/>
  <c r="M54" i="38"/>
  <c r="N54" i="38"/>
  <c r="P54" i="38"/>
  <c r="Q54" i="38"/>
  <c r="S54" i="38"/>
  <c r="T54" i="38"/>
  <c r="V54" i="38"/>
  <c r="W54" i="38"/>
  <c r="X54" i="38"/>
  <c r="Y54" i="38"/>
  <c r="Z54" i="38"/>
  <c r="AA54" i="38"/>
  <c r="AB54" i="38"/>
  <c r="AC54" i="38"/>
  <c r="AD54" i="38"/>
  <c r="D55" i="38"/>
  <c r="L55" i="38"/>
  <c r="M55" i="38"/>
  <c r="N55" i="38"/>
  <c r="O55" i="38"/>
  <c r="P55" i="38"/>
  <c r="V55" i="38"/>
  <c r="W55" i="38"/>
  <c r="X55" i="38"/>
  <c r="Y55" i="38"/>
  <c r="D56" i="38"/>
  <c r="L56" i="38"/>
  <c r="M56" i="38"/>
  <c r="N56" i="38"/>
  <c r="O56" i="38"/>
  <c r="P56" i="38" s="1"/>
  <c r="Q56" i="38"/>
  <c r="R56" i="38"/>
  <c r="V56" i="38"/>
  <c r="W56" i="38"/>
  <c r="X56" i="38"/>
  <c r="Y56" i="38"/>
  <c r="D57" i="38"/>
  <c r="Q57" i="38"/>
  <c r="R57" i="38"/>
  <c r="L57" i="38"/>
  <c r="M57" i="38"/>
  <c r="N57" i="38"/>
  <c r="O57" i="38"/>
  <c r="V57" i="38"/>
  <c r="W57" i="38"/>
  <c r="X57" i="38"/>
  <c r="Y57" i="38"/>
  <c r="AA57" i="38"/>
  <c r="AB57" i="38"/>
  <c r="AC57" i="38"/>
  <c r="AD57" i="38"/>
  <c r="D58" i="38"/>
  <c r="L58" i="38"/>
  <c r="M58" i="38"/>
  <c r="N58" i="38"/>
  <c r="V58" i="38"/>
  <c r="W58" i="38"/>
  <c r="X58" i="38"/>
  <c r="D59" i="38"/>
  <c r="L59" i="38"/>
  <c r="M59" i="38"/>
  <c r="N59" i="38"/>
  <c r="V59" i="38"/>
  <c r="W59" i="38"/>
  <c r="X59" i="38"/>
  <c r="D60" i="38"/>
  <c r="L60" i="38"/>
  <c r="M60" i="38"/>
  <c r="N60" i="38"/>
  <c r="V60" i="38"/>
  <c r="W60" i="38"/>
  <c r="X60" i="38"/>
  <c r="D61" i="38"/>
  <c r="O61" i="38" s="1"/>
  <c r="S61" i="38" s="1"/>
  <c r="L61" i="38"/>
  <c r="M61" i="38"/>
  <c r="N61" i="38"/>
  <c r="Q61" i="38"/>
  <c r="R61" i="38"/>
  <c r="T61" i="38"/>
  <c r="V61" i="38"/>
  <c r="W61" i="38"/>
  <c r="X61" i="38"/>
  <c r="Y61" i="38"/>
  <c r="Z61" i="38"/>
  <c r="AB61" i="38"/>
  <c r="AC61" i="38"/>
  <c r="D62" i="38"/>
  <c r="O62" i="38" s="1"/>
  <c r="Q62" i="38" s="1"/>
  <c r="L62" i="38"/>
  <c r="M62" i="38"/>
  <c r="N62" i="38"/>
  <c r="P62" i="38"/>
  <c r="R62" i="38"/>
  <c r="S62" i="38"/>
  <c r="T62" i="38"/>
  <c r="V62" i="38"/>
  <c r="W62" i="38"/>
  <c r="X62" i="38"/>
  <c r="Y62" i="38"/>
  <c r="Z62" i="38"/>
  <c r="AA62" i="38"/>
  <c r="AB62" i="38"/>
  <c r="D63" i="38"/>
  <c r="Y63" i="38" s="1"/>
  <c r="L63" i="38"/>
  <c r="M63" i="38"/>
  <c r="N63" i="38"/>
  <c r="O63" i="38"/>
  <c r="P63" i="38" s="1"/>
  <c r="Q63" i="38"/>
  <c r="T63" i="38"/>
  <c r="V63" i="38"/>
  <c r="W63" i="38"/>
  <c r="X63" i="38"/>
  <c r="D64" i="38"/>
  <c r="L64" i="38"/>
  <c r="M64" i="38"/>
  <c r="N64" i="38"/>
  <c r="V64" i="38"/>
  <c r="W64" i="38"/>
  <c r="X64" i="38"/>
  <c r="D65" i="38"/>
  <c r="L65" i="38"/>
  <c r="M65" i="38"/>
  <c r="N65" i="38"/>
  <c r="V65" i="38"/>
  <c r="W65" i="38"/>
  <c r="X65" i="38"/>
  <c r="D66" i="38"/>
  <c r="L66" i="38"/>
  <c r="M66" i="38"/>
  <c r="N66" i="38"/>
  <c r="V66" i="38"/>
  <c r="W66" i="38"/>
  <c r="X66" i="38"/>
  <c r="D67" i="38"/>
  <c r="Y67" i="38" s="1"/>
  <c r="L67" i="38"/>
  <c r="M67" i="38"/>
  <c r="N67" i="38"/>
  <c r="O67" i="38"/>
  <c r="R67" i="38" s="1"/>
  <c r="Q67" i="38"/>
  <c r="S67" i="38"/>
  <c r="T67" i="38"/>
  <c r="V67" i="38"/>
  <c r="W67" i="38"/>
  <c r="X67" i="38"/>
  <c r="AA67" i="38"/>
  <c r="D68" i="38"/>
  <c r="Y68" i="38" s="1"/>
  <c r="L68" i="38"/>
  <c r="M68" i="38"/>
  <c r="N68" i="38"/>
  <c r="O68" i="38"/>
  <c r="S68" i="38" s="1"/>
  <c r="P68" i="38"/>
  <c r="R68" i="38"/>
  <c r="V68" i="38"/>
  <c r="W68" i="38"/>
  <c r="X68" i="38"/>
  <c r="D69" i="38"/>
  <c r="L69" i="38"/>
  <c r="M69" i="38"/>
  <c r="N69" i="38"/>
  <c r="V69" i="38"/>
  <c r="W69" i="38"/>
  <c r="X69" i="38"/>
  <c r="D70" i="38"/>
  <c r="P70" i="38"/>
  <c r="T70" i="38"/>
  <c r="L70" i="38"/>
  <c r="M70" i="38"/>
  <c r="N70" i="38"/>
  <c r="O70" i="38"/>
  <c r="V70" i="38"/>
  <c r="W70" i="38"/>
  <c r="X70" i="38"/>
  <c r="Y70" i="38"/>
  <c r="AA70" i="38"/>
  <c r="AB70" i="38"/>
  <c r="AC70" i="38"/>
  <c r="D71" i="38"/>
  <c r="L71" i="38"/>
  <c r="M71" i="38"/>
  <c r="N71" i="38"/>
  <c r="V71" i="38"/>
  <c r="W71" i="38"/>
  <c r="X71" i="38"/>
  <c r="D72" i="38"/>
  <c r="L72" i="38"/>
  <c r="M72" i="38"/>
  <c r="N72" i="38"/>
  <c r="V72" i="38"/>
  <c r="W72" i="38"/>
  <c r="X72" i="38"/>
  <c r="D73" i="38"/>
  <c r="R73" i="38"/>
  <c r="T73" i="38"/>
  <c r="L73" i="38"/>
  <c r="M73" i="38"/>
  <c r="N73" i="38"/>
  <c r="O73" i="38"/>
  <c r="Q73" i="38" s="1"/>
  <c r="V73" i="38"/>
  <c r="W73" i="38"/>
  <c r="X73" i="38"/>
  <c r="Y73" i="38"/>
  <c r="AD73" i="38"/>
  <c r="D74" i="38"/>
  <c r="R74" i="38"/>
  <c r="L74" i="38"/>
  <c r="M74" i="38"/>
  <c r="N74" i="38"/>
  <c r="O74" i="38"/>
  <c r="AA74" i="38" s="1"/>
  <c r="V74" i="38"/>
  <c r="W74" i="38"/>
  <c r="X74" i="38"/>
  <c r="Y74" i="38"/>
  <c r="AB74" i="38"/>
  <c r="AC74" i="38"/>
  <c r="AD74" i="38"/>
  <c r="D75" i="38"/>
  <c r="L75" i="38"/>
  <c r="M75" i="38"/>
  <c r="N75" i="38"/>
  <c r="V75" i="38"/>
  <c r="W75" i="38"/>
  <c r="X75" i="38"/>
  <c r="D76" i="38"/>
  <c r="L76" i="38"/>
  <c r="M76" i="38"/>
  <c r="N76" i="38"/>
  <c r="V76" i="38"/>
  <c r="W76" i="38"/>
  <c r="X76" i="38"/>
  <c r="D77" i="38"/>
  <c r="AD77" i="38"/>
  <c r="L77" i="38"/>
  <c r="M77" i="38"/>
  <c r="N77" i="38"/>
  <c r="O77" i="38"/>
  <c r="P77" i="38"/>
  <c r="Q77" i="38"/>
  <c r="R77" i="38"/>
  <c r="S77" i="38"/>
  <c r="T77" i="38"/>
  <c r="V77" i="38"/>
  <c r="W77" i="38"/>
  <c r="X77" i="38"/>
  <c r="Y77" i="38"/>
  <c r="D78" i="38"/>
  <c r="L78" i="38"/>
  <c r="M78" i="38"/>
  <c r="N78" i="38"/>
  <c r="O78" i="38"/>
  <c r="P78" i="38" s="1"/>
  <c r="V78" i="38"/>
  <c r="W78" i="38"/>
  <c r="X78" i="38"/>
  <c r="Y78" i="38"/>
  <c r="D79" i="38"/>
  <c r="O79" i="38" s="1"/>
  <c r="T79" i="38"/>
  <c r="L79" i="38"/>
  <c r="M79" i="38"/>
  <c r="N79" i="38"/>
  <c r="V79" i="38"/>
  <c r="W79" i="38"/>
  <c r="X79" i="38"/>
  <c r="Y79" i="38"/>
  <c r="Z79" i="38"/>
  <c r="AA79" i="38"/>
  <c r="AB79" i="38"/>
  <c r="AC79" i="38"/>
  <c r="AD79" i="38"/>
  <c r="D80" i="38"/>
  <c r="L80" i="38"/>
  <c r="M80" i="38"/>
  <c r="N80" i="38"/>
  <c r="O80" i="38"/>
  <c r="V80" i="38"/>
  <c r="W80" i="38"/>
  <c r="X80" i="38"/>
  <c r="Y80" i="38"/>
  <c r="D81" i="38"/>
  <c r="T81" i="38"/>
  <c r="L81" i="38"/>
  <c r="M81" i="38"/>
  <c r="N81" i="38"/>
  <c r="O81" i="38"/>
  <c r="Q81" i="38"/>
  <c r="V81" i="38"/>
  <c r="W81" i="38"/>
  <c r="X81" i="38"/>
  <c r="Y81" i="38"/>
  <c r="Z81" i="38"/>
  <c r="D82" i="38"/>
  <c r="L82" i="38"/>
  <c r="M82" i="38"/>
  <c r="N82" i="38"/>
  <c r="V82" i="38"/>
  <c r="W82" i="38"/>
  <c r="X82" i="38"/>
  <c r="D83" i="38"/>
  <c r="O83" i="38" s="1"/>
  <c r="L83" i="38"/>
  <c r="M83" i="38"/>
  <c r="N83" i="38"/>
  <c r="V83" i="38"/>
  <c r="W83" i="38"/>
  <c r="X83" i="38"/>
  <c r="Y83" i="38"/>
  <c r="Z83" i="38"/>
  <c r="AC83" i="38"/>
  <c r="AD83" i="38"/>
  <c r="D84" i="38"/>
  <c r="Q84" i="38"/>
  <c r="R84" i="38"/>
  <c r="L84" i="38"/>
  <c r="M84" i="38"/>
  <c r="N84" i="38"/>
  <c r="O84" i="38"/>
  <c r="Z84" i="38" s="1"/>
  <c r="S84" i="38"/>
  <c r="T84" i="38"/>
  <c r="V84" i="38"/>
  <c r="W84" i="38"/>
  <c r="X84" i="38"/>
  <c r="Y84" i="38"/>
  <c r="AA84" i="38"/>
  <c r="AB84" i="38"/>
  <c r="AC84" i="38"/>
  <c r="AD84" i="38"/>
  <c r="D85" i="38"/>
  <c r="O85" i="38" s="1"/>
  <c r="P85" i="38" s="1"/>
  <c r="L85" i="38"/>
  <c r="M85" i="38"/>
  <c r="N85" i="38"/>
  <c r="Q85" i="38"/>
  <c r="T85" i="38"/>
  <c r="V85" i="38"/>
  <c r="W85" i="38"/>
  <c r="X85" i="38"/>
  <c r="Y85" i="38"/>
  <c r="Z85" i="38"/>
  <c r="AA85" i="38"/>
  <c r="AB85" i="38"/>
  <c r="D86" i="38"/>
  <c r="L86" i="38"/>
  <c r="M86" i="38"/>
  <c r="N86" i="38"/>
  <c r="O86" i="38"/>
  <c r="P86" i="38"/>
  <c r="Q86" i="38"/>
  <c r="R86" i="38"/>
  <c r="S86" i="38"/>
  <c r="T86" i="38"/>
  <c r="V86" i="38"/>
  <c r="W86" i="38"/>
  <c r="X86" i="38"/>
  <c r="Y86" i="38"/>
  <c r="D87" i="38"/>
  <c r="Y87" i="38" s="1"/>
  <c r="L87" i="38"/>
  <c r="M87" i="38"/>
  <c r="N87" i="38"/>
  <c r="O87" i="38"/>
  <c r="Q87" i="38"/>
  <c r="R87" i="38"/>
  <c r="V87" i="38"/>
  <c r="W87" i="38"/>
  <c r="X87" i="38"/>
  <c r="D88" i="38"/>
  <c r="L88" i="38"/>
  <c r="M88" i="38"/>
  <c r="N88" i="38"/>
  <c r="V88" i="38"/>
  <c r="W88" i="38"/>
  <c r="X88" i="38"/>
  <c r="D89" i="38"/>
  <c r="L89" i="38"/>
  <c r="M89" i="38"/>
  <c r="N89" i="38"/>
  <c r="V89" i="38"/>
  <c r="W89" i="38"/>
  <c r="X89" i="38"/>
  <c r="D90" i="38"/>
  <c r="AB90" i="38"/>
  <c r="L90" i="38"/>
  <c r="M90" i="38"/>
  <c r="N90" i="38"/>
  <c r="O90" i="38"/>
  <c r="P90" i="38" s="1"/>
  <c r="Q90" i="38"/>
  <c r="R90" i="38"/>
  <c r="S90" i="38"/>
  <c r="V90" i="38"/>
  <c r="W90" i="38"/>
  <c r="X90" i="38"/>
  <c r="Y90" i="38"/>
  <c r="AC90" i="38"/>
  <c r="AD90" i="38"/>
  <c r="D91" i="38"/>
  <c r="L91" i="38"/>
  <c r="M91" i="38"/>
  <c r="N91" i="38"/>
  <c r="O91" i="38"/>
  <c r="Q91" i="38"/>
  <c r="V91" i="38"/>
  <c r="W91" i="38"/>
  <c r="X91" i="38"/>
  <c r="Y91" i="38"/>
  <c r="Z91" i="38"/>
  <c r="AA91" i="38"/>
  <c r="AB91" i="38"/>
  <c r="D92" i="38"/>
  <c r="O92" i="38" s="1"/>
  <c r="Z92" i="38" s="1"/>
  <c r="AA92" i="38"/>
  <c r="AB92" i="38"/>
  <c r="AD92" i="38"/>
  <c r="L92" i="38"/>
  <c r="M92" i="38"/>
  <c r="N92" i="38"/>
  <c r="P92" i="38"/>
  <c r="Q92" i="38"/>
  <c r="R92" i="38"/>
  <c r="S92" i="38"/>
  <c r="T92" i="38"/>
  <c r="V92" i="38"/>
  <c r="W92" i="38"/>
  <c r="X92" i="38"/>
  <c r="Y92" i="38"/>
  <c r="AC92" i="38"/>
  <c r="D93" i="38"/>
  <c r="Y93" i="38" s="1"/>
  <c r="L93" i="38"/>
  <c r="M93" i="38"/>
  <c r="N93" i="38"/>
  <c r="O93" i="38"/>
  <c r="P93" i="38" s="1"/>
  <c r="V93" i="38"/>
  <c r="W93" i="38"/>
  <c r="X93" i="38"/>
  <c r="D94" i="38"/>
  <c r="L94" i="38"/>
  <c r="M94" i="38"/>
  <c r="N94" i="38"/>
  <c r="V94" i="38"/>
  <c r="W94" i="38"/>
  <c r="X94" i="38"/>
  <c r="D95" i="38"/>
  <c r="O95" i="38" s="1"/>
  <c r="L95" i="38"/>
  <c r="M95" i="38"/>
  <c r="N95" i="38"/>
  <c r="V95" i="38"/>
  <c r="W95" i="38"/>
  <c r="X95" i="38"/>
  <c r="Y95" i="38"/>
  <c r="D96" i="38"/>
  <c r="O96" i="38" s="1"/>
  <c r="AA96" i="38"/>
  <c r="L96" i="38"/>
  <c r="M96" i="38"/>
  <c r="N96" i="38"/>
  <c r="Q96" i="38"/>
  <c r="R96" i="38"/>
  <c r="S96" i="38"/>
  <c r="V96" i="38"/>
  <c r="W96" i="38"/>
  <c r="X96" i="38"/>
  <c r="Y96" i="38"/>
  <c r="Z96" i="38"/>
  <c r="AC96" i="38"/>
  <c r="D97" i="38"/>
  <c r="O97" i="38" s="1"/>
  <c r="L97" i="38"/>
  <c r="M97" i="38"/>
  <c r="N97" i="38"/>
  <c r="P97" i="38"/>
  <c r="Q97" i="38"/>
  <c r="R97" i="38"/>
  <c r="S97" i="38"/>
  <c r="T97" i="38"/>
  <c r="V97" i="38"/>
  <c r="W97" i="38"/>
  <c r="X97" i="38"/>
  <c r="Y97" i="38"/>
  <c r="D98" i="38"/>
  <c r="Y98" i="38" s="1"/>
  <c r="L98" i="38"/>
  <c r="M98" i="38"/>
  <c r="N98" i="38"/>
  <c r="O98" i="38"/>
  <c r="P98" i="38" s="1"/>
  <c r="Q98" i="38"/>
  <c r="R98" i="38"/>
  <c r="S98" i="38"/>
  <c r="V98" i="38"/>
  <c r="W98" i="38"/>
  <c r="X98" i="38"/>
  <c r="D99" i="38"/>
  <c r="L99" i="38"/>
  <c r="M99" i="38"/>
  <c r="N99" i="38"/>
  <c r="V99" i="38"/>
  <c r="W99" i="38"/>
  <c r="X99" i="38"/>
  <c r="D100" i="38"/>
  <c r="O100" i="38" s="1"/>
  <c r="L100" i="38"/>
  <c r="M100" i="38"/>
  <c r="N100" i="38"/>
  <c r="T100" i="38"/>
  <c r="V100" i="38"/>
  <c r="W100" i="38"/>
  <c r="X100" i="38"/>
  <c r="Y100" i="38"/>
  <c r="Z100" i="38"/>
  <c r="AA100" i="38"/>
  <c r="AB100" i="38"/>
  <c r="AC100" i="38"/>
  <c r="D101" i="38"/>
  <c r="L101" i="38"/>
  <c r="M101" i="38"/>
  <c r="N101" i="38"/>
  <c r="V101" i="38"/>
  <c r="W101" i="38"/>
  <c r="X101" i="38"/>
  <c r="D102" i="38"/>
  <c r="L102" i="38"/>
  <c r="M102" i="38"/>
  <c r="N102" i="38"/>
  <c r="O102" i="38"/>
  <c r="P102" i="38" s="1"/>
  <c r="V102" i="38"/>
  <c r="W102" i="38"/>
  <c r="X102" i="38"/>
  <c r="Y102" i="38"/>
  <c r="D103" i="38"/>
  <c r="L103" i="38"/>
  <c r="M103" i="38"/>
  <c r="N103" i="38"/>
  <c r="V103" i="38"/>
  <c r="W103" i="38"/>
  <c r="X103" i="38"/>
  <c r="D104" i="38"/>
  <c r="T104" i="38"/>
  <c r="L104" i="38"/>
  <c r="M104" i="38"/>
  <c r="N104" i="38"/>
  <c r="O104" i="38"/>
  <c r="P104" i="38" s="1"/>
  <c r="S104" i="38"/>
  <c r="V104" i="38"/>
  <c r="W104" i="38"/>
  <c r="X104" i="38"/>
  <c r="Y104" i="38"/>
  <c r="AC104" i="38"/>
  <c r="AD104" i="38"/>
  <c r="D105" i="38"/>
  <c r="L105" i="38"/>
  <c r="M105" i="38"/>
  <c r="N105" i="38"/>
  <c r="O105" i="38"/>
  <c r="P105" i="38" s="1"/>
  <c r="R105" i="38"/>
  <c r="V105" i="38"/>
  <c r="W105" i="38"/>
  <c r="X105" i="38"/>
  <c r="Y105" i="38"/>
  <c r="D106" i="38"/>
  <c r="O106" i="38" s="1"/>
  <c r="L106" i="38"/>
  <c r="M106" i="38"/>
  <c r="N106" i="38"/>
  <c r="P106" i="38"/>
  <c r="R106" i="38"/>
  <c r="S106" i="38"/>
  <c r="T106" i="38"/>
  <c r="V106" i="38"/>
  <c r="W106" i="38"/>
  <c r="X106" i="38"/>
  <c r="D107" i="38"/>
  <c r="Y107" i="38" s="1"/>
  <c r="L107" i="38"/>
  <c r="M107" i="38"/>
  <c r="N107" i="38"/>
  <c r="V107" i="38"/>
  <c r="W107" i="38"/>
  <c r="X107" i="38"/>
  <c r="D108" i="38"/>
  <c r="L108" i="38"/>
  <c r="M108" i="38"/>
  <c r="N108" i="38"/>
  <c r="O108" i="38"/>
  <c r="P108" i="38" s="1"/>
  <c r="V108" i="38"/>
  <c r="W108" i="38"/>
  <c r="X108" i="38"/>
  <c r="Y108" i="38"/>
  <c r="D109" i="38"/>
  <c r="O109" i="38" s="1"/>
  <c r="L109" i="38"/>
  <c r="M109" i="38"/>
  <c r="N109" i="38"/>
  <c r="Q109" i="38"/>
  <c r="R109" i="38"/>
  <c r="T109" i="38"/>
  <c r="V109" i="38"/>
  <c r="W109" i="38"/>
  <c r="X109" i="38"/>
  <c r="Y109" i="38"/>
  <c r="Z109" i="38"/>
  <c r="AA109" i="38"/>
  <c r="AC109" i="38"/>
  <c r="AD109" i="38"/>
  <c r="D110" i="38"/>
  <c r="Y110" i="38" s="1"/>
  <c r="L110" i="38"/>
  <c r="M110" i="38"/>
  <c r="N110" i="38"/>
  <c r="O110" i="38"/>
  <c r="P110" i="38"/>
  <c r="R110" i="38"/>
  <c r="V110" i="38"/>
  <c r="W110" i="38"/>
  <c r="X110" i="38"/>
  <c r="D111" i="38"/>
  <c r="Y111" i="38" s="1"/>
  <c r="L111" i="38"/>
  <c r="M111" i="38"/>
  <c r="N111" i="38"/>
  <c r="O111" i="38"/>
  <c r="P111" i="38" s="1"/>
  <c r="V111" i="38"/>
  <c r="W111" i="38"/>
  <c r="X111" i="38"/>
  <c r="D112" i="38"/>
  <c r="Y112" i="38" s="1"/>
  <c r="L112" i="38"/>
  <c r="M112" i="38"/>
  <c r="N112" i="38"/>
  <c r="O112" i="38"/>
  <c r="V112" i="38"/>
  <c r="W112" i="38"/>
  <c r="X112" i="38"/>
  <c r="D113" i="38"/>
  <c r="L113" i="38"/>
  <c r="M113" i="38"/>
  <c r="N113" i="38"/>
  <c r="V113" i="38"/>
  <c r="W113" i="38"/>
  <c r="X113" i="38"/>
  <c r="D114" i="38"/>
  <c r="R114" i="38"/>
  <c r="S114" i="38"/>
  <c r="L114" i="38"/>
  <c r="M114" i="38"/>
  <c r="N114" i="38"/>
  <c r="O114" i="38"/>
  <c r="P114" i="38"/>
  <c r="Q114" i="38"/>
  <c r="T114" i="38"/>
  <c r="V114" i="38"/>
  <c r="W114" i="38"/>
  <c r="X114" i="38"/>
  <c r="Y114" i="38"/>
  <c r="AB114" i="38"/>
  <c r="AC114" i="38"/>
  <c r="AD114" i="38"/>
  <c r="D115" i="38"/>
  <c r="O115" i="38" s="1"/>
  <c r="L115" i="38"/>
  <c r="M115" i="38"/>
  <c r="N115" i="38"/>
  <c r="P115" i="38"/>
  <c r="Q115" i="38"/>
  <c r="R115" i="38"/>
  <c r="V115" i="38"/>
  <c r="W115" i="38"/>
  <c r="X115" i="38"/>
  <c r="Y115" i="38"/>
  <c r="Z115" i="38"/>
  <c r="AA115" i="38"/>
  <c r="D116" i="38"/>
  <c r="L116" i="38"/>
  <c r="M116" i="38"/>
  <c r="N116" i="38"/>
  <c r="V116" i="38"/>
  <c r="W116" i="38"/>
  <c r="X116" i="38"/>
  <c r="D117" i="38"/>
  <c r="S117" i="38"/>
  <c r="T117" i="38"/>
  <c r="L117" i="38"/>
  <c r="M117" i="38"/>
  <c r="N117" i="38"/>
  <c r="O117" i="38"/>
  <c r="V117" i="38"/>
  <c r="W117" i="38"/>
  <c r="X117" i="38"/>
  <c r="Y117" i="38"/>
  <c r="AA117" i="38"/>
  <c r="AD117" i="38"/>
  <c r="D118" i="38"/>
  <c r="O118" i="38" s="1"/>
  <c r="L118" i="38"/>
  <c r="M118" i="38"/>
  <c r="N118" i="38"/>
  <c r="V118" i="38"/>
  <c r="W118" i="38"/>
  <c r="X118" i="38"/>
  <c r="D119" i="38"/>
  <c r="O119" i="38" s="1"/>
  <c r="AD119" i="38" s="1"/>
  <c r="T119" i="38"/>
  <c r="L119" i="38"/>
  <c r="M119" i="38"/>
  <c r="N119" i="38"/>
  <c r="R119" i="38"/>
  <c r="S119" i="38"/>
  <c r="V119" i="38"/>
  <c r="W119" i="38"/>
  <c r="X119" i="38"/>
  <c r="Y119" i="38"/>
  <c r="Z119" i="38"/>
  <c r="AA119" i="38"/>
  <c r="AB119" i="38"/>
  <c r="AC119" i="38"/>
  <c r="D120" i="38"/>
  <c r="L120" i="38"/>
  <c r="M120" i="38"/>
  <c r="N120" i="38"/>
  <c r="V120" i="38"/>
  <c r="W120" i="38"/>
  <c r="X120" i="38"/>
  <c r="D121" i="38"/>
  <c r="L121" i="38"/>
  <c r="M121" i="38"/>
  <c r="N121" i="38"/>
  <c r="V121" i="38"/>
  <c r="W121" i="38"/>
  <c r="X121" i="38"/>
  <c r="D122" i="38"/>
  <c r="L122" i="38"/>
  <c r="M122" i="38"/>
  <c r="N122" i="38"/>
  <c r="V122" i="38"/>
  <c r="W122" i="38"/>
  <c r="X122" i="38"/>
  <c r="D123" i="38"/>
  <c r="O123" i="38" s="1"/>
  <c r="L123" i="38"/>
  <c r="M123" i="38"/>
  <c r="N123" i="38"/>
  <c r="Q123" i="38"/>
  <c r="R123" i="38"/>
  <c r="T123" i="38"/>
  <c r="V123" i="38"/>
  <c r="W123" i="38"/>
  <c r="X123" i="38"/>
  <c r="Y123" i="38"/>
  <c r="Z123" i="38"/>
  <c r="AA123" i="38"/>
  <c r="AB123" i="38"/>
  <c r="AC123" i="38"/>
  <c r="D124" i="38"/>
  <c r="L124" i="38"/>
  <c r="M124" i="38"/>
  <c r="N124" i="38"/>
  <c r="O124" i="38"/>
  <c r="P124" i="38"/>
  <c r="Q124" i="38"/>
  <c r="R124" i="38"/>
  <c r="S124" i="38"/>
  <c r="T124" i="38"/>
  <c r="V124" i="38"/>
  <c r="W124" i="38"/>
  <c r="X124" i="38"/>
  <c r="Y124" i="38"/>
  <c r="AD124" i="38"/>
  <c r="D125" i="38"/>
  <c r="L125" i="38"/>
  <c r="M125" i="38"/>
  <c r="N125" i="38"/>
  <c r="O125" i="38"/>
  <c r="Q125" i="38" s="1"/>
  <c r="P125" i="38"/>
  <c r="V125" i="38"/>
  <c r="W125" i="38"/>
  <c r="X125" i="38"/>
  <c r="Y125" i="38"/>
  <c r="D126" i="38"/>
  <c r="L126" i="38"/>
  <c r="M126" i="38"/>
  <c r="N126" i="38"/>
  <c r="O126" i="38"/>
  <c r="V126" i="38"/>
  <c r="W126" i="38"/>
  <c r="X126" i="38"/>
  <c r="Y126" i="38"/>
  <c r="D127" i="38"/>
  <c r="L127" i="38"/>
  <c r="M127" i="38"/>
  <c r="N127" i="38"/>
  <c r="V127" i="38"/>
  <c r="W127" i="38"/>
  <c r="X127" i="38"/>
  <c r="D128" i="38"/>
  <c r="L128" i="38"/>
  <c r="M128" i="38"/>
  <c r="N128" i="38"/>
  <c r="V128" i="38"/>
  <c r="W128" i="38"/>
  <c r="X128" i="38"/>
  <c r="D129" i="38"/>
  <c r="O129" i="38" s="1"/>
  <c r="P129" i="38" s="1"/>
  <c r="AB129" i="38"/>
  <c r="L129" i="38"/>
  <c r="M129" i="38"/>
  <c r="N129" i="38"/>
  <c r="Q129" i="38"/>
  <c r="R129" i="38"/>
  <c r="S129" i="38"/>
  <c r="T129" i="38"/>
  <c r="V129" i="38"/>
  <c r="W129" i="38"/>
  <c r="X129" i="38"/>
  <c r="Y129" i="38"/>
  <c r="AA129" i="38"/>
  <c r="AC129" i="38"/>
  <c r="AD129" i="38"/>
  <c r="D130" i="38"/>
  <c r="L130" i="38"/>
  <c r="M130" i="38"/>
  <c r="N130" i="38"/>
  <c r="O130" i="38"/>
  <c r="S130" i="38" s="1"/>
  <c r="P130" i="38"/>
  <c r="Q130" i="38"/>
  <c r="R130" i="38"/>
  <c r="T130" i="38"/>
  <c r="V130" i="38"/>
  <c r="W130" i="38"/>
  <c r="X130" i="38"/>
  <c r="Y130" i="38"/>
  <c r="AA130" i="38"/>
  <c r="AB130" i="38"/>
  <c r="AC130" i="38"/>
  <c r="D131" i="38"/>
  <c r="L131" i="38"/>
  <c r="M131" i="38"/>
  <c r="N131" i="38"/>
  <c r="V131" i="38"/>
  <c r="W131" i="38"/>
  <c r="X131" i="38"/>
  <c r="D132" i="38"/>
  <c r="L132" i="38"/>
  <c r="M132" i="38"/>
  <c r="N132" i="38"/>
  <c r="O132" i="38"/>
  <c r="S132" i="38"/>
  <c r="T132" i="38"/>
  <c r="V132" i="38"/>
  <c r="W132" i="38"/>
  <c r="X132" i="38"/>
  <c r="Y132" i="38"/>
  <c r="Z132" i="38"/>
  <c r="D133" i="38"/>
  <c r="L133" i="38"/>
  <c r="M133" i="38"/>
  <c r="N133" i="38"/>
  <c r="O133" i="38"/>
  <c r="P133" i="38"/>
  <c r="Q133" i="38"/>
  <c r="R133" i="38"/>
  <c r="S133" i="38"/>
  <c r="T133" i="38"/>
  <c r="V133" i="38"/>
  <c r="W133" i="38"/>
  <c r="X133" i="38"/>
  <c r="Y133" i="38"/>
  <c r="Z133" i="38"/>
  <c r="AB133" i="38"/>
  <c r="AC133" i="38"/>
  <c r="D134" i="38"/>
  <c r="L134" i="38"/>
  <c r="M134" i="38"/>
  <c r="N134" i="38"/>
  <c r="O134" i="38"/>
  <c r="AB134" i="38" s="1"/>
  <c r="V134" i="38"/>
  <c r="W134" i="38"/>
  <c r="X134" i="38"/>
  <c r="Y134" i="38"/>
  <c r="AD134" i="38"/>
  <c r="D135" i="38"/>
  <c r="O135" i="38" s="1"/>
  <c r="L135" i="38"/>
  <c r="M135" i="38"/>
  <c r="N135" i="38"/>
  <c r="P135" i="38"/>
  <c r="T135" i="38"/>
  <c r="V135" i="38"/>
  <c r="W135" i="38"/>
  <c r="X135" i="38"/>
  <c r="Y135" i="38"/>
  <c r="Z135" i="38"/>
  <c r="AA135" i="38"/>
  <c r="AB135" i="38"/>
  <c r="AC135" i="38"/>
  <c r="AD135" i="38"/>
  <c r="D136" i="38"/>
  <c r="L136" i="38"/>
  <c r="M136" i="38"/>
  <c r="N136" i="38"/>
  <c r="O136" i="38"/>
  <c r="V136" i="38"/>
  <c r="W136" i="38"/>
  <c r="X136" i="38"/>
  <c r="Y136" i="38"/>
  <c r="D137" i="38"/>
  <c r="Y137" i="38" s="1"/>
  <c r="L137" i="38"/>
  <c r="M137" i="38"/>
  <c r="N137" i="38"/>
  <c r="O137" i="38"/>
  <c r="S137" i="38" s="1"/>
  <c r="P137" i="38"/>
  <c r="Q137" i="38"/>
  <c r="R137" i="38"/>
  <c r="T137" i="38"/>
  <c r="V137" i="38"/>
  <c r="W137" i="38"/>
  <c r="X137" i="38"/>
  <c r="D138" i="38"/>
  <c r="L138" i="38"/>
  <c r="M138" i="38"/>
  <c r="N138" i="38"/>
  <c r="O138" i="38"/>
  <c r="P138" i="38" s="1"/>
  <c r="Q138" i="38"/>
  <c r="R138" i="38"/>
  <c r="S138" i="38"/>
  <c r="V138" i="38"/>
  <c r="W138" i="38"/>
  <c r="X138" i="38"/>
  <c r="Y138" i="38"/>
  <c r="D139" i="38"/>
  <c r="O139" i="38" s="1"/>
  <c r="AC139" i="38"/>
  <c r="AD139" i="38"/>
  <c r="L139" i="38"/>
  <c r="M139" i="38"/>
  <c r="N139" i="38"/>
  <c r="R139" i="38"/>
  <c r="V139" i="38"/>
  <c r="W139" i="38"/>
  <c r="X139" i="38"/>
  <c r="Y139" i="38"/>
  <c r="Z139" i="38"/>
  <c r="D140" i="38"/>
  <c r="O140" i="38" s="1"/>
  <c r="L140" i="38"/>
  <c r="M140" i="38"/>
  <c r="N140" i="38"/>
  <c r="Q140" i="38"/>
  <c r="S140" i="38"/>
  <c r="T140" i="38"/>
  <c r="V140" i="38"/>
  <c r="W140" i="38"/>
  <c r="X140" i="38"/>
  <c r="Y140" i="38"/>
  <c r="Z140" i="38"/>
  <c r="AA140" i="38"/>
  <c r="AC140" i="38"/>
  <c r="D141" i="38"/>
  <c r="L141" i="38"/>
  <c r="M141" i="38"/>
  <c r="N141" i="38"/>
  <c r="O141" i="38"/>
  <c r="P141" i="38"/>
  <c r="R141" i="38"/>
  <c r="V141" i="38"/>
  <c r="W141" i="38"/>
  <c r="X141" i="38"/>
  <c r="Y141" i="38"/>
  <c r="D142" i="38"/>
  <c r="Y142" i="38" s="1"/>
  <c r="L142" i="38"/>
  <c r="M142" i="38"/>
  <c r="N142" i="38"/>
  <c r="O142" i="38"/>
  <c r="V142" i="38"/>
  <c r="W142" i="38"/>
  <c r="X142" i="38"/>
  <c r="D143" i="38"/>
  <c r="L143" i="38"/>
  <c r="M143" i="38"/>
  <c r="N143" i="38"/>
  <c r="O143" i="38"/>
  <c r="V143" i="38"/>
  <c r="W143" i="38"/>
  <c r="X143" i="38"/>
  <c r="Y143" i="38"/>
  <c r="D144" i="38"/>
  <c r="L144" i="38"/>
  <c r="M144" i="38"/>
  <c r="N144" i="38"/>
  <c r="V144" i="38"/>
  <c r="W144" i="38"/>
  <c r="X144" i="38"/>
  <c r="D145" i="38"/>
  <c r="O145" i="38" s="1"/>
  <c r="L145" i="38"/>
  <c r="M145" i="38"/>
  <c r="N145" i="38"/>
  <c r="V145" i="38"/>
  <c r="W145" i="38"/>
  <c r="X145" i="38"/>
  <c r="Y145" i="38"/>
  <c r="Z145" i="38"/>
  <c r="AB145" i="38"/>
  <c r="AC145" i="38"/>
  <c r="AD145" i="38"/>
  <c r="D146" i="38"/>
  <c r="Q146" i="38"/>
  <c r="L146" i="38"/>
  <c r="M146" i="38"/>
  <c r="N146" i="38"/>
  <c r="O146" i="38"/>
  <c r="R146" i="38"/>
  <c r="S146" i="38"/>
  <c r="V146" i="38"/>
  <c r="W146" i="38"/>
  <c r="X146" i="38"/>
  <c r="Y146" i="38"/>
  <c r="Z146" i="38"/>
  <c r="AA146" i="38"/>
  <c r="AC146" i="38"/>
  <c r="AD146" i="38"/>
  <c r="D147" i="38"/>
  <c r="O147" i="38" s="1"/>
  <c r="L147" i="38"/>
  <c r="M147" i="38"/>
  <c r="N147" i="38"/>
  <c r="V147" i="38"/>
  <c r="W147" i="38"/>
  <c r="X147" i="38"/>
  <c r="Y147" i="38"/>
  <c r="D148" i="38"/>
  <c r="Y148" i="38" s="1"/>
  <c r="L148" i="38"/>
  <c r="M148" i="38"/>
  <c r="N148" i="38"/>
  <c r="O148" i="38"/>
  <c r="V148" i="38"/>
  <c r="W148" i="38"/>
  <c r="X148" i="38"/>
  <c r="D149" i="38"/>
  <c r="L149" i="38"/>
  <c r="M149" i="38"/>
  <c r="N149" i="38"/>
  <c r="O149" i="38"/>
  <c r="V149" i="38"/>
  <c r="W149" i="38"/>
  <c r="X149" i="38"/>
  <c r="Y149" i="38"/>
  <c r="D150" i="38"/>
  <c r="Y150" i="38" s="1"/>
  <c r="L150" i="38"/>
  <c r="M150" i="38"/>
  <c r="N150" i="38"/>
  <c r="O150" i="38"/>
  <c r="V150" i="38"/>
  <c r="W150" i="38"/>
  <c r="X150" i="38"/>
  <c r="D151" i="38"/>
  <c r="O151" i="38" s="1"/>
  <c r="L151" i="38"/>
  <c r="M151" i="38"/>
  <c r="N151" i="38"/>
  <c r="V151" i="38"/>
  <c r="W151" i="38"/>
  <c r="X151" i="38"/>
  <c r="Y151" i="38"/>
  <c r="Z151" i="38"/>
  <c r="AD151" i="38"/>
  <c r="D152" i="38"/>
  <c r="L152" i="38"/>
  <c r="M152" i="38"/>
  <c r="N152" i="38"/>
  <c r="V152" i="38"/>
  <c r="W152" i="38"/>
  <c r="X152" i="38"/>
  <c r="D153" i="38"/>
  <c r="L153" i="38"/>
  <c r="M153" i="38"/>
  <c r="N153" i="38"/>
  <c r="V153" i="38"/>
  <c r="W153" i="38"/>
  <c r="X153" i="38"/>
  <c r="D154" i="38"/>
  <c r="Y154" i="38" s="1"/>
  <c r="L154" i="38"/>
  <c r="M154" i="38"/>
  <c r="N154" i="38"/>
  <c r="O154" i="38"/>
  <c r="P154" i="38"/>
  <c r="V154" i="38"/>
  <c r="W154" i="38"/>
  <c r="X154" i="38"/>
  <c r="AB154" i="38"/>
  <c r="D155" i="38"/>
  <c r="Y155" i="38" s="1"/>
  <c r="L155" i="38"/>
  <c r="M155" i="38"/>
  <c r="N155" i="38"/>
  <c r="O155" i="38"/>
  <c r="V155" i="38"/>
  <c r="W155" i="38"/>
  <c r="X155" i="38"/>
  <c r="D156" i="38"/>
  <c r="L156" i="38"/>
  <c r="M156" i="38"/>
  <c r="N156" i="38"/>
  <c r="O156" i="38"/>
  <c r="Q156" i="38" s="1"/>
  <c r="V156" i="38"/>
  <c r="W156" i="38"/>
  <c r="X156" i="38"/>
  <c r="Y156" i="38"/>
  <c r="D157" i="38"/>
  <c r="L157" i="38"/>
  <c r="M157" i="38"/>
  <c r="N157" i="38"/>
  <c r="V157" i="38"/>
  <c r="W157" i="38"/>
  <c r="X157" i="38"/>
  <c r="D158" i="38"/>
  <c r="L158" i="38"/>
  <c r="M158" i="38"/>
  <c r="N158" i="38"/>
  <c r="V158" i="38"/>
  <c r="W158" i="38"/>
  <c r="X158" i="38"/>
  <c r="D159" i="38"/>
  <c r="L159" i="38"/>
  <c r="M159" i="38"/>
  <c r="N159" i="38"/>
  <c r="V159" i="38"/>
  <c r="W159" i="38"/>
  <c r="X159" i="38"/>
  <c r="D160" i="38"/>
  <c r="L160" i="38"/>
  <c r="M160" i="38"/>
  <c r="N160" i="38"/>
  <c r="V160" i="38"/>
  <c r="W160" i="38"/>
  <c r="X160" i="38"/>
  <c r="D161" i="38"/>
  <c r="L161" i="38"/>
  <c r="M161" i="38"/>
  <c r="N161" i="38"/>
  <c r="O161" i="38"/>
  <c r="P161" i="38"/>
  <c r="Q161" i="38"/>
  <c r="R161" i="38"/>
  <c r="S161" i="38"/>
  <c r="T161" i="38"/>
  <c r="V161" i="38"/>
  <c r="W161" i="38"/>
  <c r="X161" i="38"/>
  <c r="Y161" i="38"/>
  <c r="AB161" i="38"/>
  <c r="AC161" i="38"/>
  <c r="AD161" i="38"/>
  <c r="D162" i="38"/>
  <c r="Y162" i="38" s="1"/>
  <c r="L162" i="38"/>
  <c r="M162" i="38"/>
  <c r="N162" i="38"/>
  <c r="O162" i="38"/>
  <c r="P162" i="38"/>
  <c r="R162" i="38"/>
  <c r="S162" i="38"/>
  <c r="V162" i="38"/>
  <c r="W162" i="38"/>
  <c r="X162" i="38"/>
  <c r="Z162" i="38"/>
  <c r="AA162" i="38"/>
  <c r="AB162" i="38"/>
  <c r="D163" i="38"/>
  <c r="Y163" i="38" s="1"/>
  <c r="L163" i="38"/>
  <c r="M163" i="38"/>
  <c r="N163" i="38"/>
  <c r="O163" i="38"/>
  <c r="P163" i="38"/>
  <c r="S163" i="38"/>
  <c r="T163" i="38"/>
  <c r="V163" i="38"/>
  <c r="W163" i="38"/>
  <c r="X163" i="38"/>
  <c r="D164" i="38"/>
  <c r="Y164" i="38" s="1"/>
  <c r="AA164" i="38"/>
  <c r="L164" i="38"/>
  <c r="M164" i="38"/>
  <c r="N164" i="38"/>
  <c r="O164" i="38"/>
  <c r="P164" i="38" s="1"/>
  <c r="Q164" i="38"/>
  <c r="V164" i="38"/>
  <c r="W164" i="38"/>
  <c r="X164" i="38"/>
  <c r="D165" i="38"/>
  <c r="L165" i="38"/>
  <c r="M165" i="38"/>
  <c r="N165" i="38"/>
  <c r="V165" i="38"/>
  <c r="W165" i="38"/>
  <c r="X165" i="38"/>
  <c r="D166" i="38"/>
  <c r="L166" i="38"/>
  <c r="M166" i="38"/>
  <c r="N166" i="38"/>
  <c r="V166" i="38"/>
  <c r="W166" i="38"/>
  <c r="X166" i="38"/>
  <c r="D167" i="38"/>
  <c r="L167" i="38"/>
  <c r="M167" i="38"/>
  <c r="N167" i="38"/>
  <c r="V167" i="38"/>
  <c r="W167" i="38"/>
  <c r="X167" i="38"/>
  <c r="D168" i="38"/>
  <c r="L168" i="38"/>
  <c r="M168" i="38"/>
  <c r="N168" i="38"/>
  <c r="O168" i="38"/>
  <c r="P168" i="38"/>
  <c r="Q168" i="38"/>
  <c r="R168" i="38"/>
  <c r="V168" i="38"/>
  <c r="W168" i="38"/>
  <c r="X168" i="38"/>
  <c r="Y168" i="38"/>
  <c r="D169" i="38"/>
  <c r="Y169" i="38" s="1"/>
  <c r="L169" i="38"/>
  <c r="M169" i="38"/>
  <c r="N169" i="38"/>
  <c r="O169" i="38"/>
  <c r="P169" i="38"/>
  <c r="Q169" i="38"/>
  <c r="R169" i="38"/>
  <c r="V169" i="38"/>
  <c r="W169" i="38"/>
  <c r="X169" i="38"/>
  <c r="D170" i="38"/>
  <c r="L170" i="38"/>
  <c r="M170" i="38"/>
  <c r="N170" i="38"/>
  <c r="V170" i="38"/>
  <c r="W170" i="38"/>
  <c r="X170" i="38"/>
  <c r="D171" i="38"/>
  <c r="L171" i="38"/>
  <c r="M171" i="38"/>
  <c r="N171" i="38"/>
  <c r="V171" i="38"/>
  <c r="W171" i="38"/>
  <c r="X171" i="38"/>
  <c r="D172" i="38"/>
  <c r="L172" i="38"/>
  <c r="M172" i="38"/>
  <c r="N172" i="38"/>
  <c r="O172" i="38"/>
  <c r="P172" i="38"/>
  <c r="Q172" i="38"/>
  <c r="R172" i="38"/>
  <c r="V172" i="38"/>
  <c r="W172" i="38"/>
  <c r="X172" i="38"/>
  <c r="Y172" i="38"/>
  <c r="D173" i="38"/>
  <c r="L173" i="38"/>
  <c r="M173" i="38"/>
  <c r="N173" i="38"/>
  <c r="O173" i="38"/>
  <c r="P173" i="38"/>
  <c r="Q173" i="38"/>
  <c r="R173" i="38"/>
  <c r="V173" i="38"/>
  <c r="W173" i="38"/>
  <c r="X173" i="38"/>
  <c r="Y173" i="38"/>
  <c r="D174" i="38"/>
  <c r="L174" i="38"/>
  <c r="M174" i="38"/>
  <c r="N174" i="38"/>
  <c r="V174" i="38"/>
  <c r="W174" i="38"/>
  <c r="X174" i="38"/>
  <c r="D175" i="38"/>
  <c r="L175" i="38"/>
  <c r="M175" i="38"/>
  <c r="N175" i="38"/>
  <c r="V175" i="38"/>
  <c r="W175" i="38"/>
  <c r="X175" i="38"/>
  <c r="D176" i="38"/>
  <c r="L176" i="38"/>
  <c r="M176" i="38"/>
  <c r="N176" i="38"/>
  <c r="O176" i="38"/>
  <c r="V176" i="38"/>
  <c r="W176" i="38"/>
  <c r="X176" i="38"/>
  <c r="Y176" i="38"/>
  <c r="AB176" i="38"/>
  <c r="D177" i="38"/>
  <c r="O177" i="38" s="1"/>
  <c r="S177" i="38" s="1"/>
  <c r="L177" i="38"/>
  <c r="M177" i="38"/>
  <c r="N177" i="38"/>
  <c r="P177" i="38"/>
  <c r="Q177" i="38"/>
  <c r="R177" i="38"/>
  <c r="V177" i="38"/>
  <c r="W177" i="38"/>
  <c r="X177" i="38"/>
  <c r="AA177" i="38"/>
  <c r="AB177" i="38"/>
  <c r="D178" i="38"/>
  <c r="Y178" i="38" s="1"/>
  <c r="L178" i="38"/>
  <c r="M178" i="38"/>
  <c r="N178" i="38"/>
  <c r="O178" i="38"/>
  <c r="V178" i="38"/>
  <c r="W178" i="38"/>
  <c r="X178" i="38"/>
  <c r="D179" i="38"/>
  <c r="L179" i="38"/>
  <c r="M179" i="38"/>
  <c r="N179" i="38"/>
  <c r="V179" i="38"/>
  <c r="W179" i="38"/>
  <c r="X179" i="38"/>
  <c r="D180" i="38"/>
  <c r="O180" i="38" s="1"/>
  <c r="P180" i="38"/>
  <c r="L180" i="38"/>
  <c r="M180" i="38"/>
  <c r="N180" i="38"/>
  <c r="R180" i="38"/>
  <c r="S180" i="38"/>
  <c r="T180" i="38"/>
  <c r="V180" i="38"/>
  <c r="W180" i="38"/>
  <c r="X180" i="38"/>
  <c r="Y180" i="38"/>
  <c r="Z180" i="38"/>
  <c r="AA180" i="38"/>
  <c r="AB180" i="38"/>
  <c r="AC180" i="38"/>
  <c r="D181" i="38"/>
  <c r="O181" i="38" s="1"/>
  <c r="AA181" i="38" s="1"/>
  <c r="L181" i="38"/>
  <c r="M181" i="38"/>
  <c r="N181" i="38"/>
  <c r="P181" i="38"/>
  <c r="Q181" i="38"/>
  <c r="R181" i="38"/>
  <c r="S181" i="38"/>
  <c r="T181" i="38"/>
  <c r="V181" i="38"/>
  <c r="W181" i="38"/>
  <c r="X181" i="38"/>
  <c r="Y181" i="38"/>
  <c r="AB181" i="38"/>
  <c r="D182" i="38"/>
  <c r="L182" i="38"/>
  <c r="M182" i="38"/>
  <c r="N182" i="38"/>
  <c r="O182" i="38"/>
  <c r="P182" i="38"/>
  <c r="V182" i="38"/>
  <c r="W182" i="38"/>
  <c r="X182" i="38"/>
  <c r="Y182" i="38"/>
  <c r="D183" i="38"/>
  <c r="O183" i="38" s="1"/>
  <c r="L183" i="38"/>
  <c r="M183" i="38"/>
  <c r="N183" i="38"/>
  <c r="V183" i="38"/>
  <c r="W183" i="38"/>
  <c r="X183" i="38"/>
  <c r="Y183" i="38"/>
  <c r="Z183" i="38"/>
  <c r="AA183" i="38"/>
  <c r="AB183" i="38"/>
  <c r="AC183" i="38"/>
  <c r="AD183" i="38"/>
  <c r="D184" i="38"/>
  <c r="O184" i="38" s="1"/>
  <c r="L184" i="38"/>
  <c r="M184" i="38"/>
  <c r="N184" i="38"/>
  <c r="S184" i="38"/>
  <c r="T184" i="38"/>
  <c r="V184" i="38"/>
  <c r="W184" i="38"/>
  <c r="X184" i="38"/>
  <c r="Y184" i="38"/>
  <c r="Z184" i="38"/>
  <c r="AA184" i="38"/>
  <c r="AB184" i="38"/>
  <c r="AC184" i="38"/>
  <c r="AD184" i="38"/>
  <c r="D185" i="38"/>
  <c r="L185" i="38"/>
  <c r="M185" i="38"/>
  <c r="N185" i="38"/>
  <c r="O185" i="38"/>
  <c r="P185" i="38" s="1"/>
  <c r="V185" i="38"/>
  <c r="W185" i="38"/>
  <c r="X185" i="38"/>
  <c r="Y185" i="38"/>
  <c r="D186" i="38"/>
  <c r="L186" i="38"/>
  <c r="M186" i="38"/>
  <c r="N186" i="38"/>
  <c r="O186" i="38"/>
  <c r="V186" i="38"/>
  <c r="W186" i="38"/>
  <c r="X186" i="38"/>
  <c r="Y186" i="38"/>
  <c r="D187" i="38"/>
  <c r="L187" i="38"/>
  <c r="M187" i="38"/>
  <c r="N187" i="38"/>
  <c r="V187" i="38"/>
  <c r="W187" i="38"/>
  <c r="X187" i="38"/>
  <c r="D188" i="38"/>
  <c r="L188" i="38"/>
  <c r="M188" i="38"/>
  <c r="N188" i="38"/>
  <c r="V188" i="38"/>
  <c r="W188" i="38"/>
  <c r="X188" i="38"/>
  <c r="D189" i="38"/>
  <c r="L189" i="38"/>
  <c r="M189" i="38"/>
  <c r="N189" i="38"/>
  <c r="V189" i="38"/>
  <c r="W189" i="38"/>
  <c r="X189" i="38"/>
  <c r="D190" i="38"/>
  <c r="Y190" i="38" s="1"/>
  <c r="L190" i="38"/>
  <c r="M190" i="38"/>
  <c r="N190" i="38"/>
  <c r="O190" i="38"/>
  <c r="P190" i="38"/>
  <c r="R190" i="38"/>
  <c r="S190" i="38"/>
  <c r="V190" i="38"/>
  <c r="W190" i="38"/>
  <c r="X190" i="38"/>
  <c r="D191" i="38"/>
  <c r="L191" i="38"/>
  <c r="M191" i="38"/>
  <c r="N191" i="38"/>
  <c r="V191" i="38"/>
  <c r="W191" i="38"/>
  <c r="X191" i="38"/>
  <c r="D192" i="38"/>
  <c r="L192" i="38"/>
  <c r="M192" i="38"/>
  <c r="N192" i="38"/>
  <c r="O192" i="38"/>
  <c r="P192" i="38" s="1"/>
  <c r="V192" i="38"/>
  <c r="W192" i="38"/>
  <c r="X192" i="38"/>
  <c r="Y192" i="38"/>
  <c r="AA192" i="38"/>
  <c r="AB192" i="38"/>
  <c r="AC192" i="38"/>
  <c r="D193" i="38"/>
  <c r="O193" i="38" s="1"/>
  <c r="R193" i="38"/>
  <c r="L193" i="38"/>
  <c r="M193" i="38"/>
  <c r="N193" i="38"/>
  <c r="Q193" i="38"/>
  <c r="T193" i="38"/>
  <c r="V193" i="38"/>
  <c r="W193" i="38"/>
  <c r="X193" i="38"/>
  <c r="Y193" i="38"/>
  <c r="Z193" i="38"/>
  <c r="AA193" i="38"/>
  <c r="AB193" i="38"/>
  <c r="AC193" i="38"/>
  <c r="AD193" i="38"/>
  <c r="D194" i="38"/>
  <c r="L194" i="38"/>
  <c r="M194" i="38"/>
  <c r="N194" i="38"/>
  <c r="O194" i="38"/>
  <c r="P194" i="38"/>
  <c r="R194" i="38"/>
  <c r="S194" i="38"/>
  <c r="V194" i="38"/>
  <c r="W194" i="38"/>
  <c r="X194" i="38"/>
  <c r="Y194" i="38"/>
  <c r="D195" i="38"/>
  <c r="L195" i="38"/>
  <c r="M195" i="38"/>
  <c r="N195" i="38"/>
  <c r="O195" i="38"/>
  <c r="P195" i="38" s="1"/>
  <c r="Q195" i="38"/>
  <c r="V195" i="38"/>
  <c r="W195" i="38"/>
  <c r="X195" i="38"/>
  <c r="Y195" i="38"/>
  <c r="D196" i="38"/>
  <c r="Q196" i="38"/>
  <c r="R196" i="38"/>
  <c r="L196" i="38"/>
  <c r="M196" i="38"/>
  <c r="N196" i="38"/>
  <c r="O196" i="38"/>
  <c r="Z196" i="38" s="1"/>
  <c r="V196" i="38"/>
  <c r="W196" i="38"/>
  <c r="X196" i="38"/>
  <c r="Y196" i="38"/>
  <c r="AA196" i="38"/>
  <c r="AB196" i="38"/>
  <c r="AC196" i="38"/>
  <c r="AD196" i="38"/>
  <c r="D197" i="38"/>
  <c r="O197" i="38" s="1"/>
  <c r="L197" i="38"/>
  <c r="M197" i="38"/>
  <c r="N197" i="38"/>
  <c r="T197" i="38"/>
  <c r="V197" i="38"/>
  <c r="W197" i="38"/>
  <c r="X197" i="38"/>
  <c r="Y197" i="38"/>
  <c r="Z197" i="38"/>
  <c r="AA197" i="38"/>
  <c r="AB197" i="38"/>
  <c r="AC197" i="38"/>
  <c r="AD197" i="38"/>
  <c r="D198" i="38"/>
  <c r="L198" i="38"/>
  <c r="M198" i="38"/>
  <c r="N198" i="38"/>
  <c r="O198" i="38"/>
  <c r="Q198" i="38" s="1"/>
  <c r="P198" i="38"/>
  <c r="R198" i="38"/>
  <c r="V198" i="38"/>
  <c r="W198" i="38"/>
  <c r="X198" i="38"/>
  <c r="Y198" i="38"/>
  <c r="D199" i="38"/>
  <c r="L199" i="38"/>
  <c r="M199" i="38"/>
  <c r="N199" i="38"/>
  <c r="O199" i="38"/>
  <c r="Q199" i="38" s="1"/>
  <c r="P199" i="38"/>
  <c r="R199" i="38"/>
  <c r="V199" i="38"/>
  <c r="W199" i="38"/>
  <c r="X199" i="38"/>
  <c r="Y199" i="38"/>
  <c r="D200" i="38"/>
  <c r="Y200" i="38" s="1"/>
  <c r="L200" i="38"/>
  <c r="M200" i="38"/>
  <c r="N200" i="38"/>
  <c r="O200" i="38"/>
  <c r="V200" i="38"/>
  <c r="W200" i="38"/>
  <c r="X200" i="38"/>
  <c r="D201" i="38"/>
  <c r="O201" i="38" s="1"/>
  <c r="L201" i="38"/>
  <c r="M201" i="38"/>
  <c r="N201" i="38"/>
  <c r="V201" i="38"/>
  <c r="W201" i="38"/>
  <c r="X201" i="38"/>
  <c r="Y201" i="38"/>
  <c r="Z201" i="38"/>
  <c r="AA201" i="38"/>
  <c r="AB201" i="38"/>
  <c r="AC201" i="38"/>
  <c r="AD201" i="38"/>
  <c r="D202" i="38"/>
  <c r="L202" i="38"/>
  <c r="M202" i="38"/>
  <c r="N202" i="38"/>
  <c r="O202" i="38"/>
  <c r="V202" i="38"/>
  <c r="W202" i="38"/>
  <c r="X202" i="38"/>
  <c r="Y202" i="38"/>
  <c r="D203" i="38"/>
  <c r="Y203" i="38" s="1"/>
  <c r="L203" i="38"/>
  <c r="M203" i="38"/>
  <c r="N203" i="38"/>
  <c r="O203" i="38"/>
  <c r="P203" i="38"/>
  <c r="V203" i="38"/>
  <c r="W203" i="38"/>
  <c r="X203" i="38"/>
  <c r="D204" i="38"/>
  <c r="Y204" i="38" s="1"/>
  <c r="L204" i="38"/>
  <c r="M204" i="38"/>
  <c r="N204" i="38"/>
  <c r="O204" i="38"/>
  <c r="P204" i="38" s="1"/>
  <c r="V204" i="38"/>
  <c r="W204" i="38"/>
  <c r="X204" i="38"/>
  <c r="D205" i="38"/>
  <c r="O205" i="38" s="1"/>
  <c r="L205" i="38"/>
  <c r="M205" i="38"/>
  <c r="N205" i="38"/>
  <c r="V205" i="38"/>
  <c r="W205" i="38"/>
  <c r="X205" i="38"/>
  <c r="Y205" i="38"/>
  <c r="Z205" i="38"/>
  <c r="AA205" i="38"/>
  <c r="AC205" i="38"/>
  <c r="AD205" i="38"/>
  <c r="D206" i="38"/>
  <c r="Q206" i="38"/>
  <c r="L206" i="38"/>
  <c r="M206" i="38"/>
  <c r="N206" i="38"/>
  <c r="O206" i="38"/>
  <c r="Z206" i="38" s="1"/>
  <c r="R206" i="38"/>
  <c r="S206" i="38"/>
  <c r="T206" i="38"/>
  <c r="V206" i="38"/>
  <c r="W206" i="38"/>
  <c r="X206" i="38"/>
  <c r="Y206" i="38"/>
  <c r="AA206" i="38"/>
  <c r="AB206" i="38"/>
  <c r="AC206" i="38"/>
  <c r="AD206" i="38"/>
  <c r="D207" i="38"/>
  <c r="O207" i="38" s="1"/>
  <c r="S207" i="38" s="1"/>
  <c r="L207" i="38"/>
  <c r="M207" i="38"/>
  <c r="N207" i="38"/>
  <c r="P207" i="38"/>
  <c r="Q207" i="38"/>
  <c r="R207" i="38"/>
  <c r="T207" i="38"/>
  <c r="V207" i="38"/>
  <c r="W207" i="38"/>
  <c r="X207" i="38"/>
  <c r="Y207" i="38"/>
  <c r="Z207" i="38"/>
  <c r="AA207" i="38"/>
  <c r="AB207" i="38"/>
  <c r="AC207" i="38"/>
  <c r="AD207" i="38"/>
  <c r="D208" i="38"/>
  <c r="L208" i="38"/>
  <c r="M208" i="38"/>
  <c r="N208" i="38"/>
  <c r="O208" i="38"/>
  <c r="P208" i="38" s="1"/>
  <c r="V208" i="38"/>
  <c r="W208" i="38"/>
  <c r="X208" i="38"/>
  <c r="Y208" i="38"/>
  <c r="D209" i="38"/>
  <c r="O209" i="38" s="1"/>
  <c r="L209" i="38"/>
  <c r="M209" i="38"/>
  <c r="N209" i="38"/>
  <c r="V209" i="38"/>
  <c r="W209" i="38"/>
  <c r="X209" i="38"/>
  <c r="D210" i="38"/>
  <c r="O210" i="38" s="1"/>
  <c r="L210" i="38"/>
  <c r="M210" i="38"/>
  <c r="N210" i="38"/>
  <c r="S210" i="38"/>
  <c r="T210" i="38"/>
  <c r="V210" i="38"/>
  <c r="W210" i="38"/>
  <c r="X210" i="38"/>
  <c r="Y210" i="38"/>
  <c r="Z210" i="38"/>
  <c r="AA210" i="38"/>
  <c r="AB210" i="38"/>
  <c r="AC210" i="38"/>
  <c r="AD210" i="38"/>
  <c r="D211" i="38"/>
  <c r="O211" i="38" s="1"/>
  <c r="AB211" i="38" s="1"/>
  <c r="L211" i="38"/>
  <c r="M211" i="38"/>
  <c r="N211" i="38"/>
  <c r="P211" i="38"/>
  <c r="Q211" i="38"/>
  <c r="R211" i="38"/>
  <c r="S211" i="38"/>
  <c r="T211" i="38"/>
  <c r="V211" i="38"/>
  <c r="W211" i="38"/>
  <c r="X211" i="38"/>
  <c r="Y211" i="38"/>
  <c r="Z211" i="38"/>
  <c r="AA211" i="38"/>
  <c r="AC211" i="38"/>
  <c r="AD211" i="38"/>
  <c r="D212" i="38"/>
  <c r="L212" i="38"/>
  <c r="M212" i="38"/>
  <c r="N212" i="38"/>
  <c r="O212" i="38"/>
  <c r="V212" i="38"/>
  <c r="W212" i="38"/>
  <c r="X212" i="38"/>
  <c r="Y212" i="38"/>
  <c r="D213" i="38"/>
  <c r="L213" i="38"/>
  <c r="M213" i="38"/>
  <c r="N213" i="38"/>
  <c r="V213" i="38"/>
  <c r="W213" i="38"/>
  <c r="X213" i="38"/>
  <c r="D214" i="38"/>
  <c r="L214" i="38"/>
  <c r="M214" i="38"/>
  <c r="N214" i="38"/>
  <c r="V214" i="38"/>
  <c r="W214" i="38"/>
  <c r="X214" i="38"/>
  <c r="D215" i="38"/>
  <c r="L215" i="38"/>
  <c r="M215" i="38"/>
  <c r="N215" i="38"/>
  <c r="O215" i="38"/>
  <c r="P215" i="38"/>
  <c r="Q215" i="38"/>
  <c r="R215" i="38"/>
  <c r="S215" i="38"/>
  <c r="T215" i="38"/>
  <c r="V215" i="38"/>
  <c r="W215" i="38"/>
  <c r="X215" i="38"/>
  <c r="Y215" i="38"/>
  <c r="D216" i="38"/>
  <c r="R216" i="38"/>
  <c r="L216" i="38"/>
  <c r="M216" i="38"/>
  <c r="N216" i="38"/>
  <c r="O216" i="38"/>
  <c r="P216" i="38"/>
  <c r="Q216" i="38"/>
  <c r="V216" i="38"/>
  <c r="W216" i="38"/>
  <c r="X216" i="38"/>
  <c r="Y216" i="38"/>
  <c r="AD216" i="38"/>
  <c r="D217" i="38"/>
  <c r="L217" i="38"/>
  <c r="M217" i="38"/>
  <c r="N217" i="38"/>
  <c r="V217" i="38"/>
  <c r="W217" i="38"/>
  <c r="X217" i="38"/>
  <c r="D218" i="38"/>
  <c r="L218" i="38"/>
  <c r="M218" i="38"/>
  <c r="N218" i="38"/>
  <c r="V218" i="38"/>
  <c r="W218" i="38"/>
  <c r="X218" i="38"/>
  <c r="D219" i="38"/>
  <c r="Y219" i="38" s="1"/>
  <c r="L219" i="38"/>
  <c r="M219" i="38"/>
  <c r="N219" i="38"/>
  <c r="O219" i="38"/>
  <c r="Q219" i="38" s="1"/>
  <c r="P219" i="38"/>
  <c r="T219" i="38"/>
  <c r="V219" i="38"/>
  <c r="W219" i="38"/>
  <c r="X219" i="38"/>
  <c r="D220" i="38"/>
  <c r="Y220" i="38" s="1"/>
  <c r="AA220" i="38"/>
  <c r="AC220" i="38"/>
  <c r="AD220" i="38"/>
  <c r="L220" i="38"/>
  <c r="M220" i="38"/>
  <c r="N220" i="38"/>
  <c r="O220" i="38"/>
  <c r="P220" i="38" s="1"/>
  <c r="V220" i="38"/>
  <c r="W220" i="38"/>
  <c r="X220" i="38"/>
  <c r="D221" i="38"/>
  <c r="O221" i="38" s="1"/>
  <c r="AA221" i="38"/>
  <c r="AC221" i="38"/>
  <c r="AD221" i="38"/>
  <c r="L221" i="38"/>
  <c r="M221" i="38"/>
  <c r="N221" i="38"/>
  <c r="V221" i="38"/>
  <c r="W221" i="38"/>
  <c r="X221" i="38"/>
  <c r="D222" i="38"/>
  <c r="L222" i="38"/>
  <c r="M222" i="38"/>
  <c r="N222" i="38"/>
  <c r="O222" i="38"/>
  <c r="P222" i="38" s="1"/>
  <c r="V222" i="38"/>
  <c r="W222" i="38"/>
  <c r="X222" i="38"/>
  <c r="Y222" i="38"/>
  <c r="Z222" i="38"/>
  <c r="D223" i="38"/>
  <c r="S223" i="38"/>
  <c r="L223" i="38"/>
  <c r="M223" i="38"/>
  <c r="N223" i="38"/>
  <c r="O223" i="38"/>
  <c r="P223" i="38" s="1"/>
  <c r="V223" i="38"/>
  <c r="W223" i="38"/>
  <c r="X223" i="38"/>
  <c r="Y223" i="38"/>
  <c r="AD223" i="38"/>
  <c r="D224" i="38"/>
  <c r="L224" i="38"/>
  <c r="M224" i="38"/>
  <c r="N224" i="38"/>
  <c r="V224" i="38"/>
  <c r="W224" i="38"/>
  <c r="X224" i="38"/>
  <c r="D225" i="38"/>
  <c r="L225" i="38"/>
  <c r="M225" i="38"/>
  <c r="N225" i="38"/>
  <c r="V225" i="38"/>
  <c r="W225" i="38"/>
  <c r="X225" i="38"/>
  <c r="D226" i="38"/>
  <c r="Y226" i="38" s="1"/>
  <c r="L226" i="38"/>
  <c r="M226" i="38"/>
  <c r="N226" i="38"/>
  <c r="O226" i="38"/>
  <c r="Q226" i="38" s="1"/>
  <c r="P226" i="38"/>
  <c r="R226" i="38"/>
  <c r="S226" i="38"/>
  <c r="T226" i="38"/>
  <c r="V226" i="38"/>
  <c r="W226" i="38"/>
  <c r="X226" i="38"/>
  <c r="D227" i="38"/>
  <c r="L227" i="38"/>
  <c r="M227" i="38"/>
  <c r="N227" i="38"/>
  <c r="V227" i="38"/>
  <c r="W227" i="38"/>
  <c r="X227" i="38"/>
  <c r="D228" i="38"/>
  <c r="O228" i="38" s="1"/>
  <c r="L228" i="38"/>
  <c r="M228" i="38"/>
  <c r="N228" i="38"/>
  <c r="V228" i="38"/>
  <c r="W228" i="38"/>
  <c r="X228" i="38"/>
  <c r="Y228" i="38"/>
  <c r="Z228" i="38"/>
  <c r="AC228" i="38"/>
  <c r="D229" i="38"/>
  <c r="L229" i="38"/>
  <c r="M229" i="38"/>
  <c r="N229" i="38"/>
  <c r="O229" i="38"/>
  <c r="Q229" i="38" s="1"/>
  <c r="P229" i="38"/>
  <c r="R229" i="38"/>
  <c r="S229" i="38"/>
  <c r="T229" i="38"/>
  <c r="V229" i="38"/>
  <c r="W229" i="38"/>
  <c r="X229" i="38"/>
  <c r="Y229" i="38"/>
  <c r="D230" i="38"/>
  <c r="Y230" i="38" s="1"/>
  <c r="L230" i="38"/>
  <c r="M230" i="38"/>
  <c r="N230" i="38"/>
  <c r="O230" i="38"/>
  <c r="Q230" i="38" s="1"/>
  <c r="P230" i="38"/>
  <c r="R230" i="38"/>
  <c r="V230" i="38"/>
  <c r="W230" i="38"/>
  <c r="X230" i="38"/>
  <c r="AB230" i="38"/>
  <c r="AC230" i="38"/>
  <c r="AD230" i="38"/>
  <c r="D231" i="38"/>
  <c r="O231" i="38" s="1"/>
  <c r="L231" i="38"/>
  <c r="M231" i="38"/>
  <c r="N231" i="38"/>
  <c r="V231" i="38"/>
  <c r="W231" i="38"/>
  <c r="X231" i="38"/>
  <c r="Y231" i="38"/>
  <c r="Z231" i="38"/>
  <c r="AB231" i="38"/>
  <c r="AC231" i="38"/>
  <c r="AD231" i="38"/>
  <c r="D232" i="38"/>
  <c r="L232" i="38"/>
  <c r="M232" i="38"/>
  <c r="N232" i="38"/>
  <c r="V232" i="38"/>
  <c r="W232" i="38"/>
  <c r="X232" i="38"/>
  <c r="D233" i="38"/>
  <c r="L233" i="38"/>
  <c r="M233" i="38"/>
  <c r="N233" i="38"/>
  <c r="O233" i="38"/>
  <c r="P233" i="38"/>
  <c r="Q233" i="38"/>
  <c r="R233" i="38"/>
  <c r="T233" i="38"/>
  <c r="V233" i="38"/>
  <c r="W233" i="38"/>
  <c r="X233" i="38"/>
  <c r="Y233" i="38"/>
  <c r="AD233" i="38"/>
  <c r="D234" i="38"/>
  <c r="O234" i="38" s="1"/>
  <c r="L234" i="38"/>
  <c r="M234" i="38"/>
  <c r="N234" i="38"/>
  <c r="V234" i="38"/>
  <c r="W234" i="38"/>
  <c r="X234" i="38"/>
  <c r="Y234" i="38"/>
  <c r="Z234" i="38"/>
  <c r="AA234" i="38"/>
  <c r="AB234" i="38"/>
  <c r="AC234" i="38"/>
  <c r="AD234" i="38"/>
  <c r="D235" i="38"/>
  <c r="O235" i="38" s="1"/>
  <c r="L235" i="38"/>
  <c r="M235" i="38"/>
  <c r="N235" i="38"/>
  <c r="Q235" i="38"/>
  <c r="R235" i="38"/>
  <c r="S235" i="38"/>
  <c r="V235" i="38"/>
  <c r="W235" i="38"/>
  <c r="X235" i="38"/>
  <c r="Y235" i="38"/>
  <c r="Z235" i="38"/>
  <c r="AA235" i="38"/>
  <c r="AB235" i="38"/>
  <c r="AC235" i="38"/>
  <c r="D236" i="38"/>
  <c r="L236" i="38"/>
  <c r="M236" i="38"/>
  <c r="N236" i="38"/>
  <c r="O236" i="38"/>
  <c r="Q236" i="38" s="1"/>
  <c r="S236" i="38"/>
  <c r="T236" i="38"/>
  <c r="V236" i="38"/>
  <c r="W236" i="38"/>
  <c r="X236" i="38"/>
  <c r="Y236" i="38"/>
  <c r="D237" i="38"/>
  <c r="Y237" i="38" s="1"/>
  <c r="L237" i="38"/>
  <c r="M237" i="38"/>
  <c r="N237" i="38"/>
  <c r="O237" i="38"/>
  <c r="V237" i="38"/>
  <c r="W237" i="38"/>
  <c r="X237" i="38"/>
  <c r="Z237" i="38"/>
  <c r="AA237" i="38"/>
  <c r="AB237" i="38"/>
  <c r="AC237" i="38"/>
  <c r="D238" i="38"/>
  <c r="O238" i="38" s="1"/>
  <c r="T238" i="38" s="1"/>
  <c r="L238" i="38"/>
  <c r="M238" i="38"/>
  <c r="N238" i="38"/>
  <c r="S238" i="38"/>
  <c r="V238" i="38"/>
  <c r="W238" i="38"/>
  <c r="X238" i="38"/>
  <c r="Y238" i="38"/>
  <c r="Z238" i="38"/>
  <c r="AA238" i="38"/>
  <c r="AB238" i="38"/>
  <c r="AD238" i="38"/>
  <c r="D239" i="38"/>
  <c r="L239" i="38"/>
  <c r="M239" i="38"/>
  <c r="N239" i="38"/>
  <c r="O239" i="38"/>
  <c r="P239" i="38"/>
  <c r="Q239" i="38"/>
  <c r="R239" i="38"/>
  <c r="S239" i="38"/>
  <c r="T239" i="38"/>
  <c r="V239" i="38"/>
  <c r="W239" i="38"/>
  <c r="X239" i="38"/>
  <c r="Y239" i="38"/>
  <c r="AC239" i="38"/>
  <c r="D240" i="38"/>
  <c r="Y240" i="38" s="1"/>
  <c r="L240" i="38"/>
  <c r="M240" i="38"/>
  <c r="N240" i="38"/>
  <c r="O240" i="38"/>
  <c r="P240" i="38" s="1"/>
  <c r="V240" i="38"/>
  <c r="W240" i="38"/>
  <c r="X240" i="38"/>
  <c r="D241" i="38"/>
  <c r="O241" i="38" s="1"/>
  <c r="AB241" i="38"/>
  <c r="AD241" i="38"/>
  <c r="L241" i="38"/>
  <c r="M241" i="38"/>
  <c r="N241" i="38"/>
  <c r="P241" i="38"/>
  <c r="V241" i="38"/>
  <c r="W241" i="38"/>
  <c r="X241" i="38"/>
  <c r="Y241" i="38"/>
  <c r="Z241" i="38"/>
  <c r="AA241" i="38"/>
  <c r="AC241" i="38"/>
  <c r="D242" i="38"/>
  <c r="L242" i="38"/>
  <c r="M242" i="38"/>
  <c r="N242" i="38"/>
  <c r="O242" i="38"/>
  <c r="P242" i="38" s="1"/>
  <c r="V242" i="38"/>
  <c r="W242" i="38"/>
  <c r="X242" i="38"/>
  <c r="Y242" i="38"/>
  <c r="D243" i="38"/>
  <c r="L243" i="38"/>
  <c r="M243" i="38"/>
  <c r="N243" i="38"/>
  <c r="O243" i="38"/>
  <c r="P243" i="38"/>
  <c r="Q243" i="38"/>
  <c r="V243" i="38"/>
  <c r="W243" i="38"/>
  <c r="X243" i="38"/>
  <c r="Y243" i="38"/>
  <c r="D244" i="38"/>
  <c r="L244" i="38"/>
  <c r="M244" i="38"/>
  <c r="N244" i="38"/>
  <c r="V244" i="38"/>
  <c r="W244" i="38"/>
  <c r="X244" i="38"/>
  <c r="D245" i="38"/>
  <c r="L245" i="38"/>
  <c r="M245" i="38"/>
  <c r="N245" i="38"/>
  <c r="V245" i="38"/>
  <c r="W245" i="38"/>
  <c r="X245" i="38"/>
  <c r="D246" i="38"/>
  <c r="L246" i="38"/>
  <c r="M246" i="38"/>
  <c r="N246" i="38"/>
  <c r="O246" i="38"/>
  <c r="P246" i="38" s="1"/>
  <c r="S246" i="38"/>
  <c r="V246" i="38"/>
  <c r="W246" i="38"/>
  <c r="X246" i="38"/>
  <c r="Y246" i="38"/>
  <c r="AA246" i="38"/>
  <c r="D247" i="38"/>
  <c r="O247" i="38" s="1"/>
  <c r="L247" i="38"/>
  <c r="M247" i="38"/>
  <c r="N247" i="38"/>
  <c r="V247" i="38"/>
  <c r="W247" i="38"/>
  <c r="X247" i="38"/>
  <c r="D248" i="38"/>
  <c r="L248" i="38"/>
  <c r="M248" i="38"/>
  <c r="N248" i="38"/>
  <c r="V248" i="38"/>
  <c r="W248" i="38"/>
  <c r="X248" i="38"/>
  <c r="D249" i="38"/>
  <c r="L249" i="38"/>
  <c r="M249" i="38"/>
  <c r="N249" i="38"/>
  <c r="O249" i="38"/>
  <c r="P249" i="38" s="1"/>
  <c r="V249" i="38"/>
  <c r="W249" i="38"/>
  <c r="X249" i="38"/>
  <c r="Y249" i="38"/>
  <c r="D250" i="38"/>
  <c r="Y250" i="38" s="1"/>
  <c r="L250" i="38"/>
  <c r="M250" i="38"/>
  <c r="N250" i="38"/>
  <c r="O250" i="38"/>
  <c r="Q250" i="38"/>
  <c r="R250" i="38"/>
  <c r="V250" i="38"/>
  <c r="W250" i="38"/>
  <c r="X250" i="38"/>
  <c r="D251" i="38"/>
  <c r="O251" i="38" s="1"/>
  <c r="Z251" i="38"/>
  <c r="AB251" i="38"/>
  <c r="L251" i="38"/>
  <c r="M251" i="38"/>
  <c r="N251" i="38"/>
  <c r="P251" i="38"/>
  <c r="T251" i="38"/>
  <c r="V251" i="38"/>
  <c r="W251" i="38"/>
  <c r="X251" i="38"/>
  <c r="Y251" i="38"/>
  <c r="AA251" i="38"/>
  <c r="AC251" i="38"/>
  <c r="D252" i="38"/>
  <c r="Y252" i="38" s="1"/>
  <c r="L252" i="38"/>
  <c r="M252" i="38"/>
  <c r="N252" i="38"/>
  <c r="O252" i="38"/>
  <c r="P252" i="38" s="1"/>
  <c r="V252" i="38"/>
  <c r="W252" i="38"/>
  <c r="X252" i="38"/>
  <c r="D253" i="38"/>
  <c r="L253" i="38"/>
  <c r="M253" i="38"/>
  <c r="N253" i="38"/>
  <c r="O253" i="38"/>
  <c r="V253" i="38"/>
  <c r="W253" i="38"/>
  <c r="X253" i="38"/>
  <c r="Y253" i="38"/>
  <c r="D254" i="38"/>
  <c r="O254" i="38" s="1"/>
  <c r="R254" i="38"/>
  <c r="AD254" i="38"/>
  <c r="L254" i="38"/>
  <c r="M254" i="38"/>
  <c r="N254" i="38"/>
  <c r="V254" i="38"/>
  <c r="W254" i="38"/>
  <c r="X254" i="38"/>
  <c r="Y254" i="38"/>
  <c r="AA254" i="38"/>
  <c r="AB254" i="38"/>
  <c r="AC254" i="38"/>
  <c r="D255" i="38"/>
  <c r="L255" i="38"/>
  <c r="M255" i="38"/>
  <c r="N255" i="38"/>
  <c r="V255" i="38"/>
  <c r="W255" i="38"/>
  <c r="X255" i="38"/>
  <c r="D256" i="38"/>
  <c r="L256" i="38"/>
  <c r="M256" i="38"/>
  <c r="N256" i="38"/>
  <c r="V256" i="38"/>
  <c r="W256" i="38"/>
  <c r="X256" i="38"/>
  <c r="D257" i="38"/>
  <c r="Y257" i="38" s="1"/>
  <c r="L257" i="38"/>
  <c r="M257" i="38"/>
  <c r="N257" i="38"/>
  <c r="O257" i="38"/>
  <c r="R257" i="38" s="1"/>
  <c r="Q257" i="38"/>
  <c r="S257" i="38"/>
  <c r="T257" i="38"/>
  <c r="V257" i="38"/>
  <c r="W257" i="38"/>
  <c r="X257" i="38"/>
  <c r="D258" i="38"/>
  <c r="O258" i="38" s="1"/>
  <c r="AD258" i="38" s="1"/>
  <c r="R258" i="38"/>
  <c r="L258" i="38"/>
  <c r="M258" i="38"/>
  <c r="N258" i="38"/>
  <c r="T258" i="38"/>
  <c r="V258" i="38"/>
  <c r="W258" i="38"/>
  <c r="X258" i="38"/>
  <c r="Y258" i="38"/>
  <c r="D259" i="38"/>
  <c r="Y259" i="38" s="1"/>
  <c r="L259" i="38"/>
  <c r="M259" i="38"/>
  <c r="N259" i="38"/>
  <c r="O259" i="38"/>
  <c r="V259" i="38"/>
  <c r="W259" i="38"/>
  <c r="X259" i="38"/>
  <c r="D260" i="38"/>
  <c r="AD260" i="38"/>
  <c r="L260" i="38"/>
  <c r="M260" i="38"/>
  <c r="N260" i="38"/>
  <c r="O260" i="38"/>
  <c r="P260" i="38" s="1"/>
  <c r="V260" i="38"/>
  <c r="W260" i="38"/>
  <c r="X260" i="38"/>
  <c r="Y260" i="38"/>
  <c r="AA260" i="38"/>
  <c r="AB260" i="38"/>
  <c r="AC260" i="38"/>
  <c r="D261" i="38"/>
  <c r="O261" i="38" s="1"/>
  <c r="L261" i="38"/>
  <c r="M261" i="38"/>
  <c r="N261" i="38"/>
  <c r="P261" i="38"/>
  <c r="T261" i="38"/>
  <c r="V261" i="38"/>
  <c r="W261" i="38"/>
  <c r="X261" i="38"/>
  <c r="Y261" i="38"/>
  <c r="Z261" i="38"/>
  <c r="AA261" i="38"/>
  <c r="AB261" i="38"/>
  <c r="AC261" i="38"/>
  <c r="AD261" i="38"/>
  <c r="D262" i="38"/>
  <c r="L262" i="38"/>
  <c r="M262" i="38"/>
  <c r="N262" i="38"/>
  <c r="O262" i="38"/>
  <c r="V262" i="38"/>
  <c r="W262" i="38"/>
  <c r="X262" i="38"/>
  <c r="Y262" i="38"/>
  <c r="D263" i="38"/>
  <c r="L263" i="38"/>
  <c r="M263" i="38"/>
  <c r="N263" i="38"/>
  <c r="O263" i="38"/>
  <c r="Q263" i="38"/>
  <c r="V263" i="38"/>
  <c r="W263" i="38"/>
  <c r="X263" i="38"/>
  <c r="Y263" i="38"/>
  <c r="D264" i="38"/>
  <c r="Y264" i="38" s="1"/>
  <c r="L264" i="38"/>
  <c r="M264" i="38"/>
  <c r="N264" i="38"/>
  <c r="O264" i="38"/>
  <c r="V264" i="38"/>
  <c r="W264" i="38"/>
  <c r="X264" i="38"/>
  <c r="AB264" i="38"/>
  <c r="AC264" i="38"/>
  <c r="D265" i="38"/>
  <c r="O265" i="38" s="1"/>
  <c r="L265" i="38"/>
  <c r="M265" i="38"/>
  <c r="N265" i="38"/>
  <c r="V265" i="38"/>
  <c r="W265" i="38"/>
  <c r="X265" i="38"/>
  <c r="Y265" i="38"/>
  <c r="AA265" i="38"/>
  <c r="AB265" i="38"/>
  <c r="AC265" i="38"/>
  <c r="AD265" i="38"/>
  <c r="D266" i="38"/>
  <c r="L266" i="38"/>
  <c r="M266" i="38"/>
  <c r="N266" i="38"/>
  <c r="V266" i="38"/>
  <c r="W266" i="38"/>
  <c r="X266" i="38"/>
  <c r="D267" i="38"/>
  <c r="Y267" i="38" s="1"/>
  <c r="L267" i="38"/>
  <c r="M267" i="38"/>
  <c r="N267" i="38"/>
  <c r="V267" i="38"/>
  <c r="W267" i="38"/>
  <c r="X267" i="38"/>
  <c r="D268" i="38"/>
  <c r="L268" i="38"/>
  <c r="M268" i="38"/>
  <c r="N268" i="38"/>
  <c r="O268" i="38"/>
  <c r="R268" i="38" s="1"/>
  <c r="V268" i="38"/>
  <c r="W268" i="38"/>
  <c r="X268" i="38"/>
  <c r="Y268" i="38"/>
  <c r="D269" i="38"/>
  <c r="Q269" i="38"/>
  <c r="AB269" i="38"/>
  <c r="AC269" i="38"/>
  <c r="L269" i="38"/>
  <c r="M269" i="38"/>
  <c r="N269" i="38"/>
  <c r="O269" i="38"/>
  <c r="R269" i="38" s="1"/>
  <c r="V269" i="38"/>
  <c r="W269" i="38"/>
  <c r="X269" i="38"/>
  <c r="Y269" i="38"/>
  <c r="AD269" i="38"/>
  <c r="D270" i="38"/>
  <c r="AA270" i="38"/>
  <c r="AB270" i="38"/>
  <c r="L270" i="38"/>
  <c r="M270" i="38"/>
  <c r="N270" i="38"/>
  <c r="O270" i="38"/>
  <c r="S270" i="38"/>
  <c r="T270" i="38"/>
  <c r="V270" i="38"/>
  <c r="W270" i="38"/>
  <c r="X270" i="38"/>
  <c r="Y270" i="38"/>
  <c r="AC270" i="38"/>
  <c r="AD270" i="38"/>
  <c r="D271" i="38"/>
  <c r="L271" i="38"/>
  <c r="M271" i="38"/>
  <c r="N271" i="38"/>
  <c r="O271" i="38"/>
  <c r="Q271" i="38" s="1"/>
  <c r="V271" i="38"/>
  <c r="W271" i="38"/>
  <c r="X271" i="38"/>
  <c r="Y271" i="38"/>
  <c r="D272" i="38"/>
  <c r="Y272" i="38" s="1"/>
  <c r="L272" i="38"/>
  <c r="M272" i="38"/>
  <c r="N272" i="38"/>
  <c r="O272" i="38"/>
  <c r="P272" i="38" s="1"/>
  <c r="V272" i="38"/>
  <c r="W272" i="38"/>
  <c r="X272" i="38"/>
  <c r="D273" i="38"/>
  <c r="O273" i="38" s="1"/>
  <c r="AD273" i="38"/>
  <c r="L273" i="38"/>
  <c r="M273" i="38"/>
  <c r="N273" i="38"/>
  <c r="V273" i="38"/>
  <c r="W273" i="38"/>
  <c r="X273" i="38"/>
  <c r="Y273" i="38"/>
  <c r="D274" i="38"/>
  <c r="O274" i="38" s="1"/>
  <c r="L274" i="38"/>
  <c r="M274" i="38"/>
  <c r="N274" i="38"/>
  <c r="S274" i="38"/>
  <c r="V274" i="38"/>
  <c r="W274" i="38"/>
  <c r="X274" i="38"/>
  <c r="Y274" i="38"/>
  <c r="Z274" i="38"/>
  <c r="AA274" i="38"/>
  <c r="AB274" i="38"/>
  <c r="AD274" i="38"/>
  <c r="D275" i="38"/>
  <c r="O275" i="38" s="1"/>
  <c r="R275" i="38" s="1"/>
  <c r="L275" i="38"/>
  <c r="M275" i="38"/>
  <c r="N275" i="38"/>
  <c r="P275" i="38"/>
  <c r="Q275" i="38"/>
  <c r="S275" i="38"/>
  <c r="T275" i="38"/>
  <c r="V275" i="38"/>
  <c r="W275" i="38"/>
  <c r="X275" i="38"/>
  <c r="Y275" i="38"/>
  <c r="Z275" i="38"/>
  <c r="AA275" i="38"/>
  <c r="AB275" i="38"/>
  <c r="AC275" i="38"/>
  <c r="AD275" i="38"/>
  <c r="D276" i="38"/>
  <c r="Y276" i="38" s="1"/>
  <c r="L276" i="38"/>
  <c r="M276" i="38"/>
  <c r="N276" i="38"/>
  <c r="O276" i="38"/>
  <c r="Q276" i="38"/>
  <c r="V276" i="38"/>
  <c r="W276" i="38"/>
  <c r="X276" i="38"/>
  <c r="D277" i="38"/>
  <c r="Y277" i="38" s="1"/>
  <c r="L277" i="38"/>
  <c r="M277" i="38"/>
  <c r="N277" i="38"/>
  <c r="O277" i="38"/>
  <c r="V277" i="38"/>
  <c r="W277" i="38"/>
  <c r="X277" i="38"/>
  <c r="D278" i="38"/>
  <c r="L278" i="38"/>
  <c r="M278" i="38"/>
  <c r="N278" i="38"/>
  <c r="V278" i="38"/>
  <c r="W278" i="38"/>
  <c r="X278" i="38"/>
  <c r="D279" i="38"/>
  <c r="O279" i="38" s="1"/>
  <c r="L279" i="38"/>
  <c r="M279" i="38"/>
  <c r="N279" i="38"/>
  <c r="P279" i="38"/>
  <c r="Q279" i="38"/>
  <c r="R279" i="38"/>
  <c r="T279" i="38"/>
  <c r="V279" i="38"/>
  <c r="W279" i="38"/>
  <c r="X279" i="38"/>
  <c r="Y279" i="38"/>
  <c r="Z279" i="38"/>
  <c r="AA279" i="38"/>
  <c r="D280" i="38"/>
  <c r="L280" i="38"/>
  <c r="M280" i="38"/>
  <c r="N280" i="38"/>
  <c r="O280" i="38"/>
  <c r="P280" i="38" s="1"/>
  <c r="S280" i="38"/>
  <c r="V280" i="38"/>
  <c r="W280" i="38"/>
  <c r="X280" i="38"/>
  <c r="Y280" i="38"/>
  <c r="AA280" i="38"/>
  <c r="D281" i="38"/>
  <c r="L281" i="38"/>
  <c r="M281" i="38"/>
  <c r="N281" i="38"/>
  <c r="O281" i="38"/>
  <c r="P281" i="38" s="1"/>
  <c r="V281" i="38"/>
  <c r="W281" i="38"/>
  <c r="X281" i="38"/>
  <c r="Y281" i="38"/>
  <c r="AC281" i="38"/>
  <c r="AD281" i="38"/>
  <c r="D282" i="38"/>
  <c r="T282" i="38"/>
  <c r="L282" i="38"/>
  <c r="M282" i="38"/>
  <c r="N282" i="38"/>
  <c r="O282" i="38"/>
  <c r="Q282" i="38" s="1"/>
  <c r="P282" i="38"/>
  <c r="V282" i="38"/>
  <c r="W282" i="38"/>
  <c r="X282" i="38"/>
  <c r="Y282" i="38"/>
  <c r="AA282" i="38"/>
  <c r="AB282" i="38"/>
  <c r="AC282" i="38"/>
  <c r="AD282" i="38"/>
  <c r="D283" i="38"/>
  <c r="O283" i="38" s="1"/>
  <c r="L283" i="38"/>
  <c r="M283" i="38"/>
  <c r="N283" i="38"/>
  <c r="P283" i="38"/>
  <c r="Q283" i="38"/>
  <c r="R283" i="38"/>
  <c r="T283" i="38"/>
  <c r="V283" i="38"/>
  <c r="W283" i="38"/>
  <c r="X283" i="38"/>
  <c r="Y283" i="38"/>
  <c r="Z283" i="38"/>
  <c r="AC283" i="38"/>
  <c r="D284" i="38"/>
  <c r="O284" i="38" s="1"/>
  <c r="L284" i="38"/>
  <c r="M284" i="38"/>
  <c r="N284" i="38"/>
  <c r="V284" i="38"/>
  <c r="W284" i="38"/>
  <c r="X284" i="38"/>
  <c r="D285" i="38"/>
  <c r="O285" i="38" s="1"/>
  <c r="T285" i="38" s="1"/>
  <c r="R285" i="38"/>
  <c r="L285" i="38"/>
  <c r="M285" i="38"/>
  <c r="N285" i="38"/>
  <c r="P285" i="38"/>
  <c r="V285" i="38"/>
  <c r="W285" i="38"/>
  <c r="X285" i="38"/>
  <c r="AA285" i="38"/>
  <c r="AC285" i="38"/>
  <c r="AD285" i="38"/>
  <c r="D286" i="38"/>
  <c r="T286" i="38"/>
  <c r="L286" i="38"/>
  <c r="M286" i="38"/>
  <c r="N286" i="38"/>
  <c r="O286" i="38"/>
  <c r="V286" i="38"/>
  <c r="W286" i="38"/>
  <c r="X286" i="38"/>
  <c r="Y286" i="38"/>
  <c r="AA286" i="38"/>
  <c r="AB286" i="38"/>
  <c r="D287" i="38"/>
  <c r="O287" i="38" s="1"/>
  <c r="L287" i="38"/>
  <c r="M287" i="38"/>
  <c r="N287" i="38"/>
  <c r="V287" i="38"/>
  <c r="W287" i="38"/>
  <c r="X287" i="38"/>
  <c r="Y287" i="38"/>
  <c r="Z287" i="38"/>
  <c r="AA287" i="38"/>
  <c r="AB287" i="38"/>
  <c r="AC287" i="38"/>
  <c r="D288" i="38"/>
  <c r="O288" i="38" s="1"/>
  <c r="L288" i="38"/>
  <c r="M288" i="38"/>
  <c r="N288" i="38"/>
  <c r="V288" i="38"/>
  <c r="W288" i="38"/>
  <c r="X288" i="38"/>
  <c r="Y288" i="38"/>
  <c r="D289" i="38"/>
  <c r="Y289" i="38" s="1"/>
  <c r="L289" i="38"/>
  <c r="M289" i="38"/>
  <c r="N289" i="38"/>
  <c r="O289" i="38"/>
  <c r="P289" i="38" s="1"/>
  <c r="V289" i="38"/>
  <c r="W289" i="38"/>
  <c r="X289" i="38"/>
  <c r="AB289" i="38"/>
  <c r="AD289" i="38"/>
  <c r="D290" i="38"/>
  <c r="P290" i="38"/>
  <c r="T290" i="38"/>
  <c r="L290" i="38"/>
  <c r="M290" i="38"/>
  <c r="N290" i="38"/>
  <c r="O290" i="38"/>
  <c r="Z290" i="38" s="1"/>
  <c r="Q290" i="38"/>
  <c r="V290" i="38"/>
  <c r="W290" i="38"/>
  <c r="X290" i="38"/>
  <c r="Y290" i="38"/>
  <c r="AA290" i="38"/>
  <c r="AB290" i="38"/>
  <c r="AD290" i="38"/>
  <c r="D291" i="38"/>
  <c r="L291" i="38"/>
  <c r="M291" i="38"/>
  <c r="N291" i="38"/>
  <c r="V291" i="38"/>
  <c r="W291" i="38"/>
  <c r="X291" i="38"/>
  <c r="D292" i="38"/>
  <c r="L292" i="38"/>
  <c r="M292" i="38"/>
  <c r="N292" i="38"/>
  <c r="V292" i="38"/>
  <c r="W292" i="38"/>
  <c r="X292" i="38"/>
  <c r="D293" i="38"/>
  <c r="Y293" i="38" s="1"/>
  <c r="L293" i="38"/>
  <c r="M293" i="38"/>
  <c r="N293" i="38"/>
  <c r="O293" i="38"/>
  <c r="P293" i="38" s="1"/>
  <c r="V293" i="38"/>
  <c r="W293" i="38"/>
  <c r="X293" i="38"/>
  <c r="AD293" i="38"/>
  <c r="D294" i="38"/>
  <c r="L294" i="38"/>
  <c r="M294" i="38"/>
  <c r="N294" i="38"/>
  <c r="V294" i="38"/>
  <c r="W294" i="38"/>
  <c r="X294" i="38"/>
  <c r="D295" i="38"/>
  <c r="L295" i="38"/>
  <c r="M295" i="38"/>
  <c r="N295" i="38"/>
  <c r="V295" i="38"/>
  <c r="W295" i="38"/>
  <c r="X295" i="38"/>
  <c r="D296" i="38"/>
  <c r="L296" i="38"/>
  <c r="M296" i="38"/>
  <c r="N296" i="38"/>
  <c r="V296" i="38"/>
  <c r="W296" i="38"/>
  <c r="X296" i="38"/>
  <c r="D297" i="38"/>
  <c r="Y297" i="38" s="1"/>
  <c r="L297" i="38"/>
  <c r="M297" i="38"/>
  <c r="N297" i="38"/>
  <c r="O297" i="38"/>
  <c r="P297" i="38" s="1"/>
  <c r="V297" i="38"/>
  <c r="W297" i="38"/>
  <c r="X297" i="38"/>
  <c r="D298" i="38"/>
  <c r="Y298" i="38" s="1"/>
  <c r="L298" i="38"/>
  <c r="M298" i="38"/>
  <c r="N298" i="38"/>
  <c r="O298" i="38"/>
  <c r="V298" i="38"/>
  <c r="W298" i="38"/>
  <c r="X298" i="38"/>
  <c r="D299" i="38"/>
  <c r="O299" i="38" s="1"/>
  <c r="L299" i="38"/>
  <c r="M299" i="38"/>
  <c r="N299" i="38"/>
  <c r="P299" i="38"/>
  <c r="T299" i="38"/>
  <c r="V299" i="38"/>
  <c r="W299" i="38"/>
  <c r="X299" i="38"/>
  <c r="Y299" i="38"/>
  <c r="AA299" i="38"/>
  <c r="AB299" i="38"/>
  <c r="AC299" i="38"/>
  <c r="AD299" i="38"/>
  <c r="D300" i="38"/>
  <c r="L300" i="38"/>
  <c r="M300" i="38"/>
  <c r="N300" i="38"/>
  <c r="O300" i="38"/>
  <c r="Q300" i="38"/>
  <c r="V300" i="38"/>
  <c r="W300" i="38"/>
  <c r="X300" i="38"/>
  <c r="Y300" i="38"/>
  <c r="D301" i="38"/>
  <c r="O301" i="38" s="1"/>
  <c r="L301" i="38"/>
  <c r="M301" i="38"/>
  <c r="N301" i="38"/>
  <c r="P301" i="38"/>
  <c r="Q301" i="38"/>
  <c r="T301" i="38"/>
  <c r="V301" i="38"/>
  <c r="W301" i="38"/>
  <c r="X301" i="38"/>
  <c r="Y301" i="38"/>
  <c r="AA301" i="38"/>
  <c r="AC301" i="38"/>
  <c r="D302" i="38"/>
  <c r="Y302" i="38" s="1"/>
  <c r="T302" i="38"/>
  <c r="L302" i="38"/>
  <c r="M302" i="38"/>
  <c r="N302" i="38"/>
  <c r="O302" i="38"/>
  <c r="P302" i="38" s="1"/>
  <c r="R302" i="38"/>
  <c r="V302" i="38"/>
  <c r="W302" i="38"/>
  <c r="X302" i="38"/>
  <c r="D303" i="38"/>
  <c r="T303" i="38"/>
  <c r="L303" i="38"/>
  <c r="M303" i="38"/>
  <c r="N303" i="38"/>
  <c r="O303" i="38"/>
  <c r="Q303" i="38" s="1"/>
  <c r="P303" i="38"/>
  <c r="V303" i="38"/>
  <c r="W303" i="38"/>
  <c r="X303" i="38"/>
  <c r="Y303" i="38"/>
  <c r="AC303" i="38"/>
  <c r="AD303" i="38"/>
  <c r="D304" i="38"/>
  <c r="O304" i="38" s="1"/>
  <c r="R304" i="38"/>
  <c r="L304" i="38"/>
  <c r="M304" i="38"/>
  <c r="N304" i="38"/>
  <c r="P304" i="38"/>
  <c r="S304" i="38"/>
  <c r="V304" i="38"/>
  <c r="W304" i="38"/>
  <c r="X304" i="38"/>
  <c r="Y304" i="38"/>
  <c r="AC304" i="38"/>
  <c r="AD304" i="38"/>
  <c r="D305" i="38"/>
  <c r="O305" i="38" s="1"/>
  <c r="L305" i="38"/>
  <c r="M305" i="38"/>
  <c r="N305" i="38"/>
  <c r="P305" i="38"/>
  <c r="R305" i="38"/>
  <c r="S305" i="38"/>
  <c r="T305" i="38"/>
  <c r="V305" i="38"/>
  <c r="W305" i="38"/>
  <c r="X305" i="38"/>
  <c r="Y305" i="38"/>
  <c r="AA305" i="38"/>
  <c r="AB305" i="38"/>
  <c r="AC305" i="38"/>
  <c r="D306" i="38"/>
  <c r="Y306" i="38" s="1"/>
  <c r="L306" i="38"/>
  <c r="M306" i="38"/>
  <c r="N306" i="38"/>
  <c r="O306" i="38"/>
  <c r="V306" i="38"/>
  <c r="W306" i="38"/>
  <c r="X306" i="38"/>
  <c r="D307" i="38"/>
  <c r="L307" i="38"/>
  <c r="M307" i="38"/>
  <c r="N307" i="38"/>
  <c r="O307" i="38"/>
  <c r="P307" i="38"/>
  <c r="V307" i="38"/>
  <c r="W307" i="38"/>
  <c r="X307" i="38"/>
  <c r="Y307" i="38"/>
  <c r="D308" i="38"/>
  <c r="L308" i="38"/>
  <c r="M308" i="38"/>
  <c r="N308" i="38"/>
  <c r="V308" i="38"/>
  <c r="W308" i="38"/>
  <c r="X308" i="38"/>
  <c r="D309" i="38"/>
  <c r="O309" i="38" s="1"/>
  <c r="L309" i="38"/>
  <c r="M309" i="38"/>
  <c r="N309" i="38"/>
  <c r="V309" i="38"/>
  <c r="W309" i="38"/>
  <c r="X309" i="38"/>
  <c r="Y309" i="38"/>
  <c r="Z309" i="38"/>
  <c r="AA309" i="38"/>
  <c r="AB309" i="38"/>
  <c r="AC309" i="38"/>
  <c r="AD309" i="38"/>
  <c r="D310" i="38"/>
  <c r="L310" i="38"/>
  <c r="M310" i="38"/>
  <c r="N310" i="38"/>
  <c r="O310" i="38"/>
  <c r="Z310" i="38" s="1"/>
  <c r="S310" i="38"/>
  <c r="T310" i="38"/>
  <c r="V310" i="38"/>
  <c r="W310" i="38"/>
  <c r="X310" i="38"/>
  <c r="Y310" i="38"/>
  <c r="AA310" i="38"/>
  <c r="AB310" i="38"/>
  <c r="AC310" i="38"/>
  <c r="AD310" i="38"/>
  <c r="D311" i="38"/>
  <c r="L311" i="38"/>
  <c r="M311" i="38"/>
  <c r="N311" i="38"/>
  <c r="O311" i="38"/>
  <c r="P311" i="38"/>
  <c r="Q311" i="38"/>
  <c r="T311" i="38"/>
  <c r="V311" i="38"/>
  <c r="W311" i="38"/>
  <c r="X311" i="38"/>
  <c r="Y311" i="38"/>
  <c r="Z311" i="38"/>
  <c r="AB311" i="38"/>
  <c r="D312" i="38"/>
  <c r="Y312" i="38" s="1"/>
  <c r="L312" i="38"/>
  <c r="M312" i="38"/>
  <c r="N312" i="38"/>
  <c r="O312" i="38"/>
  <c r="P312" i="38" s="1"/>
  <c r="Q312" i="38"/>
  <c r="R312" i="38"/>
  <c r="S312" i="38"/>
  <c r="V312" i="38"/>
  <c r="W312" i="38"/>
  <c r="X312" i="38"/>
  <c r="D313" i="38"/>
  <c r="Y313" i="38" s="1"/>
  <c r="S313" i="38"/>
  <c r="L313" i="38"/>
  <c r="M313" i="38"/>
  <c r="N313" i="38"/>
  <c r="O313" i="38"/>
  <c r="P313" i="38"/>
  <c r="Q313" i="38"/>
  <c r="V313" i="38"/>
  <c r="W313" i="38"/>
  <c r="X313" i="38"/>
  <c r="D314" i="38"/>
  <c r="L314" i="38"/>
  <c r="M314" i="38"/>
  <c r="N314" i="38"/>
  <c r="V314" i="38"/>
  <c r="W314" i="38"/>
  <c r="X314" i="38"/>
  <c r="D315" i="38"/>
  <c r="O315" i="38" s="1"/>
  <c r="Q315" i="38"/>
  <c r="R315" i="38"/>
  <c r="T315" i="38"/>
  <c r="L315" i="38"/>
  <c r="M315" i="38"/>
  <c r="N315" i="38"/>
  <c r="S315" i="38"/>
  <c r="V315" i="38"/>
  <c r="W315" i="38"/>
  <c r="X315" i="38"/>
  <c r="Y315" i="38"/>
  <c r="Z315" i="38"/>
  <c r="AA315" i="38"/>
  <c r="AB315" i="38"/>
  <c r="AC315" i="38"/>
  <c r="AD315" i="38"/>
  <c r="D316" i="38"/>
  <c r="L316" i="38"/>
  <c r="M316" i="38"/>
  <c r="N316" i="38"/>
  <c r="V316" i="38"/>
  <c r="W316" i="38"/>
  <c r="X316" i="38"/>
  <c r="D317" i="38"/>
  <c r="L317" i="38"/>
  <c r="M317" i="38"/>
  <c r="N317" i="38"/>
  <c r="O317" i="38"/>
  <c r="V317" i="38"/>
  <c r="W317" i="38"/>
  <c r="X317" i="38"/>
  <c r="Y317" i="38"/>
  <c r="Z317" i="38"/>
  <c r="D318" i="38"/>
  <c r="L318" i="38"/>
  <c r="M318" i="38"/>
  <c r="N318" i="38"/>
  <c r="O318" i="38"/>
  <c r="V318" i="38"/>
  <c r="W318" i="38"/>
  <c r="X318" i="38"/>
  <c r="Y318" i="38"/>
  <c r="D319" i="38"/>
  <c r="L319" i="38"/>
  <c r="M319" i="38"/>
  <c r="N319" i="38"/>
  <c r="O319" i="38"/>
  <c r="P319" i="38" s="1"/>
  <c r="V319" i="38"/>
  <c r="W319" i="38"/>
  <c r="X319" i="38"/>
  <c r="Y319" i="38"/>
  <c r="D320" i="38"/>
  <c r="L320" i="38"/>
  <c r="M320" i="38"/>
  <c r="N320" i="38"/>
  <c r="O320" i="38"/>
  <c r="P320" i="38" s="1"/>
  <c r="V320" i="38"/>
  <c r="W320" i="38"/>
  <c r="X320" i="38"/>
  <c r="Y320" i="38"/>
  <c r="AA320" i="38"/>
  <c r="AC320" i="38"/>
  <c r="AD320" i="38"/>
  <c r="D321" i="38"/>
  <c r="O321" i="38" s="1"/>
  <c r="L321" i="38"/>
  <c r="M321" i="38"/>
  <c r="N321" i="38"/>
  <c r="V321" i="38"/>
  <c r="W321" i="38"/>
  <c r="X321" i="38"/>
  <c r="Y321" i="38"/>
  <c r="Z321" i="38"/>
  <c r="AA321" i="38"/>
  <c r="AB321" i="38"/>
  <c r="AC321" i="38"/>
  <c r="AD321" i="38"/>
  <c r="D322" i="38"/>
  <c r="O322" i="38" s="1"/>
  <c r="L322" i="38"/>
  <c r="M322" i="38"/>
  <c r="N322" i="38"/>
  <c r="P322" i="38"/>
  <c r="R322" i="38"/>
  <c r="S322" i="38"/>
  <c r="T322" i="38"/>
  <c r="V322" i="38"/>
  <c r="W322" i="38"/>
  <c r="X322" i="38"/>
  <c r="Y322" i="38"/>
  <c r="Z322" i="38"/>
  <c r="AA322" i="38"/>
  <c r="D323" i="38"/>
  <c r="L323" i="38"/>
  <c r="M323" i="38"/>
  <c r="N323" i="38"/>
  <c r="O323" i="38"/>
  <c r="P323" i="38" s="1"/>
  <c r="R323" i="38"/>
  <c r="S323" i="38"/>
  <c r="V323" i="38"/>
  <c r="W323" i="38"/>
  <c r="X323" i="38"/>
  <c r="Y323" i="38"/>
  <c r="D324" i="38"/>
  <c r="Y324" i="38" s="1"/>
  <c r="L324" i="38"/>
  <c r="M324" i="38"/>
  <c r="N324" i="38"/>
  <c r="O324" i="38"/>
  <c r="R324" i="38" s="1"/>
  <c r="P324" i="38"/>
  <c r="Q324" i="38"/>
  <c r="S324" i="38"/>
  <c r="V324" i="38"/>
  <c r="W324" i="38"/>
  <c r="X324" i="38"/>
  <c r="D325" i="38"/>
  <c r="O325" i="38" s="1"/>
  <c r="R325" i="38"/>
  <c r="T325" i="38"/>
  <c r="L325" i="38"/>
  <c r="M325" i="38"/>
  <c r="N325" i="38"/>
  <c r="P325" i="38"/>
  <c r="Q325" i="38"/>
  <c r="V325" i="38"/>
  <c r="W325" i="38"/>
  <c r="X325" i="38"/>
  <c r="Y325" i="38"/>
  <c r="Z325" i="38"/>
  <c r="AB325" i="38"/>
  <c r="AC325" i="38"/>
  <c r="AD325" i="38"/>
  <c r="D326" i="38"/>
  <c r="O326" i="38" s="1"/>
  <c r="L326" i="38"/>
  <c r="M326" i="38"/>
  <c r="N326" i="38"/>
  <c r="V326" i="38"/>
  <c r="W326" i="38"/>
  <c r="X326" i="38"/>
  <c r="Y326" i="38"/>
  <c r="Z326" i="38"/>
  <c r="AA326" i="38"/>
  <c r="AB326" i="38"/>
  <c r="D327" i="38"/>
  <c r="O327" i="38" s="1"/>
  <c r="L327" i="38"/>
  <c r="M327" i="38"/>
  <c r="N327" i="38"/>
  <c r="T327" i="38"/>
  <c r="V327" i="38"/>
  <c r="W327" i="38"/>
  <c r="X327" i="38"/>
  <c r="Y327" i="38"/>
  <c r="Z327" i="38"/>
  <c r="AA327" i="38"/>
  <c r="AB327" i="38"/>
  <c r="AC327" i="38"/>
  <c r="D328" i="38"/>
  <c r="L328" i="38"/>
  <c r="M328" i="38"/>
  <c r="N328" i="38"/>
  <c r="O328" i="38"/>
  <c r="R328" i="38"/>
  <c r="S328" i="38"/>
  <c r="T328" i="38"/>
  <c r="V328" i="38"/>
  <c r="W328" i="38"/>
  <c r="X328" i="38"/>
  <c r="Y328" i="38"/>
  <c r="AA328" i="38"/>
  <c r="AB328" i="38"/>
  <c r="D329" i="38"/>
  <c r="Y329" i="38" s="1"/>
  <c r="L329" i="38"/>
  <c r="M329" i="38"/>
  <c r="N329" i="38"/>
  <c r="O329" i="38"/>
  <c r="P329" i="38" s="1"/>
  <c r="Q329" i="38"/>
  <c r="R329" i="38"/>
  <c r="S329" i="38"/>
  <c r="V329" i="38"/>
  <c r="W329" i="38"/>
  <c r="X329" i="38"/>
  <c r="Z329" i="38"/>
  <c r="D330" i="38"/>
  <c r="S330" i="38"/>
  <c r="L330" i="38"/>
  <c r="M330" i="38"/>
  <c r="N330" i="38"/>
  <c r="O330" i="38"/>
  <c r="Z330" i="38" s="1"/>
  <c r="P330" i="38"/>
  <c r="Q330" i="38"/>
  <c r="R330" i="38"/>
  <c r="T330" i="38"/>
  <c r="V330" i="38"/>
  <c r="W330" i="38"/>
  <c r="X330" i="38"/>
  <c r="Y330" i="38"/>
  <c r="AA330" i="38"/>
  <c r="AB330" i="38"/>
  <c r="AC330" i="38"/>
  <c r="AD330" i="38"/>
  <c r="D331" i="38"/>
  <c r="L331" i="38"/>
  <c r="M331" i="38"/>
  <c r="N331" i="38"/>
  <c r="O331" i="38"/>
  <c r="V331" i="38"/>
  <c r="W331" i="38"/>
  <c r="X331" i="38"/>
  <c r="Y331" i="38"/>
  <c r="D332" i="38"/>
  <c r="O332" i="38" s="1"/>
  <c r="L332" i="38"/>
  <c r="M332" i="38"/>
  <c r="N332" i="38"/>
  <c r="V332" i="38"/>
  <c r="W332" i="38"/>
  <c r="X332" i="38"/>
  <c r="Y332" i="38"/>
  <c r="Z332" i="38"/>
  <c r="AB332" i="38"/>
  <c r="AC332" i="38"/>
  <c r="AD332" i="38"/>
  <c r="D333" i="38"/>
  <c r="L333" i="38"/>
  <c r="M333" i="38"/>
  <c r="N333" i="38"/>
  <c r="V333" i="38"/>
  <c r="W333" i="38"/>
  <c r="X333" i="38"/>
  <c r="D334" i="38"/>
  <c r="L334" i="38"/>
  <c r="M334" i="38"/>
  <c r="N334" i="38"/>
  <c r="V334" i="38"/>
  <c r="W334" i="38"/>
  <c r="X334" i="38"/>
  <c r="D335" i="38"/>
  <c r="O335" i="38" s="1"/>
  <c r="L335" i="38"/>
  <c r="M335" i="38"/>
  <c r="N335" i="38"/>
  <c r="Q335" i="38"/>
  <c r="R335" i="38"/>
  <c r="S335" i="38"/>
  <c r="T335" i="38"/>
  <c r="V335" i="38"/>
  <c r="W335" i="38"/>
  <c r="X335" i="38"/>
  <c r="Y335" i="38"/>
  <c r="Z335" i="38"/>
  <c r="AA335" i="38"/>
  <c r="AB335" i="38"/>
  <c r="AC335" i="38"/>
  <c r="AD335" i="38"/>
  <c r="D336" i="38"/>
  <c r="Y336" i="38" s="1"/>
  <c r="L336" i="38"/>
  <c r="M336" i="38"/>
  <c r="N336" i="38"/>
  <c r="O336" i="38"/>
  <c r="P336" i="38"/>
  <c r="Q336" i="38"/>
  <c r="R336" i="38"/>
  <c r="S336" i="38"/>
  <c r="V336" i="38"/>
  <c r="W336" i="38"/>
  <c r="X336" i="38"/>
  <c r="D337" i="38"/>
  <c r="L337" i="38"/>
  <c r="M337" i="38"/>
  <c r="N337" i="38"/>
  <c r="O337" i="38"/>
  <c r="V337" i="38"/>
  <c r="W337" i="38"/>
  <c r="X337" i="38"/>
  <c r="Y337" i="38"/>
  <c r="AA337" i="38"/>
  <c r="AB337" i="38"/>
  <c r="AC337" i="38"/>
  <c r="AD337" i="38"/>
  <c r="D338" i="38"/>
  <c r="L338" i="38"/>
  <c r="M338" i="38"/>
  <c r="N338" i="38"/>
  <c r="V338" i="38"/>
  <c r="W338" i="38"/>
  <c r="X338" i="38"/>
  <c r="D339" i="38"/>
  <c r="L339" i="38"/>
  <c r="M339" i="38"/>
  <c r="N339" i="38"/>
  <c r="V339" i="38"/>
  <c r="W339" i="38"/>
  <c r="X339" i="38"/>
  <c r="D340" i="38"/>
  <c r="L340" i="38"/>
  <c r="M340" i="38"/>
  <c r="N340" i="38"/>
  <c r="O340" i="38"/>
  <c r="Q340" i="38" s="1"/>
  <c r="P340" i="38"/>
  <c r="T340" i="38"/>
  <c r="V340" i="38"/>
  <c r="W340" i="38"/>
  <c r="X340" i="38"/>
  <c r="Y340" i="38"/>
  <c r="AB340" i="38"/>
  <c r="D341" i="38"/>
  <c r="Y341" i="38" s="1"/>
  <c r="L341" i="38"/>
  <c r="M341" i="38"/>
  <c r="N341" i="38"/>
  <c r="O341" i="38"/>
  <c r="P341" i="38" s="1"/>
  <c r="V341" i="38"/>
  <c r="W341" i="38"/>
  <c r="X341" i="38"/>
  <c r="D342" i="38"/>
  <c r="O342" i="38" s="1"/>
  <c r="Q342" i="38"/>
  <c r="R342" i="38"/>
  <c r="T342" i="38"/>
  <c r="L342" i="38"/>
  <c r="M342" i="38"/>
  <c r="N342" i="38"/>
  <c r="V342" i="38"/>
  <c r="W342" i="38"/>
  <c r="X342" i="38"/>
  <c r="Y342" i="38"/>
  <c r="Z342" i="38"/>
  <c r="AB342" i="38"/>
  <c r="AC342" i="38"/>
  <c r="AD342" i="38"/>
  <c r="D343" i="38"/>
  <c r="L343" i="38"/>
  <c r="M343" i="38"/>
  <c r="N343" i="38"/>
  <c r="V343" i="38"/>
  <c r="W343" i="38"/>
  <c r="X343" i="38"/>
  <c r="D344" i="38"/>
  <c r="L344" i="38"/>
  <c r="M344" i="38"/>
  <c r="N344" i="38"/>
  <c r="V344" i="38"/>
  <c r="W344" i="38"/>
  <c r="X344" i="38"/>
  <c r="D345" i="38"/>
  <c r="O345" i="38" s="1"/>
  <c r="S345" i="38" s="1"/>
  <c r="L345" i="38"/>
  <c r="M345" i="38"/>
  <c r="N345" i="38"/>
  <c r="Q345" i="38"/>
  <c r="R345" i="38"/>
  <c r="T345" i="38"/>
  <c r="V345" i="38"/>
  <c r="W345" i="38"/>
  <c r="X345" i="38"/>
  <c r="Y345" i="38"/>
  <c r="Z345" i="38"/>
  <c r="AA345" i="38"/>
  <c r="AB345" i="38"/>
  <c r="AC345" i="38"/>
  <c r="D346" i="38"/>
  <c r="Y346" i="38" s="1"/>
  <c r="L346" i="38"/>
  <c r="M346" i="38"/>
  <c r="N346" i="38"/>
  <c r="O346" i="38"/>
  <c r="R346" i="38" s="1"/>
  <c r="V346" i="38"/>
  <c r="W346" i="38"/>
  <c r="X346" i="38"/>
  <c r="AB346" i="38"/>
  <c r="D347" i="38"/>
  <c r="Y347" i="38" s="1"/>
  <c r="L347" i="38"/>
  <c r="M347" i="38"/>
  <c r="N347" i="38"/>
  <c r="O347" i="38"/>
  <c r="V347" i="38"/>
  <c r="W347" i="38"/>
  <c r="X347" i="38"/>
  <c r="AA347" i="38"/>
  <c r="AD347" i="38"/>
  <c r="D348" i="38"/>
  <c r="L348" i="38"/>
  <c r="M348" i="38"/>
  <c r="N348" i="38"/>
  <c r="V348" i="38"/>
  <c r="W348" i="38"/>
  <c r="X348" i="38"/>
  <c r="D349" i="38"/>
  <c r="L349" i="38"/>
  <c r="M349" i="38"/>
  <c r="N349" i="38"/>
  <c r="V349" i="38"/>
  <c r="W349" i="38"/>
  <c r="X349" i="38"/>
  <c r="D350" i="38"/>
  <c r="L350" i="38"/>
  <c r="M350" i="38"/>
  <c r="N350" i="38"/>
  <c r="O350" i="38"/>
  <c r="Q350" i="38" s="1"/>
  <c r="V350" i="38"/>
  <c r="W350" i="38"/>
  <c r="X350" i="38"/>
  <c r="Y350" i="38"/>
  <c r="AB350" i="38"/>
  <c r="D351" i="38"/>
  <c r="L351" i="38"/>
  <c r="M351" i="38"/>
  <c r="N351" i="38"/>
  <c r="V351" i="38"/>
  <c r="W351" i="38"/>
  <c r="X351" i="38"/>
  <c r="D352" i="38"/>
  <c r="Y352" i="38" s="1"/>
  <c r="L352" i="38"/>
  <c r="M352" i="38"/>
  <c r="N352" i="38"/>
  <c r="O352" i="38"/>
  <c r="P352" i="38"/>
  <c r="V352" i="38"/>
  <c r="W352" i="38"/>
  <c r="X352" i="38"/>
  <c r="AD352" i="38"/>
  <c r="D353" i="38"/>
  <c r="L353" i="38"/>
  <c r="M353" i="38"/>
  <c r="N353" i="38"/>
  <c r="V353" i="38"/>
  <c r="W353" i="38"/>
  <c r="X353" i="38"/>
  <c r="D354" i="38"/>
  <c r="L354" i="38"/>
  <c r="M354" i="38"/>
  <c r="N354" i="38"/>
  <c r="V354" i="38"/>
  <c r="W354" i="38"/>
  <c r="X354" i="38"/>
  <c r="D355" i="38"/>
  <c r="O355" i="38" s="1"/>
  <c r="T355" i="38"/>
  <c r="L355" i="38"/>
  <c r="M355" i="38"/>
  <c r="N355" i="38"/>
  <c r="Q355" i="38"/>
  <c r="R355" i="38"/>
  <c r="S355" i="38"/>
  <c r="V355" i="38"/>
  <c r="W355" i="38"/>
  <c r="X355" i="38"/>
  <c r="Y355" i="38"/>
  <c r="Z355" i="38"/>
  <c r="AA355" i="38"/>
  <c r="AB355" i="38"/>
  <c r="AC355" i="38"/>
  <c r="AD355" i="38"/>
  <c r="D356" i="38"/>
  <c r="Y356" i="38" s="1"/>
  <c r="Q356" i="38"/>
  <c r="L356" i="38"/>
  <c r="M356" i="38"/>
  <c r="N356" i="38"/>
  <c r="O356" i="38"/>
  <c r="R356" i="38"/>
  <c r="S356" i="38"/>
  <c r="V356" i="38"/>
  <c r="W356" i="38"/>
  <c r="X356" i="38"/>
  <c r="AC356" i="38"/>
  <c r="D357" i="38"/>
  <c r="O357" i="38" s="1"/>
  <c r="R357" i="38"/>
  <c r="T357" i="38"/>
  <c r="L357" i="38"/>
  <c r="M357" i="38"/>
  <c r="N357" i="38"/>
  <c r="P357" i="38"/>
  <c r="V357" i="38"/>
  <c r="W357" i="38"/>
  <c r="X357" i="38"/>
  <c r="Y357" i="38"/>
  <c r="Z357" i="38"/>
  <c r="AA357" i="38"/>
  <c r="AB357" i="38"/>
  <c r="AC357" i="38"/>
  <c r="AD357" i="38"/>
  <c r="D358" i="38"/>
  <c r="L358" i="38"/>
  <c r="M358" i="38"/>
  <c r="N358" i="38"/>
  <c r="O358" i="38"/>
  <c r="T358" i="38" s="1"/>
  <c r="V358" i="38"/>
  <c r="W358" i="38"/>
  <c r="X358" i="38"/>
  <c r="Y358" i="38"/>
  <c r="Z358" i="38"/>
  <c r="AB358" i="38"/>
  <c r="AC358" i="38"/>
  <c r="D359" i="38"/>
  <c r="O359" i="38" s="1"/>
  <c r="L359" i="38"/>
  <c r="M359" i="38"/>
  <c r="N359" i="38"/>
  <c r="P359" i="38"/>
  <c r="Q359" i="38"/>
  <c r="T359" i="38"/>
  <c r="V359" i="38"/>
  <c r="W359" i="38"/>
  <c r="X359" i="38"/>
  <c r="Y359" i="38"/>
  <c r="AA359" i="38"/>
  <c r="AB359" i="38"/>
  <c r="AC359" i="38"/>
  <c r="D360" i="38"/>
  <c r="L360" i="38"/>
  <c r="M360" i="38"/>
  <c r="N360" i="38"/>
  <c r="O360" i="38"/>
  <c r="Q360" i="38"/>
  <c r="R360" i="38"/>
  <c r="T360" i="38"/>
  <c r="V360" i="38"/>
  <c r="W360" i="38"/>
  <c r="X360" i="38"/>
  <c r="Y360" i="38"/>
  <c r="AA360" i="38"/>
  <c r="AB360" i="38"/>
  <c r="AC360" i="38"/>
  <c r="AD360" i="38"/>
  <c r="D361" i="38"/>
  <c r="L361" i="38"/>
  <c r="M361" i="38"/>
  <c r="N361" i="38"/>
  <c r="O361" i="38"/>
  <c r="P361" i="38" s="1"/>
  <c r="V361" i="38"/>
  <c r="W361" i="38"/>
  <c r="X361" i="38"/>
  <c r="Y361" i="38"/>
  <c r="AC361" i="38"/>
  <c r="D362" i="38"/>
  <c r="L362" i="38"/>
  <c r="M362" i="38"/>
  <c r="N362" i="38"/>
  <c r="O362" i="38"/>
  <c r="Q362" i="38" s="1"/>
  <c r="P362" i="38"/>
  <c r="V362" i="38"/>
  <c r="W362" i="38"/>
  <c r="X362" i="38"/>
  <c r="Y362" i="38"/>
  <c r="D363" i="38"/>
  <c r="L363" i="38"/>
  <c r="M363" i="38"/>
  <c r="N363" i="38"/>
  <c r="O363" i="38"/>
  <c r="Q363" i="38"/>
  <c r="V363" i="38"/>
  <c r="W363" i="38"/>
  <c r="X363" i="38"/>
  <c r="Y363" i="38"/>
  <c r="D364" i="38"/>
  <c r="L364" i="38"/>
  <c r="M364" i="38"/>
  <c r="N364" i="38"/>
  <c r="O364" i="38"/>
  <c r="V364" i="38"/>
  <c r="W364" i="38"/>
  <c r="X364" i="38"/>
  <c r="Y364" i="38"/>
  <c r="D365" i="38"/>
  <c r="O365" i="38" s="1"/>
  <c r="L365" i="38"/>
  <c r="M365" i="38"/>
  <c r="N365" i="38"/>
  <c r="R365" i="38"/>
  <c r="V365" i="38"/>
  <c r="W365" i="38"/>
  <c r="X365" i="38"/>
  <c r="Y365" i="38"/>
  <c r="AA365" i="38"/>
  <c r="AB365" i="38"/>
  <c r="AD365" i="38"/>
  <c r="D366" i="38"/>
  <c r="T366" i="38"/>
  <c r="L366" i="38"/>
  <c r="M366" i="38"/>
  <c r="N366" i="38"/>
  <c r="O366" i="38"/>
  <c r="P366" i="38" s="1"/>
  <c r="V366" i="38"/>
  <c r="W366" i="38"/>
  <c r="X366" i="38"/>
  <c r="Y366" i="38"/>
  <c r="AA366" i="38"/>
  <c r="AB366" i="38"/>
  <c r="D367" i="38"/>
  <c r="L367" i="38"/>
  <c r="M367" i="38"/>
  <c r="N367" i="38"/>
  <c r="V367" i="38"/>
  <c r="W367" i="38"/>
  <c r="X367" i="38"/>
  <c r="D368" i="38"/>
  <c r="L368" i="38"/>
  <c r="M368" i="38"/>
  <c r="N368" i="38"/>
  <c r="O368" i="38"/>
  <c r="S368" i="38"/>
  <c r="V368" i="38"/>
  <c r="W368" i="38"/>
  <c r="X368" i="38"/>
  <c r="Y368" i="38"/>
  <c r="D369" i="38"/>
  <c r="L369" i="38"/>
  <c r="M369" i="38"/>
  <c r="N369" i="38"/>
  <c r="O369" i="38"/>
  <c r="S369" i="38" s="1"/>
  <c r="V369" i="38"/>
  <c r="W369" i="38"/>
  <c r="X369" i="38"/>
  <c r="Y369" i="38"/>
  <c r="D370" i="38"/>
  <c r="L370" i="38"/>
  <c r="M370" i="38"/>
  <c r="N370" i="38"/>
  <c r="O370" i="38"/>
  <c r="P370" i="38" s="1"/>
  <c r="V370" i="38"/>
  <c r="W370" i="38"/>
  <c r="X370" i="38"/>
  <c r="Y370" i="38"/>
  <c r="D371" i="38"/>
  <c r="L371" i="38"/>
  <c r="M371" i="38"/>
  <c r="N371" i="38"/>
  <c r="V371" i="38"/>
  <c r="W371" i="38"/>
  <c r="X371" i="38"/>
  <c r="D372" i="38"/>
  <c r="O372" i="38" s="1"/>
  <c r="AC372" i="38" s="1"/>
  <c r="L372" i="38"/>
  <c r="M372" i="38"/>
  <c r="N372" i="38"/>
  <c r="Q372" i="38"/>
  <c r="R372" i="38"/>
  <c r="V372" i="38"/>
  <c r="W372" i="38"/>
  <c r="X372" i="38"/>
  <c r="Y372" i="38"/>
  <c r="AA372" i="38"/>
  <c r="AB372" i="38"/>
  <c r="D373" i="38"/>
  <c r="L373" i="38"/>
  <c r="M373" i="38"/>
  <c r="N373" i="38"/>
  <c r="O373" i="38"/>
  <c r="P373" i="38" s="1"/>
  <c r="T373" i="38"/>
  <c r="V373" i="38"/>
  <c r="W373" i="38"/>
  <c r="X373" i="38"/>
  <c r="Y373" i="38"/>
  <c r="AA373" i="38"/>
  <c r="AC373" i="38"/>
  <c r="AD373" i="38"/>
  <c r="D374" i="38"/>
  <c r="P374" i="38"/>
  <c r="S374" i="38"/>
  <c r="L374" i="38"/>
  <c r="M374" i="38"/>
  <c r="N374" i="38"/>
  <c r="O374" i="38"/>
  <c r="R374" i="38"/>
  <c r="V374" i="38"/>
  <c r="W374" i="38"/>
  <c r="X374" i="38"/>
  <c r="Y374" i="38"/>
  <c r="AB374" i="38"/>
  <c r="AC374" i="38"/>
  <c r="AD374" i="38"/>
  <c r="D375" i="38"/>
  <c r="O375" i="38" s="1"/>
  <c r="R375" i="38"/>
  <c r="L375" i="38"/>
  <c r="M375" i="38"/>
  <c r="N375" i="38"/>
  <c r="V375" i="38"/>
  <c r="W375" i="38"/>
  <c r="X375" i="38"/>
  <c r="Y375" i="38"/>
  <c r="Z375" i="38"/>
  <c r="AA375" i="38"/>
  <c r="AB375" i="38"/>
  <c r="AC375" i="38"/>
  <c r="AD375" i="38"/>
  <c r="D376" i="38"/>
  <c r="L376" i="38"/>
  <c r="M376" i="38"/>
  <c r="N376" i="38"/>
  <c r="O376" i="38"/>
  <c r="Z376" i="38" s="1"/>
  <c r="P376" i="38"/>
  <c r="Q376" i="38"/>
  <c r="R376" i="38"/>
  <c r="S376" i="38"/>
  <c r="T376" i="38"/>
  <c r="V376" i="38"/>
  <c r="W376" i="38"/>
  <c r="X376" i="38"/>
  <c r="Y376" i="38"/>
  <c r="AA376" i="38"/>
  <c r="AB376" i="38"/>
  <c r="AC376" i="38"/>
  <c r="AD376" i="38"/>
  <c r="D377" i="38"/>
  <c r="L377" i="38"/>
  <c r="M377" i="38"/>
  <c r="N377" i="38"/>
  <c r="O377" i="38"/>
  <c r="P377" i="38" s="1"/>
  <c r="Q377" i="38"/>
  <c r="R377" i="38"/>
  <c r="T377" i="38"/>
  <c r="V377" i="38"/>
  <c r="W377" i="38"/>
  <c r="X377" i="38"/>
  <c r="Y377" i="38"/>
  <c r="D378" i="38"/>
  <c r="Y378" i="38" s="1"/>
  <c r="L378" i="38"/>
  <c r="M378" i="38"/>
  <c r="N378" i="38"/>
  <c r="O378" i="38"/>
  <c r="Q378" i="38" s="1"/>
  <c r="P378" i="38"/>
  <c r="T378" i="38"/>
  <c r="V378" i="38"/>
  <c r="W378" i="38"/>
  <c r="X378" i="38"/>
  <c r="D379" i="38"/>
  <c r="L379" i="38"/>
  <c r="M379" i="38"/>
  <c r="N379" i="38"/>
  <c r="V379" i="38"/>
  <c r="W379" i="38"/>
  <c r="X379" i="38"/>
  <c r="D380" i="38"/>
  <c r="Y380" i="38" s="1"/>
  <c r="L380" i="38"/>
  <c r="M380" i="38"/>
  <c r="N380" i="38"/>
  <c r="O380" i="38"/>
  <c r="Q380" i="38"/>
  <c r="V380" i="38"/>
  <c r="W380" i="38"/>
  <c r="X380" i="38"/>
  <c r="D381" i="38"/>
  <c r="L381" i="38"/>
  <c r="M381" i="38"/>
  <c r="N381" i="38"/>
  <c r="V381" i="38"/>
  <c r="W381" i="38"/>
  <c r="X381" i="38"/>
  <c r="D382" i="38"/>
  <c r="O382" i="38" s="1"/>
  <c r="Z382" i="38" s="1"/>
  <c r="L382" i="38"/>
  <c r="M382" i="38"/>
  <c r="N382" i="38"/>
  <c r="R382" i="38"/>
  <c r="T382" i="38"/>
  <c r="V382" i="38"/>
  <c r="W382" i="38"/>
  <c r="X382" i="38"/>
  <c r="Y382" i="38"/>
  <c r="D383" i="38"/>
  <c r="L383" i="38"/>
  <c r="M383" i="38"/>
  <c r="N383" i="38"/>
  <c r="O383" i="38"/>
  <c r="P383" i="38" s="1"/>
  <c r="V383" i="38"/>
  <c r="W383" i="38"/>
  <c r="X383" i="38"/>
  <c r="Y383" i="38"/>
  <c r="D384" i="38"/>
  <c r="L384" i="38"/>
  <c r="M384" i="38"/>
  <c r="N384" i="38"/>
  <c r="O384" i="38"/>
  <c r="P384" i="38"/>
  <c r="R384" i="38"/>
  <c r="S384" i="38"/>
  <c r="T384" i="38"/>
  <c r="V384" i="38"/>
  <c r="W384" i="38"/>
  <c r="X384" i="38"/>
  <c r="Y384" i="38"/>
  <c r="D385" i="38"/>
  <c r="Y385" i="38" s="1"/>
  <c r="L385" i="38"/>
  <c r="M385" i="38"/>
  <c r="N385" i="38"/>
  <c r="O385" i="38"/>
  <c r="P385" i="38"/>
  <c r="R385" i="38"/>
  <c r="S385" i="38"/>
  <c r="T385" i="38"/>
  <c r="V385" i="38"/>
  <c r="W385" i="38"/>
  <c r="X385" i="38"/>
  <c r="D386" i="38"/>
  <c r="L386" i="38"/>
  <c r="M386" i="38"/>
  <c r="N386" i="38"/>
  <c r="O386" i="38"/>
  <c r="P386" i="38"/>
  <c r="V386" i="38"/>
  <c r="W386" i="38"/>
  <c r="X386" i="38"/>
  <c r="Y386" i="38"/>
  <c r="AA386" i="38"/>
  <c r="AB386" i="38"/>
  <c r="D387" i="38"/>
  <c r="O387" i="38" s="1"/>
  <c r="AA387" i="38" s="1"/>
  <c r="L387" i="38"/>
  <c r="M387" i="38"/>
  <c r="N387" i="38"/>
  <c r="Q387" i="38"/>
  <c r="T387" i="38"/>
  <c r="V387" i="38"/>
  <c r="W387" i="38"/>
  <c r="X387" i="38"/>
  <c r="Y387" i="38"/>
  <c r="Z387" i="38"/>
  <c r="AC387" i="38"/>
  <c r="AD387" i="38"/>
  <c r="D388" i="38"/>
  <c r="Y388" i="38" s="1"/>
  <c r="L388" i="38"/>
  <c r="M388" i="38"/>
  <c r="N388" i="38"/>
  <c r="O388" i="38"/>
  <c r="P388" i="38"/>
  <c r="Q388" i="38"/>
  <c r="R388" i="38"/>
  <c r="S388" i="38"/>
  <c r="T388" i="38"/>
  <c r="V388" i="38"/>
  <c r="W388" i="38"/>
  <c r="X388" i="38"/>
  <c r="D389" i="38"/>
  <c r="L389" i="38"/>
  <c r="M389" i="38"/>
  <c r="N389" i="38"/>
  <c r="O389" i="38"/>
  <c r="P389" i="38" s="1"/>
  <c r="V389" i="38"/>
  <c r="W389" i="38"/>
  <c r="X389" i="38"/>
  <c r="Y389" i="38"/>
  <c r="AD389" i="38"/>
  <c r="D390" i="38"/>
  <c r="L390" i="38"/>
  <c r="M390" i="38"/>
  <c r="N390" i="38"/>
  <c r="V390" i="38"/>
  <c r="W390" i="38"/>
  <c r="X390" i="38"/>
  <c r="D391" i="38"/>
  <c r="L391" i="38"/>
  <c r="M391" i="38"/>
  <c r="N391" i="38"/>
  <c r="V391" i="38"/>
  <c r="W391" i="38"/>
  <c r="X391" i="38"/>
  <c r="D392" i="38"/>
  <c r="O392" i="38" s="1"/>
  <c r="L392" i="38"/>
  <c r="M392" i="38"/>
  <c r="N392" i="38"/>
  <c r="R392" i="38"/>
  <c r="T392" i="38"/>
  <c r="V392" i="38"/>
  <c r="W392" i="38"/>
  <c r="X392" i="38"/>
  <c r="Z392" i="38"/>
  <c r="AA392" i="38"/>
  <c r="D393" i="38"/>
  <c r="Y393" i="38" s="1"/>
  <c r="L393" i="38"/>
  <c r="M393" i="38"/>
  <c r="N393" i="38"/>
  <c r="O393" i="38"/>
  <c r="P393" i="38"/>
  <c r="Q393" i="38"/>
  <c r="R393" i="38"/>
  <c r="S393" i="38"/>
  <c r="T393" i="38"/>
  <c r="V393" i="38"/>
  <c r="W393" i="38"/>
  <c r="X393" i="38"/>
  <c r="Z393" i="38"/>
  <c r="D394" i="38"/>
  <c r="Y394" i="38" s="1"/>
  <c r="L394" i="38"/>
  <c r="M394" i="38"/>
  <c r="N394" i="38"/>
  <c r="O394" i="38"/>
  <c r="P394" i="38" s="1"/>
  <c r="V394" i="38"/>
  <c r="W394" i="38"/>
  <c r="X394" i="38"/>
  <c r="D395" i="38"/>
  <c r="L395" i="38"/>
  <c r="M395" i="38"/>
  <c r="N395" i="38"/>
  <c r="O395" i="38"/>
  <c r="P395" i="38"/>
  <c r="V395" i="38"/>
  <c r="W395" i="38"/>
  <c r="X395" i="38"/>
  <c r="Y395" i="38"/>
  <c r="D396" i="38"/>
  <c r="L396" i="38"/>
  <c r="M396" i="38"/>
  <c r="N396" i="38"/>
  <c r="O396" i="38"/>
  <c r="R396" i="38" s="1"/>
  <c r="Q396" i="38"/>
  <c r="T396" i="38"/>
  <c r="V396" i="38"/>
  <c r="W396" i="38"/>
  <c r="X396" i="38"/>
  <c r="Y396" i="38"/>
  <c r="D397" i="38"/>
  <c r="Y397" i="38" s="1"/>
  <c r="L397" i="38"/>
  <c r="M397" i="38"/>
  <c r="N397" i="38"/>
  <c r="O397" i="38"/>
  <c r="Q397" i="38"/>
  <c r="R397" i="38"/>
  <c r="V397" i="38"/>
  <c r="W397" i="38"/>
  <c r="X397" i="38"/>
  <c r="D398" i="38"/>
  <c r="L398" i="38"/>
  <c r="M398" i="38"/>
  <c r="N398" i="38"/>
  <c r="O398" i="38"/>
  <c r="P398" i="38"/>
  <c r="V398" i="38"/>
  <c r="W398" i="38"/>
  <c r="X398" i="38"/>
  <c r="Y398" i="38"/>
  <c r="AD398" i="38"/>
  <c r="D399" i="38"/>
  <c r="L399" i="38"/>
  <c r="M399" i="38"/>
  <c r="N399" i="38"/>
  <c r="V399" i="38"/>
  <c r="W399" i="38"/>
  <c r="X399" i="38"/>
  <c r="D400" i="38"/>
  <c r="L400" i="38"/>
  <c r="M400" i="38"/>
  <c r="N400" i="38"/>
  <c r="V400" i="38"/>
  <c r="W400" i="38"/>
  <c r="X400" i="38"/>
  <c r="D401" i="38"/>
  <c r="L401" i="38"/>
  <c r="M401" i="38"/>
  <c r="N401" i="38"/>
  <c r="V401" i="38"/>
  <c r="W401" i="38"/>
  <c r="X401" i="38"/>
  <c r="D402" i="38"/>
  <c r="Y402" i="38" s="1"/>
  <c r="L402" i="38"/>
  <c r="M402" i="38"/>
  <c r="N402" i="38"/>
  <c r="O402" i="38"/>
  <c r="S402" i="38" s="1"/>
  <c r="P402" i="38"/>
  <c r="Q402" i="38"/>
  <c r="R402" i="38"/>
  <c r="T402" i="38"/>
  <c r="V402" i="38"/>
  <c r="W402" i="38"/>
  <c r="X402" i="38"/>
  <c r="AA402" i="38"/>
  <c r="D403" i="38"/>
  <c r="Y403" i="38" s="1"/>
  <c r="L403" i="38"/>
  <c r="M403" i="38"/>
  <c r="N403" i="38"/>
  <c r="O403" i="38"/>
  <c r="Q403" i="38"/>
  <c r="T403" i="38"/>
  <c r="V403" i="38"/>
  <c r="W403" i="38"/>
  <c r="X403" i="38"/>
  <c r="D404" i="38"/>
  <c r="L404" i="38"/>
  <c r="M404" i="38"/>
  <c r="N404" i="38"/>
  <c r="O404" i="38"/>
  <c r="P404" i="38"/>
  <c r="V404" i="38"/>
  <c r="W404" i="38"/>
  <c r="X404" i="38"/>
  <c r="Y404" i="38"/>
  <c r="D405" i="38"/>
  <c r="S405" i="38"/>
  <c r="T405" i="38"/>
  <c r="L405" i="38"/>
  <c r="M405" i="38"/>
  <c r="N405" i="38"/>
  <c r="O405" i="38"/>
  <c r="Q405" i="38"/>
  <c r="R405" i="38"/>
  <c r="V405" i="38"/>
  <c r="W405" i="38"/>
  <c r="X405" i="38"/>
  <c r="Y405" i="38"/>
  <c r="Z405" i="38"/>
  <c r="AB405" i="38"/>
  <c r="D406" i="38"/>
  <c r="O406" i="38" s="1"/>
  <c r="L406" i="38"/>
  <c r="M406" i="38"/>
  <c r="N406" i="38"/>
  <c r="V406" i="38"/>
  <c r="W406" i="38"/>
  <c r="X406" i="38"/>
  <c r="AA406" i="38"/>
  <c r="AB406" i="38"/>
  <c r="D407" i="38"/>
  <c r="L407" i="38"/>
  <c r="M407" i="38"/>
  <c r="N407" i="38"/>
  <c r="V407" i="38"/>
  <c r="W407" i="38"/>
  <c r="X407" i="38"/>
  <c r="D408" i="38"/>
  <c r="O408" i="38" s="1"/>
  <c r="L408" i="38"/>
  <c r="M408" i="38"/>
  <c r="N408" i="38"/>
  <c r="P408" i="38"/>
  <c r="Q408" i="38"/>
  <c r="S408" i="38"/>
  <c r="T408" i="38"/>
  <c r="V408" i="38"/>
  <c r="W408" i="38"/>
  <c r="X408" i="38"/>
  <c r="Y408" i="38"/>
  <c r="Z408" i="38"/>
  <c r="AA408" i="38"/>
  <c r="D409" i="38"/>
  <c r="L409" i="38"/>
  <c r="M409" i="38"/>
  <c r="N409" i="38"/>
  <c r="O409" i="38"/>
  <c r="P409" i="38" s="1"/>
  <c r="V409" i="38"/>
  <c r="W409" i="38"/>
  <c r="X409" i="38"/>
  <c r="Y409" i="38"/>
  <c r="D410" i="38"/>
  <c r="Y410" i="38" s="1"/>
  <c r="L410" i="38"/>
  <c r="M410" i="38"/>
  <c r="N410" i="38"/>
  <c r="O410" i="38"/>
  <c r="P410" i="38"/>
  <c r="Q410" i="38"/>
  <c r="V410" i="38"/>
  <c r="W410" i="38"/>
  <c r="X410" i="38"/>
  <c r="D411" i="38"/>
  <c r="L411" i="38"/>
  <c r="M411" i="38"/>
  <c r="N411" i="38"/>
  <c r="V411" i="38"/>
  <c r="W411" i="38"/>
  <c r="X411" i="38"/>
  <c r="D412" i="38"/>
  <c r="O412" i="38" s="1"/>
  <c r="AD412" i="38" s="1"/>
  <c r="L412" i="38"/>
  <c r="M412" i="38"/>
  <c r="N412" i="38"/>
  <c r="T412" i="38"/>
  <c r="V412" i="38"/>
  <c r="W412" i="38"/>
  <c r="X412" i="38"/>
  <c r="Y412" i="38"/>
  <c r="Z412" i="38"/>
  <c r="AA412" i="38"/>
  <c r="AB412" i="38"/>
  <c r="AC412" i="38"/>
  <c r="D413" i="38"/>
  <c r="L413" i="38"/>
  <c r="M413" i="38"/>
  <c r="N413" i="38"/>
  <c r="O413" i="38"/>
  <c r="AD413" i="38" s="1"/>
  <c r="P413" i="38"/>
  <c r="Q413" i="38"/>
  <c r="R413" i="38"/>
  <c r="S413" i="38"/>
  <c r="T413" i="38"/>
  <c r="V413" i="38"/>
  <c r="W413" i="38"/>
  <c r="X413" i="38"/>
  <c r="Y413" i="38"/>
  <c r="AB413" i="38"/>
  <c r="D414" i="38"/>
  <c r="Y414" i="38" s="1"/>
  <c r="L414" i="38"/>
  <c r="M414" i="38"/>
  <c r="N414" i="38"/>
  <c r="O414" i="38"/>
  <c r="P414" i="38"/>
  <c r="V414" i="38"/>
  <c r="W414" i="38"/>
  <c r="X414" i="38"/>
  <c r="D415" i="38"/>
  <c r="L415" i="38"/>
  <c r="M415" i="38"/>
  <c r="N415" i="38"/>
  <c r="V415" i="38"/>
  <c r="W415" i="38"/>
  <c r="X415" i="38"/>
  <c r="D416" i="38"/>
  <c r="O416" i="38" s="1"/>
  <c r="AB416" i="38" s="1"/>
  <c r="L416" i="38"/>
  <c r="M416" i="38"/>
  <c r="N416" i="38"/>
  <c r="V416" i="38"/>
  <c r="W416" i="38"/>
  <c r="X416" i="38"/>
  <c r="Y416" i="38"/>
  <c r="Z416" i="38"/>
  <c r="AA416" i="38"/>
  <c r="D417" i="38"/>
  <c r="Y417" i="38" s="1"/>
  <c r="L417" i="38"/>
  <c r="M417" i="38"/>
  <c r="N417" i="38"/>
  <c r="O417" i="38"/>
  <c r="P417" i="38" s="1"/>
  <c r="Q417" i="38"/>
  <c r="R417" i="38"/>
  <c r="T417" i="38"/>
  <c r="V417" i="38"/>
  <c r="W417" i="38"/>
  <c r="X417" i="38"/>
  <c r="AB417" i="38"/>
  <c r="AC417" i="38"/>
  <c r="AD417" i="38"/>
  <c r="D418" i="38"/>
  <c r="O418" i="38" s="1"/>
  <c r="L418" i="38"/>
  <c r="M418" i="38"/>
  <c r="N418" i="38"/>
  <c r="S418" i="38"/>
  <c r="V418" i="38"/>
  <c r="W418" i="38"/>
  <c r="X418" i="38"/>
  <c r="Y418" i="38"/>
  <c r="Z418" i="38"/>
  <c r="AA418" i="38"/>
  <c r="AB418" i="38"/>
  <c r="AC418" i="38"/>
  <c r="D419" i="38"/>
  <c r="O419" i="38" s="1"/>
  <c r="Z419" i="38" s="1"/>
  <c r="L419" i="38"/>
  <c r="M419" i="38"/>
  <c r="N419" i="38"/>
  <c r="P419" i="38"/>
  <c r="Q419" i="38"/>
  <c r="R419" i="38"/>
  <c r="S419" i="38"/>
  <c r="T419" i="38"/>
  <c r="V419" i="38"/>
  <c r="W419" i="38"/>
  <c r="X419" i="38"/>
  <c r="AA419" i="38"/>
  <c r="D420" i="38"/>
  <c r="L420" i="38"/>
  <c r="M420" i="38"/>
  <c r="N420" i="38"/>
  <c r="V420" i="38"/>
  <c r="W420" i="38"/>
  <c r="X420" i="38"/>
  <c r="D421" i="38"/>
  <c r="L421" i="38"/>
  <c r="M421" i="38"/>
  <c r="N421" i="38"/>
  <c r="V421" i="38"/>
  <c r="W421" i="38"/>
  <c r="X421" i="38"/>
  <c r="D422" i="38"/>
  <c r="L422" i="38"/>
  <c r="M422" i="38"/>
  <c r="N422" i="38"/>
  <c r="V422" i="38"/>
  <c r="W422" i="38"/>
  <c r="X422" i="38"/>
  <c r="D423" i="38"/>
  <c r="O423" i="38" s="1"/>
  <c r="L423" i="38"/>
  <c r="M423" i="38"/>
  <c r="N423" i="38"/>
  <c r="V423" i="38"/>
  <c r="W423" i="38"/>
  <c r="X423" i="38"/>
  <c r="Y423" i="38"/>
  <c r="AA423" i="38"/>
  <c r="AB423" i="38"/>
  <c r="D424" i="38"/>
  <c r="Y424" i="38" s="1"/>
  <c r="L424" i="38"/>
  <c r="M424" i="38"/>
  <c r="N424" i="38"/>
  <c r="O424" i="38"/>
  <c r="P424" i="38" s="1"/>
  <c r="Q424" i="38"/>
  <c r="R424" i="38"/>
  <c r="V424" i="38"/>
  <c r="W424" i="38"/>
  <c r="X424" i="38"/>
  <c r="D425" i="38"/>
  <c r="AC425" i="38"/>
  <c r="L425" i="38"/>
  <c r="M425" i="38"/>
  <c r="N425" i="38"/>
  <c r="O425" i="38"/>
  <c r="Q425" i="38"/>
  <c r="R425" i="38"/>
  <c r="S425" i="38"/>
  <c r="V425" i="38"/>
  <c r="W425" i="38"/>
  <c r="X425" i="38"/>
  <c r="Y425" i="38"/>
  <c r="AB425" i="38"/>
  <c r="D426" i="38"/>
  <c r="L426" i="38"/>
  <c r="M426" i="38"/>
  <c r="N426" i="38"/>
  <c r="V426" i="38"/>
  <c r="W426" i="38"/>
  <c r="X426" i="38"/>
  <c r="D427" i="38"/>
  <c r="L427" i="38"/>
  <c r="M427" i="38"/>
  <c r="N427" i="38"/>
  <c r="V427" i="38"/>
  <c r="W427" i="38"/>
  <c r="X427" i="38"/>
  <c r="D428" i="38"/>
  <c r="Y428" i="38" s="1"/>
  <c r="L428" i="38"/>
  <c r="M428" i="38"/>
  <c r="N428" i="38"/>
  <c r="O428" i="38"/>
  <c r="V428" i="38"/>
  <c r="W428" i="38"/>
  <c r="X428" i="38"/>
  <c r="AA428" i="38"/>
  <c r="D429" i="38"/>
  <c r="Y429" i="38" s="1"/>
  <c r="L429" i="38"/>
  <c r="M429" i="38"/>
  <c r="N429" i="38"/>
  <c r="O429" i="38"/>
  <c r="Q429" i="38"/>
  <c r="S429" i="38"/>
  <c r="T429" i="38"/>
  <c r="V429" i="38"/>
  <c r="W429" i="38"/>
  <c r="X429" i="38"/>
  <c r="D430" i="38"/>
  <c r="L430" i="38"/>
  <c r="M430" i="38"/>
  <c r="N430" i="38"/>
  <c r="V430" i="38"/>
  <c r="W430" i="38"/>
  <c r="X430" i="38"/>
  <c r="D431" i="38"/>
  <c r="L431" i="38"/>
  <c r="M431" i="38"/>
  <c r="N431" i="38"/>
  <c r="O431" i="38"/>
  <c r="V431" i="38"/>
  <c r="W431" i="38"/>
  <c r="X431" i="38"/>
  <c r="Y431" i="38"/>
  <c r="D432" i="38"/>
  <c r="AB432" i="38"/>
  <c r="AC432" i="38"/>
  <c r="AD432" i="38"/>
  <c r="L432" i="38"/>
  <c r="M432" i="38"/>
  <c r="N432" i="38"/>
  <c r="O432" i="38"/>
  <c r="P432" i="38" s="1"/>
  <c r="R432" i="38"/>
  <c r="S432" i="38"/>
  <c r="V432" i="38"/>
  <c r="W432" i="38"/>
  <c r="X432" i="38"/>
  <c r="Y432" i="38"/>
  <c r="D433" i="38"/>
  <c r="Y433" i="38" s="1"/>
  <c r="L433" i="38"/>
  <c r="M433" i="38"/>
  <c r="N433" i="38"/>
  <c r="O433" i="38"/>
  <c r="Q433" i="38"/>
  <c r="R433" i="38"/>
  <c r="V433" i="38"/>
  <c r="W433" i="38"/>
  <c r="X433" i="38"/>
  <c r="D434" i="38"/>
  <c r="O434" i="38" s="1"/>
  <c r="Z434" i="38" s="1"/>
  <c r="AA434" i="38"/>
  <c r="L434" i="38"/>
  <c r="M434" i="38"/>
  <c r="N434" i="38"/>
  <c r="P434" i="38"/>
  <c r="Q434" i="38"/>
  <c r="R434" i="38"/>
  <c r="S434" i="38"/>
  <c r="T434" i="38"/>
  <c r="V434" i="38"/>
  <c r="W434" i="38"/>
  <c r="X434" i="38"/>
  <c r="Y434" i="38"/>
  <c r="AB434" i="38"/>
  <c r="AC434" i="38"/>
  <c r="AD434" i="38"/>
  <c r="D435" i="38"/>
  <c r="L435" i="38"/>
  <c r="M435" i="38"/>
  <c r="N435" i="38"/>
  <c r="O435" i="38"/>
  <c r="Q435" i="38" s="1"/>
  <c r="V435" i="38"/>
  <c r="W435" i="38"/>
  <c r="X435" i="38"/>
  <c r="Y435" i="38"/>
  <c r="D436" i="38"/>
  <c r="Y436" i="38" s="1"/>
  <c r="L436" i="38"/>
  <c r="M436" i="38"/>
  <c r="N436" i="38"/>
  <c r="O436" i="38"/>
  <c r="V436" i="38"/>
  <c r="W436" i="38"/>
  <c r="X436" i="38"/>
  <c r="D437" i="38"/>
  <c r="L437" i="38"/>
  <c r="M437" i="38"/>
  <c r="N437" i="38"/>
  <c r="V437" i="38"/>
  <c r="W437" i="38"/>
  <c r="X437" i="38"/>
  <c r="D438" i="38"/>
  <c r="O438" i="38" s="1"/>
  <c r="L438" i="38"/>
  <c r="M438" i="38"/>
  <c r="N438" i="38"/>
  <c r="P438" i="38"/>
  <c r="Q438" i="38"/>
  <c r="T438" i="38"/>
  <c r="V438" i="38"/>
  <c r="W438" i="38"/>
  <c r="X438" i="38"/>
  <c r="AD438" i="38"/>
  <c r="D439" i="38"/>
  <c r="Y439" i="38" s="1"/>
  <c r="L439" i="38"/>
  <c r="M439" i="38"/>
  <c r="N439" i="38"/>
  <c r="O439" i="38"/>
  <c r="P439" i="38" s="1"/>
  <c r="R439" i="38"/>
  <c r="V439" i="38"/>
  <c r="W439" i="38"/>
  <c r="X439" i="38"/>
  <c r="D440" i="38"/>
  <c r="L440" i="38"/>
  <c r="M440" i="38"/>
  <c r="N440" i="38"/>
  <c r="O440" i="38"/>
  <c r="S440" i="38" s="1"/>
  <c r="P440" i="38"/>
  <c r="Q440" i="38"/>
  <c r="R440" i="38"/>
  <c r="V440" i="38"/>
  <c r="W440" i="38"/>
  <c r="X440" i="38"/>
  <c r="Y440" i="38"/>
  <c r="D441" i="38"/>
  <c r="L441" i="38"/>
  <c r="M441" i="38"/>
  <c r="N441" i="38"/>
  <c r="V441" i="38"/>
  <c r="W441" i="38"/>
  <c r="X441" i="38"/>
  <c r="D442" i="38"/>
  <c r="O442" i="38" s="1"/>
  <c r="Z442" i="38" s="1"/>
  <c r="AD442" i="38"/>
  <c r="L442" i="38"/>
  <c r="M442" i="38"/>
  <c r="N442" i="38"/>
  <c r="S442" i="38"/>
  <c r="T442" i="38"/>
  <c r="V442" i="38"/>
  <c r="W442" i="38"/>
  <c r="X442" i="38"/>
  <c r="Y442" i="38"/>
  <c r="D443" i="38"/>
  <c r="O443" i="38" s="1"/>
  <c r="L443" i="38"/>
  <c r="M443" i="38"/>
  <c r="N443" i="38"/>
  <c r="P443" i="38"/>
  <c r="Q443" i="38"/>
  <c r="R443" i="38"/>
  <c r="S443" i="38"/>
  <c r="T443" i="38"/>
  <c r="V443" i="38"/>
  <c r="W443" i="38"/>
  <c r="X443" i="38"/>
  <c r="Z443" i="38"/>
  <c r="D444" i="38"/>
  <c r="Y444" i="38" s="1"/>
  <c r="L444" i="38"/>
  <c r="M444" i="38"/>
  <c r="N444" i="38"/>
  <c r="O444" i="38"/>
  <c r="R444" i="38" s="1"/>
  <c r="P444" i="38"/>
  <c r="Q444" i="38"/>
  <c r="S444" i="38"/>
  <c r="V444" i="38"/>
  <c r="W444" i="38"/>
  <c r="X444" i="38"/>
  <c r="D445" i="38"/>
  <c r="L445" i="38"/>
  <c r="M445" i="38"/>
  <c r="N445" i="38"/>
  <c r="V445" i="38"/>
  <c r="W445" i="38"/>
  <c r="X445" i="38"/>
  <c r="D446" i="38"/>
  <c r="O446" i="38" s="1"/>
  <c r="AA446" i="38" s="1"/>
  <c r="L446" i="38"/>
  <c r="M446" i="38"/>
  <c r="N446" i="38"/>
  <c r="T446" i="38"/>
  <c r="V446" i="38"/>
  <c r="W446" i="38"/>
  <c r="X446" i="38"/>
  <c r="Y446" i="38"/>
  <c r="Z446" i="38"/>
  <c r="D447" i="38"/>
  <c r="Y447" i="38" s="1"/>
  <c r="L447" i="38"/>
  <c r="M447" i="38"/>
  <c r="N447" i="38"/>
  <c r="O447" i="38"/>
  <c r="P447" i="38"/>
  <c r="R447" i="38"/>
  <c r="V447" i="38"/>
  <c r="W447" i="38"/>
  <c r="X447" i="38"/>
  <c r="D448" i="38"/>
  <c r="L448" i="38"/>
  <c r="M448" i="38"/>
  <c r="N448" i="38"/>
  <c r="O448" i="38"/>
  <c r="Q448" i="38" s="1"/>
  <c r="P448" i="38"/>
  <c r="V448" i="38"/>
  <c r="W448" i="38"/>
  <c r="X448" i="38"/>
  <c r="Y448" i="38"/>
  <c r="D449" i="38"/>
  <c r="O449" i="38" s="1"/>
  <c r="Z449" i="38"/>
  <c r="AA449" i="38"/>
  <c r="AD449" i="38"/>
  <c r="L449" i="38"/>
  <c r="M449" i="38"/>
  <c r="N449" i="38"/>
  <c r="P449" i="38"/>
  <c r="Q449" i="38"/>
  <c r="R449" i="38"/>
  <c r="S449" i="38"/>
  <c r="T449" i="38"/>
  <c r="V449" i="38"/>
  <c r="W449" i="38"/>
  <c r="X449" i="38"/>
  <c r="Y449" i="38"/>
  <c r="AB449" i="38"/>
  <c r="D450" i="38"/>
  <c r="O450" i="38" s="1"/>
  <c r="Z450" i="38" s="1"/>
  <c r="L450" i="38"/>
  <c r="M450" i="38"/>
  <c r="N450" i="38"/>
  <c r="V450" i="38"/>
  <c r="W450" i="38"/>
  <c r="X450" i="38"/>
  <c r="Y450" i="38"/>
  <c r="D451" i="38"/>
  <c r="O451" i="38" s="1"/>
  <c r="AB451" i="38" s="1"/>
  <c r="L451" i="38"/>
  <c r="M451" i="38"/>
  <c r="N451" i="38"/>
  <c r="Q451" i="38"/>
  <c r="R451" i="38"/>
  <c r="V451" i="38"/>
  <c r="W451" i="38"/>
  <c r="X451" i="38"/>
  <c r="Y451" i="38"/>
  <c r="AA451" i="38"/>
  <c r="D452" i="38"/>
  <c r="O452" i="38" s="1"/>
  <c r="L452" i="38"/>
  <c r="M452" i="38"/>
  <c r="N452" i="38"/>
  <c r="P452" i="38"/>
  <c r="Q452" i="38"/>
  <c r="R452" i="38"/>
  <c r="T452" i="38"/>
  <c r="V452" i="38"/>
  <c r="W452" i="38"/>
  <c r="X452" i="38"/>
  <c r="D453" i="38"/>
  <c r="Y453" i="38" s="1"/>
  <c r="L453" i="38"/>
  <c r="M453" i="38"/>
  <c r="N453" i="38"/>
  <c r="O453" i="38"/>
  <c r="P453" i="38"/>
  <c r="Q453" i="38"/>
  <c r="R453" i="38"/>
  <c r="S453" i="38"/>
  <c r="T453" i="38"/>
  <c r="V453" i="38"/>
  <c r="W453" i="38"/>
  <c r="X453" i="38"/>
  <c r="D454" i="38"/>
  <c r="L454" i="38"/>
  <c r="M454" i="38"/>
  <c r="N454" i="38"/>
  <c r="O454" i="38"/>
  <c r="V454" i="38"/>
  <c r="W454" i="38"/>
  <c r="X454" i="38"/>
  <c r="Y454" i="38"/>
  <c r="D455" i="38"/>
  <c r="O455" i="38" s="1"/>
  <c r="L455" i="38"/>
  <c r="M455" i="38"/>
  <c r="N455" i="38"/>
  <c r="S455" i="38"/>
  <c r="T455" i="38"/>
  <c r="V455" i="38"/>
  <c r="W455" i="38"/>
  <c r="X455" i="38"/>
  <c r="Y455" i="38"/>
  <c r="Z455" i="38"/>
  <c r="AA455" i="38"/>
  <c r="AB455" i="38"/>
  <c r="AD455" i="38"/>
  <c r="D456" i="38"/>
  <c r="O456" i="38" s="1"/>
  <c r="L456" i="38"/>
  <c r="M456" i="38"/>
  <c r="N456" i="38"/>
  <c r="P456" i="38"/>
  <c r="R456" i="38"/>
  <c r="S456" i="38"/>
  <c r="T456" i="38"/>
  <c r="V456" i="38"/>
  <c r="W456" i="38"/>
  <c r="X456" i="38"/>
  <c r="D457" i="38"/>
  <c r="Y457" i="38" s="1"/>
  <c r="L457" i="38"/>
  <c r="M457" i="38"/>
  <c r="N457" i="38"/>
  <c r="O457" i="38"/>
  <c r="R457" i="38" s="1"/>
  <c r="P457" i="38"/>
  <c r="Q457" i="38"/>
  <c r="S457" i="38"/>
  <c r="T457" i="38"/>
  <c r="V457" i="38"/>
  <c r="W457" i="38"/>
  <c r="X457" i="38"/>
  <c r="D458" i="38"/>
  <c r="Y458" i="38" s="1"/>
  <c r="L458" i="38"/>
  <c r="M458" i="38"/>
  <c r="N458" i="38"/>
  <c r="O458" i="38"/>
  <c r="P458" i="38"/>
  <c r="V458" i="38"/>
  <c r="W458" i="38"/>
  <c r="X458" i="38"/>
  <c r="Z458" i="38"/>
  <c r="AA458" i="38"/>
  <c r="AD458" i="38"/>
  <c r="D459" i="38"/>
  <c r="O459" i="38" s="1"/>
  <c r="L459" i="38"/>
  <c r="M459" i="38"/>
  <c r="N459" i="38"/>
  <c r="T459" i="38"/>
  <c r="V459" i="38"/>
  <c r="W459" i="38"/>
  <c r="X459" i="38"/>
  <c r="Y459" i="38"/>
  <c r="Z459" i="38"/>
  <c r="AA459" i="38"/>
  <c r="AB459" i="38"/>
  <c r="AC459" i="38"/>
  <c r="AD459" i="38"/>
  <c r="D460" i="38"/>
  <c r="L460" i="38"/>
  <c r="M460" i="38"/>
  <c r="N460" i="38"/>
  <c r="O460" i="38"/>
  <c r="R460" i="38" s="1"/>
  <c r="V460" i="38"/>
  <c r="W460" i="38"/>
  <c r="X460" i="38"/>
  <c r="Y460" i="38"/>
  <c r="Z460" i="38"/>
  <c r="D461" i="38"/>
  <c r="L461" i="38"/>
  <c r="M461" i="38"/>
  <c r="N461" i="38"/>
  <c r="O461" i="38"/>
  <c r="S461" i="38" s="1"/>
  <c r="P461" i="38"/>
  <c r="Q461" i="38"/>
  <c r="R461" i="38"/>
  <c r="V461" i="38"/>
  <c r="W461" i="38"/>
  <c r="X461" i="38"/>
  <c r="Y461" i="38"/>
  <c r="D462" i="38"/>
  <c r="L462" i="38"/>
  <c r="M462" i="38"/>
  <c r="N462" i="38"/>
  <c r="O462" i="38"/>
  <c r="P462" i="38"/>
  <c r="Q462" i="38"/>
  <c r="R462" i="38"/>
  <c r="V462" i="38"/>
  <c r="W462" i="38"/>
  <c r="X462" i="38"/>
  <c r="Y462" i="38"/>
  <c r="AB462" i="38"/>
  <c r="D463" i="38"/>
  <c r="L463" i="38"/>
  <c r="M463" i="38"/>
  <c r="N463" i="38"/>
  <c r="V463" i="38"/>
  <c r="W463" i="38"/>
  <c r="X463" i="38"/>
  <c r="D464" i="38"/>
  <c r="O464" i="38" s="1"/>
  <c r="L464" i="38"/>
  <c r="M464" i="38"/>
  <c r="N464" i="38"/>
  <c r="R464" i="38"/>
  <c r="S464" i="38"/>
  <c r="V464" i="38"/>
  <c r="W464" i="38"/>
  <c r="X464" i="38"/>
  <c r="Y464" i="38"/>
  <c r="Z464" i="38"/>
  <c r="AA464" i="38"/>
  <c r="AB464" i="38"/>
  <c r="AC464" i="38"/>
  <c r="AD464" i="38"/>
  <c r="D465" i="38"/>
  <c r="L465" i="38"/>
  <c r="M465" i="38"/>
  <c r="N465" i="38"/>
  <c r="O465" i="38"/>
  <c r="S465" i="38" s="1"/>
  <c r="Q465" i="38"/>
  <c r="R465" i="38"/>
  <c r="V465" i="38"/>
  <c r="W465" i="38"/>
  <c r="X465" i="38"/>
  <c r="Y465" i="38"/>
  <c r="D466" i="38"/>
  <c r="Y466" i="38" s="1"/>
  <c r="L466" i="38"/>
  <c r="M466" i="38"/>
  <c r="N466" i="38"/>
  <c r="O466" i="38"/>
  <c r="P466" i="38"/>
  <c r="Q466" i="38"/>
  <c r="R466" i="38"/>
  <c r="S466" i="38"/>
  <c r="V466" i="38"/>
  <c r="W466" i="38"/>
  <c r="X466" i="38"/>
  <c r="D467" i="38"/>
  <c r="Y467" i="38" s="1"/>
  <c r="L467" i="38"/>
  <c r="M467" i="38"/>
  <c r="N467" i="38"/>
  <c r="O467" i="38"/>
  <c r="T467" i="38" s="1"/>
  <c r="P467" i="38"/>
  <c r="V467" i="38"/>
  <c r="W467" i="38"/>
  <c r="X467" i="38"/>
  <c r="D468" i="38"/>
  <c r="L468" i="38"/>
  <c r="M468" i="38"/>
  <c r="N468" i="38"/>
  <c r="O468" i="38"/>
  <c r="V468" i="38"/>
  <c r="W468" i="38"/>
  <c r="X468" i="38"/>
  <c r="Y468" i="38"/>
  <c r="Z468" i="38"/>
  <c r="AA468" i="38"/>
  <c r="AB468" i="38"/>
  <c r="D469" i="38"/>
  <c r="Y469" i="38" s="1"/>
  <c r="L469" i="38"/>
  <c r="M469" i="38"/>
  <c r="N469" i="38"/>
  <c r="O469" i="38"/>
  <c r="S469" i="38" s="1"/>
  <c r="P469" i="38"/>
  <c r="R469" i="38"/>
  <c r="T469" i="38"/>
  <c r="V469" i="38"/>
  <c r="W469" i="38"/>
  <c r="X469" i="38"/>
  <c r="D470" i="38"/>
  <c r="Y470" i="38" s="1"/>
  <c r="L470" i="38"/>
  <c r="M470" i="38"/>
  <c r="N470" i="38"/>
  <c r="O470" i="38"/>
  <c r="P470" i="38"/>
  <c r="Q470" i="38"/>
  <c r="R470" i="38"/>
  <c r="S470" i="38"/>
  <c r="T470" i="38"/>
  <c r="V470" i="38"/>
  <c r="W470" i="38"/>
  <c r="X470" i="38"/>
  <c r="D471" i="38"/>
  <c r="L471" i="38"/>
  <c r="M471" i="38"/>
  <c r="N471" i="38"/>
  <c r="V471" i="38"/>
  <c r="W471" i="38"/>
  <c r="X471" i="38"/>
  <c r="D472" i="38"/>
  <c r="Y472" i="38" s="1"/>
  <c r="T472" i="38"/>
  <c r="L472" i="38"/>
  <c r="M472" i="38"/>
  <c r="N472" i="38"/>
  <c r="O472" i="38"/>
  <c r="V472" i="38"/>
  <c r="W472" i="38"/>
  <c r="X472" i="38"/>
  <c r="D473" i="38"/>
  <c r="L473" i="38"/>
  <c r="M473" i="38"/>
  <c r="N473" i="38"/>
  <c r="O473" i="38"/>
  <c r="R473" i="38" s="1"/>
  <c r="Q473" i="38"/>
  <c r="V473" i="38"/>
  <c r="W473" i="38"/>
  <c r="X473" i="38"/>
  <c r="Y473" i="38"/>
  <c r="D474" i="38"/>
  <c r="Y474" i="38" s="1"/>
  <c r="L474" i="38"/>
  <c r="M474" i="38"/>
  <c r="N474" i="38"/>
  <c r="O474" i="38"/>
  <c r="P474" i="38"/>
  <c r="Q474" i="38"/>
  <c r="V474" i="38"/>
  <c r="W474" i="38"/>
  <c r="X474" i="38"/>
  <c r="D475" i="38"/>
  <c r="L475" i="38"/>
  <c r="M475" i="38"/>
  <c r="N475" i="38"/>
  <c r="O475" i="38"/>
  <c r="V475" i="38"/>
  <c r="W475" i="38"/>
  <c r="X475" i="38"/>
  <c r="Y475" i="38"/>
  <c r="AC475" i="38"/>
  <c r="AD475" i="38"/>
  <c r="D476" i="38"/>
  <c r="L476" i="38"/>
  <c r="M476" i="38"/>
  <c r="N476" i="38"/>
  <c r="V476" i="38"/>
  <c r="W476" i="38"/>
  <c r="X476" i="38"/>
  <c r="D477" i="38"/>
  <c r="S477" i="38"/>
  <c r="L477" i="38"/>
  <c r="M477" i="38"/>
  <c r="N477" i="38"/>
  <c r="O477" i="38"/>
  <c r="P477" i="38"/>
  <c r="Q477" i="38"/>
  <c r="R477" i="38"/>
  <c r="T477" i="38"/>
  <c r="V477" i="38"/>
  <c r="W477" i="38"/>
  <c r="X477" i="38"/>
  <c r="Y477" i="38"/>
  <c r="AB477" i="38"/>
  <c r="AC477" i="38"/>
  <c r="AD477" i="38"/>
  <c r="D478" i="38"/>
  <c r="L478" i="38"/>
  <c r="M478" i="38"/>
  <c r="N478" i="38"/>
  <c r="O478" i="38"/>
  <c r="P478" i="38"/>
  <c r="Q478" i="38"/>
  <c r="R478" i="38"/>
  <c r="V478" i="38"/>
  <c r="W478" i="38"/>
  <c r="X478" i="38"/>
  <c r="Y478" i="38"/>
  <c r="AA478" i="38"/>
  <c r="AB478" i="38"/>
  <c r="AD478" i="38"/>
  <c r="D479" i="38"/>
  <c r="Y479" i="38" s="1"/>
  <c r="L479" i="38"/>
  <c r="M479" i="38"/>
  <c r="N479" i="38"/>
  <c r="O479" i="38"/>
  <c r="P479" i="38" s="1"/>
  <c r="R479" i="38"/>
  <c r="T479" i="38"/>
  <c r="V479" i="38"/>
  <c r="W479" i="38"/>
  <c r="X479" i="38"/>
  <c r="D480" i="38"/>
  <c r="Y480" i="38" s="1"/>
  <c r="L480" i="38"/>
  <c r="M480" i="38"/>
  <c r="N480" i="38"/>
  <c r="O480" i="38"/>
  <c r="Q480" i="38"/>
  <c r="R480" i="38"/>
  <c r="S480" i="38"/>
  <c r="T480" i="38"/>
  <c r="V480" i="38"/>
  <c r="W480" i="38"/>
  <c r="X480" i="38"/>
  <c r="D481" i="38"/>
  <c r="L481" i="38"/>
  <c r="M481" i="38"/>
  <c r="N481" i="38"/>
  <c r="O481" i="38"/>
  <c r="P481" i="38" s="1"/>
  <c r="V481" i="38"/>
  <c r="W481" i="38"/>
  <c r="X481" i="38"/>
  <c r="Y481" i="38"/>
  <c r="D482" i="38"/>
  <c r="O482" i="38" s="1"/>
  <c r="AB482" i="38" s="1"/>
  <c r="L482" i="38"/>
  <c r="M482" i="38"/>
  <c r="N482" i="38"/>
  <c r="S482" i="38"/>
  <c r="V482" i="38"/>
  <c r="W482" i="38"/>
  <c r="X482" i="38"/>
  <c r="Y482" i="38"/>
  <c r="Z482" i="38"/>
  <c r="AA482" i="38"/>
  <c r="D483" i="38"/>
  <c r="O483" i="38" s="1"/>
  <c r="L483" i="38"/>
  <c r="M483" i="38"/>
  <c r="N483" i="38"/>
  <c r="Q483" i="38"/>
  <c r="R483" i="38"/>
  <c r="S483" i="38"/>
  <c r="T483" i="38"/>
  <c r="V483" i="38"/>
  <c r="W483" i="38"/>
  <c r="X483" i="38"/>
  <c r="AC483" i="38"/>
  <c r="D484" i="38"/>
  <c r="Y484" i="38" s="1"/>
  <c r="L484" i="38"/>
  <c r="M484" i="38"/>
  <c r="N484" i="38"/>
  <c r="O484" i="38"/>
  <c r="P484" i="38"/>
  <c r="Q484" i="38"/>
  <c r="R484" i="38"/>
  <c r="S484" i="38"/>
  <c r="V484" i="38"/>
  <c r="W484" i="38"/>
  <c r="X484" i="38"/>
  <c r="D485" i="38"/>
  <c r="L485" i="38"/>
  <c r="M485" i="38"/>
  <c r="N485" i="38"/>
  <c r="O485" i="38"/>
  <c r="P485" i="38" s="1"/>
  <c r="V485" i="38"/>
  <c r="W485" i="38"/>
  <c r="X485" i="38"/>
  <c r="Y485" i="38"/>
  <c r="D486" i="38"/>
  <c r="O486" i="38" s="1"/>
  <c r="Z486" i="38"/>
  <c r="AA486" i="38"/>
  <c r="AB486" i="38"/>
  <c r="AC486" i="38"/>
  <c r="AD486" i="38"/>
  <c r="L486" i="38"/>
  <c r="M486" i="38"/>
  <c r="N486" i="38"/>
  <c r="V486" i="38"/>
  <c r="W486" i="38"/>
  <c r="X486" i="38"/>
  <c r="Y486" i="38"/>
  <c r="D487" i="38"/>
  <c r="O487" i="38" s="1"/>
  <c r="S487" i="38" s="1"/>
  <c r="L487" i="38"/>
  <c r="M487" i="38"/>
  <c r="N487" i="38"/>
  <c r="Q487" i="38"/>
  <c r="R487" i="38"/>
  <c r="V487" i="38"/>
  <c r="W487" i="38"/>
  <c r="X487" i="38"/>
  <c r="Y487" i="38"/>
  <c r="AB487" i="38"/>
  <c r="D488" i="38"/>
  <c r="L488" i="38"/>
  <c r="M488" i="38"/>
  <c r="N488" i="38"/>
  <c r="O488" i="38"/>
  <c r="V488" i="38"/>
  <c r="W488" i="38"/>
  <c r="X488" i="38"/>
  <c r="Y488" i="38"/>
  <c r="AC488" i="38"/>
  <c r="D489" i="38"/>
  <c r="L489" i="38"/>
  <c r="M489" i="38"/>
  <c r="N489" i="38"/>
  <c r="V489" i="38"/>
  <c r="W489" i="38"/>
  <c r="X489" i="38"/>
  <c r="D490" i="38"/>
  <c r="L490" i="38"/>
  <c r="M490" i="38"/>
  <c r="N490" i="38"/>
  <c r="V490" i="38"/>
  <c r="W490" i="38"/>
  <c r="X490" i="38"/>
  <c r="D491" i="38"/>
  <c r="O491" i="38" s="1"/>
  <c r="L491" i="38"/>
  <c r="M491" i="38"/>
  <c r="N491" i="38"/>
  <c r="T491" i="38"/>
  <c r="V491" i="38"/>
  <c r="W491" i="38"/>
  <c r="X491" i="38"/>
  <c r="Y491" i="38"/>
  <c r="Z491" i="38"/>
  <c r="D492" i="38"/>
  <c r="L492" i="38"/>
  <c r="M492" i="38"/>
  <c r="N492" i="38"/>
  <c r="V492" i="38"/>
  <c r="W492" i="38"/>
  <c r="X492" i="38"/>
  <c r="D493" i="38"/>
  <c r="O493" i="38" s="1"/>
  <c r="L493" i="38"/>
  <c r="M493" i="38"/>
  <c r="N493" i="38"/>
  <c r="V493" i="38"/>
  <c r="W493" i="38"/>
  <c r="X493" i="38"/>
  <c r="AC493" i="38"/>
  <c r="AD493" i="38"/>
  <c r="D494" i="38"/>
  <c r="O494" i="38" s="1"/>
  <c r="L494" i="38"/>
  <c r="M494" i="38"/>
  <c r="N494" i="38"/>
  <c r="R494" i="38"/>
  <c r="T494" i="38"/>
  <c r="V494" i="38"/>
  <c r="W494" i="38"/>
  <c r="X494" i="38"/>
  <c r="AA494" i="38"/>
  <c r="AB494" i="38"/>
  <c r="AC494" i="38"/>
  <c r="D495" i="38"/>
  <c r="L495" i="38"/>
  <c r="M495" i="38"/>
  <c r="N495" i="38"/>
  <c r="O495" i="38"/>
  <c r="P495" i="38" s="1"/>
  <c r="Q495" i="38"/>
  <c r="S495" i="38"/>
  <c r="T495" i="38"/>
  <c r="V495" i="38"/>
  <c r="W495" i="38"/>
  <c r="X495" i="38"/>
  <c r="Y495" i="38"/>
  <c r="D496" i="38"/>
  <c r="L496" i="38"/>
  <c r="M496" i="38"/>
  <c r="N496" i="38"/>
  <c r="O496" i="38"/>
  <c r="P496" i="38" s="1"/>
  <c r="R496" i="38"/>
  <c r="V496" i="38"/>
  <c r="W496" i="38"/>
  <c r="X496" i="38"/>
  <c r="Y496" i="38"/>
  <c r="D497" i="38"/>
  <c r="O497" i="38" s="1"/>
  <c r="AB497" i="38" s="1"/>
  <c r="T497" i="38"/>
  <c r="L497" i="38"/>
  <c r="M497" i="38"/>
  <c r="N497" i="38"/>
  <c r="R497" i="38"/>
  <c r="S497" i="38"/>
  <c r="V497" i="38"/>
  <c r="W497" i="38"/>
  <c r="X497" i="38"/>
  <c r="D498" i="38"/>
  <c r="AA498" i="38"/>
  <c r="AB498" i="38"/>
  <c r="L498" i="38"/>
  <c r="M498" i="38"/>
  <c r="N498" i="38"/>
  <c r="O498" i="38"/>
  <c r="P498" i="38" s="1"/>
  <c r="Q498" i="38"/>
  <c r="R498" i="38"/>
  <c r="S498" i="38"/>
  <c r="T498" i="38"/>
  <c r="V498" i="38"/>
  <c r="W498" i="38"/>
  <c r="X498" i="38"/>
  <c r="Y498" i="38"/>
  <c r="AC498" i="38"/>
  <c r="AD498" i="38"/>
  <c r="D499" i="38"/>
  <c r="L499" i="38"/>
  <c r="M499" i="38"/>
  <c r="N499" i="38"/>
  <c r="O499" i="38"/>
  <c r="AD499" i="38" s="1"/>
  <c r="V499" i="38"/>
  <c r="W499" i="38"/>
  <c r="X499" i="38"/>
  <c r="Y499" i="38"/>
  <c r="AC499" i="38"/>
  <c r="D500" i="38"/>
  <c r="O500" i="38" s="1"/>
  <c r="L500" i="38"/>
  <c r="M500" i="38"/>
  <c r="N500" i="38"/>
  <c r="V500" i="38"/>
  <c r="W500" i="38"/>
  <c r="X500" i="38"/>
  <c r="Y500" i="38"/>
  <c r="Z500" i="38"/>
  <c r="AB500" i="38"/>
  <c r="AC500" i="38"/>
  <c r="AD500" i="38"/>
  <c r="D501" i="38"/>
  <c r="O501" i="38" s="1"/>
  <c r="L501" i="38"/>
  <c r="M501" i="38"/>
  <c r="N501" i="38"/>
  <c r="S501" i="38"/>
  <c r="V501" i="38"/>
  <c r="W501" i="38"/>
  <c r="X501" i="38"/>
  <c r="Y501" i="38"/>
  <c r="Z501" i="38"/>
  <c r="AA501" i="38"/>
  <c r="AC501" i="38"/>
  <c r="AD501" i="38"/>
  <c r="D502" i="38"/>
  <c r="O502" i="38" s="1"/>
  <c r="L502" i="38"/>
  <c r="M502" i="38"/>
  <c r="N502" i="38"/>
  <c r="P502" i="38"/>
  <c r="Q502" i="38"/>
  <c r="S502" i="38"/>
  <c r="T502" i="38"/>
  <c r="V502" i="38"/>
  <c r="W502" i="38"/>
  <c r="X502" i="38"/>
  <c r="Y502" i="38"/>
  <c r="Z502" i="38"/>
  <c r="AA502" i="38"/>
  <c r="D503" i="38"/>
  <c r="L503" i="38"/>
  <c r="M503" i="38"/>
  <c r="N503" i="38"/>
  <c r="V503" i="38"/>
  <c r="W503" i="38"/>
  <c r="X503" i="38"/>
  <c r="D504" i="38"/>
  <c r="Y504" i="38" s="1"/>
  <c r="L504" i="38"/>
  <c r="M504" i="38"/>
  <c r="N504" i="38"/>
  <c r="O504" i="38"/>
  <c r="P504" i="38"/>
  <c r="Q504" i="38"/>
  <c r="T504" i="38"/>
  <c r="V504" i="38"/>
  <c r="W504" i="38"/>
  <c r="X504" i="38"/>
  <c r="D505" i="38"/>
  <c r="L505" i="38"/>
  <c r="M505" i="38"/>
  <c r="N505" i="38"/>
  <c r="O505" i="38"/>
  <c r="Q505" i="38" s="1"/>
  <c r="P505" i="38"/>
  <c r="V505" i="38"/>
  <c r="W505" i="38"/>
  <c r="X505" i="38"/>
  <c r="Y505" i="38"/>
  <c r="AD505" i="38"/>
  <c r="D506" i="38"/>
  <c r="O506" i="38" s="1"/>
  <c r="AB506" i="38" s="1"/>
  <c r="L506" i="38"/>
  <c r="M506" i="38"/>
  <c r="N506" i="38"/>
  <c r="V506" i="38"/>
  <c r="W506" i="38"/>
  <c r="X506" i="38"/>
  <c r="D507" i="38"/>
  <c r="L507" i="38"/>
  <c r="M507" i="38"/>
  <c r="N507" i="38"/>
  <c r="V507" i="38"/>
  <c r="W507" i="38"/>
  <c r="X507" i="38"/>
  <c r="D508" i="38"/>
  <c r="L508" i="38"/>
  <c r="M508" i="38"/>
  <c r="N508" i="38"/>
  <c r="O508" i="38"/>
  <c r="P508" i="38"/>
  <c r="S508" i="38"/>
  <c r="T508" i="38"/>
  <c r="V508" i="38"/>
  <c r="W508" i="38"/>
  <c r="X508" i="38"/>
  <c r="Y508" i="38"/>
  <c r="AA508" i="38"/>
  <c r="AB508" i="38"/>
  <c r="AC508" i="38"/>
  <c r="AD508" i="38"/>
  <c r="D509" i="38"/>
  <c r="L509" i="38"/>
  <c r="M509" i="38"/>
  <c r="N509" i="38"/>
  <c r="O509" i="38"/>
  <c r="P509" i="38"/>
  <c r="Q509" i="38"/>
  <c r="R509" i="38"/>
  <c r="T509" i="38"/>
  <c r="V509" i="38"/>
  <c r="W509" i="38"/>
  <c r="X509" i="38"/>
  <c r="Y509" i="38"/>
  <c r="C5" i="37"/>
  <c r="U5" i="37" s="1"/>
  <c r="E56" i="37"/>
  <c r="F56" i="37"/>
  <c r="G56" i="37"/>
  <c r="H56" i="37"/>
  <c r="J5" i="37"/>
  <c r="K5" i="37"/>
  <c r="L5" i="37"/>
  <c r="S5" i="37"/>
  <c r="T5" i="37"/>
  <c r="C6" i="37"/>
  <c r="J6" i="37"/>
  <c r="K6" i="37"/>
  <c r="S6" i="37"/>
  <c r="T6" i="37"/>
  <c r="U6" i="37"/>
  <c r="Y6" i="37" s="1"/>
  <c r="V6" i="37"/>
  <c r="W6" i="37"/>
  <c r="X6" i="37"/>
  <c r="C7" i="37"/>
  <c r="J7" i="37"/>
  <c r="K7" i="37"/>
  <c r="L7" i="37"/>
  <c r="M7" i="37"/>
  <c r="N7" i="37"/>
  <c r="S7" i="37"/>
  <c r="T7" i="37"/>
  <c r="C8" i="37"/>
  <c r="J8" i="37"/>
  <c r="K8" i="37"/>
  <c r="S8" i="37"/>
  <c r="T8" i="37"/>
  <c r="C9" i="37"/>
  <c r="N9" i="37"/>
  <c r="O9" i="37"/>
  <c r="J9" i="37"/>
  <c r="K9" i="37"/>
  <c r="L9" i="37"/>
  <c r="M9" i="37"/>
  <c r="S9" i="37"/>
  <c r="T9" i="37"/>
  <c r="U9" i="37"/>
  <c r="V9" i="37"/>
  <c r="W9" i="37"/>
  <c r="X9" i="37"/>
  <c r="C10" i="37"/>
  <c r="J10" i="37"/>
  <c r="K10" i="37"/>
  <c r="S10" i="37"/>
  <c r="T10" i="37"/>
  <c r="C11" i="37"/>
  <c r="J11" i="37"/>
  <c r="K11" i="37"/>
  <c r="S11" i="37"/>
  <c r="T11" i="37"/>
  <c r="U11" i="37"/>
  <c r="V11" i="37" s="1"/>
  <c r="C12" i="37"/>
  <c r="J12" i="37"/>
  <c r="K12" i="37"/>
  <c r="S12" i="37"/>
  <c r="T12" i="37"/>
  <c r="U12" i="37"/>
  <c r="W12" i="37" s="1"/>
  <c r="C13" i="37"/>
  <c r="J13" i="37"/>
  <c r="K13" i="37"/>
  <c r="S13" i="37"/>
  <c r="T13" i="37"/>
  <c r="U13" i="37"/>
  <c r="W13" i="37" s="1"/>
  <c r="C14" i="37"/>
  <c r="J14" i="37"/>
  <c r="K14" i="37"/>
  <c r="L14" i="37"/>
  <c r="M14" i="37"/>
  <c r="N14" i="37"/>
  <c r="O14" i="37"/>
  <c r="P14" i="37"/>
  <c r="Q14" i="37"/>
  <c r="S14" i="37"/>
  <c r="T14" i="37"/>
  <c r="U14" i="37"/>
  <c r="V14" i="37" s="1"/>
  <c r="W14" i="37"/>
  <c r="C15" i="37"/>
  <c r="U15" i="37" s="1"/>
  <c r="J15" i="37"/>
  <c r="K15" i="37"/>
  <c r="L15" i="37"/>
  <c r="M15" i="37"/>
  <c r="N15" i="37"/>
  <c r="O15" i="37"/>
  <c r="P15" i="37"/>
  <c r="Q15" i="37"/>
  <c r="S15" i="37"/>
  <c r="T15" i="37"/>
  <c r="Z15" i="37"/>
  <c r="C16" i="37"/>
  <c r="J16" i="37"/>
  <c r="K16" i="37"/>
  <c r="L16" i="37"/>
  <c r="O16" i="37" s="1"/>
  <c r="M16" i="37"/>
  <c r="N16" i="37"/>
  <c r="P16" i="37"/>
  <c r="Q16" i="37"/>
  <c r="S16" i="37"/>
  <c r="T16" i="37"/>
  <c r="U16" i="37"/>
  <c r="V16" i="37"/>
  <c r="W16" i="37"/>
  <c r="Y16" i="37"/>
  <c r="C17" i="37"/>
  <c r="J17" i="37"/>
  <c r="K17" i="37"/>
  <c r="L17" i="37"/>
  <c r="O17" i="37" s="1"/>
  <c r="M17" i="37"/>
  <c r="N17" i="37"/>
  <c r="S17" i="37"/>
  <c r="T17" i="37"/>
  <c r="C18" i="37"/>
  <c r="J18" i="37"/>
  <c r="K18" i="37"/>
  <c r="S18" i="37"/>
  <c r="T18" i="37"/>
  <c r="C19" i="37"/>
  <c r="J19" i="37"/>
  <c r="K19" i="37"/>
  <c r="S19" i="37"/>
  <c r="T19" i="37"/>
  <c r="C20" i="37"/>
  <c r="J20" i="37"/>
  <c r="K20" i="37"/>
  <c r="S20" i="37"/>
  <c r="T20" i="37"/>
  <c r="U20" i="37"/>
  <c r="W20" i="37" s="1"/>
  <c r="C21" i="37"/>
  <c r="J21" i="37"/>
  <c r="K21" i="37"/>
  <c r="L21" i="37"/>
  <c r="P21" i="37"/>
  <c r="Q21" i="37"/>
  <c r="S21" i="37"/>
  <c r="T21" i="37"/>
  <c r="U21" i="37"/>
  <c r="W21" i="37" s="1"/>
  <c r="C22" i="37"/>
  <c r="J22" i="37"/>
  <c r="K22" i="37"/>
  <c r="L22" i="37"/>
  <c r="M22" i="37"/>
  <c r="N22" i="37"/>
  <c r="O22" i="37"/>
  <c r="G8" i="8" s="1"/>
  <c r="P22" i="37"/>
  <c r="Q22" i="37"/>
  <c r="S22" i="37"/>
  <c r="T22" i="37"/>
  <c r="U22" i="37"/>
  <c r="V22" i="37"/>
  <c r="W22" i="37"/>
  <c r="X22" i="37"/>
  <c r="C23" i="37"/>
  <c r="J23" i="37"/>
  <c r="K23" i="37"/>
  <c r="L23" i="37"/>
  <c r="M23" i="37"/>
  <c r="N23" i="37"/>
  <c r="O23" i="37"/>
  <c r="P23" i="37"/>
  <c r="Q23" i="37"/>
  <c r="S23" i="37"/>
  <c r="T23" i="37"/>
  <c r="U23" i="37"/>
  <c r="V23" i="37"/>
  <c r="C24" i="37"/>
  <c r="U24" i="37" s="1"/>
  <c r="J24" i="37"/>
  <c r="K24" i="37"/>
  <c r="L24" i="37"/>
  <c r="M24" i="37"/>
  <c r="N24" i="37"/>
  <c r="O24" i="37"/>
  <c r="P24" i="37"/>
  <c r="Q24" i="37"/>
  <c r="S24" i="37"/>
  <c r="T24" i="37"/>
  <c r="Z24" i="37"/>
  <c r="C25" i="37"/>
  <c r="W25" i="37"/>
  <c r="J25" i="37"/>
  <c r="K25" i="37"/>
  <c r="L25" i="37"/>
  <c r="P25" i="37" s="1"/>
  <c r="M25" i="37"/>
  <c r="N25" i="37"/>
  <c r="Q25" i="37"/>
  <c r="S25" i="37"/>
  <c r="T25" i="37"/>
  <c r="U25" i="37"/>
  <c r="Y25" i="37" s="1"/>
  <c r="V25" i="37"/>
  <c r="X25" i="37"/>
  <c r="C26" i="37"/>
  <c r="J26" i="37"/>
  <c r="K26" i="37"/>
  <c r="S26" i="37"/>
  <c r="T26" i="37"/>
  <c r="C27" i="37"/>
  <c r="J27" i="37"/>
  <c r="K27" i="37"/>
  <c r="S27" i="37"/>
  <c r="T27" i="37"/>
  <c r="C28" i="37"/>
  <c r="U28" i="37" s="1"/>
  <c r="J28" i="37"/>
  <c r="K28" i="37"/>
  <c r="S28" i="37"/>
  <c r="T28" i="37"/>
  <c r="C29" i="37"/>
  <c r="J29" i="37"/>
  <c r="K29" i="37"/>
  <c r="L29" i="37"/>
  <c r="P29" i="37"/>
  <c r="Q29" i="37"/>
  <c r="S29" i="37"/>
  <c r="T29" i="37"/>
  <c r="U29" i="37"/>
  <c r="Y29" i="37" s="1"/>
  <c r="V29" i="37"/>
  <c r="W29" i="37"/>
  <c r="X29" i="37"/>
  <c r="Z29" i="37"/>
  <c r="C30" i="37"/>
  <c r="J30" i="37"/>
  <c r="K30" i="37"/>
  <c r="S30" i="37"/>
  <c r="T30" i="37"/>
  <c r="U30" i="37"/>
  <c r="V30" i="37" s="1"/>
  <c r="W30" i="37"/>
  <c r="X30" i="37"/>
  <c r="Y30" i="37"/>
  <c r="Z30" i="37"/>
  <c r="C31" i="37"/>
  <c r="J31" i="37"/>
  <c r="K31" i="37"/>
  <c r="L31" i="37"/>
  <c r="Q31" i="37" s="1"/>
  <c r="M31" i="37"/>
  <c r="N31" i="37"/>
  <c r="O31" i="37"/>
  <c r="P31" i="37"/>
  <c r="S31" i="37"/>
  <c r="T31" i="37"/>
  <c r="U31" i="37"/>
  <c r="V31" i="37"/>
  <c r="W31" i="37"/>
  <c r="C32" i="37"/>
  <c r="J32" i="37"/>
  <c r="K32" i="37"/>
  <c r="L32" i="37"/>
  <c r="O32" i="37" s="1"/>
  <c r="M32" i="37"/>
  <c r="N32" i="37"/>
  <c r="P32" i="37"/>
  <c r="Q32" i="37"/>
  <c r="S32" i="37"/>
  <c r="T32" i="37"/>
  <c r="U32" i="37"/>
  <c r="C33" i="37"/>
  <c r="J33" i="37"/>
  <c r="K33" i="37"/>
  <c r="S33" i="37"/>
  <c r="T33" i="37"/>
  <c r="U33" i="37"/>
  <c r="Z33" i="37" s="1"/>
  <c r="V33" i="37"/>
  <c r="W33" i="37"/>
  <c r="X33" i="37"/>
  <c r="Y33" i="37"/>
  <c r="C34" i="37"/>
  <c r="J34" i="37"/>
  <c r="K34" i="37"/>
  <c r="L34" i="37"/>
  <c r="M34" i="37" s="1"/>
  <c r="O34" i="37"/>
  <c r="S34" i="37"/>
  <c r="T34" i="37"/>
  <c r="U34" i="37"/>
  <c r="W34" i="37" s="1"/>
  <c r="V34" i="37"/>
  <c r="Z34" i="37"/>
  <c r="C35" i="37"/>
  <c r="J35" i="37"/>
  <c r="K35" i="37"/>
  <c r="L35" i="37"/>
  <c r="S35" i="37"/>
  <c r="T35" i="37"/>
  <c r="C36" i="37"/>
  <c r="U36" i="37" s="1"/>
  <c r="J36" i="37"/>
  <c r="K36" i="37"/>
  <c r="S36" i="37"/>
  <c r="T36" i="37"/>
  <c r="C37" i="37"/>
  <c r="J37" i="37"/>
  <c r="K37" i="37"/>
  <c r="S37" i="37"/>
  <c r="T37" i="37"/>
  <c r="C38" i="37"/>
  <c r="J38" i="37"/>
  <c r="K38" i="37"/>
  <c r="L38" i="37"/>
  <c r="P38" i="37"/>
  <c r="S38" i="37"/>
  <c r="T38" i="37"/>
  <c r="C39" i="37"/>
  <c r="J39" i="37"/>
  <c r="K39" i="37"/>
  <c r="S39" i="37"/>
  <c r="T39" i="37"/>
  <c r="C40" i="37"/>
  <c r="J40" i="37"/>
  <c r="K40" i="37"/>
  <c r="L40" i="37"/>
  <c r="Q40" i="37" s="1"/>
  <c r="M40" i="37"/>
  <c r="N40" i="37"/>
  <c r="O40" i="37"/>
  <c r="S40" i="37"/>
  <c r="T40" i="37"/>
  <c r="U40" i="37"/>
  <c r="V40" i="37"/>
  <c r="W40" i="37"/>
  <c r="C41" i="37"/>
  <c r="U41" i="37" s="1"/>
  <c r="J41" i="37"/>
  <c r="K41" i="37"/>
  <c r="L41" i="37"/>
  <c r="Q41" i="37" s="1"/>
  <c r="M41" i="37"/>
  <c r="N41" i="37"/>
  <c r="O41" i="37"/>
  <c r="P41" i="37"/>
  <c r="S41" i="37"/>
  <c r="T41" i="37"/>
  <c r="Z41" i="37"/>
  <c r="C42" i="37"/>
  <c r="J42" i="37"/>
  <c r="K42" i="37"/>
  <c r="L42" i="37"/>
  <c r="M42" i="37"/>
  <c r="N42" i="37"/>
  <c r="O42" i="37"/>
  <c r="P42" i="37"/>
  <c r="S42" i="37"/>
  <c r="T42" i="37"/>
  <c r="U42" i="37"/>
  <c r="Z42" i="37" s="1"/>
  <c r="V42" i="37"/>
  <c r="W42" i="37"/>
  <c r="C43" i="37"/>
  <c r="J43" i="37"/>
  <c r="K43" i="37"/>
  <c r="L43" i="37"/>
  <c r="N43" i="37" s="1"/>
  <c r="M43" i="37"/>
  <c r="S43" i="37"/>
  <c r="T43" i="37"/>
  <c r="U43" i="37"/>
  <c r="Z43" i="37"/>
  <c r="C44" i="37"/>
  <c r="J44" i="37"/>
  <c r="K44" i="37"/>
  <c r="S44" i="37"/>
  <c r="T44" i="37"/>
  <c r="C45" i="37"/>
  <c r="J45" i="37"/>
  <c r="K45" i="37"/>
  <c r="S45" i="37"/>
  <c r="T45" i="37"/>
  <c r="C46" i="37"/>
  <c r="V46" i="37"/>
  <c r="W46" i="37"/>
  <c r="X46" i="37"/>
  <c r="J46" i="37"/>
  <c r="K46" i="37"/>
  <c r="S46" i="37"/>
  <c r="T46" i="37"/>
  <c r="U46" i="37"/>
  <c r="Y46" i="37" s="1"/>
  <c r="C47" i="37"/>
  <c r="J47" i="37"/>
  <c r="K47" i="37"/>
  <c r="S47" i="37"/>
  <c r="T47" i="37"/>
  <c r="J48" i="37"/>
  <c r="K48" i="37"/>
  <c r="M48" i="37"/>
  <c r="N48" i="37"/>
  <c r="O48" i="37"/>
  <c r="AB48" i="37" s="1"/>
  <c r="P48" i="37"/>
  <c r="Q48" i="37"/>
  <c r="S48" i="37"/>
  <c r="T48" i="37"/>
  <c r="V48" i="37"/>
  <c r="W48" i="37"/>
  <c r="X48" i="37"/>
  <c r="Y48" i="37"/>
  <c r="Z48" i="37"/>
  <c r="J49" i="37"/>
  <c r="K49" i="37"/>
  <c r="M49" i="37"/>
  <c r="N49" i="37"/>
  <c r="O49" i="37"/>
  <c r="P49" i="37"/>
  <c r="Q49" i="37"/>
  <c r="S49" i="37"/>
  <c r="T49" i="37"/>
  <c r="V49" i="37"/>
  <c r="W49" i="37"/>
  <c r="X49" i="37"/>
  <c r="Y49" i="37"/>
  <c r="Z49" i="37"/>
  <c r="AB49" i="37"/>
  <c r="J50" i="37"/>
  <c r="K50" i="37"/>
  <c r="M50" i="37"/>
  <c r="N50" i="37"/>
  <c r="O50" i="37"/>
  <c r="P50" i="37"/>
  <c r="Q50" i="37"/>
  <c r="S50" i="37"/>
  <c r="T50" i="37"/>
  <c r="V50" i="37"/>
  <c r="W50" i="37"/>
  <c r="X50" i="37"/>
  <c r="Y50" i="37"/>
  <c r="Z50" i="37"/>
  <c r="AB50" i="37"/>
  <c r="AB51" i="37"/>
  <c r="AB52" i="37"/>
  <c r="AB53" i="37"/>
  <c r="AB54" i="37"/>
  <c r="AB55" i="37"/>
  <c r="D56" i="37"/>
  <c r="H17" i="8"/>
  <c r="H18" i="8" s="1"/>
  <c r="H10" i="8"/>
  <c r="H9" i="8"/>
  <c r="H8" i="8"/>
  <c r="W21" i="11"/>
  <c r="J21" i="11"/>
  <c r="T21" i="11"/>
  <c r="G21" i="11"/>
  <c r="W22" i="11"/>
  <c r="O10" i="1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9" i="11"/>
  <c r="L9" i="11"/>
  <c r="M9" i="11" s="1"/>
  <c r="E9" i="11"/>
  <c r="R9" i="11" s="1"/>
  <c r="S9" i="11" s="1"/>
  <c r="T9" i="11" s="1"/>
  <c r="G17" i="8"/>
  <c r="L11" i="11" s="1"/>
  <c r="H14" i="8" l="1"/>
  <c r="M8" i="11" s="1"/>
  <c r="M10" i="11"/>
  <c r="V28" i="37"/>
  <c r="W28" i="37"/>
  <c r="X28" i="37"/>
  <c r="Y28" i="37"/>
  <c r="Z28" i="37"/>
  <c r="X36" i="37"/>
  <c r="Y36" i="37"/>
  <c r="Z36" i="37"/>
  <c r="W36" i="37"/>
  <c r="V36" i="37"/>
  <c r="AB32" i="37"/>
  <c r="AB29" i="37"/>
  <c r="AE472" i="38"/>
  <c r="C18" i="40"/>
  <c r="C18" i="39"/>
  <c r="AC380" i="38"/>
  <c r="AE380" i="38" s="1"/>
  <c r="R380" i="38"/>
  <c r="S380" i="38"/>
  <c r="T380" i="38"/>
  <c r="P380" i="38"/>
  <c r="Z380" i="38"/>
  <c r="AA380" i="38"/>
  <c r="AB380" i="38"/>
  <c r="AD380" i="38"/>
  <c r="Z300" i="38"/>
  <c r="P300" i="38"/>
  <c r="T300" i="38"/>
  <c r="AD300" i="38"/>
  <c r="AA300" i="38"/>
  <c r="AB300" i="38"/>
  <c r="AC300" i="38"/>
  <c r="S300" i="38"/>
  <c r="R300" i="38"/>
  <c r="AE300" i="38" s="1"/>
  <c r="Y492" i="38"/>
  <c r="O492" i="38"/>
  <c r="Q395" i="38"/>
  <c r="AE395" i="38" s="1"/>
  <c r="R395" i="38"/>
  <c r="S395" i="38"/>
  <c r="T395" i="38"/>
  <c r="AD395" i="38"/>
  <c r="AC395" i="38"/>
  <c r="Z395" i="38"/>
  <c r="AA395" i="38"/>
  <c r="AB395" i="38"/>
  <c r="U6" i="40"/>
  <c r="L6" i="40"/>
  <c r="V5" i="37"/>
  <c r="W5" i="37"/>
  <c r="X5" i="37"/>
  <c r="Z5" i="37"/>
  <c r="Y5" i="37"/>
  <c r="P40" i="37"/>
  <c r="AB40" i="37" s="1"/>
  <c r="V21" i="37"/>
  <c r="V20" i="37"/>
  <c r="V13" i="37"/>
  <c r="V12" i="37"/>
  <c r="AD502" i="38"/>
  <c r="AC502" i="38"/>
  <c r="AB502" i="38"/>
  <c r="AB491" i="38"/>
  <c r="AC491" i="38"/>
  <c r="AD491" i="38"/>
  <c r="AA491" i="38"/>
  <c r="P491" i="38"/>
  <c r="AE491" i="38" s="1"/>
  <c r="Q491" i="38"/>
  <c r="R491" i="38"/>
  <c r="S491" i="38"/>
  <c r="Z488" i="38"/>
  <c r="AA488" i="38"/>
  <c r="AD488" i="38"/>
  <c r="Q488" i="38"/>
  <c r="AE488" i="38" s="1"/>
  <c r="R488" i="38"/>
  <c r="S488" i="38"/>
  <c r="T488" i="38"/>
  <c r="P488" i="38"/>
  <c r="P369" i="38"/>
  <c r="P288" i="38"/>
  <c r="Q288" i="38"/>
  <c r="AA288" i="38"/>
  <c r="AB288" i="38"/>
  <c r="AD288" i="38"/>
  <c r="Z288" i="38"/>
  <c r="R288" i="38"/>
  <c r="S288" i="38"/>
  <c r="AE288" i="38" s="1"/>
  <c r="T288" i="38"/>
  <c r="AC288" i="38"/>
  <c r="Z473" i="38"/>
  <c r="AD473" i="38"/>
  <c r="P473" i="38"/>
  <c r="AE473" i="38" s="1"/>
  <c r="AC473" i="38"/>
  <c r="AB473" i="38"/>
  <c r="T473" i="38"/>
  <c r="AA473" i="38"/>
  <c r="S473" i="38"/>
  <c r="O256" i="38"/>
  <c r="Y256" i="38"/>
  <c r="M29" i="37"/>
  <c r="N29" i="37"/>
  <c r="O29" i="37"/>
  <c r="W43" i="37"/>
  <c r="V43" i="37"/>
  <c r="X43" i="37"/>
  <c r="Y43" i="37"/>
  <c r="AE487" i="38"/>
  <c r="S474" i="38"/>
  <c r="AE474" i="38" s="1"/>
  <c r="AA474" i="38"/>
  <c r="AD474" i="38"/>
  <c r="T474" i="38"/>
  <c r="AB474" i="38"/>
  <c r="AC474" i="38"/>
  <c r="R474" i="38"/>
  <c r="Z474" i="38"/>
  <c r="T414" i="38"/>
  <c r="Z414" i="38"/>
  <c r="AA414" i="38"/>
  <c r="AB414" i="38"/>
  <c r="AC414" i="38"/>
  <c r="AD414" i="38"/>
  <c r="R414" i="38"/>
  <c r="S414" i="38"/>
  <c r="Q414" i="38"/>
  <c r="AE414" i="38" s="1"/>
  <c r="AB385" i="38"/>
  <c r="AC385" i="38"/>
  <c r="AA385" i="38"/>
  <c r="AD385" i="38"/>
  <c r="Z385" i="38"/>
  <c r="Q385" i="38"/>
  <c r="AE385" i="38" s="1"/>
  <c r="R331" i="38"/>
  <c r="S331" i="38"/>
  <c r="Q331" i="38"/>
  <c r="T331" i="38"/>
  <c r="Z331" i="38"/>
  <c r="AA331" i="38"/>
  <c r="AB331" i="38"/>
  <c r="AD331" i="38"/>
  <c r="AC331" i="38"/>
  <c r="P331" i="38"/>
  <c r="C37" i="40"/>
  <c r="C37" i="39"/>
  <c r="U37" i="37"/>
  <c r="L37" i="37"/>
  <c r="N34" i="37"/>
  <c r="AB34" i="37" s="1"/>
  <c r="C19" i="40"/>
  <c r="C19" i="39"/>
  <c r="U19" i="37"/>
  <c r="L19" i="37"/>
  <c r="C10" i="39"/>
  <c r="C10" i="40"/>
  <c r="L10" i="37"/>
  <c r="O7" i="37"/>
  <c r="P7" i="37"/>
  <c r="Q7" i="37"/>
  <c r="Y507" i="38"/>
  <c r="O507" i="38"/>
  <c r="Q493" i="38"/>
  <c r="R493" i="38"/>
  <c r="S493" i="38"/>
  <c r="P493" i="38"/>
  <c r="AE493" i="38" s="1"/>
  <c r="T493" i="38"/>
  <c r="Q485" i="38"/>
  <c r="AD484" i="38"/>
  <c r="AE484" i="38" s="1"/>
  <c r="Z484" i="38"/>
  <c r="AA484" i="38"/>
  <c r="AB484" i="38"/>
  <c r="AC484" i="38"/>
  <c r="T484" i="38"/>
  <c r="R409" i="38"/>
  <c r="S396" i="38"/>
  <c r="O266" i="38"/>
  <c r="Y266" i="38"/>
  <c r="F510" i="38"/>
  <c r="C46" i="40"/>
  <c r="C46" i="39"/>
  <c r="L46" i="37"/>
  <c r="Q42" i="37"/>
  <c r="AB42" i="37" s="1"/>
  <c r="O25" i="37"/>
  <c r="AB25" i="37" s="1"/>
  <c r="AB9" i="37"/>
  <c r="R502" i="38"/>
  <c r="AD494" i="38"/>
  <c r="P494" i="38"/>
  <c r="Q494" i="38"/>
  <c r="AE494" i="38" s="1"/>
  <c r="T431" i="38"/>
  <c r="Q431" i="38"/>
  <c r="R431" i="38"/>
  <c r="S431" i="38"/>
  <c r="AA431" i="38"/>
  <c r="P431" i="38"/>
  <c r="AE431" i="38" s="1"/>
  <c r="Z431" i="38"/>
  <c r="AB431" i="38"/>
  <c r="AC431" i="38"/>
  <c r="AD431" i="38"/>
  <c r="C44" i="40"/>
  <c r="C44" i="39"/>
  <c r="U44" i="37"/>
  <c r="O426" i="38"/>
  <c r="Y426" i="38"/>
  <c r="S485" i="38"/>
  <c r="T485" i="38"/>
  <c r="Z485" i="38"/>
  <c r="R485" i="38"/>
  <c r="AA485" i="38"/>
  <c r="AB485" i="38"/>
  <c r="AC485" i="38"/>
  <c r="AD485" i="38"/>
  <c r="Z396" i="38"/>
  <c r="AD396" i="38"/>
  <c r="AA396" i="38"/>
  <c r="AB396" i="38"/>
  <c r="AC396" i="38"/>
  <c r="P396" i="38"/>
  <c r="AE396" i="38" s="1"/>
  <c r="P150" i="38"/>
  <c r="AC150" i="38"/>
  <c r="Q150" i="38"/>
  <c r="S150" i="38"/>
  <c r="T150" i="38"/>
  <c r="Z150" i="38"/>
  <c r="R150" i="38"/>
  <c r="AD150" i="38"/>
  <c r="AB150" i="38"/>
  <c r="AA150" i="38"/>
  <c r="P465" i="38"/>
  <c r="AE465" i="38" s="1"/>
  <c r="AB465" i="38"/>
  <c r="AD465" i="38"/>
  <c r="AA465" i="38"/>
  <c r="AC465" i="38"/>
  <c r="Z465" i="38"/>
  <c r="T465" i="38"/>
  <c r="O334" i="38"/>
  <c r="Y334" i="38"/>
  <c r="Z202" i="38"/>
  <c r="AE202" i="38" s="1"/>
  <c r="AD202" i="38"/>
  <c r="AC202" i="38"/>
  <c r="AA202" i="38"/>
  <c r="AB202" i="38"/>
  <c r="Q202" i="38"/>
  <c r="R202" i="38"/>
  <c r="S202" i="38"/>
  <c r="T202" i="38"/>
  <c r="P202" i="38"/>
  <c r="Z46" i="37"/>
  <c r="C30" i="39"/>
  <c r="C30" i="40"/>
  <c r="L30" i="37"/>
  <c r="AB22" i="37"/>
  <c r="C20" i="39"/>
  <c r="C20" i="40"/>
  <c r="L20" i="37"/>
  <c r="AB14" i="37"/>
  <c r="C11" i="40"/>
  <c r="C11" i="39"/>
  <c r="L11" i="37"/>
  <c r="Y9" i="37"/>
  <c r="Z9" i="37"/>
  <c r="Y506" i="38"/>
  <c r="R505" i="38"/>
  <c r="AD504" i="38"/>
  <c r="R504" i="38"/>
  <c r="S504" i="38"/>
  <c r="AE504" i="38" s="1"/>
  <c r="Z504" i="38"/>
  <c r="AA504" i="38"/>
  <c r="AB504" i="38"/>
  <c r="AC504" i="38"/>
  <c r="Z494" i="38"/>
  <c r="AB493" i="38"/>
  <c r="R486" i="38"/>
  <c r="AA481" i="38"/>
  <c r="Q479" i="38"/>
  <c r="AE479" i="38" s="1"/>
  <c r="O75" i="38"/>
  <c r="Y75" i="38"/>
  <c r="E514" i="38"/>
  <c r="C26" i="40"/>
  <c r="C26" i="39"/>
  <c r="U26" i="37"/>
  <c r="AD55" i="38"/>
  <c r="Q55" i="38"/>
  <c r="AE55" i="38" s="1"/>
  <c r="AA55" i="38"/>
  <c r="Z55" i="38"/>
  <c r="AB55" i="38"/>
  <c r="AC55" i="38"/>
  <c r="T55" i="38"/>
  <c r="R55" i="38"/>
  <c r="S55" i="38"/>
  <c r="P34" i="37"/>
  <c r="Q34" i="37"/>
  <c r="C38" i="40"/>
  <c r="C38" i="39"/>
  <c r="AB31" i="37"/>
  <c r="AB140" i="38"/>
  <c r="G510" i="38"/>
  <c r="T68" i="38"/>
  <c r="AE68" i="38"/>
  <c r="I510" i="38"/>
  <c r="C39" i="40"/>
  <c r="C39" i="39"/>
  <c r="L39" i="37"/>
  <c r="U18" i="37"/>
  <c r="S397" i="38"/>
  <c r="AD397" i="38"/>
  <c r="Z397" i="38"/>
  <c r="AA397" i="38"/>
  <c r="AB397" i="38"/>
  <c r="AC397" i="38"/>
  <c r="T397" i="38"/>
  <c r="P397" i="38"/>
  <c r="AE397" i="38" s="1"/>
  <c r="E510" i="38"/>
  <c r="X41" i="37"/>
  <c r="Y41" i="37"/>
  <c r="V41" i="37"/>
  <c r="AB41" i="37" s="1"/>
  <c r="W41" i="37"/>
  <c r="L26" i="37"/>
  <c r="C12" i="40"/>
  <c r="C12" i="39"/>
  <c r="L12" i="37"/>
  <c r="Y494" i="38"/>
  <c r="AA493" i="38"/>
  <c r="Y489" i="38"/>
  <c r="O489" i="38"/>
  <c r="Z466" i="38"/>
  <c r="AA466" i="38"/>
  <c r="AB466" i="38"/>
  <c r="AC466" i="38"/>
  <c r="AD466" i="38"/>
  <c r="T466" i="38"/>
  <c r="AE466" i="38" s="1"/>
  <c r="Q126" i="38"/>
  <c r="R126" i="38"/>
  <c r="Z126" i="38"/>
  <c r="AA126" i="38"/>
  <c r="AB126" i="38"/>
  <c r="AD126" i="38"/>
  <c r="T126" i="38"/>
  <c r="AC126" i="38"/>
  <c r="S126" i="38"/>
  <c r="P126" i="38"/>
  <c r="S479" i="38"/>
  <c r="AC479" i="38"/>
  <c r="AD479" i="38"/>
  <c r="AB479" i="38"/>
  <c r="Z479" i="38"/>
  <c r="AA479" i="38"/>
  <c r="Y421" i="38"/>
  <c r="O421" i="38"/>
  <c r="AE405" i="38"/>
  <c r="C27" i="39"/>
  <c r="C27" i="40"/>
  <c r="U27" i="37"/>
  <c r="Q506" i="38"/>
  <c r="AE506" i="38" s="1"/>
  <c r="AC506" i="38"/>
  <c r="AD506" i="38"/>
  <c r="P506" i="38"/>
  <c r="R506" i="38"/>
  <c r="S506" i="38"/>
  <c r="T506" i="38"/>
  <c r="C45" i="40"/>
  <c r="C45" i="39"/>
  <c r="L45" i="37"/>
  <c r="S499" i="38"/>
  <c r="AA499" i="38"/>
  <c r="AB499" i="38"/>
  <c r="Q499" i="38"/>
  <c r="R499" i="38"/>
  <c r="T499" i="38"/>
  <c r="Z499" i="38"/>
  <c r="P499" i="38"/>
  <c r="AE499" i="38" s="1"/>
  <c r="Z409" i="38"/>
  <c r="AB409" i="38"/>
  <c r="AC409" i="38"/>
  <c r="AE409" i="38" s="1"/>
  <c r="AA409" i="38"/>
  <c r="AD409" i="38"/>
  <c r="T409" i="38"/>
  <c r="S409" i="38"/>
  <c r="Q409" i="38"/>
  <c r="Y399" i="38"/>
  <c r="O399" i="38"/>
  <c r="G18" i="8"/>
  <c r="G21" i="8" s="1"/>
  <c r="Q43" i="37"/>
  <c r="O43" i="37"/>
  <c r="AB43" i="37" s="1"/>
  <c r="P43" i="37"/>
  <c r="H510" i="38"/>
  <c r="O35" i="37"/>
  <c r="P35" i="37"/>
  <c r="Q35" i="37"/>
  <c r="M35" i="37"/>
  <c r="N35" i="37"/>
  <c r="P17" i="37"/>
  <c r="Q17" i="37"/>
  <c r="Z506" i="38"/>
  <c r="L44" i="37"/>
  <c r="Y493" i="38"/>
  <c r="AB488" i="38"/>
  <c r="AD472" i="38"/>
  <c r="S467" i="38"/>
  <c r="R467" i="38"/>
  <c r="Z467" i="38"/>
  <c r="AC467" i="38"/>
  <c r="Q467" i="38"/>
  <c r="AE467" i="38" s="1"/>
  <c r="AD467" i="38"/>
  <c r="AB467" i="38"/>
  <c r="AA467" i="38"/>
  <c r="Y420" i="38"/>
  <c r="O420" i="38"/>
  <c r="O232" i="38"/>
  <c r="Y232" i="38"/>
  <c r="Q383" i="38"/>
  <c r="R383" i="38"/>
  <c r="AD383" i="38"/>
  <c r="AC383" i="38"/>
  <c r="AB383" i="38"/>
  <c r="Z383" i="38"/>
  <c r="AA383" i="38"/>
  <c r="AA370" i="38"/>
  <c r="AB370" i="38"/>
  <c r="Z370" i="38"/>
  <c r="AE370" i="38" s="1"/>
  <c r="AC370" i="38"/>
  <c r="AD370" i="38"/>
  <c r="T284" i="38"/>
  <c r="Z284" i="38"/>
  <c r="AA284" i="38"/>
  <c r="AC284" i="38"/>
  <c r="AD284" i="38"/>
  <c r="P284" i="38"/>
  <c r="Q284" i="38"/>
  <c r="AE284" i="38" s="1"/>
  <c r="R284" i="38"/>
  <c r="S284" i="38"/>
  <c r="AB284" i="38"/>
  <c r="Z11" i="37"/>
  <c r="S496" i="38"/>
  <c r="AE496" i="38" s="1"/>
  <c r="R495" i="38"/>
  <c r="AE495" i="38" s="1"/>
  <c r="AE485" i="38"/>
  <c r="AC480" i="38"/>
  <c r="P480" i="38"/>
  <c r="AE480" i="38" s="1"/>
  <c r="AB480" i="38"/>
  <c r="Z480" i="38"/>
  <c r="AA480" i="38"/>
  <c r="AD480" i="38"/>
  <c r="Y471" i="38"/>
  <c r="O471" i="38"/>
  <c r="T370" i="38"/>
  <c r="T369" i="38"/>
  <c r="Q368" i="38"/>
  <c r="R368" i="38"/>
  <c r="P368" i="38"/>
  <c r="AD368" i="38"/>
  <c r="AC368" i="38"/>
  <c r="AB368" i="38"/>
  <c r="Z368" i="38"/>
  <c r="AA368" i="38"/>
  <c r="T368" i="38"/>
  <c r="Q364" i="38"/>
  <c r="P364" i="38"/>
  <c r="AE364" i="38" s="1"/>
  <c r="R364" i="38"/>
  <c r="Z364" i="38"/>
  <c r="AA364" i="38"/>
  <c r="AB364" i="38"/>
  <c r="AD364" i="38"/>
  <c r="T364" i="38"/>
  <c r="AC364" i="38"/>
  <c r="S364" i="38"/>
  <c r="Q38" i="37"/>
  <c r="M38" i="37"/>
  <c r="N38" i="37"/>
  <c r="O38" i="37"/>
  <c r="M21" i="37"/>
  <c r="N21" i="37"/>
  <c r="O21" i="37"/>
  <c r="C47" i="40"/>
  <c r="C47" i="39"/>
  <c r="L47" i="37"/>
  <c r="AA506" i="38"/>
  <c r="R475" i="38"/>
  <c r="T475" i="38"/>
  <c r="AA475" i="38"/>
  <c r="Q475" i="38"/>
  <c r="S475" i="38"/>
  <c r="AE475" i="38" s="1"/>
  <c r="Z475" i="38"/>
  <c r="AB475" i="38"/>
  <c r="P475" i="38"/>
  <c r="L18" i="37"/>
  <c r="Z40" i="37"/>
  <c r="X40" i="37"/>
  <c r="Y40" i="37"/>
  <c r="Z20" i="37"/>
  <c r="Z13" i="37"/>
  <c r="Z12" i="37"/>
  <c r="Q5" i="37"/>
  <c r="U47" i="37"/>
  <c r="Y21" i="37"/>
  <c r="X11" i="37"/>
  <c r="M5" i="37"/>
  <c r="Q481" i="38"/>
  <c r="AE481" i="38" s="1"/>
  <c r="O400" i="38"/>
  <c r="Y400" i="38"/>
  <c r="S370" i="38"/>
  <c r="Z253" i="38"/>
  <c r="AA253" i="38"/>
  <c r="AB253" i="38"/>
  <c r="Q253" i="38"/>
  <c r="R253" i="38"/>
  <c r="S253" i="38"/>
  <c r="T253" i="38"/>
  <c r="P253" i="38"/>
  <c r="AE253" i="38" s="1"/>
  <c r="AC253" i="38"/>
  <c r="AD253" i="38"/>
  <c r="AB369" i="38"/>
  <c r="AA369" i="38"/>
  <c r="AD369" i="38"/>
  <c r="Z369" i="38"/>
  <c r="AC369" i="38"/>
  <c r="R448" i="38"/>
  <c r="AA448" i="38"/>
  <c r="AB448" i="38"/>
  <c r="AC448" i="38"/>
  <c r="AD448" i="38"/>
  <c r="Z448" i="38"/>
  <c r="AE448" i="38" s="1"/>
  <c r="C36" i="40"/>
  <c r="C36" i="39"/>
  <c r="L36" i="37"/>
  <c r="Z493" i="38"/>
  <c r="U45" i="37"/>
  <c r="C7" i="39"/>
  <c r="C7" i="40"/>
  <c r="U7" i="37"/>
  <c r="S505" i="38"/>
  <c r="AE505" i="38" s="1"/>
  <c r="Z505" i="38"/>
  <c r="AA505" i="38"/>
  <c r="AB505" i="38"/>
  <c r="AC505" i="38"/>
  <c r="T505" i="38"/>
  <c r="W24" i="37"/>
  <c r="X24" i="37"/>
  <c r="Y24" i="37"/>
  <c r="V24" i="37"/>
  <c r="AB24" i="37" s="1"/>
  <c r="Z21" i="37"/>
  <c r="X15" i="37"/>
  <c r="Y15" i="37"/>
  <c r="V15" i="37"/>
  <c r="AB15" i="37" s="1"/>
  <c r="W15" i="37"/>
  <c r="Y11" i="37"/>
  <c r="P9" i="37"/>
  <c r="X31" i="37"/>
  <c r="Y31" i="37"/>
  <c r="Z31" i="37"/>
  <c r="L27" i="37"/>
  <c r="Y20" i="37"/>
  <c r="Y13" i="37"/>
  <c r="Y12" i="37"/>
  <c r="U10" i="37"/>
  <c r="C43" i="39"/>
  <c r="C43" i="40"/>
  <c r="U39" i="37"/>
  <c r="U38" i="37"/>
  <c r="W23" i="37"/>
  <c r="AB23" i="37" s="1"/>
  <c r="Z23" i="37"/>
  <c r="X23" i="37"/>
  <c r="Y23" i="37"/>
  <c r="Z22" i="37"/>
  <c r="Y22" i="37"/>
  <c r="X21" i="37"/>
  <c r="X20" i="37"/>
  <c r="X13" i="37"/>
  <c r="X12" i="37"/>
  <c r="W11" i="37"/>
  <c r="N5" i="37"/>
  <c r="O5" i="37"/>
  <c r="P5" i="37"/>
  <c r="T500" i="38"/>
  <c r="AA500" i="38"/>
  <c r="P500" i="38"/>
  <c r="AE500" i="38" s="1"/>
  <c r="R500" i="38"/>
  <c r="Q500" i="38"/>
  <c r="S500" i="38"/>
  <c r="S494" i="38"/>
  <c r="O490" i="38"/>
  <c r="Y490" i="38"/>
  <c r="P487" i="38"/>
  <c r="AC454" i="38"/>
  <c r="Q454" i="38"/>
  <c r="R454" i="38"/>
  <c r="S454" i="38"/>
  <c r="T454" i="38"/>
  <c r="Z454" i="38"/>
  <c r="P454" i="38"/>
  <c r="AE454" i="38" s="1"/>
  <c r="AD454" i="38"/>
  <c r="AB454" i="38"/>
  <c r="AA454" i="38"/>
  <c r="T448" i="38"/>
  <c r="AA447" i="38"/>
  <c r="Q447" i="38"/>
  <c r="AE447" i="38" s="1"/>
  <c r="Z447" i="38"/>
  <c r="AB447" i="38"/>
  <c r="AC447" i="38"/>
  <c r="AD447" i="38"/>
  <c r="T447" i="38"/>
  <c r="S447" i="38"/>
  <c r="T383" i="38"/>
  <c r="O381" i="38"/>
  <c r="Y381" i="38"/>
  <c r="R370" i="38"/>
  <c r="R369" i="38"/>
  <c r="C28" i="39"/>
  <c r="C28" i="40"/>
  <c r="L28" i="37"/>
  <c r="C21" i="39"/>
  <c r="C21" i="40"/>
  <c r="C35" i="39"/>
  <c r="C35" i="40"/>
  <c r="U35" i="37"/>
  <c r="X32" i="37"/>
  <c r="Y32" i="37"/>
  <c r="Z32" i="37"/>
  <c r="V32" i="37"/>
  <c r="W32" i="37"/>
  <c r="X14" i="37"/>
  <c r="Y14" i="37"/>
  <c r="Z14" i="37"/>
  <c r="C8" i="39"/>
  <c r="C8" i="40"/>
  <c r="U8" i="37"/>
  <c r="L8" i="37"/>
  <c r="S509" i="38"/>
  <c r="AC509" i="38"/>
  <c r="AD509" i="38"/>
  <c r="Z509" i="38"/>
  <c r="AE509" i="38" s="1"/>
  <c r="AA509" i="38"/>
  <c r="AB509" i="38"/>
  <c r="AB501" i="38"/>
  <c r="T501" i="38"/>
  <c r="P501" i="38"/>
  <c r="R501" i="38"/>
  <c r="Q501" i="38"/>
  <c r="Q496" i="38"/>
  <c r="AA496" i="38"/>
  <c r="AB496" i="38"/>
  <c r="T496" i="38"/>
  <c r="Z496" i="38"/>
  <c r="AC496" i="38"/>
  <c r="AD496" i="38"/>
  <c r="AA495" i="38"/>
  <c r="AB495" i="38"/>
  <c r="Z495" i="38"/>
  <c r="AD495" i="38"/>
  <c r="AC495" i="38"/>
  <c r="AB481" i="38"/>
  <c r="S481" i="38"/>
  <c r="T481" i="38"/>
  <c r="Z481" i="38"/>
  <c r="R481" i="38"/>
  <c r="AD481" i="38"/>
  <c r="AC481" i="38"/>
  <c r="S448" i="38"/>
  <c r="S383" i="38"/>
  <c r="Q370" i="38"/>
  <c r="Q369" i="38"/>
  <c r="AA262" i="38"/>
  <c r="AB262" i="38"/>
  <c r="AC262" i="38"/>
  <c r="AD262" i="38"/>
  <c r="Q262" i="38"/>
  <c r="Z262" i="38"/>
  <c r="R262" i="38"/>
  <c r="S262" i="38"/>
  <c r="T262" i="38"/>
  <c r="P262" i="38"/>
  <c r="AE262" i="38" s="1"/>
  <c r="C23" i="39"/>
  <c r="C23" i="40"/>
  <c r="X16" i="37"/>
  <c r="AB16" i="37" s="1"/>
  <c r="C40" i="39"/>
  <c r="C40" i="40"/>
  <c r="C31" i="40"/>
  <c r="C31" i="39"/>
  <c r="C14" i="39"/>
  <c r="C14" i="40"/>
  <c r="C22" i="39"/>
  <c r="C22" i="40"/>
  <c r="C13" i="40"/>
  <c r="C13" i="39"/>
  <c r="L13" i="37"/>
  <c r="AE502" i="38"/>
  <c r="Y497" i="38"/>
  <c r="Y483" i="38"/>
  <c r="AA462" i="38"/>
  <c r="T462" i="38"/>
  <c r="Z462" i="38"/>
  <c r="AE462" i="38" s="1"/>
  <c r="AD462" i="38"/>
  <c r="S462" i="38"/>
  <c r="AC462" i="38"/>
  <c r="AC453" i="38"/>
  <c r="Z453" i="38"/>
  <c r="AE453" i="38" s="1"/>
  <c r="AA453" i="38"/>
  <c r="AB453" i="38"/>
  <c r="AD453" i="38"/>
  <c r="R468" i="38"/>
  <c r="P468" i="38"/>
  <c r="Q468" i="38"/>
  <c r="S468" i="38"/>
  <c r="AE468" i="38" s="1"/>
  <c r="T468" i="38"/>
  <c r="AD468" i="38"/>
  <c r="AC468" i="38"/>
  <c r="R428" i="38"/>
  <c r="AB428" i="38"/>
  <c r="AC428" i="38"/>
  <c r="P428" i="38"/>
  <c r="AE428" i="38" s="1"/>
  <c r="S428" i="38"/>
  <c r="T428" i="38"/>
  <c r="Z428" i="38"/>
  <c r="AD428" i="38"/>
  <c r="Q428" i="38"/>
  <c r="Q384" i="38"/>
  <c r="AB384" i="38"/>
  <c r="Z384" i="38"/>
  <c r="AA384" i="38"/>
  <c r="AE384" i="38" s="1"/>
  <c r="AC384" i="38"/>
  <c r="AD384" i="38"/>
  <c r="Z263" i="38"/>
  <c r="AA263" i="38"/>
  <c r="AB263" i="38"/>
  <c r="T263" i="38"/>
  <c r="AE263" i="38" s="1"/>
  <c r="AC263" i="38"/>
  <c r="AD263" i="38"/>
  <c r="S263" i="38"/>
  <c r="R263" i="38"/>
  <c r="P263" i="38"/>
  <c r="Y152" i="38"/>
  <c r="O152" i="38"/>
  <c r="O71" i="38"/>
  <c r="Y71" i="38"/>
  <c r="C5" i="40"/>
  <c r="C5" i="39"/>
  <c r="Z508" i="38"/>
  <c r="Q508" i="38"/>
  <c r="AE508" i="38" s="1"/>
  <c r="R508" i="38"/>
  <c r="R458" i="38"/>
  <c r="AC458" i="38"/>
  <c r="S458" i="38"/>
  <c r="T458" i="38"/>
  <c r="AB458" i="38"/>
  <c r="Q458" i="38"/>
  <c r="AE458" i="38" s="1"/>
  <c r="AC449" i="38"/>
  <c r="AE449" i="38" s="1"/>
  <c r="O422" i="38"/>
  <c r="Y422" i="38"/>
  <c r="AA410" i="38"/>
  <c r="S410" i="38"/>
  <c r="T410" i="38"/>
  <c r="Z410" i="38"/>
  <c r="AB410" i="38"/>
  <c r="AD410" i="38"/>
  <c r="R410" i="38"/>
  <c r="AC410" i="38"/>
  <c r="Y407" i="38"/>
  <c r="O407" i="38"/>
  <c r="P355" i="38"/>
  <c r="AE355" i="38" s="1"/>
  <c r="P356" i="38"/>
  <c r="S307" i="38"/>
  <c r="T307" i="38"/>
  <c r="AE307" i="38" s="1"/>
  <c r="AB307" i="38"/>
  <c r="Q307" i="38"/>
  <c r="R307" i="38"/>
  <c r="Z307" i="38"/>
  <c r="AA307" i="38"/>
  <c r="AC307" i="38"/>
  <c r="AD307" i="38"/>
  <c r="Y34" i="37"/>
  <c r="C6" i="39"/>
  <c r="L6" i="37"/>
  <c r="AD487" i="38"/>
  <c r="AC487" i="38"/>
  <c r="Y42" i="37"/>
  <c r="C42" i="39"/>
  <c r="C42" i="40"/>
  <c r="X34" i="37"/>
  <c r="Z25" i="37"/>
  <c r="C25" i="40"/>
  <c r="C25" i="39"/>
  <c r="Q9" i="37"/>
  <c r="Z6" i="37"/>
  <c r="AA487" i="38"/>
  <c r="Q486" i="38"/>
  <c r="P486" i="38"/>
  <c r="AE486" i="38" s="1"/>
  <c r="S486" i="38"/>
  <c r="T486" i="38"/>
  <c r="AA470" i="38"/>
  <c r="AB470" i="38"/>
  <c r="AC470" i="38"/>
  <c r="AD470" i="38"/>
  <c r="Z470" i="38"/>
  <c r="AE470" i="38" s="1"/>
  <c r="T460" i="38"/>
  <c r="AE460" i="38" s="1"/>
  <c r="Q439" i="38"/>
  <c r="AE439" i="38" s="1"/>
  <c r="AC433" i="38"/>
  <c r="S433" i="38"/>
  <c r="T433" i="38"/>
  <c r="AE433" i="38" s="1"/>
  <c r="P433" i="38"/>
  <c r="Z433" i="38"/>
  <c r="AA433" i="38"/>
  <c r="AB433" i="38"/>
  <c r="AD433" i="38"/>
  <c r="O401" i="38"/>
  <c r="Y401" i="38"/>
  <c r="R398" i="38"/>
  <c r="Z398" i="38"/>
  <c r="AA398" i="38"/>
  <c r="AB398" i="38"/>
  <c r="S398" i="38"/>
  <c r="T398" i="38"/>
  <c r="AC398" i="38"/>
  <c r="Q398" i="38"/>
  <c r="AE398" i="38" s="1"/>
  <c r="Q357" i="38"/>
  <c r="AD469" i="38"/>
  <c r="Q469" i="38"/>
  <c r="AC469" i="38"/>
  <c r="Z469" i="38"/>
  <c r="AA469" i="38"/>
  <c r="AB469" i="38"/>
  <c r="Z457" i="38"/>
  <c r="AA457" i="38"/>
  <c r="AB457" i="38"/>
  <c r="AC457" i="38"/>
  <c r="AD457" i="38"/>
  <c r="Z444" i="38"/>
  <c r="AA444" i="38"/>
  <c r="AB444" i="38"/>
  <c r="AC444" i="38"/>
  <c r="AE444" i="38" s="1"/>
  <c r="AD444" i="38"/>
  <c r="T444" i="38"/>
  <c r="Y427" i="38"/>
  <c r="O427" i="38"/>
  <c r="Y390" i="38"/>
  <c r="O390" i="38"/>
  <c r="Z386" i="38"/>
  <c r="Q386" i="38"/>
  <c r="AE386" i="38" s="1"/>
  <c r="R386" i="38"/>
  <c r="S386" i="38"/>
  <c r="T386" i="38"/>
  <c r="AD386" i="38"/>
  <c r="AC386" i="38"/>
  <c r="C34" i="39"/>
  <c r="C34" i="40"/>
  <c r="C17" i="39"/>
  <c r="C17" i="40"/>
  <c r="U17" i="37"/>
  <c r="X42" i="37"/>
  <c r="C33" i="40"/>
  <c r="C33" i="39"/>
  <c r="L33" i="37"/>
  <c r="Z16" i="37"/>
  <c r="C16" i="39"/>
  <c r="C16" i="40"/>
  <c r="Z487" i="38"/>
  <c r="S460" i="38"/>
  <c r="Z404" i="38"/>
  <c r="AA404" i="38"/>
  <c r="AB404" i="38"/>
  <c r="AD404" i="38"/>
  <c r="T404" i="38"/>
  <c r="R404" i="38"/>
  <c r="AE404" i="38" s="1"/>
  <c r="S404" i="38"/>
  <c r="AC404" i="38"/>
  <c r="Q404" i="38"/>
  <c r="O214" i="38"/>
  <c r="Y214" i="38"/>
  <c r="AE443" i="38"/>
  <c r="AC439" i="38"/>
  <c r="AD439" i="38"/>
  <c r="Z439" i="38"/>
  <c r="AA439" i="38"/>
  <c r="AB439" i="38"/>
  <c r="T439" i="38"/>
  <c r="S439" i="38"/>
  <c r="P435" i="38"/>
  <c r="AD435" i="38"/>
  <c r="Z435" i="38"/>
  <c r="AA435" i="38"/>
  <c r="T435" i="38"/>
  <c r="S435" i="38"/>
  <c r="AB435" i="38"/>
  <c r="AC435" i="38"/>
  <c r="R435" i="38"/>
  <c r="AE402" i="38"/>
  <c r="O338" i="38"/>
  <c r="Y338" i="38"/>
  <c r="C41" i="39"/>
  <c r="C41" i="40"/>
  <c r="C24" i="40"/>
  <c r="C24" i="39"/>
  <c r="AC497" i="38"/>
  <c r="P483" i="38"/>
  <c r="AD483" i="38"/>
  <c r="AA460" i="38"/>
  <c r="P460" i="38"/>
  <c r="Q460" i="38"/>
  <c r="AD460" i="38"/>
  <c r="AC460" i="38"/>
  <c r="AB460" i="38"/>
  <c r="AE457" i="38"/>
  <c r="AD416" i="38"/>
  <c r="P416" i="38"/>
  <c r="Q416" i="38"/>
  <c r="R416" i="38"/>
  <c r="S416" i="38"/>
  <c r="T416" i="38"/>
  <c r="AE416" i="38" s="1"/>
  <c r="O391" i="38"/>
  <c r="Y391" i="38"/>
  <c r="AE356" i="38"/>
  <c r="AD252" i="38"/>
  <c r="AB252" i="38"/>
  <c r="Z252" i="38"/>
  <c r="AA252" i="38"/>
  <c r="AC252" i="38"/>
  <c r="T252" i="38"/>
  <c r="R252" i="38"/>
  <c r="AE252" i="38" s="1"/>
  <c r="S252" i="38"/>
  <c r="Q252" i="38"/>
  <c r="AD497" i="38"/>
  <c r="AB483" i="38"/>
  <c r="P482" i="38"/>
  <c r="Q482" i="38"/>
  <c r="R482" i="38"/>
  <c r="AE482" i="38" s="1"/>
  <c r="T482" i="38"/>
  <c r="AC423" i="38"/>
  <c r="Q423" i="38"/>
  <c r="AD423" i="38"/>
  <c r="P423" i="38"/>
  <c r="AE423" i="38" s="1"/>
  <c r="R423" i="38"/>
  <c r="S423" i="38"/>
  <c r="T423" i="38"/>
  <c r="Z423" i="38"/>
  <c r="R394" i="38"/>
  <c r="AD251" i="38"/>
  <c r="P497" i="38"/>
  <c r="AE497" i="38" s="1"/>
  <c r="Q497" i="38"/>
  <c r="C15" i="39"/>
  <c r="C15" i="40"/>
  <c r="O503" i="38"/>
  <c r="Y503" i="38"/>
  <c r="AA497" i="38"/>
  <c r="AA483" i="38"/>
  <c r="AD482" i="38"/>
  <c r="P472" i="38"/>
  <c r="Q472" i="38"/>
  <c r="R472" i="38"/>
  <c r="S472" i="38"/>
  <c r="Z472" i="38"/>
  <c r="AA472" i="38"/>
  <c r="AB472" i="38"/>
  <c r="AC472" i="38"/>
  <c r="T461" i="38"/>
  <c r="AE461" i="38" s="1"/>
  <c r="AA461" i="38"/>
  <c r="AC461" i="38"/>
  <c r="AD461" i="38"/>
  <c r="Z461" i="38"/>
  <c r="AB461" i="38"/>
  <c r="AA440" i="38"/>
  <c r="Z440" i="38"/>
  <c r="AE440" i="38" s="1"/>
  <c r="AB440" i="38"/>
  <c r="T440" i="38"/>
  <c r="AC440" i="38"/>
  <c r="AD440" i="38"/>
  <c r="R418" i="38"/>
  <c r="AE418" i="38" s="1"/>
  <c r="T418" i="38"/>
  <c r="P418" i="38"/>
  <c r="AD418" i="38"/>
  <c r="Q418" i="38"/>
  <c r="P360" i="38"/>
  <c r="AE360" i="38" s="1"/>
  <c r="C32" i="40"/>
  <c r="C32" i="39"/>
  <c r="Z497" i="38"/>
  <c r="T487" i="38"/>
  <c r="Z483" i="38"/>
  <c r="AE483" i="38" s="1"/>
  <c r="AC482" i="38"/>
  <c r="Y476" i="38"/>
  <c r="O476" i="38"/>
  <c r="Q436" i="38"/>
  <c r="R436" i="38"/>
  <c r="S436" i="38"/>
  <c r="T436" i="38"/>
  <c r="AA436" i="38"/>
  <c r="P436" i="38"/>
  <c r="Z436" i="38"/>
  <c r="AB436" i="38"/>
  <c r="AC436" i="38"/>
  <c r="AD436" i="38"/>
  <c r="AC416" i="38"/>
  <c r="AE410" i="38"/>
  <c r="Q394" i="38"/>
  <c r="AE394" i="38" s="1"/>
  <c r="S394" i="38"/>
  <c r="Z394" i="38"/>
  <c r="AD394" i="38"/>
  <c r="AA394" i="38"/>
  <c r="AB394" i="38"/>
  <c r="AC394" i="38"/>
  <c r="T394" i="38"/>
  <c r="Y456" i="38"/>
  <c r="Y452" i="38"/>
  <c r="Y438" i="38"/>
  <c r="Z429" i="38"/>
  <c r="AA429" i="38"/>
  <c r="AB429" i="38"/>
  <c r="AC429" i="38"/>
  <c r="AD429" i="38"/>
  <c r="O415" i="38"/>
  <c r="Y415" i="38"/>
  <c r="AE389" i="38"/>
  <c r="Y351" i="38"/>
  <c r="O351" i="38"/>
  <c r="O348" i="38"/>
  <c r="Y348" i="38"/>
  <c r="O225" i="38"/>
  <c r="Y225" i="38"/>
  <c r="AD212" i="38"/>
  <c r="Z212" i="38"/>
  <c r="AA212" i="38"/>
  <c r="AB212" i="38"/>
  <c r="T212" i="38"/>
  <c r="Q212" i="38"/>
  <c r="R212" i="38"/>
  <c r="S212" i="38"/>
  <c r="AC212" i="38"/>
  <c r="P212" i="38"/>
  <c r="AE212" i="38" s="1"/>
  <c r="AE436" i="38"/>
  <c r="AE435" i="38"/>
  <c r="O430" i="38"/>
  <c r="Y430" i="38"/>
  <c r="T406" i="38"/>
  <c r="P406" i="38"/>
  <c r="AE406" i="38" s="1"/>
  <c r="Q406" i="38"/>
  <c r="R406" i="38"/>
  <c r="S406" i="38"/>
  <c r="AD392" i="38"/>
  <c r="P392" i="38"/>
  <c r="AE392" i="38" s="1"/>
  <c r="Q392" i="38"/>
  <c r="S392" i="38"/>
  <c r="O160" i="38"/>
  <c r="Y160" i="38"/>
  <c r="T478" i="38"/>
  <c r="Z478" i="38"/>
  <c r="AC478" i="38"/>
  <c r="S478" i="38"/>
  <c r="AE478" i="38" s="1"/>
  <c r="AE434" i="38"/>
  <c r="T424" i="38"/>
  <c r="R408" i="38"/>
  <c r="AC408" i="38"/>
  <c r="AE408" i="38" s="1"/>
  <c r="AD408" i="38"/>
  <c r="AB408" i="38"/>
  <c r="AD406" i="38"/>
  <c r="AC392" i="38"/>
  <c r="AD388" i="38"/>
  <c r="Z388" i="38"/>
  <c r="AE388" i="38" s="1"/>
  <c r="AA388" i="38"/>
  <c r="AB388" i="38"/>
  <c r="AC388" i="38"/>
  <c r="R378" i="38"/>
  <c r="AE378" i="38" s="1"/>
  <c r="S363" i="38"/>
  <c r="P342" i="38"/>
  <c r="Q319" i="38"/>
  <c r="Y189" i="38"/>
  <c r="O189" i="38"/>
  <c r="Z498" i="38"/>
  <c r="AE498" i="38" s="1"/>
  <c r="AA450" i="38"/>
  <c r="P450" i="38"/>
  <c r="AE450" i="38" s="1"/>
  <c r="Q450" i="38"/>
  <c r="R450" i="38"/>
  <c r="S450" i="38"/>
  <c r="T450" i="38"/>
  <c r="AC443" i="38"/>
  <c r="AA443" i="38"/>
  <c r="AB443" i="38"/>
  <c r="AD443" i="38"/>
  <c r="Y441" i="38"/>
  <c r="O441" i="38"/>
  <c r="AE438" i="38"/>
  <c r="Y437" i="38"/>
  <c r="O437" i="38"/>
  <c r="S424" i="38"/>
  <c r="AE424" i="38" s="1"/>
  <c r="AE413" i="38"/>
  <c r="AC406" i="38"/>
  <c r="AB392" i="38"/>
  <c r="AB389" i="38"/>
  <c r="Z389" i="38"/>
  <c r="AA389" i="38"/>
  <c r="AC389" i="38"/>
  <c r="R389" i="38"/>
  <c r="S389" i="38"/>
  <c r="T389" i="38"/>
  <c r="Q389" i="38"/>
  <c r="S377" i="38"/>
  <c r="Z377" i="38"/>
  <c r="AB377" i="38"/>
  <c r="AC377" i="38"/>
  <c r="AD377" i="38"/>
  <c r="AA377" i="38"/>
  <c r="Q277" i="38"/>
  <c r="R277" i="38"/>
  <c r="S277" i="38"/>
  <c r="T277" i="38"/>
  <c r="AC277" i="38"/>
  <c r="P277" i="38"/>
  <c r="AD277" i="38"/>
  <c r="Z277" i="38"/>
  <c r="AA277" i="38"/>
  <c r="AB277" i="38"/>
  <c r="O445" i="38"/>
  <c r="Y445" i="38"/>
  <c r="R438" i="38"/>
  <c r="S438" i="38"/>
  <c r="AD382" i="38"/>
  <c r="Q382" i="38"/>
  <c r="P382" i="38"/>
  <c r="S382" i="38"/>
  <c r="AB319" i="38"/>
  <c r="R319" i="38"/>
  <c r="S319" i="38"/>
  <c r="T319" i="38"/>
  <c r="Z319" i="38"/>
  <c r="AA319" i="38"/>
  <c r="AC319" i="38"/>
  <c r="AD319" i="38"/>
  <c r="AC154" i="38"/>
  <c r="R154" i="38"/>
  <c r="AD154" i="38"/>
  <c r="S154" i="38"/>
  <c r="T154" i="38"/>
  <c r="Z154" i="38"/>
  <c r="AA154" i="38"/>
  <c r="Q154" i="38"/>
  <c r="AE154" i="38" s="1"/>
  <c r="AE469" i="38"/>
  <c r="Q456" i="38"/>
  <c r="AC456" i="38"/>
  <c r="AD456" i="38"/>
  <c r="AB456" i="38"/>
  <c r="S452" i="38"/>
  <c r="AC452" i="38"/>
  <c r="AD452" i="38"/>
  <c r="AB452" i="38"/>
  <c r="T451" i="38"/>
  <c r="Z451" i="38"/>
  <c r="P451" i="38"/>
  <c r="AE451" i="38" s="1"/>
  <c r="S451" i="38"/>
  <c r="P446" i="38"/>
  <c r="AE446" i="38" s="1"/>
  <c r="Q446" i="38"/>
  <c r="R446" i="38"/>
  <c r="S446" i="38"/>
  <c r="P442" i="38"/>
  <c r="Q442" i="38"/>
  <c r="AE442" i="38" s="1"/>
  <c r="R442" i="38"/>
  <c r="AC438" i="38"/>
  <c r="O411" i="38"/>
  <c r="Y411" i="38"/>
  <c r="AE387" i="38"/>
  <c r="S378" i="38"/>
  <c r="Z378" i="38"/>
  <c r="AA378" i="38"/>
  <c r="AB378" i="38"/>
  <c r="AC378" i="38"/>
  <c r="AD378" i="38"/>
  <c r="O343" i="38"/>
  <c r="Y343" i="38"/>
  <c r="AA477" i="38"/>
  <c r="Z477" i="38"/>
  <c r="AE477" i="38" s="1"/>
  <c r="P455" i="38"/>
  <c r="Q455" i="38"/>
  <c r="AE455" i="38" s="1"/>
  <c r="R455" i="38"/>
  <c r="AD450" i="38"/>
  <c r="AD446" i="38"/>
  <c r="Y443" i="38"/>
  <c r="AC442" i="38"/>
  <c r="AB438" i="38"/>
  <c r="R429" i="38"/>
  <c r="Z406" i="38"/>
  <c r="AC403" i="38"/>
  <c r="P403" i="38"/>
  <c r="AE403" i="38" s="1"/>
  <c r="R403" i="38"/>
  <c r="S403" i="38"/>
  <c r="Z403" i="38"/>
  <c r="AA403" i="38"/>
  <c r="AB403" i="38"/>
  <c r="AD403" i="38"/>
  <c r="Z402" i="38"/>
  <c r="AC402" i="38"/>
  <c r="AD402" i="38"/>
  <c r="AB402" i="38"/>
  <c r="Y392" i="38"/>
  <c r="AC382" i="38"/>
  <c r="P270" i="38"/>
  <c r="S203" i="38"/>
  <c r="AE203" i="38" s="1"/>
  <c r="Z203" i="38"/>
  <c r="AA203" i="38"/>
  <c r="AB203" i="38"/>
  <c r="AC203" i="38"/>
  <c r="AD203" i="38"/>
  <c r="T203" i="38"/>
  <c r="Q203" i="38"/>
  <c r="R203" i="38"/>
  <c r="O463" i="38"/>
  <c r="Y463" i="38"/>
  <c r="AA456" i="38"/>
  <c r="AA452" i="38"/>
  <c r="AD451" i="38"/>
  <c r="AC450" i="38"/>
  <c r="AC446" i="38"/>
  <c r="AB442" i="38"/>
  <c r="AA438" i="38"/>
  <c r="AB424" i="38"/>
  <c r="AC424" i="38"/>
  <c r="Z424" i="38"/>
  <c r="AA424" i="38"/>
  <c r="AD424" i="38"/>
  <c r="P412" i="38"/>
  <c r="AE412" i="38" s="1"/>
  <c r="Q412" i="38"/>
  <c r="R412" i="38"/>
  <c r="S412" i="38"/>
  <c r="Y406" i="38"/>
  <c r="AB382" i="38"/>
  <c r="O354" i="38"/>
  <c r="Y354" i="38"/>
  <c r="C29" i="39"/>
  <c r="C29" i="40"/>
  <c r="C9" i="39"/>
  <c r="C9" i="40"/>
  <c r="P464" i="38"/>
  <c r="AE464" i="38" s="1"/>
  <c r="Q464" i="38"/>
  <c r="T464" i="38"/>
  <c r="P459" i="38"/>
  <c r="AE459" i="38" s="1"/>
  <c r="Q459" i="38"/>
  <c r="R459" i="38"/>
  <c r="S459" i="38"/>
  <c r="Z456" i="38"/>
  <c r="AC455" i="38"/>
  <c r="Z452" i="38"/>
  <c r="AE452" i="38" s="1"/>
  <c r="AC451" i="38"/>
  <c r="AB450" i="38"/>
  <c r="AB446" i="38"/>
  <c r="AA442" i="38"/>
  <c r="Z438" i="38"/>
  <c r="P429" i="38"/>
  <c r="AE429" i="38" s="1"/>
  <c r="P425" i="38"/>
  <c r="AE425" i="38" s="1"/>
  <c r="Z425" i="38"/>
  <c r="AA425" i="38"/>
  <c r="AD425" i="38"/>
  <c r="T425" i="38"/>
  <c r="AA382" i="38"/>
  <c r="AE456" i="38"/>
  <c r="Y419" i="38"/>
  <c r="Q375" i="38"/>
  <c r="T375" i="38"/>
  <c r="P375" i="38"/>
  <c r="S375" i="38"/>
  <c r="AB363" i="38"/>
  <c r="P363" i="38"/>
  <c r="AE363" i="38" s="1"/>
  <c r="R363" i="38"/>
  <c r="Z363" i="38"/>
  <c r="AA363" i="38"/>
  <c r="AC363" i="38"/>
  <c r="AD363" i="38"/>
  <c r="Y333" i="38"/>
  <c r="O333" i="38"/>
  <c r="AE325" i="38"/>
  <c r="AC276" i="38"/>
  <c r="AD276" i="38"/>
  <c r="Z276" i="38"/>
  <c r="AE276" i="38" s="1"/>
  <c r="AA276" i="38"/>
  <c r="AB276" i="38"/>
  <c r="T276" i="38"/>
  <c r="O255" i="38"/>
  <c r="Y255" i="38"/>
  <c r="Q136" i="38"/>
  <c r="AD136" i="38"/>
  <c r="R136" i="38"/>
  <c r="AC136" i="38"/>
  <c r="AB136" i="38"/>
  <c r="T136" i="38"/>
  <c r="Z136" i="38"/>
  <c r="AA136" i="38"/>
  <c r="T432" i="38"/>
  <c r="S417" i="38"/>
  <c r="AC413" i="38"/>
  <c r="Z413" i="38"/>
  <c r="AA413" i="38"/>
  <c r="AA393" i="38"/>
  <c r="AE393" i="38" s="1"/>
  <c r="AB393" i="38"/>
  <c r="AC393" i="38"/>
  <c r="AD393" i="38"/>
  <c r="AA358" i="38"/>
  <c r="T323" i="38"/>
  <c r="Y296" i="38"/>
  <c r="O296" i="38"/>
  <c r="S264" i="38"/>
  <c r="AE264" i="38" s="1"/>
  <c r="T264" i="38"/>
  <c r="Q264" i="38"/>
  <c r="R264" i="38"/>
  <c r="Z264" i="38"/>
  <c r="AA264" i="38"/>
  <c r="P264" i="38"/>
  <c r="AD264" i="38"/>
  <c r="Y227" i="38"/>
  <c r="O227" i="38"/>
  <c r="O349" i="38"/>
  <c r="Y349" i="38"/>
  <c r="O339" i="38"/>
  <c r="Y339" i="38"/>
  <c r="Q285" i="38"/>
  <c r="AE285" i="38"/>
  <c r="AE123" i="38"/>
  <c r="Y344" i="38"/>
  <c r="O344" i="38"/>
  <c r="Y314" i="38"/>
  <c r="O314" i="38"/>
  <c r="R290" i="38"/>
  <c r="AE290" i="38" s="1"/>
  <c r="Q432" i="38"/>
  <c r="AE432" i="38" s="1"/>
  <c r="AC365" i="38"/>
  <c r="Q365" i="38"/>
  <c r="AE365" i="38" s="1"/>
  <c r="S365" i="38"/>
  <c r="T365" i="38"/>
  <c r="Z365" i="38"/>
  <c r="P365" i="38"/>
  <c r="P347" i="38"/>
  <c r="T341" i="38"/>
  <c r="Q323" i="38"/>
  <c r="AE323" i="38" s="1"/>
  <c r="O188" i="38"/>
  <c r="Y188" i="38"/>
  <c r="AD419" i="38"/>
  <c r="Z417" i="38"/>
  <c r="AE417" i="38" s="1"/>
  <c r="AA417" i="38"/>
  <c r="T362" i="38"/>
  <c r="T361" i="38"/>
  <c r="O353" i="38"/>
  <c r="Y353" i="38"/>
  <c r="P298" i="38"/>
  <c r="AE298" i="38" s="1"/>
  <c r="Q298" i="38"/>
  <c r="S298" i="38"/>
  <c r="T298" i="38"/>
  <c r="AA298" i="38"/>
  <c r="R298" i="38"/>
  <c r="Z298" i="38"/>
  <c r="AB298" i="38"/>
  <c r="AC298" i="38"/>
  <c r="AD298" i="38"/>
  <c r="R149" i="38"/>
  <c r="Q149" i="38"/>
  <c r="Z149" i="38"/>
  <c r="AA149" i="38"/>
  <c r="AB149" i="38"/>
  <c r="AC149" i="38"/>
  <c r="AD149" i="38"/>
  <c r="P149" i="38"/>
  <c r="T149" i="38"/>
  <c r="S149" i="38"/>
  <c r="Z432" i="38"/>
  <c r="AA432" i="38"/>
  <c r="AC419" i="38"/>
  <c r="O371" i="38"/>
  <c r="Y371" i="38"/>
  <c r="R362" i="38"/>
  <c r="AE362" i="38" s="1"/>
  <c r="Q361" i="38"/>
  <c r="AE361" i="38" s="1"/>
  <c r="AE330" i="38"/>
  <c r="AA323" i="38"/>
  <c r="AB323" i="38"/>
  <c r="AD323" i="38"/>
  <c r="Z323" i="38"/>
  <c r="AC323" i="38"/>
  <c r="S276" i="38"/>
  <c r="Z129" i="38"/>
  <c r="AE129" i="38" s="1"/>
  <c r="AB419" i="38"/>
  <c r="AE419" i="38" s="1"/>
  <c r="S387" i="38"/>
  <c r="P387" i="38"/>
  <c r="R387" i="38"/>
  <c r="T363" i="38"/>
  <c r="AA332" i="38"/>
  <c r="P332" i="38"/>
  <c r="AE332" i="38" s="1"/>
  <c r="Q332" i="38"/>
  <c r="R332" i="38"/>
  <c r="S332" i="38"/>
  <c r="T332" i="38"/>
  <c r="T324" i="38"/>
  <c r="AC324" i="38"/>
  <c r="Z324" i="38"/>
  <c r="AE324" i="38" s="1"/>
  <c r="AA324" i="38"/>
  <c r="AB324" i="38"/>
  <c r="AD324" i="38"/>
  <c r="P315" i="38"/>
  <c r="AE315" i="38" s="1"/>
  <c r="O294" i="38"/>
  <c r="Y294" i="38"/>
  <c r="R276" i="38"/>
  <c r="AE186" i="38"/>
  <c r="AD372" i="38"/>
  <c r="P372" i="38"/>
  <c r="S372" i="38"/>
  <c r="T372" i="38"/>
  <c r="AE372" i="38" s="1"/>
  <c r="Z372" i="38"/>
  <c r="Y367" i="38"/>
  <c r="O367" i="38"/>
  <c r="S361" i="38"/>
  <c r="R361" i="38"/>
  <c r="Z361" i="38"/>
  <c r="AB361" i="38"/>
  <c r="AD361" i="38"/>
  <c r="AA361" i="38"/>
  <c r="Q358" i="38"/>
  <c r="P358" i="38"/>
  <c r="R358" i="38"/>
  <c r="S358" i="38"/>
  <c r="AD358" i="38"/>
  <c r="P346" i="38"/>
  <c r="AE346" i="38" s="1"/>
  <c r="P345" i="38"/>
  <c r="AE345" i="38" s="1"/>
  <c r="AE341" i="38"/>
  <c r="AE320" i="38"/>
  <c r="S136" i="38"/>
  <c r="P405" i="38"/>
  <c r="AA405" i="38"/>
  <c r="AC405" i="38"/>
  <c r="AD405" i="38"/>
  <c r="AB387" i="38"/>
  <c r="AE383" i="38"/>
  <c r="O379" i="38"/>
  <c r="Y379" i="38"/>
  <c r="AE376" i="38"/>
  <c r="AD362" i="38"/>
  <c r="S362" i="38"/>
  <c r="AA362" i="38"/>
  <c r="AB362" i="38"/>
  <c r="Z362" i="38"/>
  <c r="AC362" i="38"/>
  <c r="Y316" i="38"/>
  <c r="O316" i="38"/>
  <c r="P276" i="38"/>
  <c r="Z182" i="38"/>
  <c r="AD182" i="38"/>
  <c r="T182" i="38"/>
  <c r="AA182" i="38"/>
  <c r="AB182" i="38"/>
  <c r="S182" i="38"/>
  <c r="R182" i="38"/>
  <c r="AC182" i="38"/>
  <c r="Q182" i="38"/>
  <c r="AE182" i="38" s="1"/>
  <c r="P136" i="38"/>
  <c r="AE136" i="38" s="1"/>
  <c r="AA352" i="38"/>
  <c r="AE352" i="38" s="1"/>
  <c r="Q352" i="38"/>
  <c r="S352" i="38"/>
  <c r="T352" i="38"/>
  <c r="Z352" i="38"/>
  <c r="AD327" i="38"/>
  <c r="P327" i="38"/>
  <c r="Q327" i="38"/>
  <c r="R327" i="38"/>
  <c r="P318" i="38"/>
  <c r="Q318" i="38"/>
  <c r="AE318" i="38" s="1"/>
  <c r="Z318" i="38"/>
  <c r="AA318" i="38"/>
  <c r="AB318" i="38"/>
  <c r="AC318" i="38"/>
  <c r="AD318" i="38"/>
  <c r="P317" i="38"/>
  <c r="AE317" i="38" s="1"/>
  <c r="T317" i="38"/>
  <c r="AB317" i="38"/>
  <c r="AC317" i="38"/>
  <c r="AD317" i="38"/>
  <c r="AC306" i="38"/>
  <c r="AD306" i="38"/>
  <c r="Z306" i="38"/>
  <c r="AB306" i="38"/>
  <c r="R306" i="38"/>
  <c r="S306" i="38"/>
  <c r="T306" i="38"/>
  <c r="AA306" i="38"/>
  <c r="Z243" i="38"/>
  <c r="AA243" i="38"/>
  <c r="AB243" i="38"/>
  <c r="S243" i="38"/>
  <c r="AE243" i="38" s="1"/>
  <c r="T243" i="38"/>
  <c r="AC243" i="38"/>
  <c r="AD243" i="38"/>
  <c r="R243" i="38"/>
  <c r="AB347" i="38"/>
  <c r="P328" i="38"/>
  <c r="Q328" i="38"/>
  <c r="Z328" i="38"/>
  <c r="AD328" i="38"/>
  <c r="AC328" i="38"/>
  <c r="S327" i="38"/>
  <c r="AA317" i="38"/>
  <c r="R311" i="38"/>
  <c r="S311" i="38"/>
  <c r="AA311" i="38"/>
  <c r="AC311" i="38"/>
  <c r="AD311" i="38"/>
  <c r="R310" i="38"/>
  <c r="T280" i="38"/>
  <c r="Y153" i="38"/>
  <c r="O153" i="38"/>
  <c r="T329" i="38"/>
  <c r="AE329" i="38" s="1"/>
  <c r="AA329" i="38"/>
  <c r="AB329" i="38"/>
  <c r="AC329" i="38"/>
  <c r="AD329" i="38"/>
  <c r="T312" i="38"/>
  <c r="Z312" i="38"/>
  <c r="AE312" i="38" s="1"/>
  <c r="AA312" i="38"/>
  <c r="AB312" i="38"/>
  <c r="AC312" i="38"/>
  <c r="AD312" i="38"/>
  <c r="O291" i="38"/>
  <c r="Y291" i="38"/>
  <c r="AD259" i="38"/>
  <c r="Q259" i="38"/>
  <c r="R259" i="38"/>
  <c r="S259" i="38"/>
  <c r="T259" i="38"/>
  <c r="AC259" i="38"/>
  <c r="P259" i="38"/>
  <c r="AE259" i="38" s="1"/>
  <c r="Z259" i="38"/>
  <c r="AA259" i="38"/>
  <c r="AB259" i="38"/>
  <c r="AC258" i="38"/>
  <c r="S258" i="38"/>
  <c r="AB249" i="38"/>
  <c r="AD249" i="38"/>
  <c r="Z249" i="38"/>
  <c r="R249" i="38"/>
  <c r="AC249" i="38"/>
  <c r="Q249" i="38"/>
  <c r="S249" i="38"/>
  <c r="T249" i="38"/>
  <c r="AA249" i="38"/>
  <c r="AE249" i="38" s="1"/>
  <c r="P176" i="38"/>
  <c r="AE176" i="38" s="1"/>
  <c r="O167" i="38"/>
  <c r="Y167" i="38"/>
  <c r="S373" i="38"/>
  <c r="S366" i="38"/>
  <c r="AD356" i="38"/>
  <c r="T356" i="38"/>
  <c r="Z356" i="38"/>
  <c r="AA356" i="38"/>
  <c r="AB356" i="38"/>
  <c r="AC352" i="38"/>
  <c r="T346" i="38"/>
  <c r="R341" i="38"/>
  <c r="S340" i="38"/>
  <c r="AD336" i="38"/>
  <c r="AA336" i="38"/>
  <c r="T336" i="38"/>
  <c r="Z336" i="38"/>
  <c r="AB336" i="38"/>
  <c r="AC336" i="38"/>
  <c r="AE336" i="38" s="1"/>
  <c r="Q302" i="38"/>
  <c r="AE302" i="38" s="1"/>
  <c r="R280" i="38"/>
  <c r="AE280" i="38" s="1"/>
  <c r="R270" i="38"/>
  <c r="T177" i="38"/>
  <c r="AE177" i="38" s="1"/>
  <c r="Q374" i="38"/>
  <c r="T374" i="38"/>
  <c r="Z374" i="38"/>
  <c r="AA374" i="38"/>
  <c r="R373" i="38"/>
  <c r="AE373" i="38" s="1"/>
  <c r="R366" i="38"/>
  <c r="AB352" i="38"/>
  <c r="S346" i="38"/>
  <c r="Q341" i="38"/>
  <c r="R340" i="38"/>
  <c r="AE340" i="38" s="1"/>
  <c r="AA313" i="38"/>
  <c r="AB313" i="38"/>
  <c r="R313" i="38"/>
  <c r="AE313" i="38" s="1"/>
  <c r="T313" i="38"/>
  <c r="Z313" i="38"/>
  <c r="AC313" i="38"/>
  <c r="AD313" i="38"/>
  <c r="P286" i="38"/>
  <c r="Q280" i="38"/>
  <c r="Q270" i="38"/>
  <c r="AE270" i="38" s="1"/>
  <c r="O248" i="38"/>
  <c r="Y248" i="38"/>
  <c r="S242" i="38"/>
  <c r="R143" i="38"/>
  <c r="AA143" i="38"/>
  <c r="Q143" i="38"/>
  <c r="AE143" i="38" s="1"/>
  <c r="S143" i="38"/>
  <c r="T143" i="38"/>
  <c r="P143" i="38"/>
  <c r="Z143" i="38"/>
  <c r="AB143" i="38"/>
  <c r="AC143" i="38"/>
  <c r="AD143" i="38"/>
  <c r="AA95" i="38"/>
  <c r="Q373" i="38"/>
  <c r="Q366" i="38"/>
  <c r="AE366" i="38" s="1"/>
  <c r="T350" i="38"/>
  <c r="Z337" i="38"/>
  <c r="P337" i="38"/>
  <c r="Q337" i="38"/>
  <c r="AE337" i="38" s="1"/>
  <c r="R337" i="38"/>
  <c r="S337" i="38"/>
  <c r="T337" i="38"/>
  <c r="AE322" i="38"/>
  <c r="R321" i="38"/>
  <c r="S321" i="38"/>
  <c r="Q321" i="38"/>
  <c r="P321" i="38"/>
  <c r="AE321" i="38" s="1"/>
  <c r="T321" i="38"/>
  <c r="Z302" i="38"/>
  <c r="AB302" i="38"/>
  <c r="S302" i="38"/>
  <c r="AA302" i="38"/>
  <c r="AC302" i="38"/>
  <c r="AD302" i="38"/>
  <c r="O295" i="38"/>
  <c r="Y295" i="38"/>
  <c r="R271" i="38"/>
  <c r="S271" i="38"/>
  <c r="AB271" i="38"/>
  <c r="AC271" i="38"/>
  <c r="AD271" i="38"/>
  <c r="P271" i="38"/>
  <c r="AE271" i="38" s="1"/>
  <c r="AA271" i="38"/>
  <c r="T271" i="38"/>
  <c r="Z271" i="38"/>
  <c r="R242" i="38"/>
  <c r="AC148" i="38"/>
  <c r="P148" i="38"/>
  <c r="AA148" i="38"/>
  <c r="Z148" i="38"/>
  <c r="AB148" i="38"/>
  <c r="AD148" i="38"/>
  <c r="Q148" i="38"/>
  <c r="AE148" i="38" s="1"/>
  <c r="R148" i="38"/>
  <c r="S148" i="38"/>
  <c r="T148" i="38"/>
  <c r="AE377" i="38"/>
  <c r="S350" i="38"/>
  <c r="AE350" i="38" s="1"/>
  <c r="R347" i="38"/>
  <c r="S341" i="38"/>
  <c r="Z341" i="38"/>
  <c r="AA341" i="38"/>
  <c r="AB341" i="38"/>
  <c r="AC341" i="38"/>
  <c r="AD341" i="38"/>
  <c r="Q322" i="38"/>
  <c r="AC322" i="38"/>
  <c r="AD322" i="38"/>
  <c r="O308" i="38"/>
  <c r="Y308" i="38"/>
  <c r="R281" i="38"/>
  <c r="S281" i="38"/>
  <c r="T281" i="38"/>
  <c r="Z281" i="38"/>
  <c r="AA281" i="38"/>
  <c r="AB281" i="38"/>
  <c r="Q281" i="38"/>
  <c r="AE281" i="38" s="1"/>
  <c r="Z280" i="38"/>
  <c r="AB280" i="38"/>
  <c r="AC280" i="38"/>
  <c r="AD280" i="38"/>
  <c r="R272" i="38"/>
  <c r="Q242" i="38"/>
  <c r="Q200" i="38"/>
  <c r="R200" i="38"/>
  <c r="S200" i="38"/>
  <c r="T200" i="38"/>
  <c r="P200" i="38"/>
  <c r="AE200" i="38" s="1"/>
  <c r="AA200" i="38"/>
  <c r="AB200" i="38"/>
  <c r="AC200" i="38"/>
  <c r="AD200" i="38"/>
  <c r="Z200" i="38"/>
  <c r="Z373" i="38"/>
  <c r="AB373" i="38"/>
  <c r="Z366" i="38"/>
  <c r="AC366" i="38"/>
  <c r="AD366" i="38"/>
  <c r="R350" i="38"/>
  <c r="AD346" i="38"/>
  <c r="Q346" i="38"/>
  <c r="Z346" i="38"/>
  <c r="AA346" i="38"/>
  <c r="AC346" i="38"/>
  <c r="Z340" i="38"/>
  <c r="AA340" i="38"/>
  <c r="AC340" i="38"/>
  <c r="AD340" i="38"/>
  <c r="AB322" i="38"/>
  <c r="T318" i="38"/>
  <c r="S317" i="38"/>
  <c r="AE287" i="38"/>
  <c r="Q272" i="38"/>
  <c r="AE272" i="38" s="1"/>
  <c r="P269" i="38"/>
  <c r="AE269" i="38" s="1"/>
  <c r="Z269" i="38"/>
  <c r="Z250" i="38"/>
  <c r="S250" i="38"/>
  <c r="AC250" i="38"/>
  <c r="AD250" i="38"/>
  <c r="P250" i="38"/>
  <c r="AB250" i="38"/>
  <c r="T250" i="38"/>
  <c r="AA250" i="38"/>
  <c r="O224" i="38"/>
  <c r="Y224" i="38"/>
  <c r="AE204" i="38"/>
  <c r="R352" i="38"/>
  <c r="AC347" i="38"/>
  <c r="Q347" i="38"/>
  <c r="S347" i="38"/>
  <c r="T347" i="38"/>
  <c r="Z347" i="38"/>
  <c r="AC326" i="38"/>
  <c r="AD326" i="38"/>
  <c r="Q326" i="38"/>
  <c r="P326" i="38"/>
  <c r="R326" i="38"/>
  <c r="S326" i="38"/>
  <c r="T326" i="38"/>
  <c r="S318" i="38"/>
  <c r="R317" i="38"/>
  <c r="Q306" i="38"/>
  <c r="AA297" i="38"/>
  <c r="AB297" i="38"/>
  <c r="AC297" i="38"/>
  <c r="Q297" i="38"/>
  <c r="AE297" i="38" s="1"/>
  <c r="R297" i="38"/>
  <c r="S297" i="38"/>
  <c r="T297" i="38"/>
  <c r="Z297" i="38"/>
  <c r="AD297" i="38"/>
  <c r="O292" i="38"/>
  <c r="Y292" i="38"/>
  <c r="P287" i="38"/>
  <c r="Q287" i="38"/>
  <c r="AD287" i="38"/>
  <c r="R287" i="38"/>
  <c r="S287" i="38"/>
  <c r="T287" i="38"/>
  <c r="P254" i="38"/>
  <c r="O245" i="38"/>
  <c r="Y245" i="38"/>
  <c r="AC242" i="38"/>
  <c r="AD242" i="38"/>
  <c r="AB242" i="38"/>
  <c r="Z242" i="38"/>
  <c r="AA242" i="38"/>
  <c r="T242" i="38"/>
  <c r="AE242" i="38" s="1"/>
  <c r="Z186" i="38"/>
  <c r="AA186" i="38"/>
  <c r="AB186" i="38"/>
  <c r="AC186" i="38"/>
  <c r="AD186" i="38"/>
  <c r="Q186" i="38"/>
  <c r="R186" i="38"/>
  <c r="S186" i="38"/>
  <c r="T186" i="38"/>
  <c r="P186" i="38"/>
  <c r="Y101" i="38"/>
  <c r="O101" i="38"/>
  <c r="Z359" i="38"/>
  <c r="AD359" i="38"/>
  <c r="R359" i="38"/>
  <c r="S359" i="38"/>
  <c r="AE359" i="38" s="1"/>
  <c r="AE358" i="38"/>
  <c r="Z350" i="38"/>
  <c r="P350" i="38"/>
  <c r="AA350" i="38"/>
  <c r="AC350" i="38"/>
  <c r="AD350" i="38"/>
  <c r="R318" i="38"/>
  <c r="Q317" i="38"/>
  <c r="R309" i="38"/>
  <c r="P309" i="38"/>
  <c r="AE309" i="38" s="1"/>
  <c r="Q309" i="38"/>
  <c r="S309" i="38"/>
  <c r="T309" i="38"/>
  <c r="P306" i="38"/>
  <c r="AE306" i="38" s="1"/>
  <c r="Z272" i="38"/>
  <c r="AA272" i="38"/>
  <c r="AB272" i="38"/>
  <c r="AC272" i="38"/>
  <c r="T272" i="38"/>
  <c r="S272" i="38"/>
  <c r="AD272" i="38"/>
  <c r="P265" i="38"/>
  <c r="Q265" i="38"/>
  <c r="R265" i="38"/>
  <c r="S265" i="38"/>
  <c r="T265" i="38"/>
  <c r="Z265" i="38"/>
  <c r="R247" i="38"/>
  <c r="S247" i="38"/>
  <c r="Q247" i="38"/>
  <c r="P247" i="38"/>
  <c r="AE247" i="38" s="1"/>
  <c r="T247" i="38"/>
  <c r="Z247" i="38"/>
  <c r="Y174" i="38"/>
  <c r="O174" i="38"/>
  <c r="AA147" i="38"/>
  <c r="AC147" i="38"/>
  <c r="AD147" i="38"/>
  <c r="AB147" i="38"/>
  <c r="Z147" i="38"/>
  <c r="Z360" i="38"/>
  <c r="S360" i="38"/>
  <c r="S342" i="38"/>
  <c r="AE342" i="38" s="1"/>
  <c r="S325" i="38"/>
  <c r="Q310" i="38"/>
  <c r="AE299" i="38"/>
  <c r="AD268" i="38"/>
  <c r="R236" i="38"/>
  <c r="AE236" i="38" s="1"/>
  <c r="R204" i="38"/>
  <c r="S195" i="38"/>
  <c r="O165" i="38"/>
  <c r="Y165" i="38"/>
  <c r="S357" i="38"/>
  <c r="AA342" i="38"/>
  <c r="AA325" i="38"/>
  <c r="P310" i="38"/>
  <c r="AE310" i="38" s="1"/>
  <c r="AD305" i="38"/>
  <c r="Q305" i="38"/>
  <c r="Z305" i="38"/>
  <c r="AE305" i="38" s="1"/>
  <c r="R301" i="38"/>
  <c r="AE301" i="38" s="1"/>
  <c r="S301" i="38"/>
  <c r="AB301" i="38"/>
  <c r="AD301" i="38"/>
  <c r="Z301" i="38"/>
  <c r="Q299" i="38"/>
  <c r="R299" i="38"/>
  <c r="S299" i="38"/>
  <c r="Z299" i="38"/>
  <c r="AC268" i="38"/>
  <c r="AD247" i="38"/>
  <c r="O217" i="38"/>
  <c r="Y217" i="38"/>
  <c r="R195" i="38"/>
  <c r="AE195" i="38" s="1"/>
  <c r="Q194" i="38"/>
  <c r="AA194" i="38"/>
  <c r="AE194" i="38" s="1"/>
  <c r="AB194" i="38"/>
  <c r="AC194" i="38"/>
  <c r="AD194" i="38"/>
  <c r="Z194" i="38"/>
  <c r="T194" i="38"/>
  <c r="Z176" i="38"/>
  <c r="AD176" i="38"/>
  <c r="AC176" i="38"/>
  <c r="R176" i="38"/>
  <c r="S176" i="38"/>
  <c r="T176" i="38"/>
  <c r="AA176" i="38"/>
  <c r="Q176" i="38"/>
  <c r="AA155" i="38"/>
  <c r="AB155" i="38"/>
  <c r="AC155" i="38"/>
  <c r="AD155" i="38"/>
  <c r="Z155" i="38"/>
  <c r="Q155" i="38"/>
  <c r="AE155" i="38" s="1"/>
  <c r="R155" i="38"/>
  <c r="S155" i="38"/>
  <c r="T155" i="38"/>
  <c r="P155" i="38"/>
  <c r="T98" i="38"/>
  <c r="Z98" i="38"/>
  <c r="AA98" i="38"/>
  <c r="AB98" i="38"/>
  <c r="AC98" i="38"/>
  <c r="AD98" i="38"/>
  <c r="AE98" i="38" s="1"/>
  <c r="T320" i="38"/>
  <c r="T304" i="38"/>
  <c r="Q304" i="38"/>
  <c r="Q286" i="38"/>
  <c r="AA273" i="38"/>
  <c r="AB273" i="38"/>
  <c r="P273" i="38"/>
  <c r="AE273" i="38" s="1"/>
  <c r="Q273" i="38"/>
  <c r="R273" i="38"/>
  <c r="S273" i="38"/>
  <c r="T273" i="38"/>
  <c r="AC273" i="38"/>
  <c r="AC247" i="38"/>
  <c r="Z236" i="38"/>
  <c r="AA236" i="38"/>
  <c r="AB236" i="38"/>
  <c r="AC236" i="38"/>
  <c r="AD236" i="38"/>
  <c r="P236" i="38"/>
  <c r="P228" i="38"/>
  <c r="Q228" i="38"/>
  <c r="R228" i="38"/>
  <c r="AE228" i="38" s="1"/>
  <c r="S228" i="38"/>
  <c r="T228" i="38"/>
  <c r="AA228" i="38"/>
  <c r="AE216" i="38"/>
  <c r="Q204" i="38"/>
  <c r="T204" i="38"/>
  <c r="Z204" i="38"/>
  <c r="AA204" i="38"/>
  <c r="S204" i="38"/>
  <c r="AC204" i="38"/>
  <c r="AD204" i="38"/>
  <c r="AB204" i="38"/>
  <c r="O179" i="38"/>
  <c r="Y179" i="38"/>
  <c r="O170" i="38"/>
  <c r="Y170" i="38"/>
  <c r="Y116" i="38"/>
  <c r="O116" i="38"/>
  <c r="S320" i="38"/>
  <c r="S293" i="38"/>
  <c r="AE293" i="38" s="1"/>
  <c r="S289" i="38"/>
  <c r="AB247" i="38"/>
  <c r="R237" i="38"/>
  <c r="S237" i="38"/>
  <c r="T237" i="38"/>
  <c r="Q237" i="38"/>
  <c r="P237" i="38"/>
  <c r="AD237" i="38"/>
  <c r="T198" i="38"/>
  <c r="O187" i="38"/>
  <c r="Y187" i="38"/>
  <c r="O175" i="38"/>
  <c r="Y175" i="38"/>
  <c r="R320" i="38"/>
  <c r="AB304" i="38"/>
  <c r="R293" i="38"/>
  <c r="R289" i="38"/>
  <c r="AE275" i="38"/>
  <c r="Q261" i="38"/>
  <c r="R261" i="38"/>
  <c r="S261" i="38"/>
  <c r="AE261" i="38" s="1"/>
  <c r="AA247" i="38"/>
  <c r="R240" i="38"/>
  <c r="R208" i="38"/>
  <c r="S199" i="38"/>
  <c r="AE199" i="38" s="1"/>
  <c r="S198" i="38"/>
  <c r="AE198" i="38" s="1"/>
  <c r="AB195" i="38"/>
  <c r="Z195" i="38"/>
  <c r="AA195" i="38"/>
  <c r="AC195" i="38"/>
  <c r="T195" i="38"/>
  <c r="AD195" i="38"/>
  <c r="T147" i="38"/>
  <c r="Q108" i="38"/>
  <c r="R108" i="38"/>
  <c r="AE108" i="38" s="1"/>
  <c r="S108" i="38"/>
  <c r="T108" i="38"/>
  <c r="AB108" i="38"/>
  <c r="AA108" i="38"/>
  <c r="AC108" i="38"/>
  <c r="AD108" i="38"/>
  <c r="Z108" i="38"/>
  <c r="AB13" i="38"/>
  <c r="AE13" i="38"/>
  <c r="Q320" i="38"/>
  <c r="AA304" i="38"/>
  <c r="Q293" i="38"/>
  <c r="Q289" i="38"/>
  <c r="AE289" i="38" s="1"/>
  <c r="T274" i="38"/>
  <c r="P274" i="38"/>
  <c r="Q274" i="38"/>
  <c r="R274" i="38"/>
  <c r="Y247" i="38"/>
  <c r="O244" i="38"/>
  <c r="Y244" i="38"/>
  <c r="Q240" i="38"/>
  <c r="AE240" i="38" s="1"/>
  <c r="Q208" i="38"/>
  <c r="AE208" i="38" s="1"/>
  <c r="AB185" i="38"/>
  <c r="AC185" i="38"/>
  <c r="AD185" i="38"/>
  <c r="AA185" i="38"/>
  <c r="R185" i="38"/>
  <c r="S185" i="38"/>
  <c r="T185" i="38"/>
  <c r="Z185" i="38"/>
  <c r="Q185" i="38"/>
  <c r="AE185" i="38" s="1"/>
  <c r="S147" i="38"/>
  <c r="AB139" i="38"/>
  <c r="AD345" i="38"/>
  <c r="P335" i="38"/>
  <c r="AE335" i="38" s="1"/>
  <c r="Z304" i="38"/>
  <c r="AE304" i="38" s="1"/>
  <c r="O278" i="38"/>
  <c r="Y278" i="38"/>
  <c r="AE274" i="38"/>
  <c r="Z257" i="38"/>
  <c r="AA257" i="38"/>
  <c r="AB257" i="38"/>
  <c r="AC257" i="38"/>
  <c r="AD257" i="38"/>
  <c r="P257" i="38"/>
  <c r="AE257" i="38" s="1"/>
  <c r="AD228" i="38"/>
  <c r="O218" i="38"/>
  <c r="Y218" i="38"/>
  <c r="AD178" i="38"/>
  <c r="S178" i="38"/>
  <c r="T178" i="38"/>
  <c r="Z178" i="38"/>
  <c r="R178" i="38"/>
  <c r="Q178" i="38"/>
  <c r="AA178" i="38"/>
  <c r="AB178" i="38"/>
  <c r="AC178" i="38"/>
  <c r="P178" i="38"/>
  <c r="AE178" i="38" s="1"/>
  <c r="AA151" i="38"/>
  <c r="AC151" i="38"/>
  <c r="P151" i="38"/>
  <c r="Q151" i="38"/>
  <c r="R151" i="38"/>
  <c r="S151" i="38"/>
  <c r="T151" i="38"/>
  <c r="AB151" i="38"/>
  <c r="R147" i="38"/>
  <c r="Z320" i="38"/>
  <c r="AB320" i="38"/>
  <c r="AE311" i="38"/>
  <c r="AA293" i="38"/>
  <c r="AB293" i="38"/>
  <c r="Z293" i="38"/>
  <c r="AC293" i="38"/>
  <c r="T293" i="38"/>
  <c r="Z289" i="38"/>
  <c r="AA289" i="38"/>
  <c r="AC289" i="38"/>
  <c r="T289" i="38"/>
  <c r="P268" i="38"/>
  <c r="AE268" i="38" s="1"/>
  <c r="Q268" i="38"/>
  <c r="T268" i="38"/>
  <c r="Z268" i="38"/>
  <c r="AA268" i="38"/>
  <c r="AB268" i="38"/>
  <c r="S268" i="38"/>
  <c r="T240" i="38"/>
  <c r="Z240" i="38"/>
  <c r="AA240" i="38"/>
  <c r="S240" i="38"/>
  <c r="AC240" i="38"/>
  <c r="AD240" i="38"/>
  <c r="AB240" i="38"/>
  <c r="P231" i="38"/>
  <c r="Q231" i="38"/>
  <c r="R231" i="38"/>
  <c r="S231" i="38"/>
  <c r="T231" i="38"/>
  <c r="AA231" i="38"/>
  <c r="AD208" i="38"/>
  <c r="Z208" i="38"/>
  <c r="AA208" i="38"/>
  <c r="AB208" i="38"/>
  <c r="T208" i="38"/>
  <c r="AC208" i="38"/>
  <c r="S208" i="38"/>
  <c r="AE192" i="38"/>
  <c r="P156" i="38"/>
  <c r="T156" i="38"/>
  <c r="AE156" i="38" s="1"/>
  <c r="AA156" i="38"/>
  <c r="Z156" i="38"/>
  <c r="AB156" i="38"/>
  <c r="AC156" i="38"/>
  <c r="AD156" i="38"/>
  <c r="S156" i="38"/>
  <c r="R156" i="38"/>
  <c r="Q147" i="38"/>
  <c r="AA283" i="38"/>
  <c r="AB283" i="38"/>
  <c r="S283" i="38"/>
  <c r="AE283" i="38" s="1"/>
  <c r="AD283" i="38"/>
  <c r="AC279" i="38"/>
  <c r="AD279" i="38"/>
  <c r="S279" i="38"/>
  <c r="AB279" i="38"/>
  <c r="AC274" i="38"/>
  <c r="Z273" i="38"/>
  <c r="AB228" i="38"/>
  <c r="O213" i="38"/>
  <c r="Y213" i="38"/>
  <c r="AB199" i="38"/>
  <c r="Z199" i="38"/>
  <c r="AA199" i="38"/>
  <c r="AC199" i="38"/>
  <c r="AD199" i="38"/>
  <c r="T199" i="38"/>
  <c r="AD198" i="38"/>
  <c r="AB198" i="38"/>
  <c r="AC198" i="38"/>
  <c r="AA198" i="38"/>
  <c r="Z198" i="38"/>
  <c r="AE180" i="38"/>
  <c r="O171" i="38"/>
  <c r="Y171" i="38"/>
  <c r="P147" i="38"/>
  <c r="T142" i="38"/>
  <c r="AE142" i="38" s="1"/>
  <c r="AA142" i="38"/>
  <c r="AD142" i="38"/>
  <c r="S142" i="38"/>
  <c r="Z142" i="38"/>
  <c r="AB142" i="38"/>
  <c r="AC142" i="38"/>
  <c r="R142" i="38"/>
  <c r="Q142" i="38"/>
  <c r="P142" i="38"/>
  <c r="Z134" i="38"/>
  <c r="AC134" i="38"/>
  <c r="P134" i="38"/>
  <c r="Q134" i="38"/>
  <c r="R134" i="38"/>
  <c r="S134" i="38"/>
  <c r="AA134" i="38"/>
  <c r="T134" i="38"/>
  <c r="S285" i="38"/>
  <c r="Y284" i="38"/>
  <c r="AE279" i="38"/>
  <c r="AC238" i="38"/>
  <c r="P235" i="38"/>
  <c r="AD235" i="38"/>
  <c r="P234" i="38"/>
  <c r="AE234" i="38" s="1"/>
  <c r="Q234" i="38"/>
  <c r="R234" i="38"/>
  <c r="S234" i="38"/>
  <c r="T234" i="38"/>
  <c r="Z216" i="38"/>
  <c r="T216" i="38"/>
  <c r="AA216" i="38"/>
  <c r="AB216" i="38"/>
  <c r="S216" i="38"/>
  <c r="AA215" i="38"/>
  <c r="AB215" i="38"/>
  <c r="AC215" i="38"/>
  <c r="AD215" i="38"/>
  <c r="Z215" i="38"/>
  <c r="AE215" i="38" s="1"/>
  <c r="Y209" i="38"/>
  <c r="Q190" i="38"/>
  <c r="AE190" i="38" s="1"/>
  <c r="Z190" i="38"/>
  <c r="AA190" i="38"/>
  <c r="AB190" i="38"/>
  <c r="AC190" i="38"/>
  <c r="AD190" i="38"/>
  <c r="S173" i="38"/>
  <c r="Z173" i="38"/>
  <c r="AA173" i="38"/>
  <c r="AB173" i="38"/>
  <c r="AC173" i="38"/>
  <c r="AD173" i="38"/>
  <c r="Z172" i="38"/>
  <c r="AD172" i="38"/>
  <c r="AB172" i="38"/>
  <c r="AC172" i="38"/>
  <c r="AA172" i="38"/>
  <c r="AB169" i="38"/>
  <c r="T169" i="38"/>
  <c r="Z169" i="38"/>
  <c r="AA169" i="38"/>
  <c r="S169" i="38"/>
  <c r="AE169" i="38" s="1"/>
  <c r="AD168" i="38"/>
  <c r="Z168" i="38"/>
  <c r="AA168" i="38"/>
  <c r="AB168" i="38"/>
  <c r="AC168" i="38"/>
  <c r="O159" i="38"/>
  <c r="Y159" i="38"/>
  <c r="AA141" i="38"/>
  <c r="AD141" i="38"/>
  <c r="Q141" i="38"/>
  <c r="Z141" i="38"/>
  <c r="AB141" i="38"/>
  <c r="AC141" i="38"/>
  <c r="S135" i="38"/>
  <c r="R135" i="38"/>
  <c r="Q135" i="38"/>
  <c r="AE135" i="38" s="1"/>
  <c r="O89" i="38"/>
  <c r="Y89" i="38"/>
  <c r="Z50" i="38"/>
  <c r="Z303" i="38"/>
  <c r="AC290" i="38"/>
  <c r="Z286" i="38"/>
  <c r="Z282" i="38"/>
  <c r="AA269" i="38"/>
  <c r="O267" i="38"/>
  <c r="Q254" i="38"/>
  <c r="S254" i="38"/>
  <c r="T254" i="38"/>
  <c r="AA239" i="38"/>
  <c r="AE239" i="38" s="1"/>
  <c r="AB239" i="38"/>
  <c r="AD239" i="38"/>
  <c r="Z239" i="38"/>
  <c r="T235" i="38"/>
  <c r="S233" i="38"/>
  <c r="AA222" i="38"/>
  <c r="P221" i="38"/>
  <c r="AE221" i="38" s="1"/>
  <c r="Q221" i="38"/>
  <c r="R221" i="38"/>
  <c r="S221" i="38"/>
  <c r="T221" i="38"/>
  <c r="Y166" i="38"/>
  <c r="O166" i="38"/>
  <c r="AB164" i="38"/>
  <c r="AE319" i="38"/>
  <c r="AB285" i="38"/>
  <c r="T260" i="38"/>
  <c r="Z254" i="38"/>
  <c r="T246" i="38"/>
  <c r="Z233" i="38"/>
  <c r="AA233" i="38"/>
  <c r="AB233" i="38"/>
  <c r="AC233" i="38"/>
  <c r="T223" i="38"/>
  <c r="AB221" i="38"/>
  <c r="AB220" i="38"/>
  <c r="AC216" i="38"/>
  <c r="AE211" i="38"/>
  <c r="O191" i="38"/>
  <c r="Y191" i="38"/>
  <c r="Q184" i="38"/>
  <c r="P184" i="38"/>
  <c r="AE184" i="38" s="1"/>
  <c r="R184" i="38"/>
  <c r="S183" i="38"/>
  <c r="P183" i="38"/>
  <c r="Q183" i="38"/>
  <c r="AE183" i="38" s="1"/>
  <c r="R183" i="38"/>
  <c r="T183" i="38"/>
  <c r="Q180" i="38"/>
  <c r="AD180" i="38"/>
  <c r="AD169" i="38"/>
  <c r="R163" i="38"/>
  <c r="Q163" i="38"/>
  <c r="Z163" i="38"/>
  <c r="AE163" i="38" s="1"/>
  <c r="AA163" i="38"/>
  <c r="AB163" i="38"/>
  <c r="AC163" i="38"/>
  <c r="AD163" i="38"/>
  <c r="T162" i="38"/>
  <c r="Q162" i="38"/>
  <c r="AE162" i="38" s="1"/>
  <c r="AD162" i="38"/>
  <c r="AC162" i="38"/>
  <c r="AB137" i="38"/>
  <c r="AC137" i="38"/>
  <c r="AA137" i="38"/>
  <c r="AD137" i="38"/>
  <c r="Z137" i="38"/>
  <c r="AE137" i="38" s="1"/>
  <c r="O76" i="38"/>
  <c r="Y76" i="38"/>
  <c r="S260" i="38"/>
  <c r="P258" i="38"/>
  <c r="AE258" i="38" s="1"/>
  <c r="Q258" i="38"/>
  <c r="AB209" i="38"/>
  <c r="P209" i="38"/>
  <c r="AE209" i="38" s="1"/>
  <c r="Q209" i="38"/>
  <c r="R209" i="38"/>
  <c r="S209" i="38"/>
  <c r="T209" i="38"/>
  <c r="AE193" i="38"/>
  <c r="AC169" i="38"/>
  <c r="AA138" i="38"/>
  <c r="T138" i="38"/>
  <c r="Z138" i="38"/>
  <c r="AE138" i="38" s="1"/>
  <c r="AB138" i="38"/>
  <c r="AC138" i="38"/>
  <c r="AD138" i="38"/>
  <c r="O127" i="38"/>
  <c r="Y127" i="38"/>
  <c r="O88" i="38"/>
  <c r="Y88" i="38"/>
  <c r="S303" i="38"/>
  <c r="S286" i="38"/>
  <c r="Z285" i="38"/>
  <c r="S282" i="38"/>
  <c r="Z270" i="38"/>
  <c r="T269" i="38"/>
  <c r="R260" i="38"/>
  <c r="AB258" i="38"/>
  <c r="R246" i="38"/>
  <c r="T230" i="38"/>
  <c r="Z230" i="38"/>
  <c r="AA230" i="38"/>
  <c r="S230" i="38"/>
  <c r="AE230" i="38" s="1"/>
  <c r="AA229" i="38"/>
  <c r="AB229" i="38"/>
  <c r="AC229" i="38"/>
  <c r="AD229" i="38"/>
  <c r="Z229" i="38"/>
  <c r="AE229" i="38" s="1"/>
  <c r="Z226" i="38"/>
  <c r="AA226" i="38"/>
  <c r="AB226" i="38"/>
  <c r="AC226" i="38"/>
  <c r="AD226" i="38"/>
  <c r="AE226" i="38" s="1"/>
  <c r="R223" i="38"/>
  <c r="T222" i="38"/>
  <c r="Z221" i="38"/>
  <c r="S219" i="38"/>
  <c r="Q210" i="38"/>
  <c r="P210" i="38"/>
  <c r="AE210" i="38" s="1"/>
  <c r="R210" i="38"/>
  <c r="P201" i="38"/>
  <c r="AE201" i="38" s="1"/>
  <c r="Q201" i="38"/>
  <c r="R201" i="38"/>
  <c r="S201" i="38"/>
  <c r="T201" i="38"/>
  <c r="S193" i="38"/>
  <c r="P193" i="38"/>
  <c r="Q37" i="38"/>
  <c r="AE37" i="38" s="1"/>
  <c r="R37" i="38"/>
  <c r="S37" i="38"/>
  <c r="T37" i="38"/>
  <c r="Z37" i="38"/>
  <c r="AD37" i="38"/>
  <c r="AC37" i="38"/>
  <c r="AB37" i="38"/>
  <c r="AA37" i="38"/>
  <c r="P37" i="38"/>
  <c r="R303" i="38"/>
  <c r="AE303" i="38" s="1"/>
  <c r="R286" i="38"/>
  <c r="Y285" i="38"/>
  <c r="R282" i="38"/>
  <c r="AE282" i="38" s="1"/>
  <c r="S269" i="38"/>
  <c r="Q260" i="38"/>
  <c r="AE260" i="38" s="1"/>
  <c r="AA258" i="38"/>
  <c r="Q246" i="38"/>
  <c r="Q223" i="38"/>
  <c r="S222" i="38"/>
  <c r="Y221" i="38"/>
  <c r="R219" i="38"/>
  <c r="AE207" i="38"/>
  <c r="S197" i="38"/>
  <c r="P197" i="38"/>
  <c r="AE197" i="38" s="1"/>
  <c r="Q197" i="38"/>
  <c r="R197" i="38"/>
  <c r="T172" i="38"/>
  <c r="T168" i="38"/>
  <c r="AC164" i="38"/>
  <c r="AD164" i="38"/>
  <c r="S164" i="38"/>
  <c r="AE164" i="38" s="1"/>
  <c r="T164" i="38"/>
  <c r="Z164" i="38"/>
  <c r="R164" i="38"/>
  <c r="O144" i="38"/>
  <c r="Y144" i="38"/>
  <c r="S105" i="38"/>
  <c r="T105" i="38"/>
  <c r="Q105" i="38"/>
  <c r="AE105" i="38" s="1"/>
  <c r="AD105" i="38"/>
  <c r="Z105" i="38"/>
  <c r="AA105" i="38"/>
  <c r="AB105" i="38"/>
  <c r="AC105" i="38"/>
  <c r="Y103" i="38"/>
  <c r="O103" i="38"/>
  <c r="S290" i="38"/>
  <c r="Z258" i="38"/>
  <c r="Q251" i="38"/>
  <c r="AE251" i="38" s="1"/>
  <c r="R251" i="38"/>
  <c r="S251" i="38"/>
  <c r="Q241" i="38"/>
  <c r="AE241" i="38" s="1"/>
  <c r="R241" i="38"/>
  <c r="S241" i="38"/>
  <c r="T241" i="38"/>
  <c r="R222" i="38"/>
  <c r="AD209" i="38"/>
  <c r="AB205" i="38"/>
  <c r="P205" i="38"/>
  <c r="AE205" i="38" s="1"/>
  <c r="Q205" i="38"/>
  <c r="R205" i="38"/>
  <c r="S205" i="38"/>
  <c r="T205" i="38"/>
  <c r="T190" i="38"/>
  <c r="T173" i="38"/>
  <c r="S172" i="38"/>
  <c r="AE172" i="38" s="1"/>
  <c r="S168" i="38"/>
  <c r="AE168" i="38" s="1"/>
  <c r="T141" i="38"/>
  <c r="AE141" i="38" s="1"/>
  <c r="R125" i="38"/>
  <c r="AE125" i="38" s="1"/>
  <c r="Z260" i="38"/>
  <c r="Z246" i="38"/>
  <c r="AB246" i="38"/>
  <c r="AC246" i="38"/>
  <c r="AD246" i="38"/>
  <c r="Z223" i="38"/>
  <c r="AA223" i="38"/>
  <c r="AB223" i="38"/>
  <c r="AC223" i="38"/>
  <c r="Q222" i="38"/>
  <c r="AE222" i="38" s="1"/>
  <c r="Q220" i="38"/>
  <c r="AE220" i="38" s="1"/>
  <c r="AC209" i="38"/>
  <c r="P206" i="38"/>
  <c r="AE206" i="38" s="1"/>
  <c r="Y158" i="38"/>
  <c r="O158" i="38"/>
  <c r="AA145" i="38"/>
  <c r="S145" i="38"/>
  <c r="P145" i="38"/>
  <c r="Q145" i="38"/>
  <c r="R145" i="38"/>
  <c r="T145" i="38"/>
  <c r="S141" i="38"/>
  <c r="Y94" i="38"/>
  <c r="O94" i="38"/>
  <c r="AA303" i="38"/>
  <c r="AB303" i="38"/>
  <c r="AC286" i="38"/>
  <c r="AD286" i="38"/>
  <c r="P238" i="38"/>
  <c r="AE238" i="38" s="1"/>
  <c r="Q238" i="38"/>
  <c r="R238" i="38"/>
  <c r="AB219" i="38"/>
  <c r="Z219" i="38"/>
  <c r="AE219" i="38" s="1"/>
  <c r="AA219" i="38"/>
  <c r="AC219" i="38"/>
  <c r="AD219" i="38"/>
  <c r="AA209" i="38"/>
  <c r="Y131" i="38"/>
  <c r="O131" i="38"/>
  <c r="AE130" i="38"/>
  <c r="O128" i="38"/>
  <c r="Y128" i="38"/>
  <c r="O41" i="38"/>
  <c r="Y41" i="38"/>
  <c r="AE235" i="38"/>
  <c r="AC222" i="38"/>
  <c r="AD222" i="38"/>
  <c r="AB222" i="38"/>
  <c r="S220" i="38"/>
  <c r="T220" i="38"/>
  <c r="Z220" i="38"/>
  <c r="R220" i="38"/>
  <c r="Z209" i="38"/>
  <c r="S125" i="38"/>
  <c r="T125" i="38"/>
  <c r="AB125" i="38"/>
  <c r="Z125" i="38"/>
  <c r="AA125" i="38"/>
  <c r="AC125" i="38"/>
  <c r="AD125" i="38"/>
  <c r="Q112" i="38"/>
  <c r="R112" i="38"/>
  <c r="T112" i="38"/>
  <c r="AA112" i="38"/>
  <c r="S112" i="38"/>
  <c r="Z112" i="38"/>
  <c r="AB112" i="38"/>
  <c r="AC112" i="38"/>
  <c r="P112" i="38"/>
  <c r="AE112" i="38" s="1"/>
  <c r="AD112" i="38"/>
  <c r="Z181" i="38"/>
  <c r="AE181" i="38" s="1"/>
  <c r="Y177" i="38"/>
  <c r="S123" i="38"/>
  <c r="P123" i="38"/>
  <c r="AD123" i="38"/>
  <c r="Y118" i="38"/>
  <c r="P79" i="38"/>
  <c r="AE79" i="38" s="1"/>
  <c r="Y60" i="38"/>
  <c r="O60" i="38"/>
  <c r="Q132" i="38"/>
  <c r="R132" i="38"/>
  <c r="P132" i="38"/>
  <c r="AA132" i="38"/>
  <c r="AB132" i="38"/>
  <c r="AC132" i="38"/>
  <c r="AD132" i="38"/>
  <c r="Q118" i="38"/>
  <c r="P118" i="38"/>
  <c r="AE118" i="38" s="1"/>
  <c r="R118" i="38"/>
  <c r="S118" i="38"/>
  <c r="T118" i="38"/>
  <c r="AA118" i="38"/>
  <c r="Y72" i="38"/>
  <c r="O72" i="38"/>
  <c r="O59" i="38"/>
  <c r="Y59" i="38"/>
  <c r="T192" i="38"/>
  <c r="AA161" i="38"/>
  <c r="Z161" i="38"/>
  <c r="AE161" i="38" s="1"/>
  <c r="AE119" i="38"/>
  <c r="AB106" i="38"/>
  <c r="AE106" i="38" s="1"/>
  <c r="AC106" i="38"/>
  <c r="AD106" i="38"/>
  <c r="Q106" i="38"/>
  <c r="Z106" i="38"/>
  <c r="AA106" i="38"/>
  <c r="S192" i="38"/>
  <c r="O157" i="38"/>
  <c r="Y157" i="38"/>
  <c r="P146" i="38"/>
  <c r="T146" i="38"/>
  <c r="AB146" i="38"/>
  <c r="AD133" i="38"/>
  <c r="AA133" i="38"/>
  <c r="AE133" i="38" s="1"/>
  <c r="AD110" i="38"/>
  <c r="AB110" i="38"/>
  <c r="AC110" i="38"/>
  <c r="Q110" i="38"/>
  <c r="T110" i="38"/>
  <c r="AE110" i="38" s="1"/>
  <c r="Z110" i="38"/>
  <c r="AA110" i="38"/>
  <c r="S110" i="38"/>
  <c r="S87" i="38"/>
  <c r="T87" i="38"/>
  <c r="Z87" i="38"/>
  <c r="AA87" i="38"/>
  <c r="AB87" i="38"/>
  <c r="AC87" i="38"/>
  <c r="AD87" i="38"/>
  <c r="P87" i="38"/>
  <c r="AE87" i="38" s="1"/>
  <c r="P80" i="38"/>
  <c r="AE80" i="38" s="1"/>
  <c r="T196" i="38"/>
  <c r="AE196" i="38" s="1"/>
  <c r="R192" i="38"/>
  <c r="AD177" i="38"/>
  <c r="AE140" i="38"/>
  <c r="AD140" i="38"/>
  <c r="P140" i="38"/>
  <c r="R140" i="38"/>
  <c r="Q139" i="38"/>
  <c r="P139" i="38"/>
  <c r="S139" i="38"/>
  <c r="AE139" i="38" s="1"/>
  <c r="T139" i="38"/>
  <c r="AA139" i="38"/>
  <c r="Y120" i="38"/>
  <c r="O120" i="38"/>
  <c r="Z93" i="38"/>
  <c r="AE92" i="38"/>
  <c r="AE90" i="38"/>
  <c r="S196" i="38"/>
  <c r="Q192" i="38"/>
  <c r="AD181" i="38"/>
  <c r="AC177" i="38"/>
  <c r="AD118" i="38"/>
  <c r="O65" i="38"/>
  <c r="Y65" i="38"/>
  <c r="AC181" i="38"/>
  <c r="Y121" i="38"/>
  <c r="O121" i="38"/>
  <c r="AC118" i="38"/>
  <c r="S102" i="38"/>
  <c r="Z192" i="38"/>
  <c r="AD192" i="38"/>
  <c r="AB118" i="38"/>
  <c r="O113" i="38"/>
  <c r="Y113" i="38"/>
  <c r="Z111" i="38"/>
  <c r="AA111" i="38"/>
  <c r="AB111" i="38"/>
  <c r="R111" i="38"/>
  <c r="S111" i="38"/>
  <c r="T111" i="38"/>
  <c r="AC111" i="38"/>
  <c r="AD111" i="38"/>
  <c r="Q111" i="38"/>
  <c r="AE111" i="38" s="1"/>
  <c r="AE49" i="38"/>
  <c r="P196" i="38"/>
  <c r="Z177" i="38"/>
  <c r="O122" i="38"/>
  <c r="Y122" i="38"/>
  <c r="Z118" i="38"/>
  <c r="Q102" i="38"/>
  <c r="R102" i="38"/>
  <c r="Z102" i="38"/>
  <c r="AA102" i="38"/>
  <c r="AB102" i="38"/>
  <c r="AC102" i="38"/>
  <c r="AD102" i="38"/>
  <c r="T102" i="38"/>
  <c r="AE102" i="38" s="1"/>
  <c r="O27" i="38"/>
  <c r="Y27" i="38"/>
  <c r="AE22" i="38"/>
  <c r="Y106" i="38"/>
  <c r="AD100" i="38"/>
  <c r="P100" i="38"/>
  <c r="AE100" i="38" s="1"/>
  <c r="Q100" i="38"/>
  <c r="R100" i="38"/>
  <c r="S100" i="38"/>
  <c r="P81" i="38"/>
  <c r="G56" i="39"/>
  <c r="Z124" i="38"/>
  <c r="AA124" i="38"/>
  <c r="AB124" i="38"/>
  <c r="AE124" i="38" s="1"/>
  <c r="AC124" i="38"/>
  <c r="S115" i="38"/>
  <c r="AE115" i="38" s="1"/>
  <c r="T115" i="38"/>
  <c r="AB115" i="38"/>
  <c r="AC115" i="38"/>
  <c r="AD115" i="38"/>
  <c r="O107" i="38"/>
  <c r="AD86" i="38"/>
  <c r="AE86" i="38" s="1"/>
  <c r="Z86" i="38"/>
  <c r="AA86" i="38"/>
  <c r="AB86" i="38"/>
  <c r="AC86" i="38"/>
  <c r="O66" i="38"/>
  <c r="Y66" i="38"/>
  <c r="Y14" i="38"/>
  <c r="O14" i="38"/>
  <c r="AE151" i="38"/>
  <c r="AE147" i="38"/>
  <c r="AD130" i="38"/>
  <c r="Z130" i="38"/>
  <c r="AA93" i="38"/>
  <c r="AC80" i="38"/>
  <c r="P67" i="38"/>
  <c r="AE67" i="38" s="1"/>
  <c r="Q95" i="38"/>
  <c r="R95" i="38"/>
  <c r="S95" i="38"/>
  <c r="P95" i="38"/>
  <c r="AE95" i="38" s="1"/>
  <c r="T95" i="38"/>
  <c r="Z95" i="38"/>
  <c r="Y82" i="38"/>
  <c r="O82" i="38"/>
  <c r="AB80" i="38"/>
  <c r="T78" i="38"/>
  <c r="AE61" i="38"/>
  <c r="P61" i="38"/>
  <c r="AA56" i="38"/>
  <c r="AD56" i="38"/>
  <c r="T56" i="38"/>
  <c r="Z56" i="38"/>
  <c r="AB56" i="38"/>
  <c r="AC56" i="38"/>
  <c r="S56" i="38"/>
  <c r="AE56" i="38" s="1"/>
  <c r="E56" i="40"/>
  <c r="R78" i="38"/>
  <c r="D56" i="40"/>
  <c r="P109" i="38"/>
  <c r="AE109" i="38" s="1"/>
  <c r="S109" i="38"/>
  <c r="AA97" i="38"/>
  <c r="AB97" i="38"/>
  <c r="AC97" i="38"/>
  <c r="Z97" i="38"/>
  <c r="AE97" i="38" s="1"/>
  <c r="AD97" i="38"/>
  <c r="AD96" i="38"/>
  <c r="P96" i="38"/>
  <c r="T96" i="38"/>
  <c r="P73" i="38"/>
  <c r="AE42" i="38"/>
  <c r="AB83" i="38"/>
  <c r="P83" i="38"/>
  <c r="R83" i="38"/>
  <c r="S83" i="38"/>
  <c r="T83" i="38"/>
  <c r="Q83" i="38"/>
  <c r="AA83" i="38"/>
  <c r="Q78" i="38"/>
  <c r="AE78" i="38" s="1"/>
  <c r="S78" i="38"/>
  <c r="Z78" i="38"/>
  <c r="AA78" i="38"/>
  <c r="AB78" i="38"/>
  <c r="AC78" i="38"/>
  <c r="AD78" i="38"/>
  <c r="O6" i="38"/>
  <c r="Y6" i="38"/>
  <c r="P117" i="38"/>
  <c r="AE117" i="38" s="1"/>
  <c r="AB109" i="38"/>
  <c r="AB96" i="38"/>
  <c r="AE96" i="38" s="1"/>
  <c r="AD95" i="38"/>
  <c r="S91" i="38"/>
  <c r="R91" i="38"/>
  <c r="T91" i="38"/>
  <c r="AC91" i="38"/>
  <c r="AD91" i="38"/>
  <c r="AE91" i="38" s="1"/>
  <c r="P91" i="38"/>
  <c r="O99" i="38"/>
  <c r="Y99" i="38"/>
  <c r="AC95" i="38"/>
  <c r="AB93" i="38"/>
  <c r="AC93" i="38"/>
  <c r="AD93" i="38"/>
  <c r="Q93" i="38"/>
  <c r="R93" i="38"/>
  <c r="S93" i="38"/>
  <c r="AE93" i="38" s="1"/>
  <c r="T93" i="38"/>
  <c r="S85" i="38"/>
  <c r="AC85" i="38"/>
  <c r="AD85" i="38"/>
  <c r="R85" i="38"/>
  <c r="AE85" i="38" s="1"/>
  <c r="P84" i="38"/>
  <c r="AE84" i="38" s="1"/>
  <c r="O10" i="38"/>
  <c r="Y10" i="38"/>
  <c r="AB95" i="38"/>
  <c r="Z80" i="38"/>
  <c r="AD80" i="38"/>
  <c r="R80" i="38"/>
  <c r="S80" i="38"/>
  <c r="T80" i="38"/>
  <c r="AA80" i="38"/>
  <c r="Q80" i="38"/>
  <c r="P74" i="38"/>
  <c r="O69" i="38"/>
  <c r="Y69" i="38"/>
  <c r="Y64" i="38"/>
  <c r="O64" i="38"/>
  <c r="H56" i="39"/>
  <c r="F56" i="40"/>
  <c r="Q119" i="38"/>
  <c r="Z117" i="38"/>
  <c r="AB104" i="38"/>
  <c r="T90" i="38"/>
  <c r="AB81" i="38"/>
  <c r="AB77" i="38"/>
  <c r="Z77" i="38"/>
  <c r="AE77" i="38" s="1"/>
  <c r="AA77" i="38"/>
  <c r="AC77" i="38"/>
  <c r="AC73" i="38"/>
  <c r="AB42" i="38"/>
  <c r="AC42" i="38"/>
  <c r="AD42" i="38"/>
  <c r="P42" i="38"/>
  <c r="S42" i="38"/>
  <c r="T42" i="38"/>
  <c r="Q42" i="38"/>
  <c r="R42" i="38"/>
  <c r="P18" i="38"/>
  <c r="Z114" i="38"/>
  <c r="AA114" i="38"/>
  <c r="Q79" i="38"/>
  <c r="R79" i="38"/>
  <c r="S79" i="38"/>
  <c r="S50" i="38"/>
  <c r="AB50" i="38"/>
  <c r="P50" i="38"/>
  <c r="AE50" i="38" s="1"/>
  <c r="Q50" i="38"/>
  <c r="R50" i="38"/>
  <c r="T50" i="38"/>
  <c r="AA50" i="38"/>
  <c r="Z90" i="38"/>
  <c r="AA90" i="38"/>
  <c r="AD63" i="38"/>
  <c r="AC63" i="38"/>
  <c r="S63" i="38"/>
  <c r="Z63" i="38"/>
  <c r="AE63" i="38" s="1"/>
  <c r="AA63" i="38"/>
  <c r="AB63" i="38"/>
  <c r="R63" i="38"/>
  <c r="AB50" i="39"/>
  <c r="Q46" i="38"/>
  <c r="AA42" i="38"/>
  <c r="R117" i="38"/>
  <c r="R104" i="38"/>
  <c r="R81" i="38"/>
  <c r="AE81" i="38" s="1"/>
  <c r="Z74" i="38"/>
  <c r="Q74" i="38"/>
  <c r="S74" i="38"/>
  <c r="T74" i="38"/>
  <c r="AE54" i="38"/>
  <c r="O52" i="38"/>
  <c r="Y52" i="38"/>
  <c r="AB34" i="38"/>
  <c r="P34" i="38"/>
  <c r="Q34" i="38"/>
  <c r="T34" i="38"/>
  <c r="R34" i="38"/>
  <c r="Q117" i="38"/>
  <c r="Q104" i="38"/>
  <c r="AE104" i="38" s="1"/>
  <c r="AE57" i="38"/>
  <c r="AD53" i="38"/>
  <c r="Q53" i="38"/>
  <c r="R53" i="38"/>
  <c r="AE53" i="38" s="1"/>
  <c r="S53" i="38"/>
  <c r="O45" i="38"/>
  <c r="Y45" i="38"/>
  <c r="AB73" i="38"/>
  <c r="Z73" i="38"/>
  <c r="AA73" i="38"/>
  <c r="S73" i="38"/>
  <c r="AD50" i="38"/>
  <c r="Q9" i="38"/>
  <c r="R9" i="38"/>
  <c r="S9" i="38"/>
  <c r="P9" i="38"/>
  <c r="T9" i="38"/>
  <c r="AA9" i="38"/>
  <c r="AB9" i="38"/>
  <c r="Z9" i="38"/>
  <c r="P119" i="38"/>
  <c r="AB117" i="38"/>
  <c r="AC117" i="38"/>
  <c r="Z104" i="38"/>
  <c r="AA104" i="38"/>
  <c r="S81" i="38"/>
  <c r="AA81" i="38"/>
  <c r="AC81" i="38"/>
  <c r="AD81" i="38"/>
  <c r="Q68" i="38"/>
  <c r="Z68" i="38"/>
  <c r="AA68" i="38"/>
  <c r="AB68" i="38"/>
  <c r="AC68" i="38"/>
  <c r="AD68" i="38"/>
  <c r="AB67" i="38"/>
  <c r="Z67" i="38"/>
  <c r="AC67" i="38"/>
  <c r="AD67" i="38"/>
  <c r="O58" i="38"/>
  <c r="Y58" i="38"/>
  <c r="AC53" i="38"/>
  <c r="S38" i="38"/>
  <c r="Z38" i="38"/>
  <c r="AE38" i="38" s="1"/>
  <c r="AA38" i="38"/>
  <c r="AC38" i="38"/>
  <c r="AD38" i="38"/>
  <c r="P38" i="38"/>
  <c r="Q70" i="38"/>
  <c r="O29" i="38"/>
  <c r="Y29" i="38"/>
  <c r="G56" i="40"/>
  <c r="AA61" i="38"/>
  <c r="Z57" i="38"/>
  <c r="P57" i="38"/>
  <c r="T57" i="38"/>
  <c r="O17" i="38"/>
  <c r="Y17" i="38"/>
  <c r="AB48" i="39"/>
  <c r="Z35" i="38"/>
  <c r="AD35" i="38"/>
  <c r="P35" i="38"/>
  <c r="AE35" i="38" s="1"/>
  <c r="Q35" i="38"/>
  <c r="R35" i="38"/>
  <c r="Y24" i="38"/>
  <c r="O24" i="38"/>
  <c r="F56" i="39"/>
  <c r="S70" i="38"/>
  <c r="AD62" i="38"/>
  <c r="Z48" i="38"/>
  <c r="S46" i="38"/>
  <c r="S40" i="38"/>
  <c r="T40" i="38"/>
  <c r="AB40" i="38"/>
  <c r="Q40" i="38"/>
  <c r="R40" i="38"/>
  <c r="AC40" i="38"/>
  <c r="AD40" i="38"/>
  <c r="Z39" i="38"/>
  <c r="AA39" i="38"/>
  <c r="AB39" i="38"/>
  <c r="AC39" i="38"/>
  <c r="S39" i="38"/>
  <c r="T39" i="38"/>
  <c r="AC5" i="38"/>
  <c r="E56" i="39"/>
  <c r="H56" i="40"/>
  <c r="R70" i="38"/>
  <c r="AC62" i="38"/>
  <c r="AE62" i="38" s="1"/>
  <c r="Z51" i="38"/>
  <c r="AE51" i="38" s="1"/>
  <c r="AB51" i="38"/>
  <c r="AC51" i="38"/>
  <c r="AD51" i="38"/>
  <c r="R46" i="38"/>
  <c r="O7" i="38"/>
  <c r="Y7" i="38"/>
  <c r="T49" i="38"/>
  <c r="Q47" i="38"/>
  <c r="R47" i="38"/>
  <c r="S47" i="38"/>
  <c r="T47" i="38"/>
  <c r="Z47" i="38"/>
  <c r="AA47" i="38"/>
  <c r="AB47" i="38"/>
  <c r="AC47" i="38"/>
  <c r="P31" i="38"/>
  <c r="O16" i="38"/>
  <c r="Y16" i="38"/>
  <c r="AE15" i="38"/>
  <c r="Z70" i="38"/>
  <c r="AD70" i="38"/>
  <c r="AD61" i="38"/>
  <c r="S57" i="38"/>
  <c r="Z46" i="38"/>
  <c r="AA46" i="38"/>
  <c r="AB46" i="38"/>
  <c r="AC46" i="38"/>
  <c r="AD46" i="38"/>
  <c r="Z49" i="38"/>
  <c r="P49" i="38"/>
  <c r="Q49" i="38"/>
  <c r="R49" i="38"/>
  <c r="O43" i="38"/>
  <c r="Q19" i="38"/>
  <c r="R19" i="38"/>
  <c r="S19" i="38"/>
  <c r="P19" i="38"/>
  <c r="AE19" i="38" s="1"/>
  <c r="Z19" i="38"/>
  <c r="AA19" i="38"/>
  <c r="AB19" i="38"/>
  <c r="S48" i="38"/>
  <c r="R48" i="38"/>
  <c r="AE48" i="38" s="1"/>
  <c r="T48" i="38"/>
  <c r="AB48" i="38"/>
  <c r="Q33" i="38"/>
  <c r="S33" i="38"/>
  <c r="P33" i="38"/>
  <c r="R33" i="38"/>
  <c r="T33" i="38"/>
  <c r="AA33" i="38"/>
  <c r="P28" i="38"/>
  <c r="AE28" i="38" s="1"/>
  <c r="P26" i="38"/>
  <c r="Q26" i="38"/>
  <c r="S26" i="38"/>
  <c r="T26" i="38"/>
  <c r="AC26" i="38"/>
  <c r="R26" i="38"/>
  <c r="Z26" i="38"/>
  <c r="AA26" i="38"/>
  <c r="Z5" i="38"/>
  <c r="AB5" i="38"/>
  <c r="T5" i="38"/>
  <c r="S5" i="38"/>
  <c r="R5" i="38"/>
  <c r="P5" i="38"/>
  <c r="Q5" i="38"/>
  <c r="AA28" i="38"/>
  <c r="Q20" i="38"/>
  <c r="AE20" i="38" s="1"/>
  <c r="S20" i="38"/>
  <c r="D56" i="39"/>
  <c r="Z36" i="38"/>
  <c r="AA36" i="38"/>
  <c r="AE36" i="38" s="1"/>
  <c r="T31" i="38"/>
  <c r="AC20" i="38"/>
  <c r="S32" i="38"/>
  <c r="AE32" i="38" s="1"/>
  <c r="Z32" i="38"/>
  <c r="T32" i="38"/>
  <c r="AD32" i="38"/>
  <c r="R25" i="38"/>
  <c r="AE25" i="38" s="1"/>
  <c r="Z20" i="38"/>
  <c r="S12" i="38"/>
  <c r="T12" i="38"/>
  <c r="Z12" i="38"/>
  <c r="R12" i="38"/>
  <c r="AE12" i="38" s="1"/>
  <c r="AD12" i="38"/>
  <c r="T28" i="38"/>
  <c r="Q25" i="38"/>
  <c r="Y20" i="38"/>
  <c r="Z31" i="38"/>
  <c r="AB31" i="38"/>
  <c r="AD31" i="38"/>
  <c r="AA31" i="38"/>
  <c r="AE31" i="38" s="1"/>
  <c r="R28" i="38"/>
  <c r="Z25" i="38"/>
  <c r="AB25" i="38"/>
  <c r="T25" i="38"/>
  <c r="S25" i="38"/>
  <c r="S22" i="38"/>
  <c r="T22" i="38"/>
  <c r="Z22" i="38"/>
  <c r="R22" i="38"/>
  <c r="AD22" i="38"/>
  <c r="Z15" i="38"/>
  <c r="AB15" i="38"/>
  <c r="T15" i="38"/>
  <c r="S15" i="38"/>
  <c r="P44" i="38"/>
  <c r="AE44" i="38" s="1"/>
  <c r="Q44" i="38"/>
  <c r="R44" i="38"/>
  <c r="Z28" i="38"/>
  <c r="AB28" i="38"/>
  <c r="AD28" i="38"/>
  <c r="S28" i="38"/>
  <c r="Z21" i="38"/>
  <c r="AA21" i="38"/>
  <c r="AB21" i="38"/>
  <c r="AD21" i="38"/>
  <c r="Z11" i="38"/>
  <c r="AA11" i="38"/>
  <c r="AB11" i="38"/>
  <c r="AD11" i="38"/>
  <c r="AB49" i="39"/>
  <c r="Q23" i="38"/>
  <c r="S23" i="38"/>
  <c r="Z18" i="38"/>
  <c r="AB18" i="38"/>
  <c r="AE18" i="38" s="1"/>
  <c r="AD18" i="38"/>
  <c r="Q13" i="38"/>
  <c r="S13" i="38"/>
  <c r="Z8" i="38"/>
  <c r="AB8" i="38"/>
  <c r="AD8" i="38"/>
  <c r="AB30" i="38"/>
  <c r="AE30" i="38" s="1"/>
  <c r="AA23" i="38"/>
  <c r="AE23" i="38" s="1"/>
  <c r="AA13" i="38"/>
  <c r="H21" i="8"/>
  <c r="M11" i="11"/>
  <c r="L18" i="39" l="1"/>
  <c r="U18" i="39"/>
  <c r="AE382" i="38"/>
  <c r="AE8" i="38"/>
  <c r="AE26" i="38"/>
  <c r="AB5" i="37"/>
  <c r="T294" i="38"/>
  <c r="Q294" i="38"/>
  <c r="R294" i="38"/>
  <c r="Z294" i="38"/>
  <c r="AD294" i="38"/>
  <c r="P294" i="38"/>
  <c r="P531" i="38" s="1"/>
  <c r="S294" i="38"/>
  <c r="S531" i="38" s="1"/>
  <c r="AA294" i="38"/>
  <c r="AB294" i="38"/>
  <c r="AC294" i="38"/>
  <c r="U9" i="39"/>
  <c r="L9" i="39"/>
  <c r="AE47" i="38"/>
  <c r="AB24" i="38"/>
  <c r="AC24" i="38"/>
  <c r="AD24" i="38"/>
  <c r="AA24" i="38"/>
  <c r="P24" i="38"/>
  <c r="Q24" i="38"/>
  <c r="R24" i="38"/>
  <c r="S24" i="38"/>
  <c r="Z24" i="38"/>
  <c r="T24" i="38"/>
  <c r="S58" i="38"/>
  <c r="S526" i="38" s="1"/>
  <c r="R58" i="38"/>
  <c r="R526" i="38" s="1"/>
  <c r="P58" i="38"/>
  <c r="AE58" i="38" s="1"/>
  <c r="Q58" i="38"/>
  <c r="T58" i="38"/>
  <c r="AC58" i="38"/>
  <c r="Z58" i="38"/>
  <c r="AA58" i="38"/>
  <c r="AB58" i="38"/>
  <c r="AD58" i="38"/>
  <c r="AE149" i="38"/>
  <c r="S351" i="38"/>
  <c r="AC351" i="38"/>
  <c r="Z351" i="38"/>
  <c r="AA351" i="38"/>
  <c r="P351" i="38"/>
  <c r="Q351" i="38"/>
  <c r="R351" i="38"/>
  <c r="T351" i="38"/>
  <c r="AB351" i="38"/>
  <c r="AD351" i="38"/>
  <c r="Q476" i="38"/>
  <c r="T476" i="38"/>
  <c r="P476" i="38"/>
  <c r="R476" i="38"/>
  <c r="S476" i="38"/>
  <c r="AB476" i="38"/>
  <c r="AA476" i="38"/>
  <c r="Z476" i="38"/>
  <c r="AC476" i="38"/>
  <c r="AD476" i="38"/>
  <c r="Q338" i="38"/>
  <c r="Q538" i="38" s="1"/>
  <c r="T338" i="38"/>
  <c r="P338" i="38"/>
  <c r="R338" i="38"/>
  <c r="S338" i="38"/>
  <c r="Z338" i="38"/>
  <c r="AA338" i="38"/>
  <c r="AB338" i="38"/>
  <c r="AC338" i="38"/>
  <c r="AD338" i="38"/>
  <c r="L34" i="40"/>
  <c r="U34" i="40"/>
  <c r="AE357" i="38"/>
  <c r="U40" i="39"/>
  <c r="L40" i="39"/>
  <c r="AE501" i="38"/>
  <c r="Z45" i="37"/>
  <c r="V45" i="37"/>
  <c r="Y45" i="37"/>
  <c r="W45" i="37"/>
  <c r="X45" i="37"/>
  <c r="U47" i="40"/>
  <c r="L47" i="40"/>
  <c r="L27" i="39"/>
  <c r="U27" i="39"/>
  <c r="L39" i="39"/>
  <c r="U39" i="39"/>
  <c r="U11" i="39"/>
  <c r="L11" i="39"/>
  <c r="AE150" i="38"/>
  <c r="L19" i="39"/>
  <c r="U19" i="39"/>
  <c r="AB492" i="38"/>
  <c r="AC492" i="38"/>
  <c r="P492" i="38"/>
  <c r="Q492" i="38"/>
  <c r="R492" i="38"/>
  <c r="Z492" i="38"/>
  <c r="AA492" i="38"/>
  <c r="S492" i="38"/>
  <c r="T492" i="38"/>
  <c r="AD492" i="38"/>
  <c r="Q174" i="38"/>
  <c r="R174" i="38"/>
  <c r="S174" i="38"/>
  <c r="T174" i="38"/>
  <c r="P174" i="38"/>
  <c r="Z174" i="38"/>
  <c r="AA174" i="38"/>
  <c r="AB174" i="38"/>
  <c r="AC174" i="38"/>
  <c r="AD174" i="38"/>
  <c r="U19" i="40"/>
  <c r="L19" i="40"/>
  <c r="AE83" i="38"/>
  <c r="AB175" i="38"/>
  <c r="P175" i="38"/>
  <c r="Q175" i="38"/>
  <c r="R175" i="38"/>
  <c r="S175" i="38"/>
  <c r="Z175" i="38"/>
  <c r="AA175" i="38"/>
  <c r="AC175" i="38"/>
  <c r="AD175" i="38"/>
  <c r="T175" i="38"/>
  <c r="U42" i="39"/>
  <c r="L42" i="39"/>
  <c r="L35" i="40"/>
  <c r="U35" i="40"/>
  <c r="Q82" i="38"/>
  <c r="Z82" i="38"/>
  <c r="P82" i="38"/>
  <c r="AE82" i="38" s="1"/>
  <c r="R82" i="38"/>
  <c r="S82" i="38"/>
  <c r="T82" i="38"/>
  <c r="AB82" i="38"/>
  <c r="AC82" i="38"/>
  <c r="AD82" i="38"/>
  <c r="AA82" i="38"/>
  <c r="Q121" i="38"/>
  <c r="R121" i="38"/>
  <c r="S121" i="38"/>
  <c r="T121" i="38"/>
  <c r="AC121" i="38"/>
  <c r="P121" i="38"/>
  <c r="Z121" i="38"/>
  <c r="AD121" i="38"/>
  <c r="AB121" i="38"/>
  <c r="AA121" i="38"/>
  <c r="AD7" i="38"/>
  <c r="AC7" i="38"/>
  <c r="AC510" i="38" s="1"/>
  <c r="P7" i="38"/>
  <c r="AE7" i="38" s="1"/>
  <c r="Q7" i="38"/>
  <c r="R7" i="38"/>
  <c r="S7" i="38"/>
  <c r="T7" i="38"/>
  <c r="AA7" i="38"/>
  <c r="AB7" i="38"/>
  <c r="Z7" i="38"/>
  <c r="AE114" i="38"/>
  <c r="Q88" i="38"/>
  <c r="R88" i="38"/>
  <c r="S88" i="38"/>
  <c r="T88" i="38"/>
  <c r="Z88" i="38"/>
  <c r="AD88" i="38"/>
  <c r="P88" i="38"/>
  <c r="AA88" i="38"/>
  <c r="AB88" i="38"/>
  <c r="AC88" i="38"/>
  <c r="S187" i="38"/>
  <c r="R187" i="38"/>
  <c r="R552" i="38" s="1"/>
  <c r="T187" i="38"/>
  <c r="Z187" i="38"/>
  <c r="Q187" i="38"/>
  <c r="AA187" i="38"/>
  <c r="AB187" i="38"/>
  <c r="AC187" i="38"/>
  <c r="AD187" i="38"/>
  <c r="P187" i="38"/>
  <c r="AB21" i="37"/>
  <c r="AE70" i="38"/>
  <c r="AB14" i="38"/>
  <c r="AC14" i="38"/>
  <c r="AD14" i="38"/>
  <c r="AD539" i="38" s="1"/>
  <c r="AA14" i="38"/>
  <c r="AA539" i="38" s="1"/>
  <c r="Z14" i="38"/>
  <c r="P14" i="38"/>
  <c r="Q14" i="38"/>
  <c r="R14" i="38"/>
  <c r="S14" i="38"/>
  <c r="T14" i="38"/>
  <c r="AD101" i="38"/>
  <c r="S101" i="38"/>
  <c r="P101" i="38"/>
  <c r="Q101" i="38"/>
  <c r="R101" i="38"/>
  <c r="T101" i="38"/>
  <c r="Z101" i="38"/>
  <c r="AA101" i="38"/>
  <c r="AB101" i="38"/>
  <c r="AC101" i="38"/>
  <c r="P339" i="38"/>
  <c r="Q339" i="38"/>
  <c r="R339" i="38"/>
  <c r="S339" i="38"/>
  <c r="T339" i="38"/>
  <c r="Z339" i="38"/>
  <c r="AB339" i="38"/>
  <c r="AC339" i="38"/>
  <c r="AD339" i="38"/>
  <c r="AA339" i="38"/>
  <c r="AA333" i="38"/>
  <c r="AB333" i="38"/>
  <c r="T333" i="38"/>
  <c r="P333" i="38"/>
  <c r="Q333" i="38"/>
  <c r="R333" i="38"/>
  <c r="S333" i="38"/>
  <c r="AD333" i="38"/>
  <c r="Z333" i="38"/>
  <c r="AC333" i="38"/>
  <c r="P160" i="38"/>
  <c r="AB160" i="38"/>
  <c r="Q160" i="38"/>
  <c r="R160" i="38"/>
  <c r="S160" i="38"/>
  <c r="T160" i="38"/>
  <c r="Z160" i="38"/>
  <c r="AA160" i="38"/>
  <c r="AC160" i="38"/>
  <c r="AD160" i="38"/>
  <c r="P415" i="38"/>
  <c r="Z415" i="38"/>
  <c r="AA415" i="38"/>
  <c r="AD415" i="38"/>
  <c r="T415" i="38"/>
  <c r="AB415" i="38"/>
  <c r="AC415" i="38"/>
  <c r="S415" i="38"/>
  <c r="R415" i="38"/>
  <c r="Q415" i="38"/>
  <c r="L15" i="40"/>
  <c r="U15" i="40"/>
  <c r="V38" i="37"/>
  <c r="AB38" i="37" s="1"/>
  <c r="W38" i="37"/>
  <c r="X38" i="37"/>
  <c r="Y38" i="37"/>
  <c r="Z38" i="37"/>
  <c r="U46" i="40"/>
  <c r="L46" i="40"/>
  <c r="L37" i="40"/>
  <c r="U37" i="40"/>
  <c r="AD43" i="38"/>
  <c r="Q43" i="38"/>
  <c r="R43" i="38"/>
  <c r="P43" i="38"/>
  <c r="S43" i="38"/>
  <c r="T43" i="38"/>
  <c r="AC43" i="38"/>
  <c r="AA43" i="38"/>
  <c r="AB43" i="38"/>
  <c r="Z43" i="38"/>
  <c r="AE73" i="38"/>
  <c r="Q170" i="38"/>
  <c r="P170" i="38"/>
  <c r="R170" i="38"/>
  <c r="S170" i="38"/>
  <c r="T170" i="38"/>
  <c r="T537" i="38" s="1"/>
  <c r="Z170" i="38"/>
  <c r="AA170" i="38"/>
  <c r="AB170" i="38"/>
  <c r="AC170" i="38"/>
  <c r="AD170" i="38"/>
  <c r="R153" i="38"/>
  <c r="T153" i="38"/>
  <c r="P153" i="38"/>
  <c r="Q153" i="38"/>
  <c r="Z153" i="38"/>
  <c r="AA153" i="38"/>
  <c r="AA534" i="38" s="1"/>
  <c r="AB153" i="38"/>
  <c r="AC153" i="38"/>
  <c r="AD153" i="38"/>
  <c r="S153" i="38"/>
  <c r="AE328" i="38"/>
  <c r="R437" i="38"/>
  <c r="S437" i="38"/>
  <c r="P437" i="38"/>
  <c r="Q437" i="38"/>
  <c r="T437" i="38"/>
  <c r="AB437" i="38"/>
  <c r="AB538" i="38" s="1"/>
  <c r="AC437" i="38"/>
  <c r="AD437" i="38"/>
  <c r="AA437" i="38"/>
  <c r="Z437" i="38"/>
  <c r="AB189" i="38"/>
  <c r="AD189" i="38"/>
  <c r="AC189" i="38"/>
  <c r="R189" i="38"/>
  <c r="S189" i="38"/>
  <c r="T189" i="38"/>
  <c r="Z189" i="38"/>
  <c r="Q189" i="38"/>
  <c r="P189" i="38"/>
  <c r="AA189" i="38"/>
  <c r="L32" i="39"/>
  <c r="U32" i="39"/>
  <c r="L15" i="39"/>
  <c r="U15" i="39"/>
  <c r="M6" i="37"/>
  <c r="O6" i="37"/>
  <c r="O56" i="37" s="1"/>
  <c r="Q6" i="37"/>
  <c r="N6" i="37"/>
  <c r="P6" i="37"/>
  <c r="Q407" i="38"/>
  <c r="R407" i="38"/>
  <c r="P407" i="38"/>
  <c r="T407" i="38"/>
  <c r="Z407" i="38"/>
  <c r="AA407" i="38"/>
  <c r="AB407" i="38"/>
  <c r="AC407" i="38"/>
  <c r="AD407" i="38"/>
  <c r="S407" i="38"/>
  <c r="M28" i="37"/>
  <c r="N28" i="37"/>
  <c r="P28" i="37"/>
  <c r="Q28" i="37"/>
  <c r="O28" i="37"/>
  <c r="V39" i="37"/>
  <c r="W39" i="37"/>
  <c r="X39" i="37"/>
  <c r="Y39" i="37"/>
  <c r="Z39" i="37"/>
  <c r="Q18" i="37"/>
  <c r="N18" i="37"/>
  <c r="O18" i="37"/>
  <c r="P18" i="37"/>
  <c r="M18" i="37"/>
  <c r="M30" i="37"/>
  <c r="N30" i="37"/>
  <c r="O30" i="37"/>
  <c r="P30" i="37"/>
  <c r="Q30" i="37"/>
  <c r="AE331" i="38"/>
  <c r="AB514" i="38"/>
  <c r="AB516" i="38"/>
  <c r="AB520" i="38"/>
  <c r="AB522" i="38"/>
  <c r="AB526" i="38"/>
  <c r="AB528" i="38"/>
  <c r="AB534" i="38"/>
  <c r="AB544" i="38"/>
  <c r="AB548" i="38"/>
  <c r="AB550" i="38"/>
  <c r="AB552" i="38"/>
  <c r="Z520" i="38"/>
  <c r="AC524" i="38"/>
  <c r="AD526" i="38"/>
  <c r="Z539" i="38"/>
  <c r="AB543" i="38"/>
  <c r="AD547" i="38"/>
  <c r="AA520" i="38"/>
  <c r="AB541" i="38"/>
  <c r="AC543" i="38"/>
  <c r="AC539" i="38"/>
  <c r="Z516" i="38"/>
  <c r="AD518" i="38"/>
  <c r="Z523" i="38"/>
  <c r="Z544" i="38"/>
  <c r="Z551" i="38"/>
  <c r="AA523" i="38"/>
  <c r="AA544" i="38"/>
  <c r="AC516" i="38"/>
  <c r="AB523" i="38"/>
  <c r="AA530" i="38"/>
  <c r="AC544" i="38"/>
  <c r="AB551" i="38"/>
  <c r="Z514" i="38"/>
  <c r="AD516" i="38"/>
  <c r="Z521" i="38"/>
  <c r="AC523" i="38"/>
  <c r="AC530" i="38"/>
  <c r="AD544" i="38"/>
  <c r="Z549" i="38"/>
  <c r="AC551" i="38"/>
  <c r="AA549" i="38"/>
  <c r="AA514" i="38"/>
  <c r="AA521" i="38"/>
  <c r="AD523" i="38"/>
  <c r="Z528" i="38"/>
  <c r="AD530" i="38"/>
  <c r="AA542" i="38"/>
  <c r="AD551" i="38"/>
  <c r="AD515" i="38"/>
  <c r="AC520" i="38"/>
  <c r="AB527" i="38"/>
  <c r="AC548" i="38"/>
  <c r="AD520" i="38"/>
  <c r="AC527" i="38"/>
  <c r="AC534" i="38"/>
  <c r="AD548" i="38"/>
  <c r="AD527" i="38"/>
  <c r="Z532" i="38"/>
  <c r="AD534" i="38"/>
  <c r="AA546" i="38"/>
  <c r="AA516" i="38"/>
  <c r="AA551" i="38"/>
  <c r="AC514" i="38"/>
  <c r="Z531" i="38"/>
  <c r="AA543" i="38"/>
  <c r="AA552" i="38"/>
  <c r="AB519" i="38"/>
  <c r="AA527" i="38"/>
  <c r="AB549" i="38"/>
  <c r="AB529" i="38"/>
  <c r="AD538" i="38"/>
  <c r="AD514" i="38"/>
  <c r="AA531" i="38"/>
  <c r="AD543" i="38"/>
  <c r="AC552" i="38"/>
  <c r="AD522" i="38"/>
  <c r="AB531" i="38"/>
  <c r="AD552" i="38"/>
  <c r="Z519" i="38"/>
  <c r="AC531" i="38"/>
  <c r="AA519" i="38"/>
  <c r="AD531" i="38"/>
  <c r="AC529" i="38"/>
  <c r="Z548" i="38"/>
  <c r="Z527" i="38"/>
  <c r="AA548" i="38"/>
  <c r="AA533" i="38"/>
  <c r="AB517" i="38"/>
  <c r="Z526" i="38"/>
  <c r="AB547" i="38"/>
  <c r="AC540" i="38"/>
  <c r="AA526" i="38"/>
  <c r="AA515" i="38"/>
  <c r="AD528" i="38"/>
  <c r="AC550" i="38"/>
  <c r="AC521" i="38"/>
  <c r="AC519" i="38"/>
  <c r="AA528" i="38"/>
  <c r="AC549" i="38"/>
  <c r="AB515" i="38"/>
  <c r="Z524" i="38"/>
  <c r="AB545" i="38"/>
  <c r="AA524" i="38"/>
  <c r="Z517" i="38"/>
  <c r="AD521" i="38"/>
  <c r="AA538" i="38"/>
  <c r="Z547" i="38"/>
  <c r="AC517" i="38"/>
  <c r="Z534" i="38"/>
  <c r="AC547" i="38"/>
  <c r="AD519" i="38"/>
  <c r="AC528" i="38"/>
  <c r="AD549" i="38"/>
  <c r="AC538" i="38"/>
  <c r="Z550" i="38"/>
  <c r="Z529" i="38"/>
  <c r="AD533" i="38"/>
  <c r="AA550" i="38"/>
  <c r="AD550" i="38"/>
  <c r="AA517" i="38"/>
  <c r="AD529" i="38"/>
  <c r="AA547" i="38"/>
  <c r="AC526" i="38"/>
  <c r="Z543" i="38"/>
  <c r="Z552" i="38"/>
  <c r="AB521" i="38"/>
  <c r="Z538" i="38"/>
  <c r="AE146" i="38"/>
  <c r="T103" i="38"/>
  <c r="AB103" i="38"/>
  <c r="P103" i="38"/>
  <c r="Z103" i="38"/>
  <c r="AA103" i="38"/>
  <c r="AC103" i="38"/>
  <c r="AD103" i="38"/>
  <c r="S103" i="38"/>
  <c r="S551" i="38" s="1"/>
  <c r="Q103" i="38"/>
  <c r="Q551" i="38" s="1"/>
  <c r="R103" i="38"/>
  <c r="R551" i="38" s="1"/>
  <c r="S217" i="38"/>
  <c r="S568" i="38" s="1"/>
  <c r="P217" i="38"/>
  <c r="Q217" i="38"/>
  <c r="R217" i="38"/>
  <c r="R568" i="38" s="1"/>
  <c r="T217" i="38"/>
  <c r="Z217" i="38"/>
  <c r="AA217" i="38"/>
  <c r="AB217" i="38"/>
  <c r="AC217" i="38"/>
  <c r="AD217" i="38"/>
  <c r="P248" i="38"/>
  <c r="Q248" i="38"/>
  <c r="R248" i="38"/>
  <c r="S248" i="38"/>
  <c r="Z248" i="38"/>
  <c r="Z535" i="38" s="1"/>
  <c r="AA248" i="38"/>
  <c r="AB248" i="38"/>
  <c r="AB535" i="38" s="1"/>
  <c r="AC248" i="38"/>
  <c r="AC535" i="38" s="1"/>
  <c r="AD248" i="38"/>
  <c r="T248" i="38"/>
  <c r="AB379" i="38"/>
  <c r="R379" i="38"/>
  <c r="S379" i="38"/>
  <c r="S544" i="38" s="1"/>
  <c r="Z379" i="38"/>
  <c r="AA379" i="38"/>
  <c r="AC379" i="38"/>
  <c r="P379" i="38"/>
  <c r="Q379" i="38"/>
  <c r="T379" i="38"/>
  <c r="AD379" i="38"/>
  <c r="L9" i="40"/>
  <c r="U9" i="40"/>
  <c r="U32" i="40"/>
  <c r="L32" i="40"/>
  <c r="P391" i="38"/>
  <c r="Q391" i="38"/>
  <c r="R391" i="38"/>
  <c r="S391" i="38"/>
  <c r="T391" i="38"/>
  <c r="Z391" i="38"/>
  <c r="AA391" i="38"/>
  <c r="AB391" i="38"/>
  <c r="AC391" i="38"/>
  <c r="AD391" i="38"/>
  <c r="Q214" i="38"/>
  <c r="P214" i="38"/>
  <c r="T214" i="38"/>
  <c r="Z214" i="38"/>
  <c r="AA214" i="38"/>
  <c r="AB214" i="38"/>
  <c r="S214" i="38"/>
  <c r="R214" i="38"/>
  <c r="AC214" i="38"/>
  <c r="AD214" i="38"/>
  <c r="L6" i="39"/>
  <c r="U6" i="39"/>
  <c r="L28" i="40"/>
  <c r="U28" i="40"/>
  <c r="L43" i="40"/>
  <c r="U43" i="40"/>
  <c r="P45" i="37"/>
  <c r="M45" i="37"/>
  <c r="N45" i="37"/>
  <c r="Q45" i="37"/>
  <c r="O45" i="37"/>
  <c r="L30" i="40"/>
  <c r="U30" i="40"/>
  <c r="S69" i="38"/>
  <c r="S563" i="38" s="1"/>
  <c r="Z69" i="38"/>
  <c r="R69" i="38"/>
  <c r="Q69" i="38"/>
  <c r="T69" i="38"/>
  <c r="T563" i="38" s="1"/>
  <c r="AA69" i="38"/>
  <c r="AB69" i="38"/>
  <c r="AC69" i="38"/>
  <c r="P69" i="38"/>
  <c r="AD69" i="38"/>
  <c r="V35" i="37"/>
  <c r="AB35" i="37" s="1"/>
  <c r="Y35" i="37"/>
  <c r="W35" i="37"/>
  <c r="X35" i="37"/>
  <c r="Z35" i="37"/>
  <c r="R490" i="38"/>
  <c r="S490" i="38"/>
  <c r="P490" i="38"/>
  <c r="Q490" i="38"/>
  <c r="T490" i="38"/>
  <c r="Z490" i="38"/>
  <c r="AA490" i="38"/>
  <c r="AB490" i="38"/>
  <c r="AC490" i="38"/>
  <c r="AD490" i="38"/>
  <c r="L11" i="40"/>
  <c r="U11" i="40"/>
  <c r="AE11" i="38"/>
  <c r="R128" i="38"/>
  <c r="R562" i="38" s="1"/>
  <c r="S128" i="38"/>
  <c r="S562" i="38" s="1"/>
  <c r="T128" i="38"/>
  <c r="AC128" i="38"/>
  <c r="P128" i="38"/>
  <c r="P562" i="38" s="1"/>
  <c r="Q128" i="38"/>
  <c r="Z128" i="38"/>
  <c r="AA128" i="38"/>
  <c r="AB128" i="38"/>
  <c r="AD128" i="38"/>
  <c r="AE231" i="38"/>
  <c r="AB116" i="38"/>
  <c r="Q116" i="38"/>
  <c r="R116" i="38"/>
  <c r="S116" i="38"/>
  <c r="T116" i="38"/>
  <c r="Z116" i="38"/>
  <c r="P116" i="38"/>
  <c r="AA116" i="38"/>
  <c r="AC116" i="38"/>
  <c r="AD116" i="38"/>
  <c r="AC296" i="38"/>
  <c r="AD296" i="38"/>
  <c r="AB296" i="38"/>
  <c r="R296" i="38"/>
  <c r="R532" i="38" s="1"/>
  <c r="AA296" i="38"/>
  <c r="Q296" i="38"/>
  <c r="S296" i="38"/>
  <c r="T296" i="38"/>
  <c r="Z296" i="38"/>
  <c r="P296" i="38"/>
  <c r="U36" i="39"/>
  <c r="L36" i="39"/>
  <c r="U20" i="40"/>
  <c r="L20" i="40"/>
  <c r="M46" i="37"/>
  <c r="O46" i="37"/>
  <c r="P46" i="37"/>
  <c r="Q46" i="37"/>
  <c r="N46" i="37"/>
  <c r="V37" i="37"/>
  <c r="W37" i="37"/>
  <c r="X37" i="37"/>
  <c r="Y37" i="37"/>
  <c r="Z37" i="37"/>
  <c r="P94" i="38"/>
  <c r="Q94" i="38"/>
  <c r="R94" i="38"/>
  <c r="S94" i="38"/>
  <c r="T94" i="38"/>
  <c r="AB94" i="38"/>
  <c r="AB537" i="38" s="1"/>
  <c r="Z94" i="38"/>
  <c r="Z537" i="38" s="1"/>
  <c r="AA94" i="38"/>
  <c r="AA537" i="38" s="1"/>
  <c r="AC94" i="38"/>
  <c r="AC537" i="38" s="1"/>
  <c r="AD94" i="38"/>
  <c r="AD537" i="38" s="1"/>
  <c r="P166" i="38"/>
  <c r="T166" i="38"/>
  <c r="S166" i="38"/>
  <c r="Q166" i="38"/>
  <c r="R166" i="38"/>
  <c r="Z166" i="38"/>
  <c r="Z541" i="38" s="1"/>
  <c r="AA166" i="38"/>
  <c r="AA541" i="38" s="1"/>
  <c r="AB166" i="38"/>
  <c r="AC166" i="38"/>
  <c r="AC541" i="38" s="1"/>
  <c r="AD166" i="38"/>
  <c r="AD541" i="38" s="1"/>
  <c r="U20" i="39"/>
  <c r="L20" i="39"/>
  <c r="L46" i="39"/>
  <c r="U46" i="39"/>
  <c r="AE132" i="38"/>
  <c r="Z267" i="38"/>
  <c r="AA267" i="38"/>
  <c r="AB267" i="38"/>
  <c r="AC267" i="38"/>
  <c r="AD267" i="38"/>
  <c r="AD517" i="38" s="1"/>
  <c r="P267" i="38"/>
  <c r="Q267" i="38"/>
  <c r="R267" i="38"/>
  <c r="S267" i="38"/>
  <c r="S517" i="38" s="1"/>
  <c r="T267" i="38"/>
  <c r="AE134" i="38"/>
  <c r="U28" i="39"/>
  <c r="L28" i="39"/>
  <c r="U43" i="39"/>
  <c r="L43" i="39"/>
  <c r="AE368" i="38"/>
  <c r="L45" i="39"/>
  <c r="U45" i="39"/>
  <c r="U30" i="39"/>
  <c r="L30" i="39"/>
  <c r="AE33" i="38"/>
  <c r="AE237" i="38"/>
  <c r="P308" i="38"/>
  <c r="Q308" i="38"/>
  <c r="Q534" i="38" s="1"/>
  <c r="S308" i="38"/>
  <c r="S534" i="38" s="1"/>
  <c r="R308" i="38"/>
  <c r="R534" i="38" s="1"/>
  <c r="T308" i="38"/>
  <c r="T534" i="38" s="1"/>
  <c r="Z308" i="38"/>
  <c r="AA308" i="38"/>
  <c r="AC308" i="38"/>
  <c r="AB308" i="38"/>
  <c r="AD308" i="38"/>
  <c r="L29" i="40"/>
  <c r="U29" i="40"/>
  <c r="P445" i="38"/>
  <c r="T445" i="38"/>
  <c r="Z445" i="38"/>
  <c r="Z545" i="38" s="1"/>
  <c r="AC445" i="38"/>
  <c r="AC545" i="38" s="1"/>
  <c r="S445" i="38"/>
  <c r="AB445" i="38"/>
  <c r="AD445" i="38"/>
  <c r="AD545" i="38" s="1"/>
  <c r="AA445" i="38"/>
  <c r="AA545" i="38" s="1"/>
  <c r="Q445" i="38"/>
  <c r="R445" i="38"/>
  <c r="V10" i="37"/>
  <c r="W10" i="37"/>
  <c r="Z10" i="37"/>
  <c r="X10" i="37"/>
  <c r="Y10" i="37"/>
  <c r="U45" i="40"/>
  <c r="L45" i="40"/>
  <c r="L38" i="39"/>
  <c r="U38" i="39"/>
  <c r="AC266" i="38"/>
  <c r="AD266" i="38"/>
  <c r="S266" i="38"/>
  <c r="AB266" i="38"/>
  <c r="P266" i="38"/>
  <c r="Q266" i="38"/>
  <c r="R266" i="38"/>
  <c r="R517" i="38" s="1"/>
  <c r="T266" i="38"/>
  <c r="T517" i="38" s="1"/>
  <c r="Z266" i="38"/>
  <c r="AA266" i="38"/>
  <c r="P507" i="38"/>
  <c r="Q507" i="38"/>
  <c r="R507" i="38"/>
  <c r="S507" i="38"/>
  <c r="T507" i="38"/>
  <c r="AA507" i="38"/>
  <c r="Z507" i="38"/>
  <c r="AD507" i="38"/>
  <c r="AB507" i="38"/>
  <c r="AC507" i="38"/>
  <c r="AD17" i="38"/>
  <c r="AC17" i="38"/>
  <c r="P17" i="38"/>
  <c r="Q17" i="38"/>
  <c r="R17" i="38"/>
  <c r="S17" i="38"/>
  <c r="T17" i="38"/>
  <c r="Z17" i="38"/>
  <c r="Z546" i="38" s="1"/>
  <c r="AA17" i="38"/>
  <c r="AB17" i="38"/>
  <c r="AB546" i="38" s="1"/>
  <c r="AD66" i="38"/>
  <c r="P66" i="38"/>
  <c r="Q66" i="38"/>
  <c r="Q529" i="38" s="1"/>
  <c r="R66" i="38"/>
  <c r="R529" i="38" s="1"/>
  <c r="S66" i="38"/>
  <c r="S529" i="38" s="1"/>
  <c r="T66" i="38"/>
  <c r="AC66" i="38"/>
  <c r="Z66" i="38"/>
  <c r="AA66" i="38"/>
  <c r="AB66" i="38"/>
  <c r="AB179" i="38"/>
  <c r="P179" i="38"/>
  <c r="Q179" i="38"/>
  <c r="R179" i="38"/>
  <c r="S179" i="38"/>
  <c r="T179" i="38"/>
  <c r="Z179" i="38"/>
  <c r="AA179" i="38"/>
  <c r="AC179" i="38"/>
  <c r="AD179" i="38"/>
  <c r="AE254" i="38"/>
  <c r="P224" i="38"/>
  <c r="Q224" i="38"/>
  <c r="Q540" i="38" s="1"/>
  <c r="R224" i="38"/>
  <c r="S224" i="38"/>
  <c r="S540" i="38" s="1"/>
  <c r="T224" i="38"/>
  <c r="AC224" i="38"/>
  <c r="AA224" i="38"/>
  <c r="Z224" i="38"/>
  <c r="AB224" i="38"/>
  <c r="AD224" i="38"/>
  <c r="R291" i="38"/>
  <c r="S291" i="38"/>
  <c r="P291" i="38"/>
  <c r="T291" i="38"/>
  <c r="T527" i="38" s="1"/>
  <c r="Q291" i="38"/>
  <c r="Z291" i="38"/>
  <c r="AA291" i="38"/>
  <c r="AB291" i="38"/>
  <c r="AC291" i="38"/>
  <c r="AD291" i="38"/>
  <c r="P371" i="38"/>
  <c r="R371" i="38"/>
  <c r="Z371" i="38"/>
  <c r="AA371" i="38"/>
  <c r="AB371" i="38"/>
  <c r="AD371" i="38"/>
  <c r="AC371" i="38"/>
  <c r="T371" i="38"/>
  <c r="T542" i="38" s="1"/>
  <c r="Q371" i="38"/>
  <c r="S371" i="38"/>
  <c r="U29" i="39"/>
  <c r="L29" i="39"/>
  <c r="T441" i="38"/>
  <c r="Q441" i="38"/>
  <c r="R441" i="38"/>
  <c r="P441" i="38"/>
  <c r="S441" i="38"/>
  <c r="AB441" i="38"/>
  <c r="AC441" i="38"/>
  <c r="AD441" i="38"/>
  <c r="AD540" i="38" s="1"/>
  <c r="AA441" i="38"/>
  <c r="Z441" i="38"/>
  <c r="U16" i="39"/>
  <c r="L16" i="39"/>
  <c r="P427" i="38"/>
  <c r="Q427" i="38"/>
  <c r="R427" i="38"/>
  <c r="Z427" i="38"/>
  <c r="Z530" i="38" s="1"/>
  <c r="AA427" i="38"/>
  <c r="AB427" i="38"/>
  <c r="AB530" i="38" s="1"/>
  <c r="AC427" i="38"/>
  <c r="T427" i="38"/>
  <c r="AD427" i="38"/>
  <c r="S427" i="38"/>
  <c r="T401" i="38"/>
  <c r="AC401" i="38"/>
  <c r="Q401" i="38"/>
  <c r="Q562" i="38" s="1"/>
  <c r="P401" i="38"/>
  <c r="R401" i="38"/>
  <c r="S401" i="38"/>
  <c r="AB401" i="38"/>
  <c r="AD401" i="38"/>
  <c r="AA401" i="38"/>
  <c r="Z401" i="38"/>
  <c r="L5" i="39"/>
  <c r="U5" i="39"/>
  <c r="L13" i="39"/>
  <c r="U13" i="39"/>
  <c r="L8" i="40"/>
  <c r="U8" i="40"/>
  <c r="L38" i="40"/>
  <c r="U38" i="40"/>
  <c r="P99" i="38"/>
  <c r="R99" i="38"/>
  <c r="S99" i="38"/>
  <c r="T99" i="38"/>
  <c r="Z99" i="38"/>
  <c r="AD99" i="38"/>
  <c r="Q99" i="38"/>
  <c r="AA99" i="38"/>
  <c r="AB99" i="38"/>
  <c r="AB539" i="38" s="1"/>
  <c r="AC99" i="38"/>
  <c r="AB60" i="38"/>
  <c r="T60" i="38"/>
  <c r="AC60" i="38"/>
  <c r="R60" i="38"/>
  <c r="P60" i="38"/>
  <c r="Z60" i="38"/>
  <c r="AA60" i="38"/>
  <c r="AD60" i="38"/>
  <c r="S60" i="38"/>
  <c r="Q60" i="38"/>
  <c r="AE286" i="38"/>
  <c r="R227" i="38"/>
  <c r="S227" i="38"/>
  <c r="T227" i="38"/>
  <c r="Q227" i="38"/>
  <c r="P227" i="38"/>
  <c r="AB227" i="38"/>
  <c r="Z227" i="38"/>
  <c r="AA227" i="38"/>
  <c r="AC227" i="38"/>
  <c r="AD227" i="38"/>
  <c r="L5" i="40"/>
  <c r="U5" i="40"/>
  <c r="U13" i="40"/>
  <c r="L13" i="40"/>
  <c r="U8" i="39"/>
  <c r="L8" i="39"/>
  <c r="AA400" i="38"/>
  <c r="P400" i="38"/>
  <c r="Q400" i="38"/>
  <c r="Q561" i="38" s="1"/>
  <c r="R400" i="38"/>
  <c r="S400" i="38"/>
  <c r="T400" i="38"/>
  <c r="Z400" i="38"/>
  <c r="AB400" i="38"/>
  <c r="AC400" i="38"/>
  <c r="AD400" i="38"/>
  <c r="S489" i="38"/>
  <c r="R489" i="38"/>
  <c r="T489" i="38"/>
  <c r="Z489" i="38"/>
  <c r="Q489" i="38"/>
  <c r="P489" i="38"/>
  <c r="AA489" i="38"/>
  <c r="AB489" i="38"/>
  <c r="AC489" i="38"/>
  <c r="AD489" i="38"/>
  <c r="Z503" i="38"/>
  <c r="AB503" i="38"/>
  <c r="AC503" i="38"/>
  <c r="AD503" i="38"/>
  <c r="AA503" i="38"/>
  <c r="P503" i="38"/>
  <c r="T503" i="38"/>
  <c r="Q503" i="38"/>
  <c r="R503" i="38"/>
  <c r="S503" i="38"/>
  <c r="U21" i="39"/>
  <c r="L21" i="39"/>
  <c r="R522" i="38"/>
  <c r="T522" i="38"/>
  <c r="AE34" i="38"/>
  <c r="R159" i="38"/>
  <c r="S159" i="38"/>
  <c r="T159" i="38"/>
  <c r="Z159" i="38"/>
  <c r="Q159" i="38"/>
  <c r="P159" i="38"/>
  <c r="AA159" i="38"/>
  <c r="AB159" i="38"/>
  <c r="AC159" i="38"/>
  <c r="AD159" i="38"/>
  <c r="P218" i="38"/>
  <c r="AD218" i="38"/>
  <c r="AD532" i="38" s="1"/>
  <c r="R218" i="38"/>
  <c r="S218" i="38"/>
  <c r="T218" i="38"/>
  <c r="Z218" i="38"/>
  <c r="Q218" i="38"/>
  <c r="AA218" i="38"/>
  <c r="AA532" i="38" s="1"/>
  <c r="AB218" i="38"/>
  <c r="AB532" i="38" s="1"/>
  <c r="AC218" i="38"/>
  <c r="AC532" i="38" s="1"/>
  <c r="L24" i="39"/>
  <c r="U24" i="39"/>
  <c r="M33" i="37"/>
  <c r="P33" i="37"/>
  <c r="N33" i="37"/>
  <c r="O33" i="37"/>
  <c r="Q33" i="37"/>
  <c r="L22" i="40"/>
  <c r="U22" i="40"/>
  <c r="AE126" i="38"/>
  <c r="L35" i="39"/>
  <c r="U35" i="39"/>
  <c r="U18" i="40"/>
  <c r="L18" i="40"/>
  <c r="P278" i="38"/>
  <c r="Q278" i="38"/>
  <c r="R278" i="38"/>
  <c r="S278" i="38"/>
  <c r="T278" i="38"/>
  <c r="Z278" i="38"/>
  <c r="AD278" i="38"/>
  <c r="AA278" i="38"/>
  <c r="AB278" i="38"/>
  <c r="AC278" i="38"/>
  <c r="R167" i="38"/>
  <c r="AD167" i="38"/>
  <c r="AD542" i="38" s="1"/>
  <c r="S167" i="38"/>
  <c r="T167" i="38"/>
  <c r="Z167" i="38"/>
  <c r="Z542" i="38" s="1"/>
  <c r="AA167" i="38"/>
  <c r="Q167" i="38"/>
  <c r="P167" i="38"/>
  <c r="AC167" i="38"/>
  <c r="AC542" i="38" s="1"/>
  <c r="AB167" i="38"/>
  <c r="AB542" i="38" s="1"/>
  <c r="U37" i="39"/>
  <c r="L37" i="39"/>
  <c r="N6" i="40"/>
  <c r="O6" i="40"/>
  <c r="P6" i="40"/>
  <c r="M6" i="40"/>
  <c r="Q6" i="40"/>
  <c r="V6" i="40"/>
  <c r="W6" i="40"/>
  <c r="X6" i="40"/>
  <c r="Z6" i="40"/>
  <c r="Y6" i="40"/>
  <c r="AE40" i="38"/>
  <c r="P113" i="38"/>
  <c r="Q113" i="38"/>
  <c r="Q543" i="38" s="1"/>
  <c r="R113" i="38"/>
  <c r="Z113" i="38"/>
  <c r="AA113" i="38"/>
  <c r="AB113" i="38"/>
  <c r="AC113" i="38"/>
  <c r="AD113" i="38"/>
  <c r="T113" i="38"/>
  <c r="S113" i="38"/>
  <c r="S543" i="38" s="1"/>
  <c r="AE374" i="38"/>
  <c r="AE46" i="38"/>
  <c r="AE145" i="38"/>
  <c r="AD76" i="38"/>
  <c r="AC76" i="38"/>
  <c r="S76" i="38"/>
  <c r="AB76" i="38"/>
  <c r="P76" i="38"/>
  <c r="Q76" i="38"/>
  <c r="R76" i="38"/>
  <c r="T76" i="38"/>
  <c r="T567" i="38" s="1"/>
  <c r="Z76" i="38"/>
  <c r="AA76" i="38"/>
  <c r="AE173" i="38"/>
  <c r="AD188" i="38"/>
  <c r="P188" i="38"/>
  <c r="AE188" i="38" s="1"/>
  <c r="Q188" i="38"/>
  <c r="R188" i="38"/>
  <c r="S188" i="38"/>
  <c r="Z188" i="38"/>
  <c r="AA188" i="38"/>
  <c r="AB188" i="38"/>
  <c r="AC188" i="38"/>
  <c r="T188" i="38"/>
  <c r="U24" i="40"/>
  <c r="L24" i="40"/>
  <c r="L33" i="39"/>
  <c r="U33" i="39"/>
  <c r="U22" i="39"/>
  <c r="L22" i="39"/>
  <c r="Q471" i="38"/>
  <c r="S471" i="38"/>
  <c r="AB471" i="38"/>
  <c r="R471" i="38"/>
  <c r="Z471" i="38"/>
  <c r="AA471" i="38"/>
  <c r="AC471" i="38"/>
  <c r="AD471" i="38"/>
  <c r="P471" i="38"/>
  <c r="T471" i="38"/>
  <c r="P44" i="37"/>
  <c r="Q44" i="37"/>
  <c r="M44" i="37"/>
  <c r="N44" i="37"/>
  <c r="O44" i="37"/>
  <c r="W26" i="37"/>
  <c r="Y26" i="37"/>
  <c r="X26" i="37"/>
  <c r="V26" i="37"/>
  <c r="Z26" i="37"/>
  <c r="T334" i="38"/>
  <c r="P334" i="38"/>
  <c r="AD334" i="38"/>
  <c r="Q334" i="38"/>
  <c r="Q537" i="38" s="1"/>
  <c r="R334" i="38"/>
  <c r="R537" i="38" s="1"/>
  <c r="S334" i="38"/>
  <c r="S537" i="38" s="1"/>
  <c r="Z334" i="38"/>
  <c r="AA334" i="38"/>
  <c r="AB334" i="38"/>
  <c r="AC334" i="38"/>
  <c r="U21" i="40"/>
  <c r="L21" i="40"/>
  <c r="AD27" i="38"/>
  <c r="P27" i="38"/>
  <c r="Q27" i="38"/>
  <c r="R27" i="38"/>
  <c r="S27" i="38"/>
  <c r="S550" i="38" s="1"/>
  <c r="T27" i="38"/>
  <c r="T550" i="38" s="1"/>
  <c r="AB27" i="38"/>
  <c r="AC27" i="38"/>
  <c r="Z27" i="38"/>
  <c r="AA27" i="38"/>
  <c r="L36" i="40"/>
  <c r="U36" i="40"/>
  <c r="AE21" i="38"/>
  <c r="AD245" i="38"/>
  <c r="Q245" i="38"/>
  <c r="R245" i="38"/>
  <c r="S245" i="38"/>
  <c r="T245" i="38"/>
  <c r="AC245" i="38"/>
  <c r="P245" i="38"/>
  <c r="AA245" i="38"/>
  <c r="AB245" i="38"/>
  <c r="Z245" i="38"/>
  <c r="AB343" i="38"/>
  <c r="P343" i="38"/>
  <c r="Q343" i="38"/>
  <c r="R343" i="38"/>
  <c r="R538" i="38" s="1"/>
  <c r="S343" i="38"/>
  <c r="S538" i="38" s="1"/>
  <c r="T343" i="38"/>
  <c r="T538" i="38" s="1"/>
  <c r="Z343" i="38"/>
  <c r="AA343" i="38"/>
  <c r="AC343" i="38"/>
  <c r="AD343" i="38"/>
  <c r="T390" i="38"/>
  <c r="S390" i="38"/>
  <c r="P390" i="38"/>
  <c r="Q390" i="38"/>
  <c r="R390" i="38"/>
  <c r="AA390" i="38"/>
  <c r="Z390" i="38"/>
  <c r="AB390" i="38"/>
  <c r="AD390" i="38"/>
  <c r="AC390" i="38"/>
  <c r="O8" i="37"/>
  <c r="P8" i="37"/>
  <c r="M8" i="37"/>
  <c r="N8" i="37"/>
  <c r="N56" i="37" s="1"/>
  <c r="Q8" i="37"/>
  <c r="Q56" i="37" s="1"/>
  <c r="T157" i="38"/>
  <c r="Z157" i="38"/>
  <c r="AA157" i="38"/>
  <c r="AB157" i="38"/>
  <c r="AC157" i="38"/>
  <c r="AD157" i="38"/>
  <c r="Q157" i="38"/>
  <c r="R157" i="38"/>
  <c r="P157" i="38"/>
  <c r="S157" i="38"/>
  <c r="L16" i="40"/>
  <c r="U16" i="40"/>
  <c r="M13" i="37"/>
  <c r="N13" i="37"/>
  <c r="Q13" i="37"/>
  <c r="O13" i="37"/>
  <c r="P13" i="37"/>
  <c r="Z8" i="37"/>
  <c r="Z56" i="37" s="1"/>
  <c r="Y8" i="37"/>
  <c r="V8" i="37"/>
  <c r="W8" i="37"/>
  <c r="W56" i="37" s="1"/>
  <c r="X8" i="37"/>
  <c r="R399" i="38"/>
  <c r="R561" i="38" s="1"/>
  <c r="S399" i="38"/>
  <c r="S561" i="38" s="1"/>
  <c r="T399" i="38"/>
  <c r="T561" i="38" s="1"/>
  <c r="P399" i="38"/>
  <c r="AE399" i="38" s="1"/>
  <c r="Q399" i="38"/>
  <c r="Z399" i="38"/>
  <c r="AB399" i="38"/>
  <c r="AA399" i="38"/>
  <c r="AC399" i="38"/>
  <c r="AD399" i="38"/>
  <c r="AA59" i="38"/>
  <c r="P59" i="38"/>
  <c r="Q59" i="38"/>
  <c r="R59" i="38"/>
  <c r="S59" i="38"/>
  <c r="Z59" i="38"/>
  <c r="AB59" i="38"/>
  <c r="AC59" i="38"/>
  <c r="AD59" i="38"/>
  <c r="T59" i="38"/>
  <c r="T526" i="38" s="1"/>
  <c r="AE250" i="38"/>
  <c r="AE327" i="38"/>
  <c r="AC316" i="38"/>
  <c r="AD316" i="38"/>
  <c r="T316" i="38"/>
  <c r="Q316" i="38"/>
  <c r="R316" i="38"/>
  <c r="S316" i="38"/>
  <c r="Z316" i="38"/>
  <c r="AA316" i="38"/>
  <c r="AB316" i="38"/>
  <c r="P316" i="38"/>
  <c r="T314" i="38"/>
  <c r="P314" i="38"/>
  <c r="Q314" i="38"/>
  <c r="Q535" i="38" s="1"/>
  <c r="R314" i="38"/>
  <c r="S314" i="38"/>
  <c r="S535" i="38" s="1"/>
  <c r="Z314" i="38"/>
  <c r="AA314" i="38"/>
  <c r="AB314" i="38"/>
  <c r="AC314" i="38"/>
  <c r="AD314" i="38"/>
  <c r="U41" i="40"/>
  <c r="L41" i="40"/>
  <c r="U33" i="40"/>
  <c r="L33" i="40"/>
  <c r="S71" i="38"/>
  <c r="AD71" i="38"/>
  <c r="Q71" i="38"/>
  <c r="R71" i="38"/>
  <c r="T71" i="38"/>
  <c r="Z71" i="38"/>
  <c r="P71" i="38"/>
  <c r="AA71" i="38"/>
  <c r="AB71" i="38"/>
  <c r="AC71" i="38"/>
  <c r="L14" i="40"/>
  <c r="U14" i="40"/>
  <c r="O27" i="37"/>
  <c r="P27" i="37"/>
  <c r="P56" i="37" s="1"/>
  <c r="Q27" i="37"/>
  <c r="M27" i="37"/>
  <c r="AB27" i="37" s="1"/>
  <c r="N27" i="37"/>
  <c r="L26" i="39"/>
  <c r="U26" i="39"/>
  <c r="M10" i="37"/>
  <c r="O10" i="37"/>
  <c r="P10" i="37"/>
  <c r="Q10" i="37"/>
  <c r="N10" i="37"/>
  <c r="AB256" i="38"/>
  <c r="AC256" i="38"/>
  <c r="AD256" i="38"/>
  <c r="S256" i="38"/>
  <c r="P256" i="38"/>
  <c r="Q256" i="38"/>
  <c r="R256" i="38"/>
  <c r="T256" i="38"/>
  <c r="Z256" i="38"/>
  <c r="AA256" i="38"/>
  <c r="AE369" i="38"/>
  <c r="U41" i="39"/>
  <c r="L41" i="39"/>
  <c r="T152" i="38"/>
  <c r="R152" i="38"/>
  <c r="Z152" i="38"/>
  <c r="AD152" i="38"/>
  <c r="AD524" i="38" s="1"/>
  <c r="P152" i="38"/>
  <c r="Q152" i="38"/>
  <c r="S152" i="38"/>
  <c r="AA152" i="38"/>
  <c r="AB152" i="38"/>
  <c r="AB524" i="38" s="1"/>
  <c r="AC152" i="38"/>
  <c r="L14" i="39"/>
  <c r="U14" i="39"/>
  <c r="AC381" i="38"/>
  <c r="AD381" i="38"/>
  <c r="P381" i="38"/>
  <c r="Q381" i="38"/>
  <c r="Q544" i="38" s="1"/>
  <c r="R381" i="38"/>
  <c r="R544" i="38" s="1"/>
  <c r="T381" i="38"/>
  <c r="T544" i="38" s="1"/>
  <c r="S381" i="38"/>
  <c r="Z381" i="38"/>
  <c r="AA381" i="38"/>
  <c r="AB381" i="38"/>
  <c r="V7" i="37"/>
  <c r="AB7" i="37" s="1"/>
  <c r="W7" i="37"/>
  <c r="X7" i="37"/>
  <c r="X56" i="37" s="1"/>
  <c r="Y7" i="37"/>
  <c r="Y56" i="37" s="1"/>
  <c r="Z7" i="37"/>
  <c r="O12" i="37"/>
  <c r="P12" i="37"/>
  <c r="M12" i="37"/>
  <c r="N12" i="37"/>
  <c r="Q12" i="37"/>
  <c r="U26" i="40"/>
  <c r="L26" i="40"/>
  <c r="P426" i="38"/>
  <c r="Q426" i="38"/>
  <c r="R426" i="38"/>
  <c r="S426" i="38"/>
  <c r="T426" i="38"/>
  <c r="Z426" i="38"/>
  <c r="AA426" i="38"/>
  <c r="AA529" i="38" s="1"/>
  <c r="AB426" i="38"/>
  <c r="AD426" i="38"/>
  <c r="AC426" i="38"/>
  <c r="L10" i="40"/>
  <c r="U10" i="40"/>
  <c r="L42" i="40"/>
  <c r="U42" i="40"/>
  <c r="AE39" i="38"/>
  <c r="M37" i="37"/>
  <c r="O37" i="37"/>
  <c r="P37" i="37"/>
  <c r="Q37" i="37"/>
  <c r="N37" i="37"/>
  <c r="AE9" i="38"/>
  <c r="P244" i="38"/>
  <c r="Q244" i="38"/>
  <c r="S244" i="38"/>
  <c r="T244" i="38"/>
  <c r="Z244" i="38"/>
  <c r="AA244" i="38"/>
  <c r="AB244" i="38"/>
  <c r="AC244" i="38"/>
  <c r="R244" i="38"/>
  <c r="AD244" i="38"/>
  <c r="P295" i="38"/>
  <c r="Q295" i="38"/>
  <c r="R295" i="38"/>
  <c r="T295" i="38"/>
  <c r="Z295" i="38"/>
  <c r="AA295" i="38"/>
  <c r="AB295" i="38"/>
  <c r="AC295" i="38"/>
  <c r="AD295" i="38"/>
  <c r="S295" i="38"/>
  <c r="R349" i="38"/>
  <c r="R539" i="38" s="1"/>
  <c r="P349" i="38"/>
  <c r="Q349" i="38"/>
  <c r="S349" i="38"/>
  <c r="T349" i="38"/>
  <c r="Z349" i="38"/>
  <c r="AA349" i="38"/>
  <c r="AB349" i="38"/>
  <c r="AD349" i="38"/>
  <c r="AC349" i="38"/>
  <c r="R354" i="38"/>
  <c r="S354" i="38"/>
  <c r="Q354" i="38"/>
  <c r="T354" i="38"/>
  <c r="Z354" i="38"/>
  <c r="AA354" i="38"/>
  <c r="AB354" i="38"/>
  <c r="P354" i="38"/>
  <c r="AC354" i="38"/>
  <c r="AD354" i="38"/>
  <c r="AC158" i="38"/>
  <c r="S158" i="38"/>
  <c r="T158" i="38"/>
  <c r="Z158" i="38"/>
  <c r="AA158" i="38"/>
  <c r="AB158" i="38"/>
  <c r="R158" i="38"/>
  <c r="P158" i="38"/>
  <c r="Q158" i="38"/>
  <c r="AD158" i="38"/>
  <c r="V44" i="37"/>
  <c r="X44" i="37"/>
  <c r="Y44" i="37"/>
  <c r="W44" i="37"/>
  <c r="Z44" i="37"/>
  <c r="U10" i="39"/>
  <c r="L10" i="39"/>
  <c r="AB353" i="38"/>
  <c r="P353" i="38"/>
  <c r="T353" i="38"/>
  <c r="T539" i="38" s="1"/>
  <c r="Q353" i="38"/>
  <c r="Q539" i="38" s="1"/>
  <c r="S353" i="38"/>
  <c r="Z353" i="38"/>
  <c r="AA353" i="38"/>
  <c r="AC353" i="38"/>
  <c r="AD353" i="38"/>
  <c r="R353" i="38"/>
  <c r="L34" i="39"/>
  <c r="U34" i="39"/>
  <c r="M26" i="37"/>
  <c r="P26" i="37"/>
  <c r="Q26" i="37"/>
  <c r="O26" i="37"/>
  <c r="N26" i="37"/>
  <c r="U39" i="40"/>
  <c r="L39" i="40"/>
  <c r="Q29" i="38"/>
  <c r="Q553" i="38" s="1"/>
  <c r="S29" i="38"/>
  <c r="S553" i="38" s="1"/>
  <c r="P29" i="38"/>
  <c r="R29" i="38"/>
  <c r="R553" i="38" s="1"/>
  <c r="T29" i="38"/>
  <c r="T553" i="38" s="1"/>
  <c r="Z29" i="38"/>
  <c r="AA29" i="38"/>
  <c r="AB29" i="38"/>
  <c r="AC29" i="38"/>
  <c r="AD29" i="38"/>
  <c r="AE74" i="38"/>
  <c r="AA430" i="38"/>
  <c r="P430" i="38"/>
  <c r="Z430" i="38"/>
  <c r="AB430" i="38"/>
  <c r="T430" i="38"/>
  <c r="S430" i="38"/>
  <c r="AC430" i="38"/>
  <c r="AD430" i="38"/>
  <c r="R430" i="38"/>
  <c r="Q430" i="38"/>
  <c r="U23" i="39"/>
  <c r="L23" i="39"/>
  <c r="M36" i="37"/>
  <c r="N36" i="37"/>
  <c r="O36" i="37"/>
  <c r="Q36" i="37"/>
  <c r="P36" i="37"/>
  <c r="M20" i="37"/>
  <c r="AB20" i="37" s="1"/>
  <c r="N20" i="37"/>
  <c r="P20" i="37"/>
  <c r="Q20" i="37"/>
  <c r="O20" i="37"/>
  <c r="AE5" i="38"/>
  <c r="AB52" i="38"/>
  <c r="AB536" i="38" s="1"/>
  <c r="T52" i="38"/>
  <c r="AC52" i="38"/>
  <c r="AC536" i="38" s="1"/>
  <c r="P52" i="38"/>
  <c r="AA52" i="38"/>
  <c r="AA536" i="38" s="1"/>
  <c r="AD52" i="38"/>
  <c r="AD536" i="38" s="1"/>
  <c r="Z52" i="38"/>
  <c r="Z536" i="38" s="1"/>
  <c r="Q52" i="38"/>
  <c r="R52" i="38"/>
  <c r="S52" i="38"/>
  <c r="Q10" i="38"/>
  <c r="S10" i="38"/>
  <c r="S558" i="38" s="1"/>
  <c r="P10" i="38"/>
  <c r="R10" i="38"/>
  <c r="R510" i="38" s="1"/>
  <c r="T10" i="38"/>
  <c r="Z10" i="38"/>
  <c r="AA10" i="38"/>
  <c r="AC10" i="38"/>
  <c r="AB10" i="38"/>
  <c r="AD10" i="38"/>
  <c r="AC463" i="38"/>
  <c r="T463" i="38"/>
  <c r="Q463" i="38"/>
  <c r="R463" i="38"/>
  <c r="S463" i="38"/>
  <c r="S518" i="38" s="1"/>
  <c r="Z463" i="38"/>
  <c r="AA463" i="38"/>
  <c r="AA518" i="38" s="1"/>
  <c r="AB463" i="38"/>
  <c r="AB518" i="38" s="1"/>
  <c r="AD463" i="38"/>
  <c r="P463" i="38"/>
  <c r="AE463" i="38" s="1"/>
  <c r="P225" i="38"/>
  <c r="AD225" i="38"/>
  <c r="Q225" i="38"/>
  <c r="R225" i="38"/>
  <c r="S225" i="38"/>
  <c r="T225" i="38"/>
  <c r="Z225" i="38"/>
  <c r="AA225" i="38"/>
  <c r="AB225" i="38"/>
  <c r="AC225" i="38"/>
  <c r="V17" i="37"/>
  <c r="X17" i="37"/>
  <c r="Y17" i="37"/>
  <c r="Z17" i="37"/>
  <c r="W17" i="37"/>
  <c r="L25" i="39"/>
  <c r="U25" i="39"/>
  <c r="AC232" i="38"/>
  <c r="AD232" i="38"/>
  <c r="AB232" i="38"/>
  <c r="P232" i="38"/>
  <c r="Q232" i="38"/>
  <c r="R232" i="38"/>
  <c r="S232" i="38"/>
  <c r="T232" i="38"/>
  <c r="Z232" i="38"/>
  <c r="AA232" i="38"/>
  <c r="L12" i="39"/>
  <c r="U12" i="39"/>
  <c r="S64" i="38"/>
  <c r="AA64" i="38"/>
  <c r="P64" i="38"/>
  <c r="R64" i="38"/>
  <c r="R528" i="38" s="1"/>
  <c r="T64" i="38"/>
  <c r="Q64" i="38"/>
  <c r="Q528" i="38" s="1"/>
  <c r="AD64" i="38"/>
  <c r="AB64" i="38"/>
  <c r="AC64" i="38"/>
  <c r="Z64" i="38"/>
  <c r="AE246" i="38"/>
  <c r="AE233" i="38"/>
  <c r="AA165" i="38"/>
  <c r="AA540" i="38" s="1"/>
  <c r="AC165" i="38"/>
  <c r="P165" i="38"/>
  <c r="AE165" i="38" s="1"/>
  <c r="Q165" i="38"/>
  <c r="R165" i="38"/>
  <c r="S165" i="38"/>
  <c r="T165" i="38"/>
  <c r="Z165" i="38"/>
  <c r="Z540" i="38" s="1"/>
  <c r="AB165" i="38"/>
  <c r="AB540" i="38" s="1"/>
  <c r="AD165" i="38"/>
  <c r="AE326" i="38"/>
  <c r="P255" i="38"/>
  <c r="Q255" i="38"/>
  <c r="R255" i="38"/>
  <c r="R515" i="38" s="1"/>
  <c r="S255" i="38"/>
  <c r="T255" i="38"/>
  <c r="T515" i="38" s="1"/>
  <c r="Z255" i="38"/>
  <c r="Z515" i="38" s="1"/>
  <c r="AC255" i="38"/>
  <c r="AC515" i="38" s="1"/>
  <c r="AA255" i="38"/>
  <c r="AD255" i="38"/>
  <c r="AB255" i="38"/>
  <c r="T411" i="38"/>
  <c r="T568" i="38" s="1"/>
  <c r="P411" i="38"/>
  <c r="AE411" i="38" s="1"/>
  <c r="Q411" i="38"/>
  <c r="R411" i="38"/>
  <c r="S411" i="38"/>
  <c r="AA411" i="38"/>
  <c r="AD411" i="38"/>
  <c r="Z411" i="38"/>
  <c r="AC411" i="38"/>
  <c r="AB411" i="38"/>
  <c r="L17" i="40"/>
  <c r="U17" i="40"/>
  <c r="U25" i="40"/>
  <c r="L25" i="40"/>
  <c r="R422" i="38"/>
  <c r="S422" i="38"/>
  <c r="P422" i="38"/>
  <c r="Q422" i="38"/>
  <c r="T422" i="38"/>
  <c r="Z422" i="38"/>
  <c r="AA422" i="38"/>
  <c r="AB422" i="38"/>
  <c r="AD422" i="38"/>
  <c r="AC422" i="38"/>
  <c r="L31" i="40"/>
  <c r="U31" i="40"/>
  <c r="L7" i="39"/>
  <c r="U7" i="39"/>
  <c r="V47" i="37"/>
  <c r="W47" i="37"/>
  <c r="X47" i="37"/>
  <c r="Y47" i="37"/>
  <c r="Z47" i="37"/>
  <c r="M47" i="37"/>
  <c r="N47" i="37"/>
  <c r="P47" i="37"/>
  <c r="O47" i="37"/>
  <c r="Q47" i="37"/>
  <c r="AA420" i="38"/>
  <c r="AD420" i="38"/>
  <c r="AD525" i="38" s="1"/>
  <c r="S420" i="38"/>
  <c r="T420" i="38"/>
  <c r="AC420" i="38"/>
  <c r="AC525" i="38" s="1"/>
  <c r="R420" i="38"/>
  <c r="P420" i="38"/>
  <c r="Q420" i="38"/>
  <c r="Z420" i="38"/>
  <c r="Z525" i="38" s="1"/>
  <c r="AB420" i="38"/>
  <c r="V27" i="37"/>
  <c r="W27" i="37"/>
  <c r="X27" i="37"/>
  <c r="Z27" i="37"/>
  <c r="Y27" i="37"/>
  <c r="U12" i="40"/>
  <c r="L12" i="40"/>
  <c r="V18" i="37"/>
  <c r="W18" i="37"/>
  <c r="X18" i="37"/>
  <c r="Y18" i="37"/>
  <c r="Z18" i="37"/>
  <c r="L44" i="39"/>
  <c r="U44" i="39"/>
  <c r="N19" i="37"/>
  <c r="P19" i="37"/>
  <c r="O19" i="37"/>
  <c r="Q19" i="37"/>
  <c r="M19" i="37"/>
  <c r="L23" i="40"/>
  <c r="U23" i="40"/>
  <c r="T421" i="38"/>
  <c r="Z421" i="38"/>
  <c r="P421" i="38"/>
  <c r="Q421" i="38"/>
  <c r="R421" i="38"/>
  <c r="S421" i="38"/>
  <c r="AB421" i="38"/>
  <c r="AB525" i="38" s="1"/>
  <c r="AA421" i="38"/>
  <c r="AA525" i="38" s="1"/>
  <c r="AD421" i="38"/>
  <c r="AC421" i="38"/>
  <c r="T191" i="38"/>
  <c r="T556" i="38" s="1"/>
  <c r="Z191" i="38"/>
  <c r="AA191" i="38"/>
  <c r="S191" i="38"/>
  <c r="AB191" i="38"/>
  <c r="AC191" i="38"/>
  <c r="AD191" i="38"/>
  <c r="P191" i="38"/>
  <c r="Q191" i="38"/>
  <c r="R191" i="38"/>
  <c r="R556" i="38" s="1"/>
  <c r="P171" i="38"/>
  <c r="Q171" i="38"/>
  <c r="R171" i="38"/>
  <c r="R524" i="38" s="1"/>
  <c r="Z171" i="38"/>
  <c r="AA171" i="38"/>
  <c r="AB171" i="38"/>
  <c r="AC171" i="38"/>
  <c r="T171" i="38"/>
  <c r="T524" i="38" s="1"/>
  <c r="AD171" i="38"/>
  <c r="S171" i="38"/>
  <c r="S524" i="38" s="1"/>
  <c r="P16" i="38"/>
  <c r="Q16" i="38"/>
  <c r="S16" i="38"/>
  <c r="T16" i="38"/>
  <c r="AC16" i="38"/>
  <c r="R16" i="38"/>
  <c r="AB16" i="38"/>
  <c r="AD16" i="38"/>
  <c r="AD546" i="38" s="1"/>
  <c r="Z16" i="38"/>
  <c r="AA16" i="38"/>
  <c r="AD120" i="38"/>
  <c r="AB120" i="38"/>
  <c r="P120" i="38"/>
  <c r="Q120" i="38"/>
  <c r="Q552" i="38" s="1"/>
  <c r="AA120" i="38"/>
  <c r="AC120" i="38"/>
  <c r="Z120" i="38"/>
  <c r="S120" i="38"/>
  <c r="S552" i="38" s="1"/>
  <c r="T120" i="38"/>
  <c r="T552" i="38" s="1"/>
  <c r="R120" i="38"/>
  <c r="Q131" i="38"/>
  <c r="AD131" i="38"/>
  <c r="AD535" i="38" s="1"/>
  <c r="P131" i="38"/>
  <c r="AE131" i="38" s="1"/>
  <c r="R131" i="38"/>
  <c r="S131" i="38"/>
  <c r="AC131" i="38"/>
  <c r="T131" i="38"/>
  <c r="Z131" i="38"/>
  <c r="AA131" i="38"/>
  <c r="AA535" i="38" s="1"/>
  <c r="AB131" i="38"/>
  <c r="AB127" i="38"/>
  <c r="AC127" i="38"/>
  <c r="S127" i="38"/>
  <c r="S560" i="38" s="1"/>
  <c r="T127" i="38"/>
  <c r="T560" i="38" s="1"/>
  <c r="AA127" i="38"/>
  <c r="Q127" i="38"/>
  <c r="Q560" i="38" s="1"/>
  <c r="P127" i="38"/>
  <c r="R127" i="38"/>
  <c r="R560" i="38" s="1"/>
  <c r="AD127" i="38"/>
  <c r="Z127" i="38"/>
  <c r="P6" i="38"/>
  <c r="P510" i="38" s="1"/>
  <c r="Q6" i="38"/>
  <c r="Q522" i="38" s="1"/>
  <c r="S6" i="38"/>
  <c r="S510" i="38" s="1"/>
  <c r="T6" i="38"/>
  <c r="T510" i="38" s="1"/>
  <c r="AC6" i="38"/>
  <c r="AC522" i="38" s="1"/>
  <c r="R6" i="38"/>
  <c r="Z6" i="38"/>
  <c r="Z510" i="38" s="1"/>
  <c r="AA6" i="38"/>
  <c r="AA522" i="38" s="1"/>
  <c r="AB6" i="38"/>
  <c r="AB510" i="38" s="1"/>
  <c r="AD6" i="38"/>
  <c r="R566" i="38"/>
  <c r="R514" i="38"/>
  <c r="S516" i="38"/>
  <c r="T518" i="38"/>
  <c r="Q531" i="38"/>
  <c r="R533" i="38"/>
  <c r="P550" i="38"/>
  <c r="S557" i="38"/>
  <c r="P566" i="38"/>
  <c r="S514" i="38"/>
  <c r="T516" i="38"/>
  <c r="P527" i="38"/>
  <c r="R531" i="38"/>
  <c r="S533" i="38"/>
  <c r="T535" i="38"/>
  <c r="P548" i="38"/>
  <c r="Q550" i="38"/>
  <c r="S554" i="38"/>
  <c r="T557" i="38"/>
  <c r="Q566" i="38"/>
  <c r="P521" i="38"/>
  <c r="P549" i="38"/>
  <c r="R516" i="38"/>
  <c r="Q521" i="38"/>
  <c r="T523" i="38"/>
  <c r="P528" i="38"/>
  <c r="S530" i="38"/>
  <c r="P535" i="38"/>
  <c r="Q542" i="38"/>
  <c r="Q549" i="38"/>
  <c r="T551" i="38"/>
  <c r="P557" i="38"/>
  <c r="T566" i="38"/>
  <c r="P514" i="38"/>
  <c r="R521" i="38"/>
  <c r="T530" i="38"/>
  <c r="R549" i="38"/>
  <c r="Q557" i="38"/>
  <c r="Q514" i="38"/>
  <c r="P519" i="38"/>
  <c r="S521" i="38"/>
  <c r="R535" i="38"/>
  <c r="P540" i="38"/>
  <c r="S549" i="38"/>
  <c r="R557" i="38"/>
  <c r="Q567" i="38"/>
  <c r="T514" i="38"/>
  <c r="Q519" i="38"/>
  <c r="T521" i="38"/>
  <c r="P533" i="38"/>
  <c r="Q547" i="38"/>
  <c r="T549" i="38"/>
  <c r="P558" i="38"/>
  <c r="T562" i="38"/>
  <c r="R567" i="38"/>
  <c r="R519" i="38"/>
  <c r="Q526" i="38"/>
  <c r="T528" i="38"/>
  <c r="Q533" i="38"/>
  <c r="R540" i="38"/>
  <c r="R547" i="38"/>
  <c r="Q558" i="38"/>
  <c r="S567" i="38"/>
  <c r="T533" i="38"/>
  <c r="P545" i="38"/>
  <c r="S547" i="38"/>
  <c r="S519" i="38"/>
  <c r="Q563" i="38"/>
  <c r="R518" i="38"/>
  <c r="Q523" i="38"/>
  <c r="T525" i="38"/>
  <c r="P530" i="38"/>
  <c r="S532" i="38"/>
  <c r="S539" i="38"/>
  <c r="T546" i="38"/>
  <c r="P516" i="38"/>
  <c r="R523" i="38"/>
  <c r="Q530" i="38"/>
  <c r="T532" i="38"/>
  <c r="S556" i="38"/>
  <c r="Q516" i="38"/>
  <c r="S523" i="38"/>
  <c r="R530" i="38"/>
  <c r="S566" i="38"/>
  <c r="P547" i="38"/>
  <c r="Q527" i="38"/>
  <c r="R548" i="38"/>
  <c r="Q559" i="38"/>
  <c r="P568" i="38"/>
  <c r="S515" i="38"/>
  <c r="Q524" i="38"/>
  <c r="P532" i="38"/>
  <c r="T536" i="38"/>
  <c r="S545" i="38"/>
  <c r="S555" i="38"/>
  <c r="T558" i="38"/>
  <c r="Q518" i="38"/>
  <c r="R527" i="38"/>
  <c r="P536" i="38"/>
  <c r="T540" i="38"/>
  <c r="S548" i="38"/>
  <c r="R559" i="38"/>
  <c r="Q568" i="38"/>
  <c r="P515" i="38"/>
  <c r="S527" i="38"/>
  <c r="Q536" i="38"/>
  <c r="T548" i="38"/>
  <c r="R545" i="38"/>
  <c r="P565" i="38"/>
  <c r="T543" i="38"/>
  <c r="T519" i="38"/>
  <c r="S559" i="38"/>
  <c r="Q515" i="38"/>
  <c r="P523" i="38"/>
  <c r="R536" i="38"/>
  <c r="Q545" i="38"/>
  <c r="T559" i="38"/>
  <c r="P524" i="38"/>
  <c r="S536" i="38"/>
  <c r="Q520" i="38"/>
  <c r="Q564" i="38"/>
  <c r="Q556" i="38"/>
  <c r="P546" i="38"/>
  <c r="P534" i="38"/>
  <c r="R555" i="38"/>
  <c r="P569" i="38"/>
  <c r="P520" i="38"/>
  <c r="R541" i="38"/>
  <c r="R550" i="38"/>
  <c r="S569" i="38"/>
  <c r="T564" i="38"/>
  <c r="Q532" i="38"/>
  <c r="P541" i="38"/>
  <c r="T545" i="38"/>
  <c r="Q569" i="38"/>
  <c r="S541" i="38"/>
  <c r="R563" i="38"/>
  <c r="T569" i="38"/>
  <c r="T555" i="38"/>
  <c r="S564" i="38"/>
  <c r="Q541" i="38"/>
  <c r="R569" i="38"/>
  <c r="R520" i="38"/>
  <c r="T541" i="38"/>
  <c r="R525" i="38"/>
  <c r="S546" i="38"/>
  <c r="Q517" i="38"/>
  <c r="S520" i="38"/>
  <c r="P525" i="38"/>
  <c r="Q546" i="38"/>
  <c r="T520" i="38"/>
  <c r="Q525" i="38"/>
  <c r="R546" i="38"/>
  <c r="Q555" i="38"/>
  <c r="P564" i="38"/>
  <c r="S525" i="38"/>
  <c r="T547" i="38"/>
  <c r="R543" i="38"/>
  <c r="P556" i="38"/>
  <c r="T531" i="38"/>
  <c r="Q548" i="38"/>
  <c r="P559" i="38"/>
  <c r="R565" i="38"/>
  <c r="R564" i="38"/>
  <c r="Q65" i="38"/>
  <c r="R65" i="38"/>
  <c r="P65" i="38"/>
  <c r="S65" i="38"/>
  <c r="S528" i="38" s="1"/>
  <c r="T65" i="38"/>
  <c r="Z65" i="38"/>
  <c r="AA65" i="38"/>
  <c r="AD65" i="38"/>
  <c r="AB65" i="38"/>
  <c r="AC65" i="38"/>
  <c r="Q122" i="38"/>
  <c r="R122" i="38"/>
  <c r="T122" i="38"/>
  <c r="P122" i="38"/>
  <c r="AE122" i="38" s="1"/>
  <c r="S122" i="38"/>
  <c r="Z122" i="38"/>
  <c r="AA122" i="38"/>
  <c r="AB122" i="38"/>
  <c r="AC122" i="38"/>
  <c r="AD122" i="38"/>
  <c r="Q72" i="38"/>
  <c r="Q565" i="38" s="1"/>
  <c r="AB72" i="38"/>
  <c r="AD72" i="38"/>
  <c r="P72" i="38"/>
  <c r="R72" i="38"/>
  <c r="S72" i="38"/>
  <c r="S565" i="38" s="1"/>
  <c r="T72" i="38"/>
  <c r="T565" i="38" s="1"/>
  <c r="AA72" i="38"/>
  <c r="Z72" i="38"/>
  <c r="AC72" i="38"/>
  <c r="AB107" i="38"/>
  <c r="AC107" i="38"/>
  <c r="AC518" i="38" s="1"/>
  <c r="AD107" i="38"/>
  <c r="Z107" i="38"/>
  <c r="Z518" i="38" s="1"/>
  <c r="AA107" i="38"/>
  <c r="T107" i="38"/>
  <c r="S107" i="38"/>
  <c r="P107" i="38"/>
  <c r="R107" i="38"/>
  <c r="Q107" i="38"/>
  <c r="AE223" i="38"/>
  <c r="AC344" i="38"/>
  <c r="P344" i="38"/>
  <c r="Q344" i="38"/>
  <c r="R344" i="38"/>
  <c r="S344" i="38"/>
  <c r="T344" i="38"/>
  <c r="Z344" i="38"/>
  <c r="AA344" i="38"/>
  <c r="AB344" i="38"/>
  <c r="AD344" i="38"/>
  <c r="AE375" i="38"/>
  <c r="U31" i="39"/>
  <c r="L31" i="39"/>
  <c r="U7" i="40"/>
  <c r="L7" i="40"/>
  <c r="AD45" i="38"/>
  <c r="Q45" i="38"/>
  <c r="Q554" i="38" s="1"/>
  <c r="Z45" i="38"/>
  <c r="AA45" i="38"/>
  <c r="AC45" i="38"/>
  <c r="P45" i="38"/>
  <c r="R45" i="38"/>
  <c r="R554" i="38" s="1"/>
  <c r="S45" i="38"/>
  <c r="T45" i="38"/>
  <c r="T554" i="38" s="1"/>
  <c r="AB45" i="38"/>
  <c r="P41" i="38"/>
  <c r="Q41" i="38"/>
  <c r="S41" i="38"/>
  <c r="T41" i="38"/>
  <c r="Z41" i="38"/>
  <c r="R41" i="38"/>
  <c r="AC41" i="38"/>
  <c r="AC546" i="38" s="1"/>
  <c r="AA41" i="38"/>
  <c r="AB41" i="38"/>
  <c r="AD41" i="38"/>
  <c r="AC144" i="38"/>
  <c r="R144" i="38"/>
  <c r="T144" i="38"/>
  <c r="P144" i="38"/>
  <c r="Q144" i="38"/>
  <c r="S144" i="38"/>
  <c r="AD144" i="38"/>
  <c r="AB144" i="38"/>
  <c r="Z144" i="38"/>
  <c r="AA144" i="38"/>
  <c r="AD89" i="38"/>
  <c r="P89" i="38"/>
  <c r="Q89" i="38"/>
  <c r="R89" i="38"/>
  <c r="S89" i="38"/>
  <c r="T89" i="38"/>
  <c r="AC89" i="38"/>
  <c r="AC533" i="38" s="1"/>
  <c r="Z89" i="38"/>
  <c r="Z533" i="38" s="1"/>
  <c r="AA89" i="38"/>
  <c r="AB89" i="38"/>
  <c r="AB533" i="38" s="1"/>
  <c r="P213" i="38"/>
  <c r="Q213" i="38"/>
  <c r="R213" i="38"/>
  <c r="S213" i="38"/>
  <c r="T213" i="38"/>
  <c r="Z213" i="38"/>
  <c r="AA213" i="38"/>
  <c r="AB213" i="38"/>
  <c r="AC213" i="38"/>
  <c r="AD213" i="38"/>
  <c r="AE265" i="38"/>
  <c r="AB292" i="38"/>
  <c r="AC292" i="38"/>
  <c r="R292" i="38"/>
  <c r="AA292" i="38"/>
  <c r="P292" i="38"/>
  <c r="P529" i="38" s="1"/>
  <c r="Q292" i="38"/>
  <c r="S292" i="38"/>
  <c r="T292" i="38"/>
  <c r="T529" i="38" s="1"/>
  <c r="Z292" i="38"/>
  <c r="AD292" i="38"/>
  <c r="S367" i="38"/>
  <c r="S542" i="38" s="1"/>
  <c r="Q367" i="38"/>
  <c r="T367" i="38"/>
  <c r="P367" i="38"/>
  <c r="AD367" i="38"/>
  <c r="Z367" i="38"/>
  <c r="AA367" i="38"/>
  <c r="AB367" i="38"/>
  <c r="AC367" i="38"/>
  <c r="R367" i="38"/>
  <c r="R542" i="38" s="1"/>
  <c r="AE347" i="38"/>
  <c r="AE277" i="38"/>
  <c r="Q348" i="38"/>
  <c r="AB348" i="38"/>
  <c r="P348" i="38"/>
  <c r="S348" i="38"/>
  <c r="T348" i="38"/>
  <c r="R348" i="38"/>
  <c r="Z348" i="38"/>
  <c r="AA348" i="38"/>
  <c r="AC348" i="38"/>
  <c r="AD348" i="38"/>
  <c r="U17" i="39"/>
  <c r="L17" i="39"/>
  <c r="U40" i="40"/>
  <c r="L40" i="40"/>
  <c r="L47" i="39"/>
  <c r="U47" i="39"/>
  <c r="U27" i="40"/>
  <c r="L27" i="40"/>
  <c r="N39" i="37"/>
  <c r="M39" i="37"/>
  <c r="P39" i="37"/>
  <c r="Q39" i="37"/>
  <c r="O39" i="37"/>
  <c r="S75" i="38"/>
  <c r="P75" i="38"/>
  <c r="P567" i="38" s="1"/>
  <c r="Q75" i="38"/>
  <c r="R75" i="38"/>
  <c r="T75" i="38"/>
  <c r="AB75" i="38"/>
  <c r="Z75" i="38"/>
  <c r="AA75" i="38"/>
  <c r="AC75" i="38"/>
  <c r="AD75" i="38"/>
  <c r="N11" i="37"/>
  <c r="O11" i="37"/>
  <c r="P11" i="37"/>
  <c r="M11" i="37"/>
  <c r="Q11" i="37"/>
  <c r="U44" i="40"/>
  <c r="L44" i="40"/>
  <c r="V19" i="37"/>
  <c r="Z19" i="37"/>
  <c r="W19" i="37"/>
  <c r="X19" i="37"/>
  <c r="Y19" i="37"/>
  <c r="P518" i="38" l="1"/>
  <c r="AE255" i="38"/>
  <c r="M14" i="39"/>
  <c r="N14" i="39"/>
  <c r="O14" i="39"/>
  <c r="P14" i="39"/>
  <c r="Q14" i="39"/>
  <c r="Q20" i="40"/>
  <c r="P20" i="40"/>
  <c r="M20" i="40"/>
  <c r="N20" i="40"/>
  <c r="O20" i="40"/>
  <c r="V32" i="40"/>
  <c r="W32" i="40"/>
  <c r="X32" i="40"/>
  <c r="Y32" i="40"/>
  <c r="Z32" i="40"/>
  <c r="AE103" i="38"/>
  <c r="AE213" i="38"/>
  <c r="P555" i="38"/>
  <c r="W5" i="40"/>
  <c r="X5" i="40"/>
  <c r="Y5" i="40"/>
  <c r="Z5" i="40"/>
  <c r="V5" i="40"/>
  <c r="M29" i="40"/>
  <c r="N29" i="40"/>
  <c r="P29" i="40"/>
  <c r="O29" i="40"/>
  <c r="Q29" i="40"/>
  <c r="X20" i="39"/>
  <c r="Y20" i="39"/>
  <c r="Z20" i="39"/>
  <c r="W20" i="39"/>
  <c r="V20" i="39"/>
  <c r="W7" i="40"/>
  <c r="X7" i="40"/>
  <c r="Y7" i="40"/>
  <c r="V7" i="40"/>
  <c r="Z7" i="40"/>
  <c r="T570" i="38"/>
  <c r="T571" i="38" s="1"/>
  <c r="AE232" i="38"/>
  <c r="AE225" i="38"/>
  <c r="AE349" i="38"/>
  <c r="Y41" i="39"/>
  <c r="Z41" i="39"/>
  <c r="X41" i="39"/>
  <c r="V41" i="39"/>
  <c r="W41" i="39"/>
  <c r="V41" i="40"/>
  <c r="W41" i="40"/>
  <c r="X41" i="40"/>
  <c r="Y41" i="40"/>
  <c r="Z41" i="40"/>
  <c r="W37" i="39"/>
  <c r="V37" i="39"/>
  <c r="X37" i="39"/>
  <c r="Z37" i="39"/>
  <c r="Y37" i="39"/>
  <c r="AE278" i="38"/>
  <c r="M21" i="39"/>
  <c r="N21" i="39"/>
  <c r="O21" i="39"/>
  <c r="P21" i="39"/>
  <c r="Q21" i="39"/>
  <c r="M5" i="39"/>
  <c r="N5" i="39"/>
  <c r="O5" i="39"/>
  <c r="P5" i="39"/>
  <c r="Q5" i="39"/>
  <c r="AE427" i="38"/>
  <c r="O28" i="39"/>
  <c r="P28" i="39"/>
  <c r="Q28" i="39"/>
  <c r="N28" i="39"/>
  <c r="M28" i="39"/>
  <c r="Z37" i="40"/>
  <c r="Y37" i="40"/>
  <c r="V37" i="40"/>
  <c r="W37" i="40"/>
  <c r="X37" i="40"/>
  <c r="AE415" i="38"/>
  <c r="V19" i="40"/>
  <c r="W19" i="40"/>
  <c r="X19" i="40"/>
  <c r="Y19" i="40"/>
  <c r="Z19" i="40"/>
  <c r="AE476" i="38"/>
  <c r="N31" i="39"/>
  <c r="O31" i="39"/>
  <c r="P31" i="39"/>
  <c r="Q31" i="39"/>
  <c r="M31" i="39"/>
  <c r="M37" i="40"/>
  <c r="O37" i="40"/>
  <c r="P37" i="40"/>
  <c r="N37" i="40"/>
  <c r="Q37" i="40"/>
  <c r="AE348" i="38"/>
  <c r="AB36" i="37"/>
  <c r="X18" i="40"/>
  <c r="Y18" i="40"/>
  <c r="Z18" i="40"/>
  <c r="W18" i="40"/>
  <c r="V18" i="40"/>
  <c r="M15" i="39"/>
  <c r="AB15" i="39" s="1"/>
  <c r="N15" i="39"/>
  <c r="O15" i="39"/>
  <c r="P15" i="39"/>
  <c r="Q15" i="39"/>
  <c r="AE437" i="38"/>
  <c r="X35" i="40"/>
  <c r="Y35" i="40"/>
  <c r="Z35" i="40"/>
  <c r="W35" i="40"/>
  <c r="V35" i="40"/>
  <c r="N11" i="39"/>
  <c r="O11" i="39"/>
  <c r="P11" i="39"/>
  <c r="Q11" i="39"/>
  <c r="M11" i="39"/>
  <c r="AB6" i="37"/>
  <c r="AE127" i="38"/>
  <c r="AE353" i="38"/>
  <c r="AE244" i="38"/>
  <c r="Z36" i="40"/>
  <c r="W36" i="40"/>
  <c r="V36" i="40"/>
  <c r="X36" i="40"/>
  <c r="Y36" i="40"/>
  <c r="W35" i="39"/>
  <c r="X35" i="39"/>
  <c r="Y35" i="39"/>
  <c r="Z35" i="39"/>
  <c r="V35" i="39"/>
  <c r="W28" i="40"/>
  <c r="V28" i="40"/>
  <c r="X28" i="40"/>
  <c r="Y28" i="40"/>
  <c r="Z28" i="40"/>
  <c r="AD553" i="38"/>
  <c r="AD554" i="38" s="1"/>
  <c r="AB553" i="38"/>
  <c r="AB554" i="38" s="1"/>
  <c r="W32" i="39"/>
  <c r="X32" i="39"/>
  <c r="Y32" i="39"/>
  <c r="Z32" i="39"/>
  <c r="V32" i="39"/>
  <c r="AE14" i="38"/>
  <c r="M35" i="40"/>
  <c r="N35" i="40"/>
  <c r="O35" i="40"/>
  <c r="P35" i="40"/>
  <c r="Q35" i="40"/>
  <c r="W11" i="39"/>
  <c r="X11" i="39"/>
  <c r="Z11" i="39"/>
  <c r="Y11" i="39"/>
  <c r="V11" i="39"/>
  <c r="O46" i="40"/>
  <c r="P46" i="40"/>
  <c r="Q46" i="40"/>
  <c r="N46" i="40"/>
  <c r="M46" i="40"/>
  <c r="AE29" i="38"/>
  <c r="AE167" i="38"/>
  <c r="M32" i="39"/>
  <c r="AB32" i="39" s="1"/>
  <c r="N32" i="39"/>
  <c r="O32" i="39"/>
  <c r="Q32" i="39"/>
  <c r="P32" i="39"/>
  <c r="AE170" i="38"/>
  <c r="AE88" i="38"/>
  <c r="M42" i="39"/>
  <c r="N42" i="39"/>
  <c r="O42" i="39"/>
  <c r="P42" i="39"/>
  <c r="Q42" i="39"/>
  <c r="AE174" i="38"/>
  <c r="X39" i="39"/>
  <c r="Y39" i="39"/>
  <c r="Z39" i="39"/>
  <c r="W39" i="39"/>
  <c r="V39" i="39"/>
  <c r="Z19" i="39"/>
  <c r="Y19" i="39"/>
  <c r="V19" i="39"/>
  <c r="W19" i="39"/>
  <c r="X19" i="39"/>
  <c r="AE292" i="38"/>
  <c r="V31" i="39"/>
  <c r="W31" i="39"/>
  <c r="X31" i="39"/>
  <c r="Y31" i="39"/>
  <c r="Z31" i="39"/>
  <c r="AE422" i="38"/>
  <c r="V16" i="39"/>
  <c r="W16" i="39"/>
  <c r="X16" i="39"/>
  <c r="Z16" i="39"/>
  <c r="Y16" i="39"/>
  <c r="N43" i="40"/>
  <c r="M43" i="40"/>
  <c r="O43" i="40"/>
  <c r="P43" i="40"/>
  <c r="Q43" i="40"/>
  <c r="P538" i="38"/>
  <c r="W25" i="40"/>
  <c r="X25" i="40"/>
  <c r="Y25" i="40"/>
  <c r="Z25" i="40"/>
  <c r="V25" i="40"/>
  <c r="V10" i="39"/>
  <c r="X10" i="39"/>
  <c r="W10" i="39"/>
  <c r="Y10" i="39"/>
  <c r="Z10" i="39"/>
  <c r="V26" i="40"/>
  <c r="W26" i="40"/>
  <c r="X26" i="40"/>
  <c r="Z26" i="40"/>
  <c r="Y26" i="40"/>
  <c r="O14" i="40"/>
  <c r="P14" i="40"/>
  <c r="Q14" i="40"/>
  <c r="N14" i="40"/>
  <c r="M14" i="40"/>
  <c r="AB14" i="40" s="1"/>
  <c r="M6" i="39"/>
  <c r="O6" i="39"/>
  <c r="N6" i="39"/>
  <c r="P6" i="39"/>
  <c r="Q6" i="39"/>
  <c r="AE391" i="38"/>
  <c r="P560" i="38"/>
  <c r="AE421" i="38"/>
  <c r="AE52" i="38"/>
  <c r="V39" i="40"/>
  <c r="W39" i="40"/>
  <c r="X39" i="40"/>
  <c r="Y39" i="40"/>
  <c r="Z39" i="40"/>
  <c r="Z14" i="39"/>
  <c r="Y14" i="39"/>
  <c r="W14" i="39"/>
  <c r="X14" i="39"/>
  <c r="V14" i="39"/>
  <c r="N22" i="39"/>
  <c r="O22" i="39"/>
  <c r="G9" i="8" s="1"/>
  <c r="G14" i="8" s="1"/>
  <c r="M22" i="39"/>
  <c r="P22" i="39"/>
  <c r="Q22" i="39"/>
  <c r="AE113" i="38"/>
  <c r="AE401" i="38"/>
  <c r="AE308" i="38"/>
  <c r="AE267" i="38"/>
  <c r="AE166" i="38"/>
  <c r="AB46" i="37"/>
  <c r="N11" i="40"/>
  <c r="O11" i="40"/>
  <c r="P11" i="40"/>
  <c r="Q11" i="40"/>
  <c r="M11" i="40"/>
  <c r="N32" i="40"/>
  <c r="O32" i="40"/>
  <c r="P32" i="40"/>
  <c r="Q32" i="40"/>
  <c r="M32" i="40"/>
  <c r="AB32" i="40" s="1"/>
  <c r="AB28" i="37"/>
  <c r="V42" i="39"/>
  <c r="W42" i="39"/>
  <c r="X42" i="39"/>
  <c r="Y42" i="39"/>
  <c r="Z42" i="39"/>
  <c r="M39" i="39"/>
  <c r="N39" i="39"/>
  <c r="P39" i="39"/>
  <c r="Q39" i="39"/>
  <c r="O39" i="39"/>
  <c r="AE381" i="38"/>
  <c r="AE218" i="38"/>
  <c r="AE69" i="38"/>
  <c r="M28" i="40"/>
  <c r="N28" i="40"/>
  <c r="O28" i="40"/>
  <c r="P28" i="40"/>
  <c r="Q28" i="40"/>
  <c r="M25" i="40"/>
  <c r="AB25" i="40" s="1"/>
  <c r="N25" i="40"/>
  <c r="O25" i="40"/>
  <c r="P25" i="40"/>
  <c r="Q25" i="40"/>
  <c r="M25" i="39"/>
  <c r="N25" i="39"/>
  <c r="O25" i="39"/>
  <c r="P25" i="39"/>
  <c r="Q25" i="39"/>
  <c r="P39" i="40"/>
  <c r="M39" i="40"/>
  <c r="N39" i="40"/>
  <c r="O39" i="40"/>
  <c r="Q39" i="40"/>
  <c r="X22" i="40"/>
  <c r="Y22" i="40"/>
  <c r="Z22" i="40"/>
  <c r="W22" i="40"/>
  <c r="V22" i="40"/>
  <c r="AE503" i="38"/>
  <c r="Y11" i="40"/>
  <c r="Z11" i="40"/>
  <c r="X11" i="40"/>
  <c r="W11" i="40"/>
  <c r="V11" i="40"/>
  <c r="AB11" i="37"/>
  <c r="AE120" i="38"/>
  <c r="Z17" i="40"/>
  <c r="V17" i="40"/>
  <c r="W17" i="40"/>
  <c r="X17" i="40"/>
  <c r="Y17" i="40"/>
  <c r="AE256" i="38"/>
  <c r="M22" i="40"/>
  <c r="N22" i="40"/>
  <c r="O22" i="40"/>
  <c r="Q22" i="40"/>
  <c r="P22" i="40"/>
  <c r="AE189" i="38"/>
  <c r="AE121" i="38"/>
  <c r="Z27" i="39"/>
  <c r="X27" i="39"/>
  <c r="Y27" i="39"/>
  <c r="V27" i="39"/>
  <c r="W27" i="39"/>
  <c r="AE351" i="38"/>
  <c r="AE371" i="38"/>
  <c r="M47" i="39"/>
  <c r="N47" i="39"/>
  <c r="O47" i="39"/>
  <c r="P47" i="39"/>
  <c r="Q47" i="39"/>
  <c r="AA553" i="38"/>
  <c r="V15" i="40"/>
  <c r="W15" i="40"/>
  <c r="X15" i="40"/>
  <c r="Y15" i="40"/>
  <c r="Z15" i="40"/>
  <c r="O27" i="39"/>
  <c r="P27" i="39"/>
  <c r="Q27" i="39"/>
  <c r="N27" i="39"/>
  <c r="M27" i="39"/>
  <c r="AE24" i="38"/>
  <c r="O34" i="40"/>
  <c r="P34" i="40"/>
  <c r="Q34" i="40"/>
  <c r="N34" i="40"/>
  <c r="M34" i="40"/>
  <c r="P554" i="38"/>
  <c r="AD510" i="38"/>
  <c r="W23" i="40"/>
  <c r="X23" i="40"/>
  <c r="Y23" i="40"/>
  <c r="Z23" i="40"/>
  <c r="V23" i="40"/>
  <c r="AE71" i="38"/>
  <c r="AE343" i="38"/>
  <c r="N33" i="39"/>
  <c r="M33" i="39"/>
  <c r="P33" i="39"/>
  <c r="Q33" i="39"/>
  <c r="O33" i="39"/>
  <c r="AE400" i="38"/>
  <c r="S522" i="38"/>
  <c r="P522" i="38"/>
  <c r="P570" i="38" s="1"/>
  <c r="P571" i="38" s="1"/>
  <c r="M36" i="39"/>
  <c r="N36" i="39"/>
  <c r="O36" i="39"/>
  <c r="P36" i="39"/>
  <c r="Q36" i="39"/>
  <c r="M9" i="40"/>
  <c r="N9" i="40"/>
  <c r="P9" i="40"/>
  <c r="Q9" i="40"/>
  <c r="O9" i="40"/>
  <c r="AE248" i="38"/>
  <c r="M15" i="40"/>
  <c r="N15" i="40"/>
  <c r="O15" i="40"/>
  <c r="P15" i="40"/>
  <c r="Q15" i="40"/>
  <c r="AE160" i="38"/>
  <c r="AE339" i="38"/>
  <c r="P47" i="40"/>
  <c r="Q47" i="40"/>
  <c r="O47" i="40"/>
  <c r="M47" i="40"/>
  <c r="N47" i="40"/>
  <c r="AE338" i="38"/>
  <c r="Z44" i="40"/>
  <c r="Y44" i="40"/>
  <c r="V44" i="40"/>
  <c r="W44" i="40"/>
  <c r="X44" i="40"/>
  <c r="AB47" i="37"/>
  <c r="Q10" i="39"/>
  <c r="P10" i="39"/>
  <c r="M10" i="39"/>
  <c r="N10" i="39"/>
  <c r="O10" i="39"/>
  <c r="AE334" i="38"/>
  <c r="AE116" i="38"/>
  <c r="V6" i="39"/>
  <c r="W6" i="39"/>
  <c r="X6" i="39"/>
  <c r="Y6" i="39"/>
  <c r="Z6" i="39"/>
  <c r="P517" i="38"/>
  <c r="AE64" i="38"/>
  <c r="W47" i="40"/>
  <c r="Z47" i="40"/>
  <c r="Y47" i="40"/>
  <c r="V47" i="40"/>
  <c r="X47" i="40"/>
  <c r="M19" i="39"/>
  <c r="N19" i="39"/>
  <c r="P19" i="39"/>
  <c r="O19" i="39"/>
  <c r="Q19" i="39"/>
  <c r="W27" i="40"/>
  <c r="V27" i="40"/>
  <c r="X27" i="40"/>
  <c r="Y27" i="40"/>
  <c r="Z27" i="40"/>
  <c r="AE41" i="38"/>
  <c r="AB17" i="37"/>
  <c r="AB30" i="37"/>
  <c r="Q23" i="39"/>
  <c r="P23" i="39"/>
  <c r="M23" i="39"/>
  <c r="N23" i="39"/>
  <c r="O23" i="39"/>
  <c r="P27" i="40"/>
  <c r="Q27" i="40"/>
  <c r="O27" i="40"/>
  <c r="N27" i="40"/>
  <c r="M27" i="40"/>
  <c r="AE89" i="38"/>
  <c r="R558" i="38"/>
  <c r="R570" i="38" s="1"/>
  <c r="R571" i="38" s="1"/>
  <c r="AE171" i="38"/>
  <c r="AB37" i="37"/>
  <c r="AB12" i="37"/>
  <c r="AE314" i="38"/>
  <c r="AB8" i="37"/>
  <c r="W33" i="39"/>
  <c r="X33" i="39"/>
  <c r="Y33" i="39"/>
  <c r="Z33" i="39"/>
  <c r="V33" i="39"/>
  <c r="AE76" i="38"/>
  <c r="AE159" i="38"/>
  <c r="AE99" i="38"/>
  <c r="AE441" i="38"/>
  <c r="V20" i="40"/>
  <c r="X20" i="40"/>
  <c r="W20" i="40"/>
  <c r="Y20" i="40"/>
  <c r="Z20" i="40"/>
  <c r="V9" i="40"/>
  <c r="Z9" i="40"/>
  <c r="Y9" i="40"/>
  <c r="W9" i="40"/>
  <c r="X9" i="40"/>
  <c r="Q40" i="40"/>
  <c r="P40" i="40"/>
  <c r="M40" i="40"/>
  <c r="N40" i="40"/>
  <c r="O40" i="40"/>
  <c r="AE72" i="38"/>
  <c r="AB18" i="37"/>
  <c r="AE187" i="38"/>
  <c r="O18" i="40"/>
  <c r="M18" i="40"/>
  <c r="N18" i="40"/>
  <c r="P18" i="40"/>
  <c r="Q18" i="40"/>
  <c r="Y21" i="39"/>
  <c r="Z21" i="39"/>
  <c r="X21" i="39"/>
  <c r="W21" i="39"/>
  <c r="V21" i="39"/>
  <c r="N16" i="39"/>
  <c r="O16" i="39"/>
  <c r="P16" i="39"/>
  <c r="Q16" i="39"/>
  <c r="M16" i="39"/>
  <c r="X28" i="39"/>
  <c r="Y28" i="39"/>
  <c r="Z28" i="39"/>
  <c r="W28" i="39"/>
  <c r="V28" i="39"/>
  <c r="V43" i="40"/>
  <c r="W43" i="40"/>
  <c r="X43" i="40"/>
  <c r="Y43" i="40"/>
  <c r="Z43" i="40"/>
  <c r="P552" i="38"/>
  <c r="Q570" i="38"/>
  <c r="Q571" i="38" s="1"/>
  <c r="V22" i="39"/>
  <c r="W22" i="39"/>
  <c r="X22" i="39"/>
  <c r="Y22" i="39"/>
  <c r="Z22" i="39"/>
  <c r="N23" i="40"/>
  <c r="O23" i="40"/>
  <c r="P23" i="40"/>
  <c r="Q23" i="40"/>
  <c r="M23" i="40"/>
  <c r="Z7" i="39"/>
  <c r="V7" i="39"/>
  <c r="W7" i="39"/>
  <c r="Y7" i="39"/>
  <c r="X7" i="39"/>
  <c r="AE295" i="38"/>
  <c r="V42" i="40"/>
  <c r="W42" i="40"/>
  <c r="X42" i="40"/>
  <c r="Y42" i="40"/>
  <c r="Z42" i="40"/>
  <c r="AE316" i="38"/>
  <c r="AE59" i="38"/>
  <c r="M24" i="40"/>
  <c r="N24" i="40"/>
  <c r="O24" i="40"/>
  <c r="P24" i="40"/>
  <c r="Q24" i="40"/>
  <c r="AE266" i="38"/>
  <c r="V36" i="39"/>
  <c r="W36" i="39"/>
  <c r="X36" i="39"/>
  <c r="Z36" i="39"/>
  <c r="Y36" i="39"/>
  <c r="AE45" i="38"/>
  <c r="P561" i="38"/>
  <c r="AA510" i="38"/>
  <c r="AB19" i="37"/>
  <c r="Q7" i="39"/>
  <c r="P7" i="39"/>
  <c r="M7" i="39"/>
  <c r="AB7" i="39" s="1"/>
  <c r="N7" i="39"/>
  <c r="O7" i="39"/>
  <c r="V12" i="39"/>
  <c r="W12" i="39"/>
  <c r="X12" i="39"/>
  <c r="Y12" i="39"/>
  <c r="Z12" i="39"/>
  <c r="M42" i="40"/>
  <c r="N42" i="40"/>
  <c r="O42" i="40"/>
  <c r="Q42" i="40"/>
  <c r="P42" i="40"/>
  <c r="AB33" i="37"/>
  <c r="X38" i="40"/>
  <c r="Y38" i="40"/>
  <c r="Z38" i="40"/>
  <c r="W38" i="40"/>
  <c r="V38" i="40"/>
  <c r="AE291" i="38"/>
  <c r="AE296" i="38"/>
  <c r="W17" i="39"/>
  <c r="V17" i="39"/>
  <c r="X17" i="39"/>
  <c r="Y17" i="39"/>
  <c r="Z17" i="39"/>
  <c r="AE144" i="38"/>
  <c r="P543" i="38"/>
  <c r="P553" i="38"/>
  <c r="AE420" i="38"/>
  <c r="M31" i="40"/>
  <c r="N31" i="40"/>
  <c r="O31" i="40"/>
  <c r="P31" i="40"/>
  <c r="Q31" i="40"/>
  <c r="P34" i="39"/>
  <c r="M34" i="39"/>
  <c r="N34" i="39"/>
  <c r="O34" i="39"/>
  <c r="Q34" i="39"/>
  <c r="AE158" i="38"/>
  <c r="M10" i="40"/>
  <c r="O10" i="40"/>
  <c r="P10" i="40"/>
  <c r="Q10" i="40"/>
  <c r="N10" i="40"/>
  <c r="AE152" i="38"/>
  <c r="Z522" i="38"/>
  <c r="Z553" i="38" s="1"/>
  <c r="Z554" i="38" s="1"/>
  <c r="AB13" i="37"/>
  <c r="AB44" i="37"/>
  <c r="O24" i="39"/>
  <c r="P24" i="39"/>
  <c r="Q24" i="39"/>
  <c r="N24" i="39"/>
  <c r="M24" i="39"/>
  <c r="X8" i="39"/>
  <c r="Y8" i="39"/>
  <c r="Z8" i="39"/>
  <c r="W8" i="39"/>
  <c r="V8" i="39"/>
  <c r="V29" i="39"/>
  <c r="W29" i="39"/>
  <c r="X29" i="39"/>
  <c r="Y29" i="39"/>
  <c r="Z29" i="39"/>
  <c r="AE179" i="38"/>
  <c r="X45" i="39"/>
  <c r="Z45" i="39"/>
  <c r="W45" i="39"/>
  <c r="Y45" i="39"/>
  <c r="V45" i="39"/>
  <c r="X46" i="39"/>
  <c r="V46" i="39"/>
  <c r="W46" i="39"/>
  <c r="Y46" i="39"/>
  <c r="Z46" i="39"/>
  <c r="V30" i="40"/>
  <c r="Y30" i="40"/>
  <c r="Z30" i="40"/>
  <c r="X30" i="40"/>
  <c r="W30" i="40"/>
  <c r="AE379" i="38"/>
  <c r="Y18" i="39"/>
  <c r="Z18" i="39"/>
  <c r="X18" i="39"/>
  <c r="V18" i="39"/>
  <c r="W18" i="39"/>
  <c r="W15" i="39"/>
  <c r="X15" i="39"/>
  <c r="Y15" i="39"/>
  <c r="Z15" i="39"/>
  <c r="V15" i="39"/>
  <c r="AE294" i="38"/>
  <c r="V40" i="40"/>
  <c r="X40" i="40"/>
  <c r="Y40" i="40"/>
  <c r="W40" i="40"/>
  <c r="Z40" i="40"/>
  <c r="AE344" i="38"/>
  <c r="AE65" i="38"/>
  <c r="S570" i="38"/>
  <c r="S571" i="38" s="1"/>
  <c r="AE191" i="38"/>
  <c r="AB26" i="37"/>
  <c r="Q510" i="38"/>
  <c r="Z24" i="40"/>
  <c r="Y24" i="40"/>
  <c r="V24" i="40"/>
  <c r="W24" i="40"/>
  <c r="X24" i="40"/>
  <c r="Q30" i="39"/>
  <c r="P30" i="39"/>
  <c r="M30" i="39"/>
  <c r="N30" i="39"/>
  <c r="O30" i="39"/>
  <c r="P17" i="39"/>
  <c r="Q17" i="39"/>
  <c r="O17" i="39"/>
  <c r="N17" i="39"/>
  <c r="M17" i="39"/>
  <c r="AE367" i="38"/>
  <c r="Y31" i="40"/>
  <c r="Z31" i="40"/>
  <c r="X31" i="40"/>
  <c r="V31" i="40"/>
  <c r="W31" i="40"/>
  <c r="M12" i="39"/>
  <c r="N12" i="39"/>
  <c r="O12" i="39"/>
  <c r="Q12" i="39"/>
  <c r="P12" i="39"/>
  <c r="AE430" i="38"/>
  <c r="Z34" i="39"/>
  <c r="Y34" i="39"/>
  <c r="W34" i="39"/>
  <c r="X34" i="39"/>
  <c r="V34" i="39"/>
  <c r="X10" i="40"/>
  <c r="Y10" i="40"/>
  <c r="Z10" i="40"/>
  <c r="W10" i="40"/>
  <c r="V10" i="40"/>
  <c r="AE27" i="38"/>
  <c r="V24" i="39"/>
  <c r="X24" i="39"/>
  <c r="W24" i="39"/>
  <c r="Y24" i="39"/>
  <c r="Z24" i="39"/>
  <c r="Q8" i="39"/>
  <c r="P8" i="39"/>
  <c r="M8" i="39"/>
  <c r="N8" i="39"/>
  <c r="O8" i="39"/>
  <c r="M38" i="40"/>
  <c r="N38" i="40"/>
  <c r="Q38" i="40"/>
  <c r="O38" i="40"/>
  <c r="P38" i="40"/>
  <c r="Q29" i="39"/>
  <c r="M29" i="39"/>
  <c r="N29" i="39"/>
  <c r="O29" i="39"/>
  <c r="P29" i="39"/>
  <c r="AE17" i="38"/>
  <c r="V30" i="39"/>
  <c r="X30" i="39"/>
  <c r="Z30" i="39"/>
  <c r="W30" i="39"/>
  <c r="Y30" i="39"/>
  <c r="V56" i="37"/>
  <c r="P539" i="38"/>
  <c r="V16" i="40"/>
  <c r="W16" i="40"/>
  <c r="X16" i="40"/>
  <c r="Y16" i="40"/>
  <c r="Z16" i="40"/>
  <c r="AE245" i="38"/>
  <c r="N21" i="40"/>
  <c r="O21" i="40"/>
  <c r="P21" i="40"/>
  <c r="Q21" i="40"/>
  <c r="M21" i="40"/>
  <c r="AB6" i="40"/>
  <c r="Q13" i="40"/>
  <c r="M13" i="40"/>
  <c r="N13" i="40"/>
  <c r="O13" i="40"/>
  <c r="P13" i="40"/>
  <c r="AE60" i="38"/>
  <c r="Y8" i="40"/>
  <c r="V8" i="40"/>
  <c r="W8" i="40"/>
  <c r="X8" i="40"/>
  <c r="Z8" i="40"/>
  <c r="AE445" i="38"/>
  <c r="M45" i="39"/>
  <c r="N45" i="39"/>
  <c r="O45" i="39"/>
  <c r="P45" i="39"/>
  <c r="Q45" i="39"/>
  <c r="M46" i="39"/>
  <c r="O46" i="39"/>
  <c r="N46" i="39"/>
  <c r="P46" i="39"/>
  <c r="Q46" i="39"/>
  <c r="AE490" i="38"/>
  <c r="M30" i="40"/>
  <c r="N30" i="40"/>
  <c r="O30" i="40"/>
  <c r="P30" i="40"/>
  <c r="Q30" i="40"/>
  <c r="AE214" i="38"/>
  <c r="AE407" i="38"/>
  <c r="AE153" i="38"/>
  <c r="AE43" i="38"/>
  <c r="M18" i="39"/>
  <c r="N18" i="39"/>
  <c r="O18" i="39"/>
  <c r="P18" i="39"/>
  <c r="Q18" i="39"/>
  <c r="V46" i="40"/>
  <c r="W46" i="40"/>
  <c r="X46" i="40"/>
  <c r="Z46" i="40"/>
  <c r="Y46" i="40"/>
  <c r="AB39" i="37"/>
  <c r="AE354" i="38"/>
  <c r="M35" i="39"/>
  <c r="Q35" i="39"/>
  <c r="N35" i="39"/>
  <c r="P35" i="39"/>
  <c r="O35" i="39"/>
  <c r="AE227" i="38"/>
  <c r="AE66" i="38"/>
  <c r="V12" i="40"/>
  <c r="W12" i="40"/>
  <c r="X12" i="40"/>
  <c r="Y12" i="40"/>
  <c r="Z12" i="40"/>
  <c r="M26" i="40"/>
  <c r="N26" i="40"/>
  <c r="O26" i="40"/>
  <c r="P26" i="40"/>
  <c r="Q26" i="40"/>
  <c r="V14" i="40"/>
  <c r="X14" i="40"/>
  <c r="Y14" i="40"/>
  <c r="W14" i="40"/>
  <c r="Z14" i="40"/>
  <c r="AE507" i="38"/>
  <c r="P542" i="38"/>
  <c r="AB10" i="37"/>
  <c r="M16" i="40"/>
  <c r="O16" i="40"/>
  <c r="Q16" i="40"/>
  <c r="N16" i="40"/>
  <c r="P16" i="40"/>
  <c r="V21" i="40"/>
  <c r="W21" i="40"/>
  <c r="X21" i="40"/>
  <c r="Y21" i="40"/>
  <c r="Z21" i="40"/>
  <c r="AE489" i="38"/>
  <c r="V13" i="40"/>
  <c r="W13" i="40"/>
  <c r="Y13" i="40"/>
  <c r="Z13" i="40"/>
  <c r="X13" i="40"/>
  <c r="M8" i="40"/>
  <c r="N8" i="40"/>
  <c r="O8" i="40"/>
  <c r="P8" i="40"/>
  <c r="Q8" i="40"/>
  <c r="W38" i="39"/>
  <c r="X38" i="39"/>
  <c r="Y38" i="39"/>
  <c r="Z38" i="39"/>
  <c r="V38" i="39"/>
  <c r="X29" i="40"/>
  <c r="Z29" i="40"/>
  <c r="V29" i="40"/>
  <c r="W29" i="40"/>
  <c r="Y29" i="40"/>
  <c r="M20" i="39"/>
  <c r="Q20" i="39"/>
  <c r="N20" i="39"/>
  <c r="O20" i="39"/>
  <c r="P20" i="39"/>
  <c r="AE175" i="38"/>
  <c r="V34" i="40"/>
  <c r="Z34" i="40"/>
  <c r="Y34" i="40"/>
  <c r="W34" i="40"/>
  <c r="X34" i="40"/>
  <c r="AC553" i="38"/>
  <c r="AC554" i="38" s="1"/>
  <c r="AE333" i="38"/>
  <c r="O9" i="39"/>
  <c r="P9" i="39"/>
  <c r="Q9" i="39"/>
  <c r="N9" i="39"/>
  <c r="M9" i="39"/>
  <c r="AB9" i="39" s="1"/>
  <c r="Q44" i="40"/>
  <c r="M44" i="40"/>
  <c r="N44" i="40"/>
  <c r="O44" i="40"/>
  <c r="P44" i="40"/>
  <c r="P12" i="40"/>
  <c r="Q12" i="40"/>
  <c r="O12" i="40"/>
  <c r="M12" i="40"/>
  <c r="N12" i="40"/>
  <c r="V25" i="39"/>
  <c r="Z25" i="39"/>
  <c r="W25" i="39"/>
  <c r="X25" i="39"/>
  <c r="Y25" i="39"/>
  <c r="V23" i="39"/>
  <c r="W23" i="39"/>
  <c r="Y23" i="39"/>
  <c r="Z23" i="39"/>
  <c r="X23" i="39"/>
  <c r="AE426" i="38"/>
  <c r="M36" i="40"/>
  <c r="O36" i="40"/>
  <c r="N36" i="40"/>
  <c r="P36" i="40"/>
  <c r="Q36" i="40"/>
  <c r="AE224" i="38"/>
  <c r="Z47" i="39"/>
  <c r="V47" i="39"/>
  <c r="W47" i="39"/>
  <c r="X47" i="39"/>
  <c r="Y47" i="39"/>
  <c r="O17" i="40"/>
  <c r="P17" i="40"/>
  <c r="Q17" i="40"/>
  <c r="N17" i="40"/>
  <c r="M17" i="40"/>
  <c r="AB17" i="40" s="1"/>
  <c r="AE107" i="38"/>
  <c r="P526" i="38"/>
  <c r="V44" i="39"/>
  <c r="Z44" i="39"/>
  <c r="Y44" i="39"/>
  <c r="W44" i="39"/>
  <c r="X44" i="39"/>
  <c r="V26" i="39"/>
  <c r="Z26" i="39"/>
  <c r="Y26" i="39"/>
  <c r="X26" i="39"/>
  <c r="W26" i="39"/>
  <c r="Q33" i="40"/>
  <c r="N33" i="40"/>
  <c r="O33" i="40"/>
  <c r="P33" i="40"/>
  <c r="M33" i="40"/>
  <c r="V13" i="39"/>
  <c r="W13" i="39"/>
  <c r="X13" i="39"/>
  <c r="Y13" i="39"/>
  <c r="Z13" i="39"/>
  <c r="M38" i="39"/>
  <c r="AB38" i="39" s="1"/>
  <c r="N38" i="39"/>
  <c r="O38" i="39"/>
  <c r="P38" i="39"/>
  <c r="Q38" i="39"/>
  <c r="AE94" i="38"/>
  <c r="P544" i="38"/>
  <c r="P563" i="38"/>
  <c r="O44" i="39"/>
  <c r="P44" i="39"/>
  <c r="Q44" i="39"/>
  <c r="N44" i="39"/>
  <c r="M44" i="39"/>
  <c r="AE10" i="38"/>
  <c r="M26" i="39"/>
  <c r="O26" i="39"/>
  <c r="Q26" i="39"/>
  <c r="P26" i="39"/>
  <c r="N26" i="39"/>
  <c r="V33" i="40"/>
  <c r="W33" i="40"/>
  <c r="Y33" i="40"/>
  <c r="X33" i="40"/>
  <c r="Z33" i="40"/>
  <c r="AE157" i="38"/>
  <c r="AE471" i="38"/>
  <c r="O5" i="40"/>
  <c r="P5" i="40"/>
  <c r="Q5" i="40"/>
  <c r="N5" i="40"/>
  <c r="M5" i="40"/>
  <c r="N13" i="39"/>
  <c r="M13" i="39"/>
  <c r="O13" i="39"/>
  <c r="P13" i="39"/>
  <c r="Q13" i="39"/>
  <c r="M45" i="40"/>
  <c r="N45" i="40"/>
  <c r="O45" i="40"/>
  <c r="Q45" i="40"/>
  <c r="P45" i="40"/>
  <c r="Q43" i="39"/>
  <c r="N43" i="39"/>
  <c r="P43" i="39"/>
  <c r="O43" i="39"/>
  <c r="M43" i="39"/>
  <c r="AE128" i="38"/>
  <c r="AE101" i="38"/>
  <c r="AE492" i="38"/>
  <c r="M40" i="39"/>
  <c r="N40" i="39"/>
  <c r="O40" i="39"/>
  <c r="P40" i="39"/>
  <c r="Q40" i="39"/>
  <c r="V9" i="39"/>
  <c r="W9" i="39"/>
  <c r="X9" i="39"/>
  <c r="Y9" i="39"/>
  <c r="Z9" i="39"/>
  <c r="AE75" i="38"/>
  <c r="P7" i="40"/>
  <c r="Q7" i="40"/>
  <c r="O7" i="40"/>
  <c r="M7" i="40"/>
  <c r="N7" i="40"/>
  <c r="P551" i="38"/>
  <c r="P537" i="38"/>
  <c r="AE6" i="38"/>
  <c r="AE16" i="38"/>
  <c r="N41" i="39"/>
  <c r="O41" i="39"/>
  <c r="M41" i="39"/>
  <c r="P41" i="39"/>
  <c r="Q41" i="39"/>
  <c r="M56" i="37"/>
  <c r="N41" i="40"/>
  <c r="O41" i="40"/>
  <c r="P41" i="40"/>
  <c r="Q41" i="40"/>
  <c r="M41" i="40"/>
  <c r="AB41" i="40" s="1"/>
  <c r="AE390" i="38"/>
  <c r="P37" i="39"/>
  <c r="Q37" i="39"/>
  <c r="O37" i="39"/>
  <c r="N37" i="39"/>
  <c r="M37" i="39"/>
  <c r="V5" i="39"/>
  <c r="W5" i="39"/>
  <c r="X5" i="39"/>
  <c r="Z5" i="39"/>
  <c r="Y5" i="39"/>
  <c r="W45" i="40"/>
  <c r="X45" i="40"/>
  <c r="Y45" i="40"/>
  <c r="Z45" i="40"/>
  <c r="V45" i="40"/>
  <c r="V43" i="39"/>
  <c r="W43" i="39"/>
  <c r="Y43" i="39"/>
  <c r="X43" i="39"/>
  <c r="Z43" i="39"/>
  <c r="AB45" i="37"/>
  <c r="AE217" i="38"/>
  <c r="M19" i="40"/>
  <c r="N19" i="40"/>
  <c r="O19" i="40"/>
  <c r="P19" i="40"/>
  <c r="Q19" i="40"/>
  <c r="V40" i="39"/>
  <c r="W40" i="39"/>
  <c r="X40" i="39"/>
  <c r="Y40" i="39"/>
  <c r="Z40" i="39"/>
  <c r="AB26" i="40" l="1"/>
  <c r="AB15" i="40"/>
  <c r="Z56" i="40"/>
  <c r="M56" i="40"/>
  <c r="AB5" i="40"/>
  <c r="AB31" i="40"/>
  <c r="Z56" i="39"/>
  <c r="AB40" i="39"/>
  <c r="AB12" i="40"/>
  <c r="AB8" i="39"/>
  <c r="AB23" i="40"/>
  <c r="AB34" i="40"/>
  <c r="AB28" i="39"/>
  <c r="AB21" i="40"/>
  <c r="Y56" i="40"/>
  <c r="AB44" i="39"/>
  <c r="AB38" i="40"/>
  <c r="AB9" i="40"/>
  <c r="AB41" i="39"/>
  <c r="AB16" i="40"/>
  <c r="AB30" i="39"/>
  <c r="AB23" i="39"/>
  <c r="AB39" i="40"/>
  <c r="Y56" i="39"/>
  <c r="N56" i="40"/>
  <c r="X56" i="39"/>
  <c r="Q56" i="40"/>
  <c r="AB42" i="40"/>
  <c r="AB47" i="40"/>
  <c r="AB47" i="39"/>
  <c r="M56" i="39"/>
  <c r="AB5" i="39"/>
  <c r="AB13" i="39"/>
  <c r="AB36" i="39"/>
  <c r="AB10" i="39"/>
  <c r="AB29" i="40"/>
  <c r="AB16" i="39"/>
  <c r="AB29" i="39"/>
  <c r="AB27" i="40"/>
  <c r="W56" i="39"/>
  <c r="P56" i="40"/>
  <c r="AB8" i="40"/>
  <c r="O56" i="40"/>
  <c r="AB35" i="39"/>
  <c r="AB43" i="39"/>
  <c r="AB30" i="40"/>
  <c r="AB12" i="39"/>
  <c r="AB45" i="40"/>
  <c r="X56" i="40"/>
  <c r="AB37" i="39"/>
  <c r="AB25" i="39"/>
  <c r="AB46" i="39"/>
  <c r="AB40" i="40"/>
  <c r="AB39" i="39"/>
  <c r="AB34" i="39"/>
  <c r="AB19" i="39"/>
  <c r="AB46" i="40"/>
  <c r="AB37" i="40"/>
  <c r="V56" i="39"/>
  <c r="AB42" i="39"/>
  <c r="AB31" i="39"/>
  <c r="AB19" i="40"/>
  <c r="AB7" i="40"/>
  <c r="AB13" i="40"/>
  <c r="AB24" i="40"/>
  <c r="AB27" i="39"/>
  <c r="Q56" i="39"/>
  <c r="AB36" i="40"/>
  <c r="AB44" i="40"/>
  <c r="AB20" i="39"/>
  <c r="AB35" i="40"/>
  <c r="P56" i="39"/>
  <c r="AB20" i="40"/>
  <c r="AB10" i="40"/>
  <c r="AB22" i="39"/>
  <c r="O56" i="39"/>
  <c r="AB33" i="39"/>
  <c r="L8" i="11"/>
  <c r="AB6" i="39"/>
  <c r="N56" i="39"/>
  <c r="AB17" i="39"/>
  <c r="V56" i="40"/>
  <c r="AB43" i="40"/>
  <c r="AB14" i="39"/>
  <c r="AB26" i="39"/>
  <c r="AB33" i="40"/>
  <c r="AB18" i="39"/>
  <c r="AB45" i="39"/>
  <c r="AB24" i="39"/>
  <c r="AB18" i="40"/>
  <c r="AB22" i="40"/>
  <c r="AB28" i="40"/>
  <c r="AB11" i="40"/>
  <c r="AB11" i="39"/>
  <c r="AB21" i="39"/>
  <c r="W56" i="40"/>
  <c r="AA554" i="38"/>
  <c r="L10" i="11" l="1"/>
  <c r="AB56" i="39"/>
  <c r="AB56" i="40"/>
  <c r="H454" i="17" l="1"/>
  <c r="E20" i="14" s="1"/>
  <c r="I454" i="17"/>
  <c r="E19" i="14" s="1"/>
  <c r="J453" i="17"/>
  <c r="J452" i="17"/>
  <c r="J451" i="17"/>
  <c r="J450" i="17"/>
  <c r="J449" i="17"/>
  <c r="J448" i="17"/>
  <c r="J447" i="17"/>
  <c r="J446" i="17"/>
  <c r="J445" i="17"/>
  <c r="J444" i="17"/>
  <c r="J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54" i="17" l="1"/>
  <c r="E21" i="14"/>
  <c r="C5" i="36" l="1"/>
  <c r="I455" i="17" s="1"/>
  <c r="I456" i="17" s="1"/>
  <c r="H456" i="17"/>
  <c r="Q752" i="35"/>
  <c r="Q753" i="35" s="1"/>
  <c r="Y8" i="8"/>
  <c r="Q747" i="35"/>
  <c r="P747" i="35"/>
  <c r="O747" i="35"/>
  <c r="N747" i="35"/>
  <c r="M747" i="35"/>
  <c r="L747" i="35"/>
  <c r="K747" i="35"/>
  <c r="J747" i="35"/>
  <c r="I747" i="35"/>
  <c r="H747" i="35"/>
  <c r="G747" i="35"/>
  <c r="F747" i="35"/>
  <c r="E747" i="35"/>
  <c r="Q748" i="35" s="1"/>
  <c r="B746" i="35"/>
  <c r="B745" i="35"/>
  <c r="B744" i="35"/>
  <c r="B743" i="35"/>
  <c r="B742" i="35"/>
  <c r="B741" i="35"/>
  <c r="B740" i="35"/>
  <c r="B739" i="35"/>
  <c r="B738" i="35"/>
  <c r="B737" i="35"/>
  <c r="B736" i="35"/>
  <c r="B735" i="35"/>
  <c r="B734" i="35"/>
  <c r="B733" i="35"/>
  <c r="B732" i="35"/>
  <c r="B731" i="35"/>
  <c r="B730" i="35"/>
  <c r="B729" i="35"/>
  <c r="B728" i="35"/>
  <c r="B727" i="35"/>
  <c r="B726" i="35"/>
  <c r="B725" i="35"/>
  <c r="B724" i="35"/>
  <c r="B723" i="35"/>
  <c r="B722" i="35"/>
  <c r="B721" i="35"/>
  <c r="B720" i="35"/>
  <c r="B719" i="35"/>
  <c r="B718" i="35"/>
  <c r="B717" i="35"/>
  <c r="B716" i="35"/>
  <c r="B715" i="35"/>
  <c r="B714" i="35"/>
  <c r="B713" i="35"/>
  <c r="B712" i="35"/>
  <c r="B711" i="35"/>
  <c r="B710" i="35"/>
  <c r="B709" i="35"/>
  <c r="B708" i="35"/>
  <c r="B707" i="35"/>
  <c r="B706" i="35"/>
  <c r="B705" i="35"/>
  <c r="B704" i="35"/>
  <c r="B703" i="35"/>
  <c r="B702" i="35"/>
  <c r="B701" i="35"/>
  <c r="B700" i="35"/>
  <c r="B699" i="35"/>
  <c r="B698" i="35"/>
  <c r="B697" i="35"/>
  <c r="B696" i="35"/>
  <c r="B695" i="35"/>
  <c r="B694" i="35"/>
  <c r="B693" i="35"/>
  <c r="B692" i="35"/>
  <c r="B691" i="35"/>
  <c r="B690" i="35"/>
  <c r="B689" i="35"/>
  <c r="B688" i="35"/>
  <c r="B687" i="35"/>
  <c r="B686" i="35"/>
  <c r="B685" i="35"/>
  <c r="B684" i="35"/>
  <c r="B683" i="35"/>
  <c r="B682" i="35"/>
  <c r="B681" i="35"/>
  <c r="B680" i="35"/>
  <c r="B679" i="35"/>
  <c r="B678" i="35"/>
  <c r="B677" i="35"/>
  <c r="B676" i="35"/>
  <c r="B675" i="35"/>
  <c r="B674" i="35"/>
  <c r="B673" i="35"/>
  <c r="B672" i="35"/>
  <c r="B671" i="35"/>
  <c r="B670" i="35"/>
  <c r="B669" i="35"/>
  <c r="B668" i="35"/>
  <c r="B667" i="35"/>
  <c r="B666" i="35"/>
  <c r="B665" i="35"/>
  <c r="B664" i="35"/>
  <c r="B663" i="35"/>
  <c r="B662" i="35"/>
  <c r="B661" i="35"/>
  <c r="B660" i="35"/>
  <c r="B659" i="35"/>
  <c r="B658" i="35"/>
  <c r="B657" i="35"/>
  <c r="B656" i="35"/>
  <c r="B655" i="35"/>
  <c r="B654" i="35"/>
  <c r="B653" i="35"/>
  <c r="B652" i="35"/>
  <c r="B651" i="35"/>
  <c r="B650" i="35"/>
  <c r="B649" i="35"/>
  <c r="B648" i="35"/>
  <c r="B647" i="35"/>
  <c r="B646" i="35"/>
  <c r="B645" i="35"/>
  <c r="B644" i="35"/>
  <c r="B643" i="35"/>
  <c r="B642" i="35"/>
  <c r="B641" i="35"/>
  <c r="B640" i="35"/>
  <c r="B639" i="35"/>
  <c r="B638" i="35"/>
  <c r="B637" i="35"/>
  <c r="B636" i="35"/>
  <c r="B635" i="35"/>
  <c r="B634" i="35"/>
  <c r="B633" i="35"/>
  <c r="B632" i="35"/>
  <c r="B631" i="35"/>
  <c r="B630" i="35"/>
  <c r="B629" i="35"/>
  <c r="B628" i="35"/>
  <c r="B627" i="35"/>
  <c r="B626" i="35"/>
  <c r="B625" i="35"/>
  <c r="B624" i="35"/>
  <c r="B623" i="35"/>
  <c r="B622" i="35"/>
  <c r="B621" i="35"/>
  <c r="B620" i="35"/>
  <c r="B619" i="35"/>
  <c r="B618" i="35"/>
  <c r="B617" i="35"/>
  <c r="B616" i="35"/>
  <c r="B615" i="35"/>
  <c r="B614" i="35"/>
  <c r="B613" i="35"/>
  <c r="B612" i="35"/>
  <c r="B611" i="35"/>
  <c r="B610" i="35"/>
  <c r="B609" i="35"/>
  <c r="B608" i="35"/>
  <c r="B607" i="35"/>
  <c r="B606" i="35"/>
  <c r="B605" i="35"/>
  <c r="B604" i="35"/>
  <c r="B603" i="35"/>
  <c r="B602" i="35"/>
  <c r="B601" i="35"/>
  <c r="B600" i="35"/>
  <c r="B599" i="35"/>
  <c r="B598" i="35"/>
  <c r="B597" i="35"/>
  <c r="B596" i="35"/>
  <c r="B595" i="35"/>
  <c r="B594" i="35"/>
  <c r="B593" i="35"/>
  <c r="B592" i="35"/>
  <c r="B591" i="35"/>
  <c r="B590" i="35"/>
  <c r="B589" i="35"/>
  <c r="B588" i="35"/>
  <c r="B587" i="35"/>
  <c r="B586" i="35"/>
  <c r="B585" i="35"/>
  <c r="B584" i="35"/>
  <c r="B583" i="35"/>
  <c r="B582" i="35"/>
  <c r="B581" i="35"/>
  <c r="B580" i="35"/>
  <c r="B579" i="35"/>
  <c r="B578" i="35"/>
  <c r="B577" i="35"/>
  <c r="B576" i="35"/>
  <c r="B575" i="35"/>
  <c r="B574" i="35"/>
  <c r="B573" i="35"/>
  <c r="B572" i="35"/>
  <c r="B571" i="35"/>
  <c r="B570" i="35"/>
  <c r="B569" i="35"/>
  <c r="B568" i="35"/>
  <c r="B567" i="35"/>
  <c r="B566" i="35"/>
  <c r="B565" i="35"/>
  <c r="B564" i="35"/>
  <c r="B563" i="35"/>
  <c r="B562" i="35"/>
  <c r="B561" i="35"/>
  <c r="B560" i="35"/>
  <c r="B559" i="35"/>
  <c r="B558" i="35"/>
  <c r="B557" i="35"/>
  <c r="B556" i="35"/>
  <c r="B555" i="35"/>
  <c r="B554" i="35"/>
  <c r="B553" i="35"/>
  <c r="B552" i="35"/>
  <c r="B551" i="35"/>
  <c r="B550" i="35"/>
  <c r="B549" i="35"/>
  <c r="B548" i="35"/>
  <c r="B547" i="35"/>
  <c r="B546" i="35"/>
  <c r="B545" i="35"/>
  <c r="B544" i="35"/>
  <c r="B543" i="35"/>
  <c r="B542" i="35"/>
  <c r="B541" i="35"/>
  <c r="B540" i="35"/>
  <c r="B539" i="35"/>
  <c r="B538" i="35"/>
  <c r="B537" i="35"/>
  <c r="B536" i="35"/>
  <c r="B535" i="35"/>
  <c r="B534" i="35"/>
  <c r="B533" i="35"/>
  <c r="B532" i="35"/>
  <c r="B531" i="35"/>
  <c r="B530" i="35"/>
  <c r="B529" i="35"/>
  <c r="B528" i="35"/>
  <c r="B527" i="35"/>
  <c r="B526" i="35"/>
  <c r="B525" i="35"/>
  <c r="B524" i="35"/>
  <c r="B523" i="35"/>
  <c r="B522" i="35"/>
  <c r="B521" i="35"/>
  <c r="B520" i="35"/>
  <c r="B519" i="35"/>
  <c r="B518" i="35"/>
  <c r="B517" i="35"/>
  <c r="B516" i="35"/>
  <c r="B515" i="35"/>
  <c r="B514" i="35"/>
  <c r="B513" i="35"/>
  <c r="B512" i="35"/>
  <c r="B511" i="35"/>
  <c r="B510" i="35"/>
  <c r="B509" i="35"/>
  <c r="B508" i="35"/>
  <c r="B507" i="35"/>
  <c r="B506" i="35"/>
  <c r="B505" i="35"/>
  <c r="B504" i="35"/>
  <c r="B503" i="35"/>
  <c r="B502" i="35"/>
  <c r="B501" i="35"/>
  <c r="B500" i="35"/>
  <c r="B499" i="35"/>
  <c r="B498" i="35"/>
  <c r="B497" i="35"/>
  <c r="B496" i="35"/>
  <c r="B495" i="35"/>
  <c r="B494" i="35"/>
  <c r="B493" i="35"/>
  <c r="B492" i="35"/>
  <c r="B491" i="35"/>
  <c r="B490" i="35"/>
  <c r="B489" i="35"/>
  <c r="B488" i="35"/>
  <c r="B487" i="35"/>
  <c r="B486" i="35"/>
  <c r="B485" i="35"/>
  <c r="B484" i="35"/>
  <c r="B483" i="35"/>
  <c r="B482" i="35"/>
  <c r="B481" i="35"/>
  <c r="B480" i="35"/>
  <c r="B479" i="35"/>
  <c r="B478" i="35"/>
  <c r="B477" i="35"/>
  <c r="B476" i="35"/>
  <c r="B475" i="35"/>
  <c r="B474" i="35"/>
  <c r="B473" i="35"/>
  <c r="B472" i="35"/>
  <c r="B471" i="35"/>
  <c r="B470" i="35"/>
  <c r="B469" i="35"/>
  <c r="B468" i="35"/>
  <c r="B467" i="35"/>
  <c r="B466" i="35"/>
  <c r="B465" i="35"/>
  <c r="B464" i="35"/>
  <c r="B463" i="35"/>
  <c r="B462" i="35"/>
  <c r="B461" i="35"/>
  <c r="B460" i="35"/>
  <c r="B459" i="35"/>
  <c r="B458" i="35"/>
  <c r="B457" i="35"/>
  <c r="B456" i="35"/>
  <c r="B455" i="35"/>
  <c r="B454" i="35"/>
  <c r="B453" i="35"/>
  <c r="B452" i="35"/>
  <c r="B451" i="35"/>
  <c r="B450" i="35"/>
  <c r="B449" i="35"/>
  <c r="B448" i="35"/>
  <c r="B447" i="35"/>
  <c r="B446" i="35"/>
  <c r="B445" i="35"/>
  <c r="B444" i="35"/>
  <c r="B443" i="35"/>
  <c r="B442" i="35"/>
  <c r="B441" i="35"/>
  <c r="B440" i="35"/>
  <c r="B439" i="35"/>
  <c r="B438" i="35"/>
  <c r="B437" i="35"/>
  <c r="B436" i="35"/>
  <c r="B435" i="35"/>
  <c r="B434" i="35"/>
  <c r="B433" i="35"/>
  <c r="B432" i="35"/>
  <c r="B431" i="35"/>
  <c r="B430" i="35"/>
  <c r="B429" i="35"/>
  <c r="B428" i="35"/>
  <c r="B427" i="35"/>
  <c r="B426" i="35"/>
  <c r="B425" i="35"/>
  <c r="B424" i="35"/>
  <c r="B423" i="35"/>
  <c r="B422" i="35"/>
  <c r="B421" i="35"/>
  <c r="B420" i="35"/>
  <c r="B419" i="35"/>
  <c r="B418" i="35"/>
  <c r="B417" i="35"/>
  <c r="B416" i="35"/>
  <c r="B415" i="35"/>
  <c r="B414" i="35"/>
  <c r="B413" i="35"/>
  <c r="B412" i="35"/>
  <c r="B411" i="35"/>
  <c r="B410" i="35"/>
  <c r="B409" i="35"/>
  <c r="B408" i="35"/>
  <c r="B407" i="35"/>
  <c r="B406" i="35"/>
  <c r="B405" i="35"/>
  <c r="B404" i="35"/>
  <c r="B403" i="35"/>
  <c r="B402" i="35"/>
  <c r="B401" i="35"/>
  <c r="B400" i="35"/>
  <c r="B399" i="35"/>
  <c r="B398" i="35"/>
  <c r="B397" i="35"/>
  <c r="B396" i="35"/>
  <c r="B395" i="35"/>
  <c r="B394" i="35"/>
  <c r="B393" i="35"/>
  <c r="B392" i="35"/>
  <c r="B391" i="35"/>
  <c r="B390" i="35"/>
  <c r="B389" i="35"/>
  <c r="B388" i="35"/>
  <c r="B387" i="35"/>
  <c r="B386" i="35"/>
  <c r="B385" i="35"/>
  <c r="B384" i="35"/>
  <c r="B383" i="35"/>
  <c r="B382" i="35"/>
  <c r="B381" i="35"/>
  <c r="B380" i="35"/>
  <c r="B379" i="35"/>
  <c r="B378" i="35"/>
  <c r="B377" i="35"/>
  <c r="B376" i="35"/>
  <c r="B375" i="35"/>
  <c r="B374" i="35"/>
  <c r="B373" i="35"/>
  <c r="B372" i="35"/>
  <c r="B371" i="35"/>
  <c r="B370" i="35"/>
  <c r="B369" i="35"/>
  <c r="B368" i="35"/>
  <c r="B367" i="35"/>
  <c r="B366" i="35"/>
  <c r="B365" i="35"/>
  <c r="B364" i="35"/>
  <c r="B363" i="35"/>
  <c r="B362" i="35"/>
  <c r="B361" i="35"/>
  <c r="B360" i="35"/>
  <c r="B359" i="35"/>
  <c r="B358" i="35"/>
  <c r="B357" i="35"/>
  <c r="B356" i="35"/>
  <c r="B355" i="35"/>
  <c r="B354" i="35"/>
  <c r="B353" i="35"/>
  <c r="B352" i="35"/>
  <c r="B351" i="35"/>
  <c r="B350" i="35"/>
  <c r="B349" i="35"/>
  <c r="B348" i="35"/>
  <c r="B347" i="35"/>
  <c r="B346" i="35"/>
  <c r="B345" i="35"/>
  <c r="B344" i="35"/>
  <c r="B343" i="35"/>
  <c r="B342" i="35"/>
  <c r="B341" i="35"/>
  <c r="B340" i="35"/>
  <c r="B339" i="35"/>
  <c r="B338" i="35"/>
  <c r="B337" i="35"/>
  <c r="B336" i="35"/>
  <c r="B335" i="35"/>
  <c r="B334" i="35"/>
  <c r="B333" i="35"/>
  <c r="B332" i="35"/>
  <c r="B331" i="35"/>
  <c r="B330" i="35"/>
  <c r="B329" i="35"/>
  <c r="B328" i="35"/>
  <c r="B327" i="35"/>
  <c r="B326" i="35"/>
  <c r="B325" i="35"/>
  <c r="B324" i="35"/>
  <c r="B323" i="35"/>
  <c r="B322" i="35"/>
  <c r="B321" i="35"/>
  <c r="B320" i="35"/>
  <c r="B319" i="35"/>
  <c r="B318" i="35"/>
  <c r="B317" i="35"/>
  <c r="B316" i="35"/>
  <c r="B315" i="35"/>
  <c r="B314" i="35"/>
  <c r="B313" i="35"/>
  <c r="B312" i="35"/>
  <c r="B311" i="35"/>
  <c r="B310" i="35"/>
  <c r="B309" i="35"/>
  <c r="B308" i="35"/>
  <c r="B307" i="35"/>
  <c r="B306" i="35"/>
  <c r="B305" i="35"/>
  <c r="B304" i="35"/>
  <c r="B303" i="35"/>
  <c r="B302" i="35"/>
  <c r="B301" i="35"/>
  <c r="B300" i="35"/>
  <c r="B299" i="35"/>
  <c r="B298" i="35"/>
  <c r="B297" i="35"/>
  <c r="B296" i="35"/>
  <c r="B295" i="35"/>
  <c r="B294" i="35"/>
  <c r="B293" i="35"/>
  <c r="B292" i="35"/>
  <c r="B291" i="35"/>
  <c r="B290" i="35"/>
  <c r="B289" i="35"/>
  <c r="B288" i="35"/>
  <c r="B287" i="35"/>
  <c r="B286" i="35"/>
  <c r="B285" i="35"/>
  <c r="B284" i="35"/>
  <c r="B283" i="35"/>
  <c r="B282" i="35"/>
  <c r="B281" i="35"/>
  <c r="B280" i="35"/>
  <c r="B279" i="35"/>
  <c r="B278" i="35"/>
  <c r="B277" i="35"/>
  <c r="B276" i="35"/>
  <c r="B275" i="35"/>
  <c r="B274" i="35"/>
  <c r="B273" i="35"/>
  <c r="B272" i="35"/>
  <c r="B271" i="35"/>
  <c r="B270" i="35"/>
  <c r="B269" i="35"/>
  <c r="B268" i="35"/>
  <c r="B267" i="35"/>
  <c r="B266" i="35"/>
  <c r="B265" i="35"/>
  <c r="B264" i="35"/>
  <c r="B263" i="35"/>
  <c r="B262" i="35"/>
  <c r="B261" i="35"/>
  <c r="B260" i="35"/>
  <c r="B259" i="35"/>
  <c r="B258" i="35"/>
  <c r="B257" i="35"/>
  <c r="B256" i="35"/>
  <c r="B255" i="35"/>
  <c r="B254" i="35"/>
  <c r="B253" i="35"/>
  <c r="B252" i="35"/>
  <c r="B251" i="35"/>
  <c r="B250" i="35"/>
  <c r="B249" i="35"/>
  <c r="B248" i="35"/>
  <c r="B247" i="35"/>
  <c r="B246" i="35"/>
  <c r="B245" i="35"/>
  <c r="B244" i="35"/>
  <c r="B243" i="35"/>
  <c r="B242" i="35"/>
  <c r="B241" i="35"/>
  <c r="B240" i="35"/>
  <c r="B239" i="35"/>
  <c r="B238" i="35"/>
  <c r="B237" i="35"/>
  <c r="B236" i="35"/>
  <c r="B235" i="35"/>
  <c r="B234" i="35"/>
  <c r="B233" i="35"/>
  <c r="B232" i="35"/>
  <c r="B231" i="35"/>
  <c r="B230" i="35"/>
  <c r="B229" i="35"/>
  <c r="B228" i="35"/>
  <c r="B227" i="35"/>
  <c r="B226" i="35"/>
  <c r="B225" i="35"/>
  <c r="B224" i="35"/>
  <c r="B223" i="35"/>
  <c r="B222" i="35"/>
  <c r="B221" i="35"/>
  <c r="B220" i="35"/>
  <c r="B219" i="35"/>
  <c r="B218" i="35"/>
  <c r="B217" i="35"/>
  <c r="B216" i="35"/>
  <c r="B215" i="35"/>
  <c r="B214" i="35"/>
  <c r="B213" i="35"/>
  <c r="B212" i="35"/>
  <c r="B211" i="35"/>
  <c r="B210" i="35"/>
  <c r="B209" i="35"/>
  <c r="B208" i="35"/>
  <c r="B207" i="35"/>
  <c r="B206" i="35"/>
  <c r="B205" i="35"/>
  <c r="B204" i="35"/>
  <c r="B203" i="35"/>
  <c r="B202" i="35"/>
  <c r="B201" i="35"/>
  <c r="B200" i="35"/>
  <c r="B199" i="35"/>
  <c r="B198" i="35"/>
  <c r="B197" i="35"/>
  <c r="B196" i="35"/>
  <c r="B195" i="35"/>
  <c r="B194" i="35"/>
  <c r="B193" i="35"/>
  <c r="B192" i="35"/>
  <c r="B191" i="35"/>
  <c r="B190" i="35"/>
  <c r="B189" i="35"/>
  <c r="B188" i="35"/>
  <c r="B187" i="35"/>
  <c r="B186" i="35"/>
  <c r="B185" i="35"/>
  <c r="B184" i="35"/>
  <c r="B183" i="35"/>
  <c r="B182" i="35"/>
  <c r="B181" i="35"/>
  <c r="B180" i="35"/>
  <c r="B179" i="35"/>
  <c r="B178" i="35"/>
  <c r="B177" i="35"/>
  <c r="B176" i="35"/>
  <c r="B175" i="35"/>
  <c r="B174" i="35"/>
  <c r="B173" i="35"/>
  <c r="B172" i="35"/>
  <c r="B171" i="35"/>
  <c r="B170" i="35"/>
  <c r="B169" i="35"/>
  <c r="B168" i="35"/>
  <c r="B167" i="35"/>
  <c r="B166" i="35"/>
  <c r="B165" i="35"/>
  <c r="B164" i="35"/>
  <c r="B163" i="35"/>
  <c r="B162" i="35"/>
  <c r="B161" i="35"/>
  <c r="B160" i="35"/>
  <c r="B159" i="35"/>
  <c r="B158" i="35"/>
  <c r="B157" i="35"/>
  <c r="B156" i="35"/>
  <c r="B155" i="35"/>
  <c r="B154" i="35"/>
  <c r="B153" i="35"/>
  <c r="B152" i="35"/>
  <c r="B151" i="35"/>
  <c r="B150" i="35"/>
  <c r="B149" i="35"/>
  <c r="B148" i="35"/>
  <c r="B147" i="35"/>
  <c r="B146" i="35"/>
  <c r="B145" i="35"/>
  <c r="B144" i="35"/>
  <c r="B143" i="35"/>
  <c r="B142" i="35"/>
  <c r="B141" i="35"/>
  <c r="B140" i="35"/>
  <c r="B139" i="35"/>
  <c r="B138" i="35"/>
  <c r="B137" i="35"/>
  <c r="B136" i="35"/>
  <c r="B135" i="35"/>
  <c r="B134" i="35"/>
  <c r="B133" i="35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7" i="35"/>
  <c r="B56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747" i="35" s="1"/>
  <c r="Q749" i="35" l="1"/>
  <c r="C20" i="8" l="1"/>
  <c r="L20" i="8" s="1"/>
  <c r="C19" i="8"/>
  <c r="L19" i="8" s="1"/>
  <c r="C18" i="8"/>
  <c r="L18" i="8" s="1"/>
  <c r="C17" i="8"/>
  <c r="L17" i="8" s="1"/>
  <c r="C13" i="8"/>
  <c r="L13" i="8" s="1"/>
  <c r="C12" i="8"/>
  <c r="L12" i="8" s="1"/>
  <c r="C10" i="8"/>
  <c r="L10" i="8" s="1"/>
  <c r="C9" i="8"/>
  <c r="L9" i="8" s="1"/>
  <c r="C8" i="8"/>
  <c r="L8" i="8" s="1"/>
  <c r="L14" i="8" s="1"/>
  <c r="L21" i="8" l="1"/>
  <c r="E11" i="11"/>
  <c r="R11" i="11" s="1"/>
  <c r="R20" i="8"/>
  <c r="R19" i="8"/>
  <c r="R18" i="8"/>
  <c r="R17" i="8"/>
  <c r="R13" i="8" l="1"/>
  <c r="R12" i="8" l="1"/>
  <c r="R10" i="8"/>
  <c r="R9" i="8"/>
  <c r="R8" i="8"/>
  <c r="C14" i="29" l="1"/>
  <c r="AH17" i="29"/>
  <c r="AH16" i="29"/>
  <c r="C21" i="29" l="1"/>
  <c r="B21" i="29"/>
  <c r="C20" i="29"/>
  <c r="B20" i="29"/>
  <c r="C19" i="29"/>
  <c r="B19" i="29"/>
  <c r="D17" i="8" l="1"/>
  <c r="M17" i="8" s="1"/>
  <c r="D10" i="8"/>
  <c r="M10" i="8" s="1"/>
  <c r="D9" i="8"/>
  <c r="M9" i="8" s="1"/>
  <c r="D8" i="8"/>
  <c r="M8" i="8" s="1"/>
  <c r="G23" i="7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A18" i="7"/>
  <c r="A19" i="7" s="1"/>
  <c r="A20" i="7" s="1"/>
  <c r="A21" i="7" s="1"/>
  <c r="A22" i="7" s="1"/>
  <c r="E19" i="7"/>
  <c r="D19" i="7"/>
  <c r="C19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A56" i="2"/>
  <c r="A57" i="2"/>
  <c r="A58" i="2"/>
  <c r="A59" i="2" s="1"/>
  <c r="A60" i="2" s="1"/>
  <c r="A61" i="2" s="1"/>
  <c r="A62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1" i="1"/>
  <c r="A27" i="1"/>
  <c r="A28" i="1"/>
  <c r="A29" i="1"/>
  <c r="A30" i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31" i="1" l="1"/>
  <c r="D29" i="13"/>
  <c r="C29" i="13" s="1"/>
  <c r="E28" i="13"/>
  <c r="C28" i="13"/>
  <c r="E31" i="12"/>
  <c r="C30" i="12"/>
  <c r="D31" i="12"/>
  <c r="D29" i="12"/>
  <c r="E29" i="12" s="1"/>
  <c r="E30" i="12" s="1"/>
  <c r="D28" i="13" l="1"/>
  <c r="F28" i="13" s="1"/>
  <c r="G28" i="13" s="1"/>
  <c r="D30" i="13"/>
  <c r="E29" i="13"/>
  <c r="E30" i="13" s="1"/>
  <c r="E31" i="13" s="1"/>
  <c r="D30" i="12"/>
  <c r="C29" i="12"/>
  <c r="B22" i="29"/>
  <c r="B13" i="29" s="1"/>
  <c r="C22" i="29"/>
  <c r="C13" i="29" s="1"/>
  <c r="D31" i="13" l="1"/>
  <c r="C30" i="13"/>
  <c r="C31" i="13" s="1"/>
  <c r="C15" i="29" l="1"/>
  <c r="C7" i="29" s="1"/>
  <c r="C9" i="29" s="1"/>
  <c r="B15" i="29"/>
  <c r="B7" i="29" s="1"/>
  <c r="B9" i="29" s="1"/>
  <c r="H9" i="24" l="1"/>
  <c r="G9" i="24"/>
  <c r="F9" i="24"/>
  <c r="E9" i="24"/>
  <c r="D9" i="24"/>
  <c r="C9" i="24"/>
  <c r="J27" i="20" l="1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I4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J28" i="20" l="1"/>
  <c r="I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AA12" i="16"/>
  <c r="Z12" i="16"/>
  <c r="AA11" i="16"/>
  <c r="Z11" i="16"/>
  <c r="AA10" i="16"/>
  <c r="Z10" i="16"/>
  <c r="AA9" i="16"/>
  <c r="Z9" i="16"/>
  <c r="AA8" i="16"/>
  <c r="Z8" i="16"/>
  <c r="AA7" i="16"/>
  <c r="Z7" i="16"/>
  <c r="AA6" i="16"/>
  <c r="Z6" i="16"/>
  <c r="V12" i="16"/>
  <c r="U12" i="16"/>
  <c r="V11" i="16"/>
  <c r="U11" i="16"/>
  <c r="V10" i="16"/>
  <c r="U10" i="16"/>
  <c r="V9" i="16"/>
  <c r="U9" i="16"/>
  <c r="V8" i="16"/>
  <c r="U8" i="16"/>
  <c r="V7" i="16"/>
  <c r="U7" i="16"/>
  <c r="V6" i="16"/>
  <c r="U6" i="16"/>
  <c r="Q12" i="16"/>
  <c r="P12" i="16"/>
  <c r="Q11" i="16"/>
  <c r="P11" i="16"/>
  <c r="Q10" i="16"/>
  <c r="P10" i="16"/>
  <c r="Q9" i="16"/>
  <c r="P9" i="16"/>
  <c r="Q8" i="16"/>
  <c r="P8" i="16"/>
  <c r="Q7" i="16"/>
  <c r="P7" i="16"/>
  <c r="Q6" i="16"/>
  <c r="P6" i="16"/>
  <c r="K28" i="20" l="1"/>
  <c r="K30" i="20" s="1"/>
  <c r="AK12" i="16" l="1"/>
  <c r="AJ12" i="16"/>
  <c r="AK11" i="16"/>
  <c r="AE11" i="16"/>
  <c r="AF10" i="16"/>
  <c r="AE10" i="16"/>
  <c r="AJ9" i="16"/>
  <c r="AF8" i="16"/>
  <c r="AP8" i="16" s="1"/>
  <c r="AB8" i="16"/>
  <c r="AK7" i="16"/>
  <c r="I1" i="17"/>
  <c r="H1" i="17"/>
  <c r="AO11" i="16" l="1"/>
  <c r="AB12" i="16"/>
  <c r="AP10" i="16"/>
  <c r="W11" i="16"/>
  <c r="AB9" i="16"/>
  <c r="AB7" i="16"/>
  <c r="AT12" i="16"/>
  <c r="AF7" i="16"/>
  <c r="AP7" i="16" s="1"/>
  <c r="AF11" i="16"/>
  <c r="AP11" i="16" s="1"/>
  <c r="Z13" i="16"/>
  <c r="R9" i="16"/>
  <c r="AO10" i="16"/>
  <c r="AG10" i="16"/>
  <c r="V13" i="16"/>
  <c r="R8" i="16"/>
  <c r="AE8" i="16"/>
  <c r="AE12" i="16"/>
  <c r="AO12" i="16" s="1"/>
  <c r="AJ7" i="16"/>
  <c r="AT7" i="16" s="1"/>
  <c r="AK8" i="16"/>
  <c r="AU8" i="16" s="1"/>
  <c r="Q13" i="16"/>
  <c r="AA13" i="16"/>
  <c r="AJ6" i="16"/>
  <c r="R7" i="16"/>
  <c r="AF12" i="16"/>
  <c r="AP12" i="16" s="1"/>
  <c r="AJ8" i="16"/>
  <c r="AT8" i="16" s="1"/>
  <c r="AK9" i="16"/>
  <c r="AU9" i="16" s="1"/>
  <c r="R6" i="16"/>
  <c r="AE9" i="16"/>
  <c r="AO9" i="16" s="1"/>
  <c r="AK10" i="16"/>
  <c r="AU10" i="16" s="1"/>
  <c r="AF9" i="16"/>
  <c r="AP9" i="16" s="1"/>
  <c r="AJ10" i="16"/>
  <c r="U13" i="16"/>
  <c r="AB11" i="16"/>
  <c r="R12" i="16"/>
  <c r="AE6" i="16"/>
  <c r="AO6" i="16" s="1"/>
  <c r="AJ11" i="16"/>
  <c r="AT11" i="16" s="1"/>
  <c r="R11" i="16"/>
  <c r="AF6" i="16"/>
  <c r="AP6" i="16" s="1"/>
  <c r="AB10" i="16"/>
  <c r="R10" i="16"/>
  <c r="AE7" i="16"/>
  <c r="AO7" i="16" s="1"/>
  <c r="AK6" i="16"/>
  <c r="AU6" i="16" s="1"/>
  <c r="AL12" i="16"/>
  <c r="AU12" i="16"/>
  <c r="AB6" i="16"/>
  <c r="W10" i="16"/>
  <c r="W12" i="16"/>
  <c r="W7" i="16"/>
  <c r="W8" i="16"/>
  <c r="W9" i="16"/>
  <c r="W6" i="16"/>
  <c r="P13" i="16"/>
  <c r="AQ11" i="16" l="1"/>
  <c r="AQ10" i="16"/>
  <c r="R13" i="16"/>
  <c r="AV8" i="16"/>
  <c r="AQ9" i="16"/>
  <c r="AB13" i="16"/>
  <c r="AQ12" i="16"/>
  <c r="AL8" i="16"/>
  <c r="AE13" i="16"/>
  <c r="AG11" i="16"/>
  <c r="AQ7" i="16"/>
  <c r="AL6" i="16"/>
  <c r="AP13" i="16"/>
  <c r="E9" i="14" s="1"/>
  <c r="AO8" i="16"/>
  <c r="AG8" i="16"/>
  <c r="AT6" i="16"/>
  <c r="AG6" i="16"/>
  <c r="AG9" i="16"/>
  <c r="AQ6" i="16"/>
  <c r="AG7" i="16"/>
  <c r="AF13" i="16"/>
  <c r="AG12" i="16"/>
  <c r="AV12" i="16"/>
  <c r="AJ13" i="16"/>
  <c r="AT9" i="16"/>
  <c r="AL7" i="16"/>
  <c r="AL11" i="16"/>
  <c r="AU11" i="16"/>
  <c r="AK13" i="16"/>
  <c r="AU7" i="16"/>
  <c r="AL9" i="16"/>
  <c r="AL10" i="16"/>
  <c r="AT10" i="16"/>
  <c r="W13" i="16"/>
  <c r="AG13" i="16" l="1"/>
  <c r="AQ8" i="16"/>
  <c r="AO13" i="16"/>
  <c r="E10" i="14" s="1"/>
  <c r="E11" i="14" s="1"/>
  <c r="AV6" i="16"/>
  <c r="AV7" i="16"/>
  <c r="AV11" i="16"/>
  <c r="AL13" i="16"/>
  <c r="AV10" i="16"/>
  <c r="AV9" i="16"/>
  <c r="AT13" i="16"/>
  <c r="E15" i="14" s="1"/>
  <c r="AU13" i="16"/>
  <c r="E14" i="14" s="1"/>
  <c r="E16" i="14" l="1"/>
  <c r="AQ13" i="16"/>
  <c r="AV13" i="16"/>
  <c r="M11" i="16" l="1"/>
  <c r="AZ11" i="16" s="1"/>
  <c r="L11" i="16"/>
  <c r="AY11" i="16" s="1"/>
  <c r="K11" i="16"/>
  <c r="AX11" i="16" s="1"/>
  <c r="M10" i="16" l="1"/>
  <c r="L10" i="16"/>
  <c r="K10" i="16"/>
  <c r="M13" i="16"/>
  <c r="L13" i="16"/>
  <c r="K13" i="16"/>
  <c r="M12" i="16"/>
  <c r="AZ12" i="16" s="1"/>
  <c r="L12" i="16"/>
  <c r="AY12" i="16" s="1"/>
  <c r="K12" i="16"/>
  <c r="AX12" i="16" s="1"/>
  <c r="M9" i="16"/>
  <c r="AZ9" i="16" s="1"/>
  <c r="L9" i="16"/>
  <c r="AY9" i="16" s="1"/>
  <c r="K9" i="16"/>
  <c r="AX9" i="16" s="1"/>
  <c r="M8" i="16"/>
  <c r="AZ8" i="16" s="1"/>
  <c r="L8" i="16"/>
  <c r="AY8" i="16" s="1"/>
  <c r="K8" i="16"/>
  <c r="AX8" i="16" s="1"/>
  <c r="M7" i="16"/>
  <c r="AZ7" i="16" s="1"/>
  <c r="L7" i="16"/>
  <c r="AY7" i="16" s="1"/>
  <c r="K7" i="16"/>
  <c r="AX7" i="16" s="1"/>
  <c r="M6" i="16"/>
  <c r="AZ6" i="16" s="1"/>
  <c r="L6" i="16"/>
  <c r="AY6" i="16" s="1"/>
  <c r="K6" i="16"/>
  <c r="AX6" i="16" s="1"/>
  <c r="L5" i="16"/>
  <c r="K5" i="16"/>
  <c r="AX13" i="16" l="1"/>
  <c r="K17" i="16"/>
  <c r="AZ13" i="16"/>
  <c r="M17" i="16"/>
  <c r="AY13" i="16"/>
  <c r="L17" i="16"/>
  <c r="B2" i="20"/>
  <c r="B2" i="22"/>
  <c r="C2" i="20"/>
  <c r="C2" i="22"/>
  <c r="D2" i="20"/>
  <c r="D2" i="22"/>
  <c r="AX10" i="16"/>
  <c r="AY10" i="16"/>
  <c r="AZ10" i="16"/>
  <c r="J1" i="17"/>
  <c r="K16" i="16"/>
  <c r="L16" i="16"/>
  <c r="M16" i="16"/>
  <c r="D14" i="14" l="1"/>
  <c r="D19" i="14" l="1"/>
  <c r="A28" i="9"/>
  <c r="A27" i="9"/>
  <c r="A26" i="9"/>
  <c r="A25" i="9"/>
  <c r="A24" i="9"/>
  <c r="A23" i="9"/>
  <c r="C22" i="9"/>
  <c r="C23" i="9" s="1"/>
  <c r="A22" i="9"/>
  <c r="F21" i="9"/>
  <c r="A21" i="9"/>
  <c r="A20" i="9"/>
  <c r="A19" i="9"/>
  <c r="A18" i="9"/>
  <c r="A17" i="9"/>
  <c r="A16" i="9"/>
  <c r="A15" i="9"/>
  <c r="A14" i="9"/>
  <c r="A13" i="9"/>
  <c r="C12" i="9"/>
  <c r="F12" i="9" s="1"/>
  <c r="F13" i="9" s="1"/>
  <c r="A12" i="9"/>
  <c r="F11" i="9"/>
  <c r="A11" i="9"/>
  <c r="F10" i="9"/>
  <c r="A10" i="9"/>
  <c r="A9" i="9"/>
  <c r="A8" i="9"/>
  <c r="A7" i="9"/>
  <c r="F6" i="9"/>
  <c r="A6" i="9"/>
  <c r="J62" i="5"/>
  <c r="E6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J62" i="4"/>
  <c r="E6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/>
  <c r="J62" i="3"/>
  <c r="E6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7" i="3"/>
  <c r="J62" i="2"/>
  <c r="E62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R34" i="8"/>
  <c r="U27" i="8" s="1"/>
  <c r="C34" i="8"/>
  <c r="L34" i="8" s="1"/>
  <c r="N17" i="8" s="1"/>
  <c r="R33" i="8"/>
  <c r="C33" i="8"/>
  <c r="L33" i="8" s="1"/>
  <c r="R32" i="8"/>
  <c r="C32" i="8"/>
  <c r="L32" i="8" s="1"/>
  <c r="R31" i="8"/>
  <c r="C31" i="8"/>
  <c r="L31" i="8" s="1"/>
  <c r="R21" i="8"/>
  <c r="C21" i="8"/>
  <c r="R14" i="8"/>
  <c r="H8" i="11" s="1"/>
  <c r="C14" i="8"/>
  <c r="E8" i="11" s="1"/>
  <c r="S13" i="8"/>
  <c r="D13" i="8"/>
  <c r="M13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23" i="11"/>
  <c r="J22" i="11"/>
  <c r="B22" i="11"/>
  <c r="B21" i="11"/>
  <c r="B20" i="11"/>
  <c r="B19" i="11"/>
  <c r="B18" i="11"/>
  <c r="B17" i="11"/>
  <c r="B16" i="11"/>
  <c r="B15" i="11"/>
  <c r="B14" i="11"/>
  <c r="B13" i="11"/>
  <c r="B12" i="11"/>
  <c r="H11" i="11"/>
  <c r="U11" i="11" s="1"/>
  <c r="B11" i="11"/>
  <c r="B10" i="11"/>
  <c r="H9" i="11"/>
  <c r="U9" i="11" s="1"/>
  <c r="V9" i="11" s="1"/>
  <c r="W9" i="11" s="1"/>
  <c r="F9" i="11"/>
  <c r="B9" i="11"/>
  <c r="N13" i="8" l="1"/>
  <c r="N11" i="8"/>
  <c r="N8" i="8"/>
  <c r="N9" i="8"/>
  <c r="N10" i="8"/>
  <c r="H23" i="8"/>
  <c r="G23" i="8"/>
  <c r="I9" i="11"/>
  <c r="J9" i="11" s="1"/>
  <c r="L15" i="11"/>
  <c r="M15" i="11" s="1"/>
  <c r="E15" i="11"/>
  <c r="R15" i="11" s="1"/>
  <c r="H15" i="11"/>
  <c r="E10" i="11"/>
  <c r="R8" i="11"/>
  <c r="R10" i="11" s="1"/>
  <c r="T13" i="8"/>
  <c r="H10" i="11"/>
  <c r="U8" i="11"/>
  <c r="U10" i="11" s="1"/>
  <c r="H26" i="8"/>
  <c r="G26" i="8"/>
  <c r="T11" i="8"/>
  <c r="R26" i="8"/>
  <c r="R23" i="8"/>
  <c r="H12" i="11" s="1"/>
  <c r="C22" i="7"/>
  <c r="S8" i="8" s="1"/>
  <c r="D15" i="14" s="1"/>
  <c r="D16" i="14" s="1"/>
  <c r="A54" i="2"/>
  <c r="A55" i="2" s="1"/>
  <c r="C31" i="1"/>
  <c r="D22" i="7"/>
  <c r="S9" i="8" s="1"/>
  <c r="T9" i="8" s="1"/>
  <c r="A48" i="3"/>
  <c r="A49" i="3" s="1"/>
  <c r="D31" i="1"/>
  <c r="E22" i="7"/>
  <c r="S10" i="8" s="1"/>
  <c r="T10" i="8" s="1"/>
  <c r="A49" i="4"/>
  <c r="A50" i="4" s="1"/>
  <c r="A51" i="4" s="1"/>
  <c r="E31" i="1"/>
  <c r="E9" i="8"/>
  <c r="E10" i="8"/>
  <c r="D11" i="14"/>
  <c r="G22" i="7"/>
  <c r="S17" i="8" s="1"/>
  <c r="T17" i="8" s="1"/>
  <c r="E17" i="8"/>
  <c r="D18" i="8"/>
  <c r="F17" i="9"/>
  <c r="D12" i="8"/>
  <c r="C25" i="9"/>
  <c r="S20" i="8" s="1"/>
  <c r="F22" i="9"/>
  <c r="F23" i="9" s="1"/>
  <c r="C13" i="9"/>
  <c r="E21" i="12"/>
  <c r="E22" i="12" s="1"/>
  <c r="E23" i="12" s="1"/>
  <c r="C19" i="12"/>
  <c r="C21" i="12" s="1"/>
  <c r="C22" i="12" s="1"/>
  <c r="D19" i="12"/>
  <c r="D21" i="12" s="1"/>
  <c r="D22" i="12" s="1"/>
  <c r="C23" i="8"/>
  <c r="C26" i="8"/>
  <c r="G9" i="11"/>
  <c r="E11" i="8"/>
  <c r="E8" i="8"/>
  <c r="E13" i="8"/>
  <c r="F27" i="8"/>
  <c r="E18" i="8" l="1"/>
  <c r="M18" i="8"/>
  <c r="D14" i="8"/>
  <c r="F8" i="11" s="1"/>
  <c r="M12" i="8"/>
  <c r="E12" i="11"/>
  <c r="E13" i="11" s="1"/>
  <c r="E14" i="11" s="1"/>
  <c r="E16" i="11" s="1"/>
  <c r="L23" i="8"/>
  <c r="L24" i="8" s="1"/>
  <c r="L26" i="8"/>
  <c r="G23" i="11"/>
  <c r="G8" i="11"/>
  <c r="S8" i="11"/>
  <c r="U15" i="11"/>
  <c r="I15" i="11"/>
  <c r="J15" i="11" s="1"/>
  <c r="J23" i="11"/>
  <c r="J17" i="11" s="1"/>
  <c r="H13" i="11"/>
  <c r="H14" i="11" s="1"/>
  <c r="H16" i="11" s="1"/>
  <c r="U12" i="11"/>
  <c r="U13" i="11" s="1"/>
  <c r="U14" i="11" s="1"/>
  <c r="U16" i="11" s="1"/>
  <c r="E12" i="8"/>
  <c r="G8" i="15"/>
  <c r="S15" i="11"/>
  <c r="T15" i="11" s="1"/>
  <c r="T23" i="11"/>
  <c r="F15" i="11"/>
  <c r="G15" i="11" s="1"/>
  <c r="G24" i="8"/>
  <c r="G27" i="8" s="1"/>
  <c r="G29" i="8" s="1"/>
  <c r="L12" i="11"/>
  <c r="L13" i="11" s="1"/>
  <c r="L14" i="11" s="1"/>
  <c r="L16" i="11" s="1"/>
  <c r="T8" i="8"/>
  <c r="G6" i="15" s="1"/>
  <c r="V8" i="8"/>
  <c r="H24" i="8"/>
  <c r="H27" i="8" s="1"/>
  <c r="H29" i="8" s="1"/>
  <c r="M12" i="11"/>
  <c r="M13" i="11" s="1"/>
  <c r="M14" i="11" s="1"/>
  <c r="M16" i="11" s="1"/>
  <c r="R24" i="8"/>
  <c r="R27" i="8" s="1"/>
  <c r="R29" i="8" s="1"/>
  <c r="D23" i="8"/>
  <c r="D26" i="8"/>
  <c r="M26" i="8" s="1"/>
  <c r="S18" i="8"/>
  <c r="T18" i="8" s="1"/>
  <c r="F10" i="11"/>
  <c r="G10" i="11" s="1"/>
  <c r="D20" i="14"/>
  <c r="D21" i="14" s="1"/>
  <c r="S19" i="8"/>
  <c r="F27" i="9"/>
  <c r="S12" i="8"/>
  <c r="C15" i="9"/>
  <c r="D20" i="8" s="1"/>
  <c r="M20" i="8" s="1"/>
  <c r="N20" i="8" s="1"/>
  <c r="D19" i="8"/>
  <c r="M19" i="8" s="1"/>
  <c r="N19" i="8" s="1"/>
  <c r="C18" i="9"/>
  <c r="C28" i="9"/>
  <c r="T20" i="8"/>
  <c r="D23" i="12"/>
  <c r="D25" i="12" s="1"/>
  <c r="C28" i="12"/>
  <c r="C31" i="12"/>
  <c r="C24" i="8"/>
  <c r="C27" i="8" s="1"/>
  <c r="C29" i="8" s="1"/>
  <c r="E25" i="12"/>
  <c r="E28" i="12" s="1"/>
  <c r="E23" i="8" l="1"/>
  <c r="M23" i="8"/>
  <c r="N23" i="8" s="1"/>
  <c r="N12" i="8"/>
  <c r="N14" i="8" s="1"/>
  <c r="M14" i="8"/>
  <c r="L27" i="8"/>
  <c r="L29" i="8" s="1"/>
  <c r="N18" i="8"/>
  <c r="N21" i="8" s="1"/>
  <c r="M21" i="8"/>
  <c r="M24" i="8" s="1"/>
  <c r="M27" i="8"/>
  <c r="M29" i="8" s="1"/>
  <c r="R12" i="11"/>
  <c r="R13" i="11" s="1"/>
  <c r="R14" i="11" s="1"/>
  <c r="R16" i="11" s="1"/>
  <c r="H28" i="11"/>
  <c r="H8" i="15"/>
  <c r="E14" i="8"/>
  <c r="F26" i="8" s="1"/>
  <c r="V15" i="11"/>
  <c r="W15" i="11" s="1"/>
  <c r="W23" i="11"/>
  <c r="W17" i="11" s="1"/>
  <c r="S10" i="11"/>
  <c r="T8" i="11"/>
  <c r="F11" i="11"/>
  <c r="D21" i="8"/>
  <c r="D24" i="8" s="1"/>
  <c r="D27" i="8" s="1"/>
  <c r="D29" i="8" s="1"/>
  <c r="E19" i="8"/>
  <c r="E20" i="8"/>
  <c r="F12" i="11"/>
  <c r="T12" i="8"/>
  <c r="S14" i="8"/>
  <c r="T19" i="8"/>
  <c r="T21" i="8" s="1"/>
  <c r="S21" i="8"/>
  <c r="I11" i="11"/>
  <c r="V11" i="11" s="1"/>
  <c r="E28" i="11"/>
  <c r="D28" i="12"/>
  <c r="F28" i="12" s="1"/>
  <c r="G28" i="12" s="1"/>
  <c r="H6" i="15"/>
  <c r="N24" i="8" l="1"/>
  <c r="N29" i="8" s="1"/>
  <c r="W11" i="11"/>
  <c r="F13" i="11"/>
  <c r="S12" i="11"/>
  <c r="T12" i="11" s="1"/>
  <c r="G11" i="11"/>
  <c r="S11" i="11"/>
  <c r="T10" i="11"/>
  <c r="F14" i="8"/>
  <c r="G12" i="11"/>
  <c r="G9" i="15"/>
  <c r="F14" i="11"/>
  <c r="G13" i="11"/>
  <c r="E21" i="8"/>
  <c r="S23" i="8"/>
  <c r="I8" i="11"/>
  <c r="V8" i="11" s="1"/>
  <c r="S26" i="8"/>
  <c r="J11" i="11"/>
  <c r="G7" i="15"/>
  <c r="T14" i="8"/>
  <c r="W8" i="11" l="1"/>
  <c r="V10" i="11"/>
  <c r="T11" i="11"/>
  <c r="S13" i="11"/>
  <c r="H7" i="15"/>
  <c r="U26" i="8"/>
  <c r="J8" i="11"/>
  <c r="I10" i="11"/>
  <c r="T23" i="8"/>
  <c r="I12" i="11"/>
  <c r="V12" i="11" s="1"/>
  <c r="U14" i="8"/>
  <c r="S24" i="8"/>
  <c r="S27" i="8" s="1"/>
  <c r="S29" i="8" s="1"/>
  <c r="E24" i="8"/>
  <c r="E29" i="8" s="1"/>
  <c r="G14" i="11"/>
  <c r="F16" i="11"/>
  <c r="W12" i="11" l="1"/>
  <c r="V13" i="11"/>
  <c r="W13" i="11" s="1"/>
  <c r="T13" i="11"/>
  <c r="S14" i="11"/>
  <c r="V14" i="11"/>
  <c r="W10" i="11"/>
  <c r="H9" i="15"/>
  <c r="F11" i="15"/>
  <c r="F29" i="8"/>
  <c r="J12" i="11"/>
  <c r="I13" i="11"/>
  <c r="J13" i="11" s="1"/>
  <c r="J10" i="11"/>
  <c r="G16" i="11"/>
  <c r="G28" i="11" s="1"/>
  <c r="F28" i="11"/>
  <c r="G10" i="15"/>
  <c r="T24" i="8"/>
  <c r="T29" i="8" s="1"/>
  <c r="V16" i="11" l="1"/>
  <c r="W16" i="11" s="1"/>
  <c r="W18" i="11" s="1"/>
  <c r="W14" i="11"/>
  <c r="S16" i="11"/>
  <c r="T16" i="11" s="1"/>
  <c r="T14" i="11"/>
  <c r="I14" i="11"/>
  <c r="I16" i="11" s="1"/>
  <c r="H10" i="15"/>
  <c r="H11" i="15" s="1"/>
  <c r="J11" i="15" s="1"/>
  <c r="G11" i="15"/>
  <c r="H14" i="15" s="1"/>
  <c r="U29" i="8"/>
  <c r="J14" i="11" l="1"/>
  <c r="J16" i="11"/>
  <c r="J18" i="11" s="1"/>
  <c r="I28" i="11"/>
  <c r="J28" i="11" l="1"/>
</calcChain>
</file>

<file path=xl/sharedStrings.xml><?xml version="1.0" encoding="utf-8"?>
<sst xmlns="http://schemas.openxmlformats.org/spreadsheetml/2006/main" count="7901" uniqueCount="1975">
  <si>
    <t>Program Name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</si>
  <si>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</si>
  <si>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</si>
  <si>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</si>
  <si>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</si>
  <si>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</si>
  <si>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</si>
  <si>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</si>
  <si>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</si>
  <si>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</si>
  <si>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</si>
  <si>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</si>
  <si>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</si>
  <si>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</si>
  <si>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</si>
  <si>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</si>
  <si>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</si>
  <si>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</si>
  <si>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</si>
  <si>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</si>
  <si>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</si>
  <si>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</si>
  <si>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</si>
  <si>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</si>
  <si>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</si>
  <si>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</si>
  <si>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</si>
  <si>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</si>
  <si>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</si>
  <si>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</si>
  <si>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</si>
  <si>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</si>
  <si>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</si>
  <si>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</si>
  <si>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</si>
  <si>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</si>
  <si>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</si>
  <si>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</si>
  <si>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</si>
  <si>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</si>
  <si>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</si>
  <si>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</si>
  <si>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</si>
  <si>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</si>
  <si>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</si>
  <si>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</si>
  <si>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</si>
  <si>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ADIT</t>
  </si>
  <si>
    <t>Accum Depr</t>
  </si>
  <si>
    <t>DFIT</t>
  </si>
  <si>
    <t>Pre-Capitalized Plant</t>
  </si>
  <si>
    <t>Depr Exp</t>
  </si>
  <si>
    <t>Line</t>
  </si>
  <si>
    <t>Depreciation</t>
  </si>
  <si>
    <t>No.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</si>
  <si>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</si>
  <si>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</si>
  <si>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</si>
  <si>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</si>
  <si>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</si>
  <si>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</si>
  <si>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</si>
  <si>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</si>
  <si>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</si>
  <si>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</si>
  <si>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</si>
  <si>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</si>
  <si>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</si>
  <si>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</si>
  <si>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</si>
  <si>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</si>
  <si>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</si>
  <si>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</si>
  <si>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</si>
  <si>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</si>
  <si>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</si>
  <si>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</si>
  <si>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</si>
  <si>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</si>
  <si>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</si>
  <si>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</si>
  <si>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</si>
  <si>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</si>
  <si>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</si>
  <si>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</si>
  <si>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</si>
  <si>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</si>
  <si>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</si>
  <si>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</si>
  <si>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</si>
  <si>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</si>
  <si>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</si>
  <si>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</si>
  <si>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</si>
  <si>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</si>
  <si>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</si>
  <si>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</si>
  <si>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</si>
  <si>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</si>
  <si>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</si>
  <si>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</si>
  <si>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</si>
  <si>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</si>
  <si>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GAS REVENUE REQUIREMENT</t>
  </si>
  <si>
    <t>(Surplus)</t>
  </si>
  <si>
    <t>Deficiency</t>
  </si>
  <si>
    <t>Total Gas</t>
  </si>
  <si>
    <t>Electric</t>
  </si>
  <si>
    <t>Description</t>
  </si>
  <si>
    <t>Rate Base</t>
  </si>
  <si>
    <t>Actual</t>
  </si>
  <si>
    <t>(in millions)</t>
  </si>
  <si>
    <t>Act &gt; Fcst</t>
  </si>
  <si>
    <t>(Fcst&gt; Act)</t>
  </si>
  <si>
    <t>Natural Gas</t>
  </si>
  <si>
    <t>Taxes</t>
  </si>
  <si>
    <t>Total Expenses</t>
  </si>
  <si>
    <t>Autorized Rate of Return</t>
  </si>
  <si>
    <t>Approved Conversion Factor</t>
  </si>
  <si>
    <t>Grossed up Rate of Return</t>
  </si>
  <si>
    <t>Operating Income Requirement</t>
  </si>
  <si>
    <t>Revenue Requirement STR</t>
  </si>
  <si>
    <t>Check</t>
  </si>
  <si>
    <t>Fifty Basis Point Threshold</t>
  </si>
  <si>
    <t>2023 Approved Rate Base</t>
  </si>
  <si>
    <t>Threshold Calculation: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</si>
  <si>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</si>
  <si>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</si>
  <si>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</si>
  <si>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</si>
  <si>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</si>
  <si>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</si>
  <si>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</si>
  <si>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</si>
  <si>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</si>
  <si>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</si>
  <si>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</si>
  <si>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</si>
  <si>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</si>
  <si>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</si>
  <si>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</si>
  <si>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</si>
  <si>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</si>
  <si>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</si>
  <si>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n/a</t>
  </si>
  <si>
    <t>If line 9&lt;0, then threshold</t>
  </si>
  <si>
    <t>a</t>
  </si>
  <si>
    <t>b</t>
  </si>
  <si>
    <t>c</t>
  </si>
  <si>
    <t>d</t>
  </si>
  <si>
    <t>e</t>
  </si>
  <si>
    <t>f</t>
  </si>
  <si>
    <t>g</t>
  </si>
  <si>
    <t>Line 9 should not be less than</t>
  </si>
  <si>
    <t>Exceeds threshold</t>
  </si>
  <si>
    <t>Combined</t>
  </si>
  <si>
    <t>Over / (Under)</t>
  </si>
  <si>
    <t>Deficiency (Surplus)</t>
  </si>
  <si>
    <t>Gas</t>
  </si>
  <si>
    <t>Rate Base Higher (Lower) than Approved</t>
  </si>
  <si>
    <t>Accumulated Depreciation (Higher) Lower than Approved</t>
  </si>
  <si>
    <t>Accumulated Deferred Income Taxes (Higher) Lower than Approved</t>
  </si>
  <si>
    <t>Tax Benefit of Interest (Higher) Lower than Approved</t>
  </si>
  <si>
    <t>Total Deficiency (Surplus) vs. Approved</t>
  </si>
  <si>
    <t>Net Depreciation and Amortization Higher (Lower) than Approved</t>
  </si>
  <si>
    <t>Row Labels</t>
  </si>
  <si>
    <t>Actual CWIP Closings</t>
  </si>
  <si>
    <t>Forecast CWIP Closings</t>
  </si>
  <si>
    <t>Sum of Variance</t>
  </si>
  <si>
    <t>Forecast &lt; Actual 
(Forecast &gt; Actual)</t>
  </si>
  <si>
    <t>AMI</t>
  </si>
  <si>
    <t>Facilities</t>
  </si>
  <si>
    <t>Generation</t>
  </si>
  <si>
    <t>IT</t>
  </si>
  <si>
    <t>NP&amp;S</t>
  </si>
  <si>
    <t>Operations</t>
  </si>
  <si>
    <t>Other</t>
  </si>
  <si>
    <t>Actual CWIP Closings vs GRC Forecast CWIP Closings</t>
  </si>
  <si>
    <t>- = Over Forecast</t>
  </si>
  <si>
    <t>+ = Under Forecast</t>
  </si>
  <si>
    <t>WBS</t>
  </si>
  <si>
    <t>PB - WBS Level 3</t>
  </si>
  <si>
    <t>Area</t>
  </si>
  <si>
    <t>JAK5 SEF16 Forecast CWIP Closings</t>
  </si>
  <si>
    <t>Variance</t>
  </si>
  <si>
    <t>Notes</t>
  </si>
  <si>
    <t>C.10002.02.02.01</t>
  </si>
  <si>
    <t>C.10002.02.02.02</t>
  </si>
  <si>
    <t>C.10002.04.03.01</t>
  </si>
  <si>
    <t>C.10002.07.01.01</t>
  </si>
  <si>
    <t>C.10002.08.02.01</t>
  </si>
  <si>
    <t>C.10002.09.01.01</t>
  </si>
  <si>
    <t>C.10003.01.01.01</t>
  </si>
  <si>
    <t>C.10003.01.03.01</t>
  </si>
  <si>
    <t>W_C.10003.01.03.01: Unplanned Facility Improvements</t>
  </si>
  <si>
    <t>C.10004.01.01.02</t>
  </si>
  <si>
    <t>W_C.10004.01.01.02: Wireless PCS Construction</t>
  </si>
  <si>
    <t>C.10005.01.02.01</t>
  </si>
  <si>
    <t>W_C.10005.01.02.01: Security System Installations Electric</t>
  </si>
  <si>
    <t>C.10005.01.02.02</t>
  </si>
  <si>
    <t>W_C.10005.01.02.02: WECC Mitigation Security Installations</t>
  </si>
  <si>
    <t>C.10006.01.01.01</t>
  </si>
  <si>
    <t>W_C.10006.01.01.01: Fleet Capital Purchase</t>
  </si>
  <si>
    <t>C.10006.01.01.03</t>
  </si>
  <si>
    <t>W_C.10006.01.01.03: Fleet Radio Upgrade</t>
  </si>
  <si>
    <t>C.10009.01.01.01</t>
  </si>
  <si>
    <t>W_C.10009.01.01.01: Storm OH Replacement Dist</t>
  </si>
  <si>
    <t>C.10009.01.01.02</t>
  </si>
  <si>
    <t>W_C.10009.01.01.02: Storm OH Replacement Trans</t>
  </si>
  <si>
    <t>C.10010.02.01.01</t>
  </si>
  <si>
    <t>W_C.10010.02.01.01: Shuffleton Reloc at Kent Serv Center</t>
  </si>
  <si>
    <t>C.20001.01.01.01</t>
  </si>
  <si>
    <t>W_C.20001.01.01.01: Transformer Retirement and Disposal</t>
  </si>
  <si>
    <t>C.40001.01.01.01</t>
  </si>
  <si>
    <t>W_C.40001.01.01.01: Success Factors Application</t>
  </si>
  <si>
    <t>F.10002.01.14.01</t>
  </si>
  <si>
    <t>W_F.10002.01.14.01: Data Governance Foundation</t>
  </si>
  <si>
    <t>F.10002.01.17.01</t>
  </si>
  <si>
    <t>W_F.10002.01.17.01: iDOT Replacement</t>
  </si>
  <si>
    <t>F.10002.03.02.01</t>
  </si>
  <si>
    <t>W_F.10002.03.02.01: Field Resources Call Out Tool</t>
  </si>
  <si>
    <t>F.10002.04.01.01</t>
  </si>
  <si>
    <t>W_F.10002.04.01.01: Travel mgmt.-Exp Rpting and Elect pmt</t>
  </si>
  <si>
    <t>F.10002.05.02.01</t>
  </si>
  <si>
    <t>W_F.10002.05.02.01: Check Payment Processing</t>
  </si>
  <si>
    <t>F.10002.06.01.01</t>
  </si>
  <si>
    <t>W_F.10002.06.01.01: eGain Replacement</t>
  </si>
  <si>
    <t>F.10002.06.02.01</t>
  </si>
  <si>
    <t>W_F.10002.06.02.01: Customer Experience Enhancement Program</t>
  </si>
  <si>
    <t>F.10003.02.01.07</t>
  </si>
  <si>
    <t>W_F.10003.02.01.07: Data Center Hardware Refresh</t>
  </si>
  <si>
    <t>F.10003.03.02.01</t>
  </si>
  <si>
    <t>W_F.10003.03.02.01: Transport Network Modernization</t>
  </si>
  <si>
    <t>F.10007.02.01.02</t>
  </si>
  <si>
    <t>F.10013.09.01.03</t>
  </si>
  <si>
    <t>W_F.10013.09.01.03: PSE ITSR</t>
  </si>
  <si>
    <t>F.10015.02.06.02</t>
  </si>
  <si>
    <t>W_F.10015.02.06.02: Gas Control Upgrade 2022</t>
  </si>
  <si>
    <t>F.10015.02.14.02</t>
  </si>
  <si>
    <t>W_F.10015.02.14.02: OSI Soft PI Historian</t>
  </si>
  <si>
    <t>F.10015.02.20.01</t>
  </si>
  <si>
    <t>W_F.10015.02.20.01: Annual Market Changes to Support CAISO</t>
  </si>
  <si>
    <t>F.10015.05.04.01</t>
  </si>
  <si>
    <t>W_F.10015.05.04.01: Quality Framework</t>
  </si>
  <si>
    <t>F.10015.06.05.02</t>
  </si>
  <si>
    <t>W_F.10015.06.05.02: SAP HR Support Packs 2022-2026</t>
  </si>
  <si>
    <t>F.10015.06.25.01</t>
  </si>
  <si>
    <t>W_F.10015.06.25.01: SAP Annual Upgrades 2022-2026</t>
  </si>
  <si>
    <t>F.10015.06.26.01</t>
  </si>
  <si>
    <t>W_F.10015.06.26.01: Enhanced SAP Monitoring Alerting BPM</t>
  </si>
  <si>
    <t>F.10015.08.11.06</t>
  </si>
  <si>
    <t>W_F.10015.08.11.06: ServiceNow Improvements 2022-2026</t>
  </si>
  <si>
    <t>F.10015.08.13.03</t>
  </si>
  <si>
    <t>W_F.10015.08.13.03: UI Enhancements Phase 3</t>
  </si>
  <si>
    <t>F.10015.08.18.01</t>
  </si>
  <si>
    <t>W_F.10015.08.18.01: Microservices NET Core Upgrade</t>
  </si>
  <si>
    <t>F.10015.08.19.01</t>
  </si>
  <si>
    <t>W_F.10015.08.19.01: Terraform Upgrade</t>
  </si>
  <si>
    <t>F.10015.11.06.01</t>
  </si>
  <si>
    <t>W_F.10015.11.06.01: Migration to Dynatrace SaaS</t>
  </si>
  <si>
    <t>F.10017.02.01.03</t>
  </si>
  <si>
    <t>F.10017.02.02.03</t>
  </si>
  <si>
    <t>W_F.10017.02.02.03: Annual Data Center Tech Refresh 2022-26</t>
  </si>
  <si>
    <t>F.10017.03.05.02</t>
  </si>
  <si>
    <t>W_F.10017.03.05.02: Annual End User PC Refresh 2022-2026</t>
  </si>
  <si>
    <t>F.10017.05.03.02</t>
  </si>
  <si>
    <t>W_F.10017.05.03.02: Annual MS Enterprise Agreement Growth</t>
  </si>
  <si>
    <t>F.10017.05.04.01</t>
  </si>
  <si>
    <t>W_F.10017.05.04.01: Workplace Mobility Program</t>
  </si>
  <si>
    <t>F.10017.05.07.01</t>
  </si>
  <si>
    <t>W_F.10017.05.07.01: DC Battery Management</t>
  </si>
  <si>
    <t>F.10017.07.01.02</t>
  </si>
  <si>
    <t>W_F.10017.07.01.02: OpenText Migrations</t>
  </si>
  <si>
    <t>F.10017.07.01.03</t>
  </si>
  <si>
    <t>W_F.10017.07.01.03: IPP SharePoint Upgrade NERC</t>
  </si>
  <si>
    <t>F.10017.08.03.01</t>
  </si>
  <si>
    <t>W_F.10017.08.03.01: Enhanced Substation Communications</t>
  </si>
  <si>
    <t>F.10017.08.07.01</t>
  </si>
  <si>
    <t>W_F.10017.08.07.01: 700MHz Spectrum</t>
  </si>
  <si>
    <t>F.10017.10.06.04</t>
  </si>
  <si>
    <t>W_F.10017.10.06.04: Annual Server Growth 2022-2026</t>
  </si>
  <si>
    <t>F.10017.10.09.02</t>
  </si>
  <si>
    <t>W_F.10017.10.09.02: Hyper Converged Infra Refresh</t>
  </si>
  <si>
    <t>F.10017.11.01.04</t>
  </si>
  <si>
    <t>W_F.10017.11.01.04: Annual Storage Growth 2022-2026</t>
  </si>
  <si>
    <t>F.10017.12.01.03</t>
  </si>
  <si>
    <t>W_F.10017.12.01.03: Annual Fiber Refresh Repair 2022-26</t>
  </si>
  <si>
    <t>F.10017.12.05.03</t>
  </si>
  <si>
    <t>W_F.10017.12.05.03: Annual Telecom RF Refresh 2022-26</t>
  </si>
  <si>
    <t>F.10017.12.06.03</t>
  </si>
  <si>
    <t>W_F.10017.12.06.03: Annual Telecom Equip Growth Tool 2022-26</t>
  </si>
  <si>
    <t>F.10017.12.08.04</t>
  </si>
  <si>
    <t>W_F.10017.12.08.04: Annual Telecom Network Refresh 2022-2026</t>
  </si>
  <si>
    <t>F.10017.12.23.04</t>
  </si>
  <si>
    <t>W_F.10017.12.23.04: Annual Network Tech Refresh 2022-2026</t>
  </si>
  <si>
    <t>F.10017.12.25.02</t>
  </si>
  <si>
    <t>W_F.10017.12.25.02: Annual Audio Visual Tech Refresh 2022-26</t>
  </si>
  <si>
    <t>F.10017.12.26.01</t>
  </si>
  <si>
    <t>W_F.10017.12.26.01: Generation Sites</t>
  </si>
  <si>
    <t>F.10017.12.26.02</t>
  </si>
  <si>
    <t>W_F.10017.12.26.02: Generation Infrastructure Prgrm 2022-26</t>
  </si>
  <si>
    <t>F.10017.13.03.02</t>
  </si>
  <si>
    <t>W_F.10017.13.03.02: VOIP Deployment and Refresh</t>
  </si>
  <si>
    <t>F.10017.13.05.01</t>
  </si>
  <si>
    <t>W_F.10017.13.05.01: ACTR 2021</t>
  </si>
  <si>
    <t>F.10017.13.06.01</t>
  </si>
  <si>
    <t>W_F.10017.13.06.01: Voice Recording Tech Refresh</t>
  </si>
  <si>
    <t>F.10018.02.03.02</t>
  </si>
  <si>
    <t>F.10025.01.04.01</t>
  </si>
  <si>
    <t>W_F.10025.01.04.01: Physical Security Roadmap</t>
  </si>
  <si>
    <t>F.10025.01.04.02</t>
  </si>
  <si>
    <t>W_F.10025.01.04.02: Cyber Audit Web Server Upgrade</t>
  </si>
  <si>
    <t>F.10026.01.01.01</t>
  </si>
  <si>
    <t>W_F.10026.01.01.01: Robotic Process Automation</t>
  </si>
  <si>
    <t>K.10001.01.01.01</t>
  </si>
  <si>
    <t>W_K.10001.01.01.01: LBK Hydro Plant Work</t>
  </si>
  <si>
    <t>K.10001.01.01.02</t>
  </si>
  <si>
    <t>W_K.10001.01.01.02: LBK Small Tools</t>
  </si>
  <si>
    <t>K.10001.01.02.01</t>
  </si>
  <si>
    <t>W_K.10001.01.02.01: UBK Hydro Plant Work</t>
  </si>
  <si>
    <t>K.10001.01.02.02</t>
  </si>
  <si>
    <t>W_K.10001.01.02.02: UBK Small Tools</t>
  </si>
  <si>
    <t>K.10002.01.02.06</t>
  </si>
  <si>
    <t>W_K.10002.01.02.06: UBK U2 Runner Replacement</t>
  </si>
  <si>
    <t>K.10003.01.01.01</t>
  </si>
  <si>
    <t>W_K.10003.01.01.01: LBK Crest Improvement and Floodwall</t>
  </si>
  <si>
    <t>K.10003.01.01.03</t>
  </si>
  <si>
    <t>W_K.10003.01.01.03: LBK Hatchery Raceway Project</t>
  </si>
  <si>
    <t>K.10003.02.01.01</t>
  </si>
  <si>
    <t>W_K.10003.02.01.01: UBK Phase II Spillway Stabilization</t>
  </si>
  <si>
    <t>K.10004.01.01.01</t>
  </si>
  <si>
    <t>W_K.10004.01.01.01: COL 500Kv Trans Line</t>
  </si>
  <si>
    <t>K.10006.01.01.01</t>
  </si>
  <si>
    <t>W_K.10006.01.01.01: ENC Small Tools</t>
  </si>
  <si>
    <t>K.10006.01.01.02</t>
  </si>
  <si>
    <t>W_K.10006.01.01.02: ENC Thermal Plant Work</t>
  </si>
  <si>
    <t>K.10007.01.01.02</t>
  </si>
  <si>
    <t>W_K.10007.01.01.02: FERN Thermal Plant Work</t>
  </si>
  <si>
    <t>K.10008.01.01.03</t>
  </si>
  <si>
    <t>W_K.10008.01.01.03: FREDDY 1 Thermal Plant Work</t>
  </si>
  <si>
    <t>K.10009.01.01.03</t>
  </si>
  <si>
    <t>W_K.10009.01.01.03: FRA Small Tools</t>
  </si>
  <si>
    <t>K.10009.01.01.04</t>
  </si>
  <si>
    <t>W_K.10009.01.01.04: FRA Thermal Plant Work</t>
  </si>
  <si>
    <t>K.10010.01.01.03</t>
  </si>
  <si>
    <t>W_K.10010.01.01.03: FRE Small Tools</t>
  </si>
  <si>
    <t>K.10010.01.01.04</t>
  </si>
  <si>
    <t>W_K.10010.01.01.04: FRE Thermal Plant Work</t>
  </si>
  <si>
    <t>K.10012.01.01.10</t>
  </si>
  <si>
    <t>W_K.10012.01.01.10: BPCC Faster Pmt Posting</t>
  </si>
  <si>
    <t>K.10013.01.01.01</t>
  </si>
  <si>
    <t>W_K.10013.01.01.01: GLD Small Tools</t>
  </si>
  <si>
    <t>K.10013.01.01.02</t>
  </si>
  <si>
    <t>W_K.10013.01.01.02: GLD Thermal Plant Work</t>
  </si>
  <si>
    <t>K.10015.01.01.01</t>
  </si>
  <si>
    <t>W_K.10015.01.01.01: HPK Ongoing UOP Replacements</t>
  </si>
  <si>
    <t>K.10015.01.01.02</t>
  </si>
  <si>
    <t>W_K.10015.01.01.02: HPK Small Tools</t>
  </si>
  <si>
    <t>K.10015.01.01.03</t>
  </si>
  <si>
    <t>W_K.10015.01.01.03: HPK Wind Plant Work</t>
  </si>
  <si>
    <t>K.10016.01.01.01</t>
  </si>
  <si>
    <t>W_K.10016.01.01.01: JP Operational Capital</t>
  </si>
  <si>
    <t>K.10017.01.01.01</t>
  </si>
  <si>
    <t>W_K.10017.01.01.01: BKR Aquatic Riparian Habitat</t>
  </si>
  <si>
    <t>K.10018.01.01.01</t>
  </si>
  <si>
    <t>W_K.10018.01.01.01: LSR1 Ongoing Uop Replacements</t>
  </si>
  <si>
    <t>K.10018.01.01.02</t>
  </si>
  <si>
    <t>W_K.10018.01.01.02: LSR1 Small Tools</t>
  </si>
  <si>
    <t>K.10019.01.01.01</t>
  </si>
  <si>
    <t>W_K.10019.01.01.01: MTF Small Tools</t>
  </si>
  <si>
    <t>K.10019.01.01.02</t>
  </si>
  <si>
    <t>W_K.10019.01.01.02: MTF Thermal Plant Work</t>
  </si>
  <si>
    <t>K.10020.01.01.03</t>
  </si>
  <si>
    <t>K.10021.01.01.01</t>
  </si>
  <si>
    <t>W_K.10021.01.01.01: SNO Hydro Plant Work</t>
  </si>
  <si>
    <t>K.10021.01.01.02</t>
  </si>
  <si>
    <t>W_K.10021.01.01.02: SNO Small Tools</t>
  </si>
  <si>
    <t>K.10023.01.01.01</t>
  </si>
  <si>
    <t>W_K.10023.01.01.01: SMS Small Tools</t>
  </si>
  <si>
    <t>K.10023.01.01.02</t>
  </si>
  <si>
    <t>W_K.10023.01.01.02: SMS Thermal Plant Work</t>
  </si>
  <si>
    <t>K.10025.01.02.01</t>
  </si>
  <si>
    <t>W_K.10025.01.02.01: LNG 1 Mile Pipe Connector</t>
  </si>
  <si>
    <t>K.10025.01.02.02</t>
  </si>
  <si>
    <t>W_K.10025.01.02.02: LNG 4 Mile Pipe To Plant</t>
  </si>
  <si>
    <t>K.10026.01.01.03</t>
  </si>
  <si>
    <t>W_K.10026.01.01.03: WHH Small Tools</t>
  </si>
  <si>
    <t>K.10026.01.01.04</t>
  </si>
  <si>
    <t>W_K.10026.01.01.04: WHH Thermal Plant Work</t>
  </si>
  <si>
    <t>K.10028.01.01.01</t>
  </si>
  <si>
    <t>W_K.10028.01.01.01: WLD Small Tools</t>
  </si>
  <si>
    <t>K.10028.01.01.03</t>
  </si>
  <si>
    <t>W_K.10028.01.01.03: WLD Wind Plant Work</t>
  </si>
  <si>
    <t>K.10028.01.01.04</t>
  </si>
  <si>
    <t>W_K.10028.01.01.04: WLD Ongoing UOP Replacements</t>
  </si>
  <si>
    <t>R.10004.01.01.01</t>
  </si>
  <si>
    <t>W_R.10004.01.01.01: C Franchises</t>
  </si>
  <si>
    <t>R.10005.01.01.01</t>
  </si>
  <si>
    <t>W_R.10005.01.01.01: E Eastside 230Kv Subs Richards Creek</t>
  </si>
  <si>
    <t>R.10005.01.01.02</t>
  </si>
  <si>
    <t>W_R.10005.01.01.02: E Eastside 230Kv Subs Talbot Hill</t>
  </si>
  <si>
    <t>R.10005.01.01.04</t>
  </si>
  <si>
    <t>W_R.10005.01.01.04: E Eastside 230Kv Subs Rose Hill</t>
  </si>
  <si>
    <t>R.10005.01.01.07</t>
  </si>
  <si>
    <t>W_R.10005.01.01.07: E Eastside 230Kv Tlines</t>
  </si>
  <si>
    <t>R.10006.01.01.03</t>
  </si>
  <si>
    <t>W_R.10006.01.01.03: E Substation SCADA CEIP</t>
  </si>
  <si>
    <t>R.10006.01.01.04</t>
  </si>
  <si>
    <t>W_R.10006.01.01.04: E Trans Automation</t>
  </si>
  <si>
    <t>R.10006.01.01.07</t>
  </si>
  <si>
    <t>W_R.10006.01.01.07: E Electric System Modeling</t>
  </si>
  <si>
    <t>R.10007.06.01.01</t>
  </si>
  <si>
    <t>W_R.10007.06.01.01: E 5 Yr Electric Refundable CIAC</t>
  </si>
  <si>
    <t>R.10007.07.01.01</t>
  </si>
  <si>
    <t>W_R.10007.07.01.01: E Customer Reimbursed</t>
  </si>
  <si>
    <t>R.10007.08.01.01</t>
  </si>
  <si>
    <t>W_R.10007.08.01.01: E OH UG Commercial Services</t>
  </si>
  <si>
    <t>R.10007.08.02.01</t>
  </si>
  <si>
    <t>W_R.10007.08.02.01: E OH UG Residential Services</t>
  </si>
  <si>
    <t>R.10007.08.02.02</t>
  </si>
  <si>
    <t>W_R.10007.08.02.02: E UG Residential Services In Plats</t>
  </si>
  <si>
    <t>R.10007.09.01.01</t>
  </si>
  <si>
    <t>W_R.10007.09.01.01: E Commercial Line Extension</t>
  </si>
  <si>
    <t>R.10007.09.02.01</t>
  </si>
  <si>
    <t>W_R.10007.09.02.01: E Multi Family Line Extension</t>
  </si>
  <si>
    <t>R.10007.09.03.02</t>
  </si>
  <si>
    <t>W_R.10007.09.03.02: E Plats Line Extension</t>
  </si>
  <si>
    <t>R.10007.09.04.01</t>
  </si>
  <si>
    <t>W_R.10007.09.04.01: E Single Family Line Extension</t>
  </si>
  <si>
    <t>R.10007.12.01.01</t>
  </si>
  <si>
    <t>W_R.10007.12.01.01: E Microsoft Campus Rebuild</t>
  </si>
  <si>
    <t>R.10007.12.03.01</t>
  </si>
  <si>
    <t>W_R.10007.12.03.01: E Customer Reimbursed Major Projects</t>
  </si>
  <si>
    <t>R.10008.01.01.01</t>
  </si>
  <si>
    <t>W_R.10008.01.01.01: E Conversions Sched 73 Cust Driven</t>
  </si>
  <si>
    <t>R.10008.01.01.02</t>
  </si>
  <si>
    <t>W_R.10008.01.01.02: E OH UG Reloc - Removal Cust Driven Dist</t>
  </si>
  <si>
    <t>R.10008.02.01.01</t>
  </si>
  <si>
    <t>W_R.10008.02.01.01: E Franchises</t>
  </si>
  <si>
    <t>R.10008.03.01.01</t>
  </si>
  <si>
    <t>W_R.10008.03.01.01: E Conversions Sched 74 PI Driven</t>
  </si>
  <si>
    <t>R.10008.03.01.03</t>
  </si>
  <si>
    <t>W_R.10008.03.01.03: E OH UG Rel PI Driven NonReimb Dist</t>
  </si>
  <si>
    <t>R.10008.03.01.04</t>
  </si>
  <si>
    <t>W_R.10008.03.01.04: E OH UG Rel PI Driven Reimburse Dist</t>
  </si>
  <si>
    <t>R.10008.03.01.05</t>
  </si>
  <si>
    <t>W_R.10008.03.01.05: E PI Driven Relocations Trans</t>
  </si>
  <si>
    <t>R.10008.03.01.14</t>
  </si>
  <si>
    <t>W_R.10008.03.01.14: E Sound Transit Reimburse</t>
  </si>
  <si>
    <t>R.10008.05.01.01</t>
  </si>
  <si>
    <t>W_R.10008.05.01.01: E Sound Transit Dist</t>
  </si>
  <si>
    <t>R.10008.05.01.02</t>
  </si>
  <si>
    <t>W_R.10008.05.01.02: E Sound Transit East Link Dist</t>
  </si>
  <si>
    <t>R.10008.07.01.01</t>
  </si>
  <si>
    <t>W_R.10008.07.01.01: E WSDOT Clr Zone Pole Prog Dist</t>
  </si>
  <si>
    <t>R.10008.07.02.01</t>
  </si>
  <si>
    <t>W_R.10008.07.02.01: E King County Clr Zone Pole Prog Dist</t>
  </si>
  <si>
    <t>R.10009.01.01.01</t>
  </si>
  <si>
    <t>W_R.10009.01.01.01: E BPA 3rd AC Transmission Intertie Work</t>
  </si>
  <si>
    <t>R.10009.02.01.03</t>
  </si>
  <si>
    <t>W_R.10009.02.01.03: E Central Bellevue Dist Rel Feeder</t>
  </si>
  <si>
    <t>R.10009.04.01.02</t>
  </si>
  <si>
    <t>W_R.10009.04.01.02: E Damage Claims Cap Writeoff</t>
  </si>
  <si>
    <t>R.10009.05.01.01</t>
  </si>
  <si>
    <t>W_R.10009.05.01.01: E Emergency NonOutage OH Repl Dist</t>
  </si>
  <si>
    <t>R.10009.05.01.02</t>
  </si>
  <si>
    <t>W_R.10009.05.01.02: E Emergency NonOutage OH Repl Trans</t>
  </si>
  <si>
    <t>R.10009.05.01.03</t>
  </si>
  <si>
    <t>W_R.10009.05.01.03: E Emergency NonOutage UG Repl Dist</t>
  </si>
  <si>
    <t>R.10009.05.02.01</t>
  </si>
  <si>
    <t>W_R.10009.05.02.01: E Emergency OH Replacement Trans</t>
  </si>
  <si>
    <t>R.10009.05.02.02</t>
  </si>
  <si>
    <t>W_R.10009.05.02.02: E Emergency Outage OH Replacement Dist</t>
  </si>
  <si>
    <t>R.10009.05.02.03</t>
  </si>
  <si>
    <t>W_R.10009.05.02.03: E Emergency Outage UG Replacement Dist</t>
  </si>
  <si>
    <t>R.10009.05.02.04</t>
  </si>
  <si>
    <t>W_R.10009.05.02.04: E Unplanned OH Distribution Abnormals</t>
  </si>
  <si>
    <t>R.10009.05.02.05</t>
  </si>
  <si>
    <t>W_R.10009.05.02.05: E Unplanned UG Distribution Abnormals</t>
  </si>
  <si>
    <t>R.10009.07.01.01</t>
  </si>
  <si>
    <t>W_R.10009.07.01.01: E OH System Capacity New Dist</t>
  </si>
  <si>
    <t>R.10009.07.01.03</t>
  </si>
  <si>
    <t>W_R.10009.07.01.03: E UG System Capacity New Dist</t>
  </si>
  <si>
    <t>R.10009.07.03.01</t>
  </si>
  <si>
    <t>W_R.10009.07.03.01: E OH UG System Improv Opport New Dist</t>
  </si>
  <si>
    <t>R.10009.08.01.02</t>
  </si>
  <si>
    <t>W_R.10009.08.01.02: E UG Cable Remediation Dist</t>
  </si>
  <si>
    <t>R.10009.08.01.07</t>
  </si>
  <si>
    <t>W_R.10009.08.01.07: E UG Cable Remediation Progr IPM</t>
  </si>
  <si>
    <t>R.10009.08.02.05</t>
  </si>
  <si>
    <t>W_R.10009.08.02.05: E OH Clearance Alley Syst Dist</t>
  </si>
  <si>
    <t>R.10009.08.02.07</t>
  </si>
  <si>
    <t>W_R.10009.08.02.07: E OH Sys Rel Upgrades Outage Dist</t>
  </si>
  <si>
    <t>R.10009.08.02.09</t>
  </si>
  <si>
    <t>W_R.10009.08.02.09: E OH Syst Rel Upgrades Rebuild Dist</t>
  </si>
  <si>
    <t>R.10009.08.02.10</t>
  </si>
  <si>
    <t>W_R.10009.08.02.10: E OH Syst Rel Upgrades UG Convers Dist</t>
  </si>
  <si>
    <t>R.10009.08.02.12</t>
  </si>
  <si>
    <t>W_R.10009.08.02.12: E OH Syst Rel Upgr Reclosers Dist</t>
  </si>
  <si>
    <t>R.10009.08.02.14</t>
  </si>
  <si>
    <t>W_R.10009.08.02.14: E OH Syst Rel Upgr Tree WirE Dist</t>
  </si>
  <si>
    <t>R.10009.08.02.15</t>
  </si>
  <si>
    <t>W_R.10009.08.02.15: E OH Syst Rel Upgr Fusesaver Dist</t>
  </si>
  <si>
    <t>R.10009.08.02.17</t>
  </si>
  <si>
    <t>W_R.10009.08.02.17: E OH System Capacity Upgrade Dist</t>
  </si>
  <si>
    <t>R.10009.08.02.18</t>
  </si>
  <si>
    <t>W_R.10009.08.02.18: E OH Sys Capacity Upgrades Uprates Trans</t>
  </si>
  <si>
    <t>R.10009.08.02.19</t>
  </si>
  <si>
    <t>W_R.10009.08.02.19: E OH System Reliability Upgrades Trans</t>
  </si>
  <si>
    <t>R.10009.08.02.20</t>
  </si>
  <si>
    <t>W_R.10009.08.02.20: E OH Transformer PCB Remediation</t>
  </si>
  <si>
    <t>R.10009.08.02.22</t>
  </si>
  <si>
    <t>W_R.10009.08.02.22: E 6 Copper Open Wire 2nd Repl Dist</t>
  </si>
  <si>
    <t>R.10009.08.02.23</t>
  </si>
  <si>
    <t>W_R.10009.08.02.23: E Project Initiation</t>
  </si>
  <si>
    <t>R.10009.08.02.24</t>
  </si>
  <si>
    <t>W_R.10009.08.02.24: E Sedro Mar Pt 230 Remediate Underbuild</t>
  </si>
  <si>
    <t>R.10009.08.02.25</t>
  </si>
  <si>
    <t>W_R.10009.08.02.25: E UG Syst Rel Upgrades Dist</t>
  </si>
  <si>
    <t>R.10009.08.02.28</t>
  </si>
  <si>
    <t>W_R.10009.08.02.28: E UG System Capacity Upgrade Dist</t>
  </si>
  <si>
    <t>R.10009.08.03.01</t>
  </si>
  <si>
    <t>W_R.10009.08.03.01: E Fish And Wildlife Program Dist</t>
  </si>
  <si>
    <t>R.10009.08.05.02</t>
  </si>
  <si>
    <t>W_R.10009.08.05.02: E Emergent Pole Replacement Dist</t>
  </si>
  <si>
    <t>R.10009.08.05.03</t>
  </si>
  <si>
    <t>W_R.10009.08.05.03: E Emergent Pole Replacement Trans</t>
  </si>
  <si>
    <t>R.10009.08.05.04</t>
  </si>
  <si>
    <t>W_R.10009.08.05.04: E Pole Replacement Due To Joint Use</t>
  </si>
  <si>
    <t>R.10009.08.05.05</t>
  </si>
  <si>
    <t>W_R.10009.08.05.05: E Pole Replacement Plan Dist</t>
  </si>
  <si>
    <t>R.10009.08.05.07</t>
  </si>
  <si>
    <t>W_R.10009.08.05.07: E Pole Replacement Plan Trans</t>
  </si>
  <si>
    <t>R.10009.08.05.16</t>
  </si>
  <si>
    <t>W_R.10009.08.05.16: E Pole Inspection and Restoration Dist</t>
  </si>
  <si>
    <t>R.10009.08.05.17</t>
  </si>
  <si>
    <t>W_R.10009.08.05.17: E Pole Inspection and Restoration Trans</t>
  </si>
  <si>
    <t>R.10009.08.06.01</t>
  </si>
  <si>
    <t>W_R.10009.08.06.01: E Root Cause Analysis</t>
  </si>
  <si>
    <t>R.10009.09.01.02</t>
  </si>
  <si>
    <t>W_R.10009.09.01.02: E Emergent Major Projects Trans</t>
  </si>
  <si>
    <t>R.10009.12.01.01</t>
  </si>
  <si>
    <t>W_R.10009.12.01.01: C AMI Network Installations Gen Plant</t>
  </si>
  <si>
    <t>R.10009.12.01.03</t>
  </si>
  <si>
    <t>W_R.10009.12.01.03: E AMI Netwrk Installtion TransDist</t>
  </si>
  <si>
    <t>R.10009.12.01.04</t>
  </si>
  <si>
    <t>W_R.10009.12.01.04: E AMI Electric Meter Deployment</t>
  </si>
  <si>
    <t>R.10009.12.01.05</t>
  </si>
  <si>
    <t>W_R.10009.12.01.05: G AMI Gas Module Deployment</t>
  </si>
  <si>
    <t>R.10009.12.01.09</t>
  </si>
  <si>
    <t>W_R.10009.12.01.09: G Opt Out AMI to NCM Capital Exch</t>
  </si>
  <si>
    <t>R.10009.12.02.04</t>
  </si>
  <si>
    <t>W_R.10009.12.02.04: E Conservation Voltage Reduction</t>
  </si>
  <si>
    <t>R.10009.12.03.01</t>
  </si>
  <si>
    <t>W_R.10009.12.03.01: E Distribution Automation Dist</t>
  </si>
  <si>
    <t>R.10009.12.03.04</t>
  </si>
  <si>
    <t>W_R.10009.12.03.04: E Network and Automate Grid</t>
  </si>
  <si>
    <t>R.10009.14.04.01</t>
  </si>
  <si>
    <t>W_R.10009.14.04.01: E Substation Replacement SpcC Dist</t>
  </si>
  <si>
    <t>R.10009.14.05.02</t>
  </si>
  <si>
    <t>W_R.10009.14.05.02: E Emergent Substation Replacement Dist</t>
  </si>
  <si>
    <t>R.10009.14.05.03</t>
  </si>
  <si>
    <t>W_R.10009.14.05.03: E Emergent Substation Replacement Trans</t>
  </si>
  <si>
    <t>R.10009.14.05.05</t>
  </si>
  <si>
    <t>W_R.10009.14.05.05: E Subs Replacement Circuit Switcher Dist</t>
  </si>
  <si>
    <t>R.10009.14.05.06</t>
  </si>
  <si>
    <t>R.10009.14.05.07</t>
  </si>
  <si>
    <t>W_R.10009.14.05.07: E Subs Replacement Fuses Dist</t>
  </si>
  <si>
    <t>R.10009.14.05.11</t>
  </si>
  <si>
    <t>W_R.10009.14.05.11: E Subs Replacement Vegetation Management</t>
  </si>
  <si>
    <t>R.10009.14.05.15</t>
  </si>
  <si>
    <t>W_R.10009.14.05.15: E Subs CAP Transient Security Issues Dis</t>
  </si>
  <si>
    <t>R.10009.14.06.01</t>
  </si>
  <si>
    <t>W_R.10009.14.06.01: E Subs Replacement Transformers Dist</t>
  </si>
  <si>
    <t>R.10009.14.07.01</t>
  </si>
  <si>
    <t>W_R.10009.14.07.01: E Subs Replacement Breaker Replcmt Trans</t>
  </si>
  <si>
    <t>R.10009.17.01.01</t>
  </si>
  <si>
    <t>W_R.10009.17.01.01: E Mazama Pcket Gopher Habitat Mitigation</t>
  </si>
  <si>
    <t>R.10011.01.01.03</t>
  </si>
  <si>
    <t>W_R.10011.01.01.03: G Gas System Monitoring Equip Replc</t>
  </si>
  <si>
    <t>R.10011.01.01.04</t>
  </si>
  <si>
    <t>W_R.10011.01.01.04: G Gauges Sems Dist</t>
  </si>
  <si>
    <t>R.10011.01.01.07</t>
  </si>
  <si>
    <t>W_R.10011.01.01.07: G Williams Pipeline Equipment Upgrades</t>
  </si>
  <si>
    <t>R.10011.01.01.10</t>
  </si>
  <si>
    <t>W_R.10011.01.01.10: G Service Replacements CBP</t>
  </si>
  <si>
    <t>R.10012.01.01.01</t>
  </si>
  <si>
    <t>W_R.10012.01.01.01: G Altered Modified Comm Ind Mains</t>
  </si>
  <si>
    <t>R.10012.01.01.02</t>
  </si>
  <si>
    <t>W_R.10012.01.01.02: G Altered Modified Comm Ind Service</t>
  </si>
  <si>
    <t>R.10012.01.02.01</t>
  </si>
  <si>
    <t>W_R.10012.01.02.01: G Altered Modified Residential Mains</t>
  </si>
  <si>
    <t>R.10012.01.02.02</t>
  </si>
  <si>
    <t>W_R.10012.01.02.02: G Altered Modified Residential Services</t>
  </si>
  <si>
    <t>R.10012.02.01.01</t>
  </si>
  <si>
    <t>W_R.10012.02.01.01: G 5 Yr Gas Refundable CIAC</t>
  </si>
  <si>
    <t>R.10012.03.01.01</t>
  </si>
  <si>
    <t>W_R.10012.03.01.01: G Commercial Industrial Mains</t>
  </si>
  <si>
    <t>R.10012.03.02.01</t>
  </si>
  <si>
    <t>W_R.10012.03.02.01: G Multi Family Mains</t>
  </si>
  <si>
    <t>R.10012.03.03.01</t>
  </si>
  <si>
    <t>W_R.10012.03.03.01: G Plats Mains</t>
  </si>
  <si>
    <t>R.10012.03.03.02</t>
  </si>
  <si>
    <t>W_R.10012.03.03.02: G Residential Mains</t>
  </si>
  <si>
    <t>R.10012.04.01.01</t>
  </si>
  <si>
    <t>W_R.10012.04.01.01: G Commercial Industrial Service</t>
  </si>
  <si>
    <t>R.10012.04.02.01</t>
  </si>
  <si>
    <t>W_R.10012.04.02.01: G Multi Family Service</t>
  </si>
  <si>
    <t>R.10012.04.03.02</t>
  </si>
  <si>
    <t>W_R.10012.04.03.02: G Residential Services</t>
  </si>
  <si>
    <t>R.10012.04.03.03</t>
  </si>
  <si>
    <t>W_R.10012.04.03.03: G Residential Services In Plat Dev</t>
  </si>
  <si>
    <t>R.10012.06.01.01</t>
  </si>
  <si>
    <t>W_R.10012.06.01.01: G Gas Retire Only No Additions</t>
  </si>
  <si>
    <t>R.10013.01.01.01</t>
  </si>
  <si>
    <t>W_R.10013.01.01.01: G Cust Driven Relocate Reimburse Dist</t>
  </si>
  <si>
    <t>R.10013.02.01.01</t>
  </si>
  <si>
    <t>W_R.10013.02.01.01: G Franchises</t>
  </si>
  <si>
    <t>R.10013.04.01.01</t>
  </si>
  <si>
    <t>W_R.10013.04.01.01: G PI Driven Relocate NonReimb Dist</t>
  </si>
  <si>
    <t>R.10013.04.01.02</t>
  </si>
  <si>
    <t>W_R.10013.04.01.02: G PI Driven Relocate Reimb Dist</t>
  </si>
  <si>
    <t>R.10013.04.01.04</t>
  </si>
  <si>
    <t>W_R.10013.04.01.04: G Sound Transit Reimburse</t>
  </si>
  <si>
    <t>R.10013.05.01.01</t>
  </si>
  <si>
    <t>W_R.10013.05.01.01: G Seattle Core Alaskan Way Viaduct</t>
  </si>
  <si>
    <t>R.10013.05.01.02</t>
  </si>
  <si>
    <t>W_R.10013.05.01.02: G Seattle Core IP Main</t>
  </si>
  <si>
    <t>R.10013.06.01.01</t>
  </si>
  <si>
    <t>W_R.10013.06.01.01: G Sound Transit Dist</t>
  </si>
  <si>
    <t>R.10013.07.01.01</t>
  </si>
  <si>
    <t>W_R.10013.07.01.01: G Relocate Bulk Dist Like Kind Dist</t>
  </si>
  <si>
    <t>R.10013.07.01.02</t>
  </si>
  <si>
    <t>W_R.10013.07.01.02: G System Improv Opport Dist</t>
  </si>
  <si>
    <t>R.10014.01.01.01</t>
  </si>
  <si>
    <t>W_R.10014.01.01.01: G Swarr Propane Air Plant Upgrades</t>
  </si>
  <si>
    <t>R.10015.01.01.01</t>
  </si>
  <si>
    <t>W_R.10015.01.01.01: G CP System Improv Main With Serv Dist</t>
  </si>
  <si>
    <t>R.10015.01.01.02</t>
  </si>
  <si>
    <t>W_R.10015.01.01.02: G CP System Improv Service Dist</t>
  </si>
  <si>
    <t>R.10015.01.01.03</t>
  </si>
  <si>
    <t>W_R.10015.01.01.03: G CP System Improv Dist</t>
  </si>
  <si>
    <t>R.10015.01.01.05</t>
  </si>
  <si>
    <t>W_R.10015.01.01.05: G Emergent CP System Improv Dist</t>
  </si>
  <si>
    <t>R.10015.02.01.02</t>
  </si>
  <si>
    <t>W_R.10015.02.01.02: G Damage Claims Cap Writeoff</t>
  </si>
  <si>
    <t>R.10015.03.01.01</t>
  </si>
  <si>
    <t>W_R.10015.03.01.01: G DIMP Brdg Sld Dist Unmaintain Facil</t>
  </si>
  <si>
    <t>R.10015.03.02.01</t>
  </si>
  <si>
    <t>W_R.10015.03.02.01: G DIMP Mobile Home Encroachment Program</t>
  </si>
  <si>
    <t>R.10015.03.04.01</t>
  </si>
  <si>
    <t>W_R.10015.03.04.01: G DIMP Dupont Pipe Repl Main With Serv</t>
  </si>
  <si>
    <t>R.10015.03.04.02</t>
  </si>
  <si>
    <t>W_R.10015.03.04.02: G DIMP Older Stw Repl Main With Service</t>
  </si>
  <si>
    <t>R.10015.03.04.03</t>
  </si>
  <si>
    <t>W_R.10015.03.04.03: G DIMP Older Stw Repl Service Only</t>
  </si>
  <si>
    <t>R.10015.03.05.04</t>
  </si>
  <si>
    <t>W_R.10015.03.05.04: G DIMP Regulator Station Sidewalk Regs</t>
  </si>
  <si>
    <t>R.10015.03.06.01</t>
  </si>
  <si>
    <t>W_R.10015.03.06.01: G DIMP Legacy Cross Bore Inspection Dist</t>
  </si>
  <si>
    <t>R.10015.03.06.02</t>
  </si>
  <si>
    <t>W_R.10015.03.06.02: G DIMP Legacy Crss Bore Replacement Dist</t>
  </si>
  <si>
    <t>R.10015.03.07.01</t>
  </si>
  <si>
    <t>W_R.10015.03.07.01: G DIMP Continuing Surveillance Other</t>
  </si>
  <si>
    <t>R.10015.03.07.03</t>
  </si>
  <si>
    <t>W_R.10015.03.07.03: G DIMP Shallow Serv and Main Repl</t>
  </si>
  <si>
    <t>R.10015.03.08.01</t>
  </si>
  <si>
    <t>W_R.10015.03.08.01: G DIMP Buried MSA Serv Or Riser Repl Opp</t>
  </si>
  <si>
    <t>R.10015.03.09.01</t>
  </si>
  <si>
    <t>W_R.10015.03.09.01: G DIMP Preventative Maint Facilities</t>
  </si>
  <si>
    <t>R.10015.03.09.03</t>
  </si>
  <si>
    <t>W_R.10015.03.09.03: G DIMP Preventive Maint Dist Reg Dist</t>
  </si>
  <si>
    <t>R.10015.03.09.05</t>
  </si>
  <si>
    <t>W_R.10015.03.09.05: G DIMP Preventive Maintenance MSA Dist</t>
  </si>
  <si>
    <t>R.10015.03.09.07</t>
  </si>
  <si>
    <t>W_R.10015.03.09.07: G DIMP Preventive Maint Farm Taps Dist</t>
  </si>
  <si>
    <t>R.10015.03.09.14</t>
  </si>
  <si>
    <t>W_R.10015.03.09.14: G Idle Riser Remediation</t>
  </si>
  <si>
    <t>R.10015.03.09.15</t>
  </si>
  <si>
    <t>W_R.10015.03.09.15: G Buried Meter Riser Replacement</t>
  </si>
  <si>
    <t>R.10015.03.11.01</t>
  </si>
  <si>
    <t>W_R.10015.03.11.01: G DIMP Guard Posts</t>
  </si>
  <si>
    <t>R.10015.04.01.02</t>
  </si>
  <si>
    <t>W_R.10015.04.01.02: G Leak Repair Main</t>
  </si>
  <si>
    <t>R.10015.04.01.03</t>
  </si>
  <si>
    <t>W_R.10015.04.01.03: G Leak Repair Service</t>
  </si>
  <si>
    <t>R.10015.04.01.04</t>
  </si>
  <si>
    <t>W_R.10015.04.01.04: G Scattered Short Main Rehab</t>
  </si>
  <si>
    <t>R.10015.04.01.05</t>
  </si>
  <si>
    <t>W_R.10015.04.01.05: G Service Replacement Misc</t>
  </si>
  <si>
    <t>R.10015.04.01.06</t>
  </si>
  <si>
    <t>W_R.10015.04.01.06: G Sewer Cross Bore Repair Main</t>
  </si>
  <si>
    <t>R.10015.04.01.07</t>
  </si>
  <si>
    <t>W_R.10015.04.01.07: G Sewer Cross Bore Repair Service</t>
  </si>
  <si>
    <t>R.10015.04.01.08</t>
  </si>
  <si>
    <t>W_R.10015.04.01.08: G Gas Work Release Main</t>
  </si>
  <si>
    <t>R.10015.04.01.09</t>
  </si>
  <si>
    <t>W_R.10015.04.01.09: G Gas Work Release Service</t>
  </si>
  <si>
    <t>R.10015.04.01.12</t>
  </si>
  <si>
    <t>W_R.10015.04.01.12: G Nonhaz Main Repair Methane PRP</t>
  </si>
  <si>
    <t>R.10015.04.01.13</t>
  </si>
  <si>
    <t>W_R.10015.04.01.13: G Nonhaz Service Repair Methane PRP</t>
  </si>
  <si>
    <t>R.10015.05.01.01</t>
  </si>
  <si>
    <t>W_R.10015.05.01.01: G System Capacity New Dist</t>
  </si>
  <si>
    <t>R.10015.06.01.01</t>
  </si>
  <si>
    <t>W_R.10015.06.01.01: G Cold Weather Action Reinforcement</t>
  </si>
  <si>
    <t>R.10015.06.01.02</t>
  </si>
  <si>
    <t>W_R.10015.06.01.02: G Odorizer Componant Repl Bulk Dist</t>
  </si>
  <si>
    <t>R.10015.06.01.04</t>
  </si>
  <si>
    <t>W_R.10015.06.01.04: G System Capacity Upgrade Bulk Dist</t>
  </si>
  <si>
    <t>R.10015.06.01.05</t>
  </si>
  <si>
    <t>W_R.10015.06.01.05: G System Capacity Upgrade Dist</t>
  </si>
  <si>
    <t>R.10015.07.01.01</t>
  </si>
  <si>
    <t>W_R.10015.07.01.01: G Gas Lightups Clearing</t>
  </si>
  <si>
    <t>R.10019.01.01.02</t>
  </si>
  <si>
    <t>W_R.10019.01.01.02: Bainbridge Trans WIN-MUR Loop</t>
  </si>
  <si>
    <t>R.10024.01.01.04</t>
  </si>
  <si>
    <t>W_R.10024.01.01.04: G AMR Operations</t>
  </si>
  <si>
    <t>R.10024.01.01.05</t>
  </si>
  <si>
    <t>W_R.10024.01.01.05: E AMR Operations</t>
  </si>
  <si>
    <t>R.10024.01.01.07</t>
  </si>
  <si>
    <t>W_R.10024.01.01.07: E Opt Out AMR to NCM Capital Exch</t>
  </si>
  <si>
    <t>R.10024.01.01.09</t>
  </si>
  <si>
    <t>W_R.10024.01.01.09: G AMI Operations</t>
  </si>
  <si>
    <t>R.10024.02.01.01</t>
  </si>
  <si>
    <t>W_R.10024.02.01.01: G NonRegistering Meters Dist</t>
  </si>
  <si>
    <t>R.10024.02.01.03</t>
  </si>
  <si>
    <t>W_R.10024.02.01.03: G Periodic Meter Changeout IMO Dist</t>
  </si>
  <si>
    <t>R.10031.01.01.02</t>
  </si>
  <si>
    <t>W_R.10031.01.01.02: E Lake Hills Phantom Lake 115Kv Tline</t>
  </si>
  <si>
    <t>R.10031.03.01.01</t>
  </si>
  <si>
    <t>W_R.10031.03.01.01: E Sammamish Juanita 115Kv Tline</t>
  </si>
  <si>
    <t>R.10033.01.01.03</t>
  </si>
  <si>
    <t>W_R.10033.01.01.03: E Small Tool Electric Operations Tool</t>
  </si>
  <si>
    <t>R.10033.01.01.09</t>
  </si>
  <si>
    <t>W_R.10033.01.01.09: G Small Tool Gas Operations Tool</t>
  </si>
  <si>
    <t>R.10033.02.01.01</t>
  </si>
  <si>
    <t>W_R.10033.02.01.01: C Operational Training ISR Program</t>
  </si>
  <si>
    <t>R.10036.02.01.01</t>
  </si>
  <si>
    <t>W_R.10036.02.01.01: C Capitalization of Real Estate Permits</t>
  </si>
  <si>
    <t>R.10036.03.01.01</t>
  </si>
  <si>
    <t>W_R.10036.03.01.01: C Transient Deterrent</t>
  </si>
  <si>
    <t>R.10037.01.01.01</t>
  </si>
  <si>
    <t>W_R.10037.01.01.01: E Removal Cost Meters</t>
  </si>
  <si>
    <t>R.10037.01.01.06</t>
  </si>
  <si>
    <t>W_R.10037.01.01.06: G Removal Cost Meters</t>
  </si>
  <si>
    <t>R.10039.02.01.01</t>
  </si>
  <si>
    <t>W_R.10039.02.01.01: E Buckley Substation Feeder</t>
  </si>
  <si>
    <t>R.10039.02.01.02</t>
  </si>
  <si>
    <t>W_R.10039.02.01.02: E Buckley Substation Sub</t>
  </si>
  <si>
    <t>R.10039.02.01.03</t>
  </si>
  <si>
    <t>W_R.10039.02.01.03: E Electr Enum 55Kv 115Kv Sub Electr Hght</t>
  </si>
  <si>
    <t>R.10039.02.01.05</t>
  </si>
  <si>
    <t>W_R.10039.02.01.05: E Electr Enum 55Kv To 115Kv Sub Enum</t>
  </si>
  <si>
    <t>R.10039.02.01.06</t>
  </si>
  <si>
    <t>W_R.10039.02.01.06: E Electr Enum 55Kv To 115Kv Fiber</t>
  </si>
  <si>
    <t>R.10051.02.01.01</t>
  </si>
  <si>
    <t>W_R.10051.02.01.01: E Thurston Transmission Capacity</t>
  </si>
  <si>
    <t>R.10054.01.01.01</t>
  </si>
  <si>
    <t>W_R.10054.01.01.01: E Bellingham Sedro 4 115Kv Recond Tline</t>
  </si>
  <si>
    <t>R.10056.01.01.01</t>
  </si>
  <si>
    <t>W_R.10056.01.01.01: E Wilkeson Substation Sub</t>
  </si>
  <si>
    <t>R.10059.01.01.01</t>
  </si>
  <si>
    <t>W_R.10059.01.01.01: E Smart Grid Living Lab</t>
  </si>
  <si>
    <t>R.10059.02.01.01</t>
  </si>
  <si>
    <t>W_R.10059.02.01.01: E ADMS Circuit Enablement</t>
  </si>
  <si>
    <t>R.10059.03.01.01</t>
  </si>
  <si>
    <t>R.10060.01.01.02</t>
  </si>
  <si>
    <t>W_R.10060.01.01.02: G Vashon Interim Supply at Gig Harbor</t>
  </si>
  <si>
    <t>X.10003.01.01.01</t>
  </si>
  <si>
    <t>W_X.10003.01.01.01: Street and Area Lighting Services</t>
  </si>
  <si>
    <t>X.10003.01.03.01</t>
  </si>
  <si>
    <t>W_X.10003.01.03.01: Street Light Replacement</t>
  </si>
  <si>
    <t>X.10003.01.03.02</t>
  </si>
  <si>
    <t>W_X.10003.01.03.02: Smart Street Lighting</t>
  </si>
  <si>
    <t>X.10005.01.01.01</t>
  </si>
  <si>
    <t>W_X.10005.01.01.01: Wireless and Wireline Construction</t>
  </si>
  <si>
    <t>X.10006.01.01.01</t>
  </si>
  <si>
    <t>W_X.10006.01.01.01: Customer Sited Energy Storage Pilot</t>
  </si>
  <si>
    <t>X.10006.02.02.02</t>
  </si>
  <si>
    <t>W_X.10006.02.02.02: EV Charging Program Infrastructure</t>
  </si>
  <si>
    <t>X.10006.03.01.02</t>
  </si>
  <si>
    <t>W_X.10006.03.01.02: Community Solar Program</t>
  </si>
  <si>
    <t>X.10006.03.01.05</t>
  </si>
  <si>
    <t>W_X.10006.03.01.05: Community Solar Program 2022-25</t>
  </si>
  <si>
    <t>PLACEHOLDER WBS 21: IP Scada</t>
  </si>
  <si>
    <t>R.10059.04.01.01</t>
  </si>
  <si>
    <t>W_R.10059.04.01.01: E Wildfire Resilience</t>
  </si>
  <si>
    <t>F.10017.13.02.02</t>
  </si>
  <si>
    <t>W_F.10017.13.02.02: Annual VOIP Deployment and Refresh</t>
  </si>
  <si>
    <t>K.10035.01.01.02</t>
  </si>
  <si>
    <t>W_K.10035.01.01.02: FRA Unit 2 to 4 Hot Gas Path</t>
  </si>
  <si>
    <t>R.10009.12.04.01</t>
  </si>
  <si>
    <t>W_R.10009.12.04.01: E Trans Automation Placeholder</t>
  </si>
  <si>
    <t>R.10037.01.01.07</t>
  </si>
  <si>
    <t>W_R.10037.01.01.07: G Scrap Sale Plt Meters Dist</t>
  </si>
  <si>
    <t>R.10009.07.03.02</t>
  </si>
  <si>
    <t>W_R.10009.07.03.02: E OH UG System Improv Opport New Trans</t>
  </si>
  <si>
    <t>R.10059.05.01.01</t>
  </si>
  <si>
    <t>W_R.10059.05.01.01: E Submarine Cable - Mercer Island</t>
  </si>
  <si>
    <t>R.10059.02.01.02</t>
  </si>
  <si>
    <t>W_R.10059.02.01.02: E Circuit Enablement EV</t>
  </si>
  <si>
    <t>R.99999.99.99.99</t>
  </si>
  <si>
    <t>Storm</t>
  </si>
  <si>
    <t>Energy</t>
  </si>
  <si>
    <t>(blank)</t>
  </si>
  <si>
    <t>Sum of JAK5 SEF16 Forecast CWIP Closings</t>
  </si>
  <si>
    <t>Common</t>
  </si>
  <si>
    <t>Electric Portion of Common</t>
  </si>
  <si>
    <t>Gas Portion of Common</t>
  </si>
  <si>
    <t>check actual</t>
  </si>
  <si>
    <t>check forecast</t>
  </si>
  <si>
    <t>check variance</t>
  </si>
  <si>
    <t>Electric and Gas Combined</t>
  </si>
  <si>
    <t>Electric + Allocated Common</t>
  </si>
  <si>
    <t>Gas + Allocated Common</t>
  </si>
  <si>
    <t>Project</t>
  </si>
  <si>
    <t>Not Ops</t>
  </si>
  <si>
    <t>Programmatic Customer Driven</t>
  </si>
  <si>
    <t>EV Circuit</t>
  </si>
  <si>
    <t>(Multiple Items)</t>
  </si>
  <si>
    <t>Forecast Used to Set Rates</t>
  </si>
  <si>
    <t>Actual Plant Closings</t>
  </si>
  <si>
    <t>Over (Under) Closed</t>
  </si>
  <si>
    <t>Explanation</t>
  </si>
  <si>
    <t>Energize Eastside Settlement Change</t>
  </si>
  <si>
    <t>JAK-5 Filing Date</t>
  </si>
  <si>
    <t>Jul - Dec 2021</t>
  </si>
  <si>
    <t>Total</t>
  </si>
  <si>
    <t>Original Filing</t>
  </si>
  <si>
    <t>Compliance Filing</t>
  </si>
  <si>
    <t>Change</t>
  </si>
  <si>
    <t xml:space="preserve">Assumed the </t>
  </si>
  <si>
    <t>Depreciation Rate</t>
  </si>
  <si>
    <t>reduction due to</t>
  </si>
  <si>
    <t>EE delayed in-</t>
  </si>
  <si>
    <t>service date was</t>
  </si>
  <si>
    <t>redeployed to</t>
  </si>
  <si>
    <t>same depr</t>
  </si>
  <si>
    <t>groups as EE</t>
  </si>
  <si>
    <t>See Tab "Eng ES Stlmt Chg"</t>
  </si>
  <si>
    <t>1 - AMI</t>
  </si>
  <si>
    <t>2 - Bainbridge</t>
  </si>
  <si>
    <t>4 - Emergent Work</t>
  </si>
  <si>
    <t>8 - Pipe Replacement</t>
  </si>
  <si>
    <t>9 - Projected</t>
  </si>
  <si>
    <t>3G - CIAC, NCC, PI</t>
  </si>
  <si>
    <t>3E - CIAC, NCC, PI</t>
  </si>
  <si>
    <t>6E - Grid Mod</t>
  </si>
  <si>
    <t>6G - Gas Mod</t>
  </si>
  <si>
    <t>7E - Maj Proj</t>
  </si>
  <si>
    <t>7G - Maj Proj</t>
  </si>
  <si>
    <t>10 - Sammamish</t>
  </si>
  <si>
    <t>11 - Thurston</t>
  </si>
  <si>
    <t>Adjusted CBR</t>
  </si>
  <si>
    <t>Act &gt; GRC</t>
  </si>
  <si>
    <t>Remove Tacoma LNG Facility</t>
  </si>
  <si>
    <t>(in billions)</t>
  </si>
  <si>
    <t>Test Year EOP</t>
  </si>
  <si>
    <t>Remove AMI</t>
  </si>
  <si>
    <t>Accumulated Depreciation</t>
  </si>
  <si>
    <t>Accumulated Deferred Income Taxes</t>
  </si>
  <si>
    <t>Total AMI</t>
  </si>
  <si>
    <t>GRC (excludes AMI and TLNG Facility)</t>
  </si>
  <si>
    <t>W_F.10018.02.03.02: Opex to Capital Maint 2022-2026</t>
  </si>
  <si>
    <t>Part of W_F.10007.02.01.02: IT Operational Program in the GRC</t>
  </si>
  <si>
    <t>Annual Deficiency</t>
  </si>
  <si>
    <t>Threshold</t>
  </si>
  <si>
    <t>Annual Threshold</t>
  </si>
  <si>
    <t>AMI Meters and Modules Deployment</t>
  </si>
  <si>
    <t>SAP S/4 Hana</t>
  </si>
  <si>
    <t>Depr Expense</t>
  </si>
  <si>
    <t>Deferred Tax</t>
  </si>
  <si>
    <t>Actual CWIP Closings 2023 - End of Period</t>
  </si>
  <si>
    <t>W_C.10002.02.02.02: CLSD PSE HQ Refresh Phase 2</t>
  </si>
  <si>
    <t>C.10002.02.02.04</t>
  </si>
  <si>
    <t>W_C.10002.02.02.04: CLSD Remodel Bellevue 9th Floor</t>
  </si>
  <si>
    <t>C.10002.02.04.01</t>
  </si>
  <si>
    <t>W_C.10002.02.04.01: Facility Optimizatn Bothell G Lease Exit</t>
  </si>
  <si>
    <t>W_C.10002.07.01.01: CLSD Puyallup Service Center Rebuild</t>
  </si>
  <si>
    <t>W_C.10002.08.02.01: CLSD Operational Training Center</t>
  </si>
  <si>
    <t>W_C.10003.01.01.01: CLSD Furniture and Fixture Installation</t>
  </si>
  <si>
    <t>F.10002.01.18.01</t>
  </si>
  <si>
    <t>W_F.10002.01.18.01: Cap and Invest Billing</t>
  </si>
  <si>
    <t>F.10002.01.23.01</t>
  </si>
  <si>
    <t>W_F.10002.01.23.01: Complex Billing CEIP</t>
  </si>
  <si>
    <t>F.10002.03.03.01</t>
  </si>
  <si>
    <t>W_F.10002.03.03.01: Multi-Channel Workforce Management</t>
  </si>
  <si>
    <t>F.10002.06.06.01</t>
  </si>
  <si>
    <t>W_F.10002.06.06.01: Bill Discount Rate</t>
  </si>
  <si>
    <t>F.10002.07.06.01</t>
  </si>
  <si>
    <t>W_F.10002.07.06.01: Time Varying Rates Pilot</t>
  </si>
  <si>
    <t>F.10002.09.02.01</t>
  </si>
  <si>
    <t>W_F.10002.09.02.01: Enterprise PPM Tool</t>
  </si>
  <si>
    <t>F.10015.02.17.03</t>
  </si>
  <si>
    <t>W_F.10015.02.17.03: CLSD ADMS Advanced Apps</t>
  </si>
  <si>
    <t>F.10015.02.23.01</t>
  </si>
  <si>
    <t>W_F.10015.02.23.01: ERX Migration</t>
  </si>
  <si>
    <t>F.10015.04.02.04</t>
  </si>
  <si>
    <t>W_F.10015.04.02.04: MDMS License Extension 2022-2026</t>
  </si>
  <si>
    <t>F.10015.06.23.02</t>
  </si>
  <si>
    <t>W_F.10015.06.23.02: SAP BW 7.5 Functional Upgrade</t>
  </si>
  <si>
    <t>F.10015.06.27.01</t>
  </si>
  <si>
    <t>W_F.10015.06.27.01: Cloud Connector SLS11 to SLS15 Upgrade</t>
  </si>
  <si>
    <t>F.10015.08.14.03</t>
  </si>
  <si>
    <t>W_F.10015.08.14.03: Sitecore 9.3 to 10.2 Upgrade</t>
  </si>
  <si>
    <t>F.10015.08.23.01</t>
  </si>
  <si>
    <t>W_F.10015.08.23.01: Xamarin Forms Migration to MAUI</t>
  </si>
  <si>
    <t>F.10015.11.04.01</t>
  </si>
  <si>
    <t>W_F.10015.11.04.01: Windows Server 2012 Upgrade</t>
  </si>
  <si>
    <t>F.10016.01.01.03</t>
  </si>
  <si>
    <t>W_F.10016.01.01.03: IT Enterprise Architecture Tool 2022</t>
  </si>
  <si>
    <t>W_F.10017.02.01.03: CLSD Annual Comm Room Tech Refresh 2022</t>
  </si>
  <si>
    <t>F.10017.08.02.03</t>
  </si>
  <si>
    <t>W_F.10017.08.02.03: Annual Telecom SCADA Refresh 2022-26</t>
  </si>
  <si>
    <t>F.10017.08.08.01</t>
  </si>
  <si>
    <t>W_F.10017.08.08.01: ASAT to RTAC Replacement</t>
  </si>
  <si>
    <t>F.10017.10.18.01</t>
  </si>
  <si>
    <t>W_F.10017.10.18.01: Directory Services Optimization</t>
  </si>
  <si>
    <t>F.10017.13.01.03</t>
  </si>
  <si>
    <t>W_F.10017.13.01.03: CLSD Annual Voice Equipment Refresh New</t>
  </si>
  <si>
    <t>F.10017.15.01.04</t>
  </si>
  <si>
    <t>W_F.10017.15.01.04: Cloud Cost Optimization Tooling Refresh</t>
  </si>
  <si>
    <t>F.10018.02.04.01</t>
  </si>
  <si>
    <t>W_F.10018.02.04.01: Annual Enterprise App Growth 2022-2026</t>
  </si>
  <si>
    <t>F.10025.02.01.07</t>
  </si>
  <si>
    <t>W_F.10025.02.01.07: Transportation Security Admin TSA</t>
  </si>
  <si>
    <t>F.10025.02.01.08</t>
  </si>
  <si>
    <t>W_F.10025.02.01.08: Cyber Security Roadmap</t>
  </si>
  <si>
    <t>K.10007.01.01.03</t>
  </si>
  <si>
    <t>W_K.10007.01.01.03: FERN Major Maintenance Activity</t>
  </si>
  <si>
    <t>K.10018.01.01.03</t>
  </si>
  <si>
    <t>W_K.10018.01.01.03: LSR1 Wind Plant Work</t>
  </si>
  <si>
    <t>K.10025.02.01.01</t>
  </si>
  <si>
    <t>W_K.10025.02.01.01: TLNG Operational Plant</t>
  </si>
  <si>
    <t>R.10008.03.01.18</t>
  </si>
  <si>
    <t>W_R.10008.03.01.18: E WSDOT Fish Passage Relocation</t>
  </si>
  <si>
    <t>R.10009.07.01.07</t>
  </si>
  <si>
    <t>W_R.10009.07.01.07: E System Planning Software</t>
  </si>
  <si>
    <t>R.10009.08.02.11</t>
  </si>
  <si>
    <t>W_R.10009.08.02.11: E OH Syst Rel Upgr Gang OP Switches Dist</t>
  </si>
  <si>
    <t>R.10009.12.01.08</t>
  </si>
  <si>
    <t>W_R.10009.12.01.08: E Opt Out AMR to NCM Capital Exch</t>
  </si>
  <si>
    <t>W_R.10009.14.05.06: E Substation Reliability Dist</t>
  </si>
  <si>
    <t>R.10009.14.05.09</t>
  </si>
  <si>
    <t>W_R.10009.14.05.09: E Substation Reliability Trans</t>
  </si>
  <si>
    <t>R.10011.01.01.06</t>
  </si>
  <si>
    <t>W_R.10011.01.01.06: G Remote Telemetry Units Dist</t>
  </si>
  <si>
    <t>R.10013.04.01.06</t>
  </si>
  <si>
    <t>W_R.10013.04.01.06: G WSDOT Fish Passage Relocation</t>
  </si>
  <si>
    <t>R.10015.03.10.02</t>
  </si>
  <si>
    <t>W_R.10015.03.10.02: G-DIMP Unmaintainable STW Main in Casing</t>
  </si>
  <si>
    <t>R.10015.08.02.02</t>
  </si>
  <si>
    <t>W_R.10015.08.02.02: G Alternative Fuels</t>
  </si>
  <si>
    <t>R.10019.01.01.01</t>
  </si>
  <si>
    <t>W_R.10019.01.01.01: E Port Madison Subs</t>
  </si>
  <si>
    <t>R.10045.01.01.01</t>
  </si>
  <si>
    <t>W_R.10045.01.01.01: E Talbot Asbury Ug 115Kv Repl Tline</t>
  </si>
  <si>
    <t>W_R.10059.03.01.01: E Resilience Enhancement Substation</t>
  </si>
  <si>
    <t>R.10060.01.01.01</t>
  </si>
  <si>
    <t>W_R.10060.01.01.01: G Vashon Marine Crossing</t>
  </si>
  <si>
    <t>X.10007.01.01.01</t>
  </si>
  <si>
    <t>W_X.10007.01.01.01: Covid 19 Work for WUTC Order</t>
  </si>
  <si>
    <t>C.10002.12.01.01</t>
  </si>
  <si>
    <t>W_C.10002.12.01.01: Hybrid Working Transition to 50 Percent</t>
  </si>
  <si>
    <t>C.10003.01.01.03</t>
  </si>
  <si>
    <t>W_C.10003.01.01.03: Furniture Fixtures HVAC Refresh</t>
  </si>
  <si>
    <t>C.10006.01.01.04</t>
  </si>
  <si>
    <t>W_C.10006.01.01.04: EEI Fleet Electrical Commitment</t>
  </si>
  <si>
    <t>F.10002.01.20.01</t>
  </si>
  <si>
    <t>W_F.10002.01.20.01: Front Office Enhancements</t>
  </si>
  <si>
    <t>F.10002.01.26.01</t>
  </si>
  <si>
    <t>W_F.10002.01.26.01: Urbint Enhancement</t>
  </si>
  <si>
    <t>F.10002.01.31.01</t>
  </si>
  <si>
    <t>W_F.10002.01.31.01: Sendout Replacement</t>
  </si>
  <si>
    <t>F.10002.06.05.02</t>
  </si>
  <si>
    <t>W_F.10002.06.05.02: PSE 2030 Digital Experience Non CEIP</t>
  </si>
  <si>
    <t>F.10002.06.08.04</t>
  </si>
  <si>
    <t>W_F.10002.06.08.04: Billing Correction Automation</t>
  </si>
  <si>
    <t>F.10002.07.03.01</t>
  </si>
  <si>
    <t>W_F.10002.07.03.01: GIS Upgrade Smallworld</t>
  </si>
  <si>
    <t>F.10002.07.04.01</t>
  </si>
  <si>
    <t>W_F.10002.07.04.01: Streetlight New Business DB SAP Conversn</t>
  </si>
  <si>
    <t>F.10002.07.08.01</t>
  </si>
  <si>
    <t>W_F.10002.07.08.01: eGRC Archer</t>
  </si>
  <si>
    <t>F.10003.04.01.01</t>
  </si>
  <si>
    <t>W_F.10003.04.01.01: Digital Workplace Transformation</t>
  </si>
  <si>
    <t>F.10015.01.03.02</t>
  </si>
  <si>
    <t>W_F.10015.01.03.02: Oracle Upgrades 2023</t>
  </si>
  <si>
    <t>F.10015.02.24.01</t>
  </si>
  <si>
    <t>W_F.10015.02.24.01: PI Vision Suite Migration</t>
  </si>
  <si>
    <t>F.10015.04.07.01</t>
  </si>
  <si>
    <t>W_F.10015.04.07.01: LoadSEER Non-production Environmnt Purch</t>
  </si>
  <si>
    <t>F.10015.05.04.02</t>
  </si>
  <si>
    <t>W_F.10015.05.04.02: Annual Quality Framework Enhancemnt 2023</t>
  </si>
  <si>
    <t>F.10015.05.10.01</t>
  </si>
  <si>
    <t>W_F.10015.05.10.01: Work Manager Upgrade</t>
  </si>
  <si>
    <t>F.10015.06.24.03</t>
  </si>
  <si>
    <t>W_F.10015.06.24.03: POI - HANA DR Enablement</t>
  </si>
  <si>
    <t>F.10015.06.26.02</t>
  </si>
  <si>
    <t>W_F.10015.06.26.02: SAP Business Process Monitoring</t>
  </si>
  <si>
    <t>F.10015.06.28.01</t>
  </si>
  <si>
    <t>W_F.10015.06.28.01: Annual SQL Server Patches</t>
  </si>
  <si>
    <t>F.10015.08.11.07</t>
  </si>
  <si>
    <t>W_F.10015.08.11.07: Annual ServiceNow Platform Upgrades</t>
  </si>
  <si>
    <t>F.10015.08.14.04</t>
  </si>
  <si>
    <t>W_F.10015.08.14.04: Sitecore Autoscaling 2023</t>
  </si>
  <si>
    <t>F.10015.08.14.05</t>
  </si>
  <si>
    <t>W_F.10015.08.14.05: Consolidate Web Platforms</t>
  </si>
  <si>
    <t>F.10015.08.18.02</t>
  </si>
  <si>
    <t>W_F.10015.08.18.02: Microservices Refactoring with Cassandra</t>
  </si>
  <si>
    <t>F.10015.08.20.01</t>
  </si>
  <si>
    <t>W_F.10015.08.20.01: Annual Splunk Growth (2023-27)</t>
  </si>
  <si>
    <t>F.10015.08.20.02</t>
  </si>
  <si>
    <t>W_F.10015.08.20.02: Splunk Version Upgrades 2023</t>
  </si>
  <si>
    <t>F.10015.08.20.03</t>
  </si>
  <si>
    <t>W_F.10015.08.20.03: Annual Splunk Security Improvements</t>
  </si>
  <si>
    <t>F.10015.08.21.01</t>
  </si>
  <si>
    <t>W_F.10015.08.21.01: DataStax Astra Migration</t>
  </si>
  <si>
    <t>F.10015.08.24.01</t>
  </si>
  <si>
    <t>W_F.10015.08.24.01: Twilio/SendGrid Replacement</t>
  </si>
  <si>
    <t>F.10016.01.01.04</t>
  </si>
  <si>
    <t>W_F.10016.01.01.04: IT Enterprise Architecture 2023-27</t>
  </si>
  <si>
    <t>F.10017.02.02.04</t>
  </si>
  <si>
    <t>W_F.10017.02.02.04: Annual Data Center Tech Refresh (2023+)</t>
  </si>
  <si>
    <t>F.10017.03.08.01</t>
  </si>
  <si>
    <t>W_F.10017.03.08.01: Annual  AV/Conf Room Tech Refresh</t>
  </si>
  <si>
    <t>F.10017.05.07.02</t>
  </si>
  <si>
    <t>W_F.10017.05.07.02: DC Battery Management 2022-26</t>
  </si>
  <si>
    <t>F.10017.07.01.04</t>
  </si>
  <si>
    <t>W_F.10017.07.01.04: OpenText ECM Upgrade</t>
  </si>
  <si>
    <t>F.10017.09.11.01</t>
  </si>
  <si>
    <t>W_F.10017.09.11.01: Annual Network&amp;Voice Tech Refresh/Growth</t>
  </si>
  <si>
    <t>F.10017.10.20.01</t>
  </si>
  <si>
    <t>W_F.10017.10.20.01: Annual Corporate Comm Room Tech Refresh</t>
  </si>
  <si>
    <t>F.10017.10.21.01</t>
  </si>
  <si>
    <t>W_F.10017.10.21.01: Purch &amp; Implmnt Syst Orchestration Tool</t>
  </si>
  <si>
    <t>F.10017.12.29.01</t>
  </si>
  <si>
    <t>W_F.10017.12.29.01: Annual Telecom Comm Sites Tech Refresh</t>
  </si>
  <si>
    <t>F.10025.01.04.05</t>
  </si>
  <si>
    <t>W_F.10025.01.04.05: Reconeyez Wireless Video</t>
  </si>
  <si>
    <t>F.10025.01.05.01</t>
  </si>
  <si>
    <t>W_F.10025.01.05.01: Zero Trust Strategy for TSA Gas Pipeline</t>
  </si>
  <si>
    <t>F.10025.01.05.03</t>
  </si>
  <si>
    <t>W_F.10025.01.05.03: Jackson Prairie IT Infrastructure</t>
  </si>
  <si>
    <t>F.10026.01.01.03</t>
  </si>
  <si>
    <t>W_F.10026.01.01.03: Robotic Process Automation (2023-27)</t>
  </si>
  <si>
    <t>K.10008.01.01.05</t>
  </si>
  <si>
    <t>W_K.10008.01.01.05: FREDDY 1 Major Maintenance Activity</t>
  </si>
  <si>
    <t>K.10011.01.03.01</t>
  </si>
  <si>
    <t>W_K.10011.01.03.01: FRE Major Maintenance Activity</t>
  </si>
  <si>
    <t>K.10020.01.01.07</t>
  </si>
  <si>
    <t>W_K.10020.01.01.07: MTF Major Maintenance</t>
  </si>
  <si>
    <t>R.10006.01.01.08</t>
  </si>
  <si>
    <t>W_R.10006.01.01.08: E Substation SCADA (Non-CEIP)</t>
  </si>
  <si>
    <t>R.10009.08.07.01</t>
  </si>
  <si>
    <t>W_R.10009.08.07.01: E Fault Location</t>
  </si>
  <si>
    <t>R.10015.03.09.16</t>
  </si>
  <si>
    <t>W_R.10015.03.09.16: G NRF Retirement Program</t>
  </si>
  <si>
    <t>R.10015.08.01.02</t>
  </si>
  <si>
    <t>W_R.10015.08.01.02: G Enhanced Methane Emissions Reduction</t>
  </si>
  <si>
    <t>R.10034.01.01.03</t>
  </si>
  <si>
    <t>W_R.10034.01.01.03: E Pierce Co 230Kv Alderton Tline</t>
  </si>
  <si>
    <t>R.10035.01.01.01</t>
  </si>
  <si>
    <t>W_R.10035.01.01.01: E Alderton Electron Hgts 115Kv Ph2 Tline</t>
  </si>
  <si>
    <t>R.10059.06.01.01</t>
  </si>
  <si>
    <t>W_R.10059.06.01.01: E Conservation Voltage Reduction</t>
  </si>
  <si>
    <t>X.10006.02.03.02</t>
  </si>
  <si>
    <t>W_X.10006.02.03.02: Transprtatn Electrificatn Plan General</t>
  </si>
  <si>
    <t>W_C.10002.02.02.01: CLSD East Building Retirement</t>
  </si>
  <si>
    <t>W_C.10002.04.03.01: CLSD New Headquarters TI</t>
  </si>
  <si>
    <t>W_C.10002.09.01.01: CLSD BUCC relocation</t>
  </si>
  <si>
    <t>PLACEHOLDER WBS 34</t>
  </si>
  <si>
    <t xml:space="preserve">PLACEHOLDER WBS 34: Crystal Mountain </t>
  </si>
  <si>
    <t>F.10002.01.34.01</t>
  </si>
  <si>
    <t>W_F.10002.01.34.01: IWM Enhancements</t>
  </si>
  <si>
    <t>R.10059.02.01.09</t>
  </si>
  <si>
    <t>W_R.10059.02.01.09: E Property Acquisition Cir Enablement</t>
  </si>
  <si>
    <t>C.10002.02.03.01</t>
  </si>
  <si>
    <t>W_C.10002.02.03.01: RedWest Vacate and SKC Buildout</t>
  </si>
  <si>
    <t>C.20001.02.01.01</t>
  </si>
  <si>
    <t>W_C.20001.02.01.01: Treated Wood Disposal</t>
  </si>
  <si>
    <t>F.10015.04.04.01</t>
  </si>
  <si>
    <t>W_F.10015.04.04.01: GIS SmallWorld Upgrade</t>
  </si>
  <si>
    <t>F.10017.05.04.02</t>
  </si>
  <si>
    <t>W_F.10017.05.04.02: AV Updates</t>
  </si>
  <si>
    <t>R.10044.01.01.03</t>
  </si>
  <si>
    <t>W_R.10044.01.01.03: E Lake Holm Substation Subs</t>
  </si>
  <si>
    <t>R.10039.03.01.01</t>
  </si>
  <si>
    <t>W_R.10039.03.01.01: E White River Krain Substation</t>
  </si>
  <si>
    <t>W_F.10007.02.01.02: IT Operational Funding</t>
  </si>
  <si>
    <t>R.10003.01.01.01</t>
  </si>
  <si>
    <t>W_R.10003.01.01.01: E Lake Tradition 230Kv Development</t>
  </si>
  <si>
    <t>R.10015.06.01.11</t>
  </si>
  <si>
    <t>W_R.10015.06.01.11: G Project Initiation</t>
  </si>
  <si>
    <t>W_R.99999.99.99.99: General Transmission Project (Offest to Energize Eastside)</t>
  </si>
  <si>
    <t>F.10002.01.22.01</t>
  </si>
  <si>
    <t>W_F.10002.01.22.01: Click Schedule Replacement</t>
  </si>
  <si>
    <t>F.10002.01.25.01</t>
  </si>
  <si>
    <t>W_F.10002.01.25.01: Transmission &amp; Generation Facilities DB</t>
  </si>
  <si>
    <t>F.10015.02.17.01</t>
  </si>
  <si>
    <t>W_F.10015.02.17.01: Distribution Management System</t>
  </si>
  <si>
    <t>W_K.10020.01.01.03: MTF CT Major Maintenance</t>
  </si>
  <si>
    <t>R.10009.03.01.01</t>
  </si>
  <si>
    <t>W_R.10009.03.01.01: E Clyde Hill Switching Station</t>
  </si>
  <si>
    <t>R.10009.10.01.01</t>
  </si>
  <si>
    <t>W_R.10009.10.01.01: E Issaquah Highland Substation</t>
  </si>
  <si>
    <t>R.10009.14.05.01</t>
  </si>
  <si>
    <t>W_R.10009.14.05.01: E Digital Fault Recorders Replacement</t>
  </si>
  <si>
    <t>R.10018.01.01.01</t>
  </si>
  <si>
    <t>W_R.10018.01.01.01: E Covington Area Capacity Project</t>
  </si>
  <si>
    <t>R.10019.01.01.03</t>
  </si>
  <si>
    <t>W_R.10019.01.01.03: E Rebuild Winslow Tap</t>
  </si>
  <si>
    <t>R.10019.01.01.04</t>
  </si>
  <si>
    <t>W_R.10019.01.01.04: E Murden Cove Subs</t>
  </si>
  <si>
    <t>R.10019.03.01.01</t>
  </si>
  <si>
    <t>W_R.10019.03.01.01: E So Brm Bngr 115Kv 230Kv Prprty Purch</t>
  </si>
  <si>
    <t>R.10020.02.01.01</t>
  </si>
  <si>
    <t>W_R.10020.02.01.01: E Wind RidgE Kittitas 115Kv Tline</t>
  </si>
  <si>
    <t>R.10052.01.01.01</t>
  </si>
  <si>
    <t>W_R.10052.01.01.01: E Kent-Tukwila Area Capacity Project</t>
  </si>
  <si>
    <t>R.10052.01.01.02</t>
  </si>
  <si>
    <t>W_R.10052.01.01.02: E Briscoe Park Substation Tline</t>
  </si>
  <si>
    <t>R.10054.03.01.01</t>
  </si>
  <si>
    <t>W_R.10054.03.01.01: E Lynden Substation Expansion</t>
  </si>
  <si>
    <t>F.10002.01.27.01</t>
  </si>
  <si>
    <t>W_F.10002.01.27.01: Asset Change Work Management</t>
  </si>
  <si>
    <t>F.10002.05.03.01</t>
  </si>
  <si>
    <t>W_F.10002.05.03.01: EA and Magic Access DB Replacement</t>
  </si>
  <si>
    <t>R.10006.01.01.02</t>
  </si>
  <si>
    <t>F.10002.06.04.01</t>
  </si>
  <si>
    <t>W_F.10002.06.04.01: Arrearage Management Plan</t>
  </si>
  <si>
    <t>F.10002.06.07.01</t>
  </si>
  <si>
    <t>W_F.10002.06.07.01: Cust Usage Disaggregation and Presentmnt</t>
  </si>
  <si>
    <t>F.10002.07.05.01</t>
  </si>
  <si>
    <t>W_F.10002.07.05.01: Third Party Risk</t>
  </si>
  <si>
    <t>F.10002.07.07.01</t>
  </si>
  <si>
    <t>W_F.10002.07.07.01: Multi-Family Solar</t>
  </si>
  <si>
    <t>F.10002.07.09.01</t>
  </si>
  <si>
    <t>W_F.10002.07.09.01: Supply Chain Stabilization Phase 3</t>
  </si>
  <si>
    <t>Total All Items Considered in 2023 Rate Year 1 CWIP Closings</t>
  </si>
  <si>
    <t>2023 EOP Total Actual CWIP Closings</t>
  </si>
  <si>
    <t>Sum of 2023 EOP Total Actual CWIP Closings</t>
  </si>
  <si>
    <t>2023 Year End</t>
  </si>
  <si>
    <t>2023, Rate Year 1</t>
  </si>
  <si>
    <t>AMA 2023</t>
  </si>
  <si>
    <t>2023 STR Calculation (in millions)</t>
  </si>
  <si>
    <t>UG-__________</t>
  </si>
  <si>
    <t>Note: Amounts in bold and italics are different from the June 27, 2022 revised filing.</t>
  </si>
  <si>
    <t>Exh. SEF-24 page 2 of 3</t>
  </si>
  <si>
    <t>EOP</t>
  </si>
  <si>
    <t>AMA</t>
  </si>
  <si>
    <t>DEC 2021</t>
  </si>
  <si>
    <t>ADJUSTED</t>
  </si>
  <si>
    <t>TRADITIONAL</t>
  </si>
  <si>
    <t>GAP YEAR</t>
  </si>
  <si>
    <t>RESULTS</t>
  </si>
  <si>
    <t>RATE YEAR 1</t>
  </si>
  <si>
    <t>RATE YEAR 2</t>
  </si>
  <si>
    <t>PROFORMA</t>
  </si>
  <si>
    <t>RESULTS OF</t>
  </si>
  <si>
    <t>PROVISIONAL</t>
  </si>
  <si>
    <t>START OF</t>
  </si>
  <si>
    <t>END OF</t>
  </si>
  <si>
    <t>NO.</t>
  </si>
  <si>
    <t>DESCRIPTION</t>
  </si>
  <si>
    <t>ADJUSTMENTS</t>
  </si>
  <si>
    <t>OPERATIONS</t>
  </si>
  <si>
    <t>Programmatic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</si>
  <si>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</si>
  <si>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</si>
  <si>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</si>
  <si>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</si>
  <si>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</si>
  <si>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</si>
  <si>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</si>
  <si>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</si>
  <si>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RATE BASE</t>
  </si>
  <si>
    <t>ACCUM. DEPRECIATION &amp; AMORTIZATION</t>
  </si>
  <si>
    <t>TOTAL ADJUSTMENT TO RATE BASE</t>
  </si>
  <si>
    <t>Programmatic Customer Drive</t>
  </si>
  <si>
    <t>Specific</t>
  </si>
  <si>
    <t>Total All Provisional Proformas</t>
  </si>
  <si>
    <t>Exh. SEF-24 page 3 of 3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</si>
  <si>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</si>
  <si>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</si>
  <si>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</si>
  <si>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</si>
  <si>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</si>
  <si>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INCREASE (DECREASE) EDIT</t>
  </si>
  <si>
    <t>INCREASE (DECREASE) FLOW-THROUGH</t>
  </si>
  <si>
    <t>INCREASE (DECREASE) TAX EXPENSE</t>
  </si>
  <si>
    <t>ADJUSTMENT TO RATE BASE:</t>
  </si>
  <si>
    <t>ADJUSTMENT TO ACCUM. DEPREC. AT 100% DEPREC. EXP. LINE 12</t>
  </si>
  <si>
    <t>TOTAL ADJUSTMENT TO RATEBASE</t>
  </si>
  <si>
    <t>UE-__________</t>
  </si>
  <si>
    <t>Exh. SEF-23 pages 2 of 3</t>
  </si>
  <si>
    <t>(less Colstrip)</t>
  </si>
  <si>
    <t>403 ELEC. DEPRECIATION EXPENSE</t>
  </si>
  <si>
    <t>403 ELEC. PORTION OF COMMON</t>
  </si>
  <si>
    <t>404 ELEC. AMORTIZATION EXPENSE</t>
  </si>
  <si>
    <t>404 ELEC. PORTION OF COMMON</t>
  </si>
  <si>
    <t>GROSS PLANT</t>
  </si>
  <si>
    <t>Exh. SEF-23 page 3 of 3</t>
  </si>
  <si>
    <t>403.1 ELEC. ASSET RETIREMENT COST DEPRECIATION</t>
  </si>
  <si>
    <t>403.1 ELEC. PORTION OF COMMON</t>
  </si>
  <si>
    <t>411.10 ELEC. ASSET RETIREMENT OBLIGATION ACCRETION</t>
  </si>
  <si>
    <r>
      <t xml:space="preserve">RY 1 </t>
    </r>
    <r>
      <rPr>
        <b/>
        <sz val="11"/>
        <color rgb="FF0000FF"/>
        <rFont val="Calibri"/>
        <family val="2"/>
        <scheme val="minor"/>
      </rPr>
      <t>In Rates</t>
    </r>
  </si>
  <si>
    <r>
      <t xml:space="preserve">RY 1 </t>
    </r>
    <r>
      <rPr>
        <b/>
        <sz val="11"/>
        <color rgb="FF00B050"/>
        <rFont val="Calibri"/>
        <family val="2"/>
        <scheme val="minor"/>
      </rPr>
      <t>Actuals</t>
    </r>
  </si>
  <si>
    <t>Subject to Refund</t>
  </si>
  <si>
    <t>From reconciliation ----&gt;</t>
  </si>
  <si>
    <t>PT - Company</t>
  </si>
  <si>
    <t>1000: Puget Sound Energy</t>
  </si>
  <si>
    <t>Colstrip, TEP, CEIP</t>
  </si>
  <si>
    <t>ST Item: Summary Item for Rate Base Report of ST - Item</t>
  </si>
  <si>
    <t>&amp; LNG Removed</t>
  </si>
  <si>
    <t>ST - Item</t>
  </si>
  <si>
    <t>Plant Book Ending Balance</t>
  </si>
  <si>
    <t>12/31/2023 AMA</t>
  </si>
  <si>
    <t>Sum of Dec-2022</t>
  </si>
  <si>
    <t>Sum of Jan-2023</t>
  </si>
  <si>
    <t>Sum of Feb-2023</t>
  </si>
  <si>
    <t>Sum of Mar-2023</t>
  </si>
  <si>
    <t>Sum of Apr-2023</t>
  </si>
  <si>
    <t>Sum of May-2023</t>
  </si>
  <si>
    <t>Sum of Jun-2023</t>
  </si>
  <si>
    <t>Sum of Jul-2023</t>
  </si>
  <si>
    <t>Sum of Aug-2023</t>
  </si>
  <si>
    <t>Sum of Sep-2023</t>
  </si>
  <si>
    <t>Sum of Oct-2023</t>
  </si>
  <si>
    <t>Sum of Nov-2023</t>
  </si>
  <si>
    <t>Sum of Dec-2023</t>
  </si>
  <si>
    <t>N/A: Not Applicable</t>
  </si>
  <si>
    <t>W_C.10002.02.03.02: Redmond South King Lease Exit</t>
  </si>
  <si>
    <t>W_C.10002.03.01.03: CLSD South King Complex Reno</t>
  </si>
  <si>
    <t>W_C.10002.06.01.01: CLSD Snoq Tech Center</t>
  </si>
  <si>
    <t>W_C.10002.08.02.02: Operational Training Center CC 1507</t>
  </si>
  <si>
    <t>W_C.10002.10.01.01: CLSD - Site Feas and Master Plan</t>
  </si>
  <si>
    <t>W_C.10002.11.01.01: Lake Tapps Improvements</t>
  </si>
  <si>
    <t>W_C.10002.14.01.01: NOB Security Fence</t>
  </si>
  <si>
    <t>W_C.10002.15.01.01: New Primary Control Center</t>
  </si>
  <si>
    <t>W_C.10002.16.01.01: Fac Fleet &amp; Supply Chain Expan or Reloc</t>
  </si>
  <si>
    <t>W_C.10010.03.01.01: Shuffleton Relocation at SKC</t>
  </si>
  <si>
    <t>W_C.10010.06.01.01: Shuffleton Reloc at Todd Road</t>
  </si>
  <si>
    <t>W_C.40001.01.02.01: SuccessFactors Application Sustainment</t>
  </si>
  <si>
    <t>W_ELEC PRECAP: Elec precap</t>
  </si>
  <si>
    <t>W_F.10002.01.02.04: PCI Upgrade for EIM Changes</t>
  </si>
  <si>
    <t>W_F.10002.01.02.06: PCI Transmission Billing Module</t>
  </si>
  <si>
    <t>W_F.10002.01.05.02: Transmission GIS</t>
  </si>
  <si>
    <t>W_F.10002.01.05.03: Enterprise GIS Product Enhancements</t>
  </si>
  <si>
    <t>W_F.10002.01.05.04: GIS Technology Rationalization</t>
  </si>
  <si>
    <t>W_F.10002.01.06.02: SAP SuccessFactor Onboarding 2.0 Upgrade</t>
  </si>
  <si>
    <t>W_F.10002.01.16.02: Virtual Power Plant 2024 &amp; Beyond</t>
  </si>
  <si>
    <t>W_F.10002.01.19.01: Data Lake and Data Analytics</t>
  </si>
  <si>
    <t>W_F.10002.01.19.02: Data Lake and Data Analytics NonCEIP</t>
  </si>
  <si>
    <t>W_F.10002.01.21.01: EMS Platform Replacement</t>
  </si>
  <si>
    <t>W_F.10002.01.24.01: Cust Relationship Mgmt (CRM) CEIP</t>
  </si>
  <si>
    <t>W_F.10002.01.24.02: Cust Relationship Mgmnt (CRM) NonCEIP</t>
  </si>
  <si>
    <t>W_F.10002.01.28.03: Dist Energy Resource Mgmnt Systs (DERMS)</t>
  </si>
  <si>
    <t>W_F.10002.01.29.01: Enh Day Ahead Mkt for CAISO or SPP+</t>
  </si>
  <si>
    <t>W_F.10002.01.30.01: Hosting Capacity Analysis</t>
  </si>
  <si>
    <t>W_F.10002.01.32.01: PM Tool for C&amp;SP</t>
  </si>
  <si>
    <t>W_F.10002.01.33.01: Substation Forms Automation</t>
  </si>
  <si>
    <t>W_F.10002.01.35.01: Advanced Leak Detection</t>
  </si>
  <si>
    <t>W_F.10002.01.35.02: Leak Management System Replacement</t>
  </si>
  <si>
    <t>W_F.10002.01.36.01: DIMP Predictive Analytics</t>
  </si>
  <si>
    <t>W_F.10002.05.04.01: Treasury &amp; Risk Management Enhancement</t>
  </si>
  <si>
    <t>W_F.10002.05.05.01: ETRMS Consolidate - Endur Replace</t>
  </si>
  <si>
    <t>W_F.10002.05.05.02: ETRMS Consolidate - OATI WebTrader Repl</t>
  </si>
  <si>
    <t>W_F.10002.06.05.02: PSE 2030 Digital Experience NonCEIP</t>
  </si>
  <si>
    <t>W_F.10002.06.08.01: Budget Billing</t>
  </si>
  <si>
    <t>W_F.10002.06.08.02: Interactive Bill</t>
  </si>
  <si>
    <t>W_F.10002.06.08.03: Billing and Pymnt Opertional Enhancemnts</t>
  </si>
  <si>
    <t>W_F.10002.07.01.01: IMPACT</t>
  </si>
  <si>
    <t>W_F.10002.07.02.01: Safety Incident Management Tool</t>
  </si>
  <si>
    <t>W_F.10002.07.10.01: SAP S/4 Hana</t>
  </si>
  <si>
    <t>W_F.10002.07.11.01: Learning Management System (LMS)</t>
  </si>
  <si>
    <t>W_F.10002.07.12.01: Vendor DEI/Green</t>
  </si>
  <si>
    <t>W_F.10002.07.13.01: Enterprise Application Integration</t>
  </si>
  <si>
    <t>W_F.10002.07.14.01: Legal Hold Management System</t>
  </si>
  <si>
    <t>W_F.10002.08.01.01: Material TrackTrace Pipeline Safety Comp</t>
  </si>
  <si>
    <t>W_F.10002.09.01.01: Power Plan Upgrade</t>
  </si>
  <si>
    <t>W_F.10002.09.02.02: EPPM Tool Phase 2</t>
  </si>
  <si>
    <t>W_F.10002.09.03.01: Facilities and Workplace Mgmt System</t>
  </si>
  <si>
    <t>W_F.10002.09.04.01: FERC 881 Mitigation</t>
  </si>
  <si>
    <t>W_F.10003.02.02.01: CLSD FTIP Hardware Upgrade</t>
  </si>
  <si>
    <t>W_F.10003.04.02.01: AV (Audio/Video) Upgrades</t>
  </si>
  <si>
    <t>W_F.10003.04.03.01: Network Substation Hardware Refresh</t>
  </si>
  <si>
    <t>W_F.10003.04.04.01: Microsoft 365 Enablement</t>
  </si>
  <si>
    <t>W_F.10003.04.05.01: Critical Access Database Remediation</t>
  </si>
  <si>
    <t>W_F.10013.09.01.01: PSE ITSR</t>
  </si>
  <si>
    <t>W_F.10013.09.01.02: PSE ITSR</t>
  </si>
  <si>
    <t>W_F.10015.01.04.01: Annual Informatica Upgrades</t>
  </si>
  <si>
    <t>W_F.10015.02.02.03: EMS Point Growth (2024+)</t>
  </si>
  <si>
    <t>W_F.10015.02.03.01: EMS 3X Upgrade</t>
  </si>
  <si>
    <t>W_F.10015.02.14.01: OSI Soft PI Historian</t>
  </si>
  <si>
    <t>W_F.10015.02.14.03: Elec OSI PI Asst Framewrk PI Vision Migr</t>
  </si>
  <si>
    <t>W_F.10015.02.14.04: OSISoft PI Historian Data Visualization</t>
  </si>
  <si>
    <t>W_F.10015.02.17.02: ADMS SCADA</t>
  </si>
  <si>
    <t>W_F.10015.02.18.02: Geospacial Load Forecasting</t>
  </si>
  <si>
    <t>W_F.10015.02.19.02: SSIS Version 2019 Upgrade</t>
  </si>
  <si>
    <t>W_F.10015.02.22.01: ESO Video Wall Replacement</t>
  </si>
  <si>
    <t>W_F.10015.02.25.01: Task Factory Replacement</t>
  </si>
  <si>
    <t>W_F.10015.02.26.01: Annual SmallWorld Upgrade</t>
  </si>
  <si>
    <t>W_F.10015.04.02.03: MDMS 7.5 Upgrade</t>
  </si>
  <si>
    <t>W_F.10015.04.02.05: MDMS DB Partitioning Truncation</t>
  </si>
  <si>
    <t>W_F.10015.04.06.01: Annual Smart Community Center Upgrade</t>
  </si>
  <si>
    <t>W_F.10015.04.07.02: Annual LoadSEER Upgrade</t>
  </si>
  <si>
    <t>W_F.10015.04.08.01: AMI Command Center Upgrade</t>
  </si>
  <si>
    <t>W_F.10015.04.09.01: MV90 Upgrade</t>
  </si>
  <si>
    <t>W_F.10015.05.09.01: ESRI Enterprise Platform Prep Work</t>
  </si>
  <si>
    <t>W_F.10015.06.05.01: SAP HR Support Packs</t>
  </si>
  <si>
    <t>W_F.10015.06.24.02: POI HANA Sizing &amp; Optimization</t>
  </si>
  <si>
    <t>W_F.10015.06.29.01: SAP Systems Data Archiving (2024-26)</t>
  </si>
  <si>
    <t>W_F.10015.08.03.05: IAM Stability and Enhancement</t>
  </si>
  <si>
    <t>W_F.10015.08.11.04: ServiceNow New York Upgrade</t>
  </si>
  <si>
    <t>W_F.10015.08.13.01: UI Enhancements</t>
  </si>
  <si>
    <t>W_F.10015.08.13.04: Annual UI Planner Upgrade</t>
  </si>
  <si>
    <t>W_F.10015.08.16.02: Cassandra (Astra) Data Reconciliation</t>
  </si>
  <si>
    <t>W_F.10015.08.16.03: PI/PO Notifications Migration to CPI</t>
  </si>
  <si>
    <t>W_F.10015.08.18.03: AWS Container Stabilization</t>
  </si>
  <si>
    <t>W_F.10015.08.18.04: Service Health Dashboard for API Gateway</t>
  </si>
  <si>
    <t>W_F.10015.08.19.02: Terraform Build Improvements</t>
  </si>
  <si>
    <t>W_F.10015.08.25.01: eGain Improvements</t>
  </si>
  <si>
    <t>W_F.10015.08.26.01: Azure Dev Ops (ADO) Upgrade</t>
  </si>
  <si>
    <t>W_F.10015.08.27.01: Optimization of VDI Instance for Web</t>
  </si>
  <si>
    <t>W_F.10015.08.28.01: Monitor and Alert Sys for Extrnl Compnnt</t>
  </si>
  <si>
    <t>W_F.10015.11.02.01: Command Center Upgrade 2021</t>
  </si>
  <si>
    <t>W_F.10015.11.03.01: Gas Control Workstations Upgrade</t>
  </si>
  <si>
    <t>W_F.10015.11.08.01: Annual Everbridge Upgrade</t>
  </si>
  <si>
    <t>W_F.10015.11.09.01: Archer Enhancements</t>
  </si>
  <si>
    <t>W_F.10015.12.01.01: MIGRATE FROM TABLEAU TO POWER BI</t>
  </si>
  <si>
    <t>W_F.10015.12.01.02: Annual Power BI Upgrades</t>
  </si>
  <si>
    <t>W_F.10015.12.02.01: SQL Server Audit Compliance Tool</t>
  </si>
  <si>
    <t>W_F.10015.12.02.02: SQL Server Lab Environment</t>
  </si>
  <si>
    <t>W_F.10016.01.01.02: CLSD IT Enterprise Architecture System</t>
  </si>
  <si>
    <t>W_F.10017.02.01.02: CLSD Annual Comm Room Refresh</t>
  </si>
  <si>
    <t>W_F.10017.02.02.02: Annual Data Center Refresh and Growth</t>
  </si>
  <si>
    <t>W_F.10017.02.04.02: Enterpr Monitoring Standardization 2022</t>
  </si>
  <si>
    <t>W_F.10017.03.01.03: PC and TB Refresh New</t>
  </si>
  <si>
    <t>W_F.10017.03.08.02: Annual  AV/Conf Room Tech Refrsh (2024+)</t>
  </si>
  <si>
    <t>W_F.10017.03.09.01: InTune Migration</t>
  </si>
  <si>
    <t>W_F.10017.03.10.01: Digital Experience Monitoring Tool</t>
  </si>
  <si>
    <t>W_F.10017.03.11.01: Hardware Asset Management</t>
  </si>
  <si>
    <t>W_F.10017.04.03.02: eWFM Back Office Component</t>
  </si>
  <si>
    <t>W_F.10017.05.08.01: Underground Fuel Tank Removal</t>
  </si>
  <si>
    <t>W_F.10017.05.09.01: IT Enterprise Architecture (2024+)</t>
  </si>
  <si>
    <t>W_F.10017.07.01.05: EDRMS Phase 2 (OpenText)</t>
  </si>
  <si>
    <t>W_F.10017.08.02.02: CLSD Annual Scada Refresh New</t>
  </si>
  <si>
    <t>W_F.10017.09.04.07: SAP Security Roles Optimization</t>
  </si>
  <si>
    <t>W_F.10017.10.19.01: Data Center UPS Battery Replacement</t>
  </si>
  <si>
    <t>W_F.10017.10.22.01: Annual Server and Storage Growth (2024+)</t>
  </si>
  <si>
    <t>W_F.10017.11.01.03: Annual Strge Bckup Growth Refresh New</t>
  </si>
  <si>
    <t>W_F.10017.12.01.02: CLSD Annual Fiber Refresh New</t>
  </si>
  <si>
    <t>W_F.10017.12.03.01: Annual Microwave Radio Refresh</t>
  </si>
  <si>
    <t>W_F.10017.12.05.02: CLSD Annual RF Refresh New</t>
  </si>
  <si>
    <t>W_F.10017.12.06.02: CLSD Telecom Equipment Refresh and Grwth</t>
  </si>
  <si>
    <t>W_F.10017.12.08.01: CLSD Annual Telecom Netwrk Refrh n Grwth</t>
  </si>
  <si>
    <t>W_F.10017.12.08.02: Transport Refresh</t>
  </si>
  <si>
    <t>W_F.10017.12.17.02: Upper Baker Glover Tower Replacement</t>
  </si>
  <si>
    <t>W_F.10017.12.23.03: CLSD Network Refresh n Growth New</t>
  </si>
  <si>
    <t>W_F.10017.12.27.01: Move of Telecom Core</t>
  </si>
  <si>
    <t>W_F.10017.12.28.01: GIS Fiber Mapping</t>
  </si>
  <si>
    <t>W_F.10017.13.04.01: CLSD Corp SIP Trunking Expansion</t>
  </si>
  <si>
    <t>W_F.10017.15.01.03: Automation API Platform</t>
  </si>
  <si>
    <t>W_F.10018.02.02.01: IT Client Software Growth</t>
  </si>
  <si>
    <t>W_F.10018.02.03.01: Opex to Capex Maint</t>
  </si>
  <si>
    <t>W_F.10025.01.04.03: DNA Fusion Upgrade</t>
  </si>
  <si>
    <t>W_F.10025.01.04.04: Threat Vulnerability Assessment (TVA)</t>
  </si>
  <si>
    <t>W_F.10025.01.04.06: Phys Sec Imprvmts-High-Risk Sites &amp; Sys</t>
  </si>
  <si>
    <t>W_F.10025.01.04.07: O'Brien Sub Phys Security Enhancements</t>
  </si>
  <si>
    <t>W_F.10025.01.04.09: ESO Physical Security Enhancements</t>
  </si>
  <si>
    <t>W_F.10025.01.04.10: SKC SVC Physical Security Enhancements</t>
  </si>
  <si>
    <t>W_F.10025.01.04.11: TAC SVC Physical Security Enhancements</t>
  </si>
  <si>
    <t>W_F.10025.01.05.02: Physical Security Gas Facility Improv</t>
  </si>
  <si>
    <t>W_F.10025.01.05.04: Zero Trust Strategy - Enterprise</t>
  </si>
  <si>
    <t>W_F.10025.02.01.06: CDC Extension &amp; Efficiency</t>
  </si>
  <si>
    <t>W_F.10026.01.01.02: Workspace Reservation System</t>
  </si>
  <si>
    <t>W_F.10028.01.01.01: Performance Management</t>
  </si>
  <si>
    <t>W_F.10028.01.02.01: Activity Based Forecasting</t>
  </si>
  <si>
    <t>W_GAS PRECAP: Gas precap</t>
  </si>
  <si>
    <t>W_K.10002.01.01.01: LBK Clubhouse Remodel Visitor Center</t>
  </si>
  <si>
    <t>W_K.10002.01.01.06: LBK FSC Guide Net Replacement</t>
  </si>
  <si>
    <t>W_K.10002.01.01.07: LBK Equipment Storage Building</t>
  </si>
  <si>
    <t>W_K.10003.01.01.02: LBK Dam Grouting Program</t>
  </si>
  <si>
    <t>W_K.10003.02.01.02: UBK W Pass Dike Instrmt n Stability Eval</t>
  </si>
  <si>
    <t>W_K.10006.01.01.03: ENC Major Maintenance Activity</t>
  </si>
  <si>
    <t>W_K.10007.01.01.01: FERN Small Tools</t>
  </si>
  <si>
    <t>W_K.10009.01.01.06: FRA Major Maintenance Activity</t>
  </si>
  <si>
    <t>W_K.10010.01.01.02: CLSD FRE Thermal Plant Work</t>
  </si>
  <si>
    <t>W_K.10011.01.03.02: FRE Electrolyzer Pilot Program</t>
  </si>
  <si>
    <t>W_K.10012.01.02.06: CLSD CI IVR Enhan Predct n Natural Voice</t>
  </si>
  <si>
    <t>W_K.10012.01.05.04: CLSD IWM Work Management System</t>
  </si>
  <si>
    <t>W_K.10012.01.05.11: IWM EFR Electric First Response</t>
  </si>
  <si>
    <t>W_K.10014.01.01.02: GLD CT Major Maintenance</t>
  </si>
  <si>
    <t>W_K.10014.01.01.07: GLD Major Maintenance Activity</t>
  </si>
  <si>
    <t>W_K.10017.01.01.02: BKR Develop Recreation Capital</t>
  </si>
  <si>
    <t>W_K.10017.01.01.03: BKR Elk Habitat</t>
  </si>
  <si>
    <t>W_K.10017.01.02.01: HPK Eagle Conservation Plan</t>
  </si>
  <si>
    <t>W_K.10017.01.03.01: LSR1 Eagle Conservation Plan</t>
  </si>
  <si>
    <t>W_K.10022.01.01.02: SNO Park Bathroom Rebuild</t>
  </si>
  <si>
    <t>W_K.10022.01.01.04: SNO U5 Erosion Repair</t>
  </si>
  <si>
    <t>W_K.10023.01.01.03: SMS Major Maintenance Activity</t>
  </si>
  <si>
    <t>W_K.10025.01.02.03: LNG Clover Creek Limit Station Modi</t>
  </si>
  <si>
    <t>W_K.10025.01.02.06: LNG Golden Givens New Limit Station</t>
  </si>
  <si>
    <t>W_K.10026.01.01.05: WHH Major Maintenance Activity</t>
  </si>
  <si>
    <t>W_K.10037.01.01.01: Generation Engineering Small Tools</t>
  </si>
  <si>
    <t>W_K.10040.01.01.01: Gordon Butte Hydro Pump Storage</t>
  </si>
  <si>
    <t>W_K.10041.01.01.01: CMN Thermal Plant Work</t>
  </si>
  <si>
    <t>W_K.10042.01.01.01: Appaloosa Solar Project</t>
  </si>
  <si>
    <t>W_K.10043.01.01.01: Beaver Creek Plant Construction</t>
  </si>
  <si>
    <t>W_K.10043.01.01.02: Beaver Creek IT Infrastructure</t>
  </si>
  <si>
    <t>W_PLACEHOLDER_06: Alternative Fuels Supply Procurement</t>
  </si>
  <si>
    <t>W_PLACEHOLDER_116: Energy Efficiency for Facilities</t>
  </si>
  <si>
    <t>W_PLACEHOLDER_118: Facilities Opt - Facility Modernization</t>
  </si>
  <si>
    <t>W_PLACEHOLDER_142: Cash Payment Transformation</t>
  </si>
  <si>
    <t>W_PLACEHOLDER_143: ADMS Enhancements</t>
  </si>
  <si>
    <t>W_PLACEHOLDER_144: Electric Distribution Digital As Builting</t>
  </si>
  <si>
    <t>W_PLACEHOLDER_145: ETRMS Consolidate - Endur Replace</t>
  </si>
  <si>
    <t>W_PLACEHOLDER_146: Digital Radio Upgrade</t>
  </si>
  <si>
    <t>W_PLACEHOLDER_147: Call Center Technology Platform Modernization</t>
  </si>
  <si>
    <t>W_PLACEHOLDER_148: IWM R5 Customer and Project Enhancement</t>
  </si>
  <si>
    <t>W_PLACEHOLDER_149: IT Ops - Running the Business of IT</t>
  </si>
  <si>
    <t>W_PLACEHOLDER_150: IT Ops - Technology Reliability Hardware</t>
  </si>
  <si>
    <t>W_PLACEHOLDER_151: IT Ops - Technology Reliability Software</t>
  </si>
  <si>
    <t>W_PLACEHOLDER_152: IT Ops - Telecom</t>
  </si>
  <si>
    <t>W_PLACEHOLDER_153: IT Ops - Capitalized Cloud Services</t>
  </si>
  <si>
    <t>W_PLACEHOLDER_154: IT Ops - Capitalized IT Support Agreements</t>
  </si>
  <si>
    <t>W_PLACEHOLDER_155: Advanced Leak Detection</t>
  </si>
  <si>
    <t>W_PLACEHOLDER_156: Bellevue HQ Lease Exit</t>
  </si>
  <si>
    <t>W_PLACEHOLDER_158: Sewer Cross Bore Predictive Model</t>
  </si>
  <si>
    <t>W_PLACEHOLDER_159: Appaloosa Solar Project</t>
  </si>
  <si>
    <t>W_PLACEHOLDER_160: Virtual Power Plant 2024 and Beyond</t>
  </si>
  <si>
    <t>W_PLACEHOLDER_163: Rewind/Recore UBK Unit 1</t>
  </si>
  <si>
    <t>W_PLACEHOLDER_166: Data Center Hardware Refresh 2026+</t>
  </si>
  <si>
    <t>W_PLACEHOLDER_167: Data &amp; Analytics Platform Uplift BW BOBJ POI</t>
  </si>
  <si>
    <t>W_PLACEHOLDER_168: SAP Work Manager Replacement</t>
  </si>
  <si>
    <t>W_PLACEHOLDER_169: CEF5 Kittitas BESS</t>
  </si>
  <si>
    <t>W_PLACEHOLDER_170: Data Lake Phase 2 (Operations)</t>
  </si>
  <si>
    <t>W_PLACEHOLDER_171: Potential Transactional Bill Print Vendor Move</t>
  </si>
  <si>
    <t>W_PLACEHOLDER_175: Supply Chain Warehouse Improvements</t>
  </si>
  <si>
    <t>W_PLACEHOLDER_177: Vernell Building Retirement</t>
  </si>
  <si>
    <t>W_PLACEHOLDER_179: Implement GIS Strategy</t>
  </si>
  <si>
    <t>W_PLACEHOLDER_180: Click Replacement Enhancements</t>
  </si>
  <si>
    <t>W_PLACEHOLDER_181: ETRMS Consolidate - OATI WebTrader Replace</t>
  </si>
  <si>
    <t>W_PLACEHOLDER_182: Front Office Data Enablement Phase 1</t>
  </si>
  <si>
    <t>W_PLACEHOLDER_183: Enterprise GIS Product Enhancements</t>
  </si>
  <si>
    <t>W_PLACEHOLDER_184: Physical Security Improvements for High-Risk Sites &amp; Systems</t>
  </si>
  <si>
    <t>W_PLACEHOLDER_185: Tensing Replacement</t>
  </si>
  <si>
    <t>W_PLACEHOLDER_186: Centralia 100MW Hydrogen Peaker</t>
  </si>
  <si>
    <t>W_PLACEHOLDER_188: Long Duration Storage Development</t>
  </si>
  <si>
    <t>W_PLACEHOLDER_189: CEF4 Tenino Alternative Renewable Backup Generator</t>
  </si>
  <si>
    <t>W_PLACEHOLDER_190: Network Substation Hardware Refresh</t>
  </si>
  <si>
    <t>W_PLACEHOLDER_191: Beaver Creek Wind</t>
  </si>
  <si>
    <t>W_PLACEHOLDER_192: FRA CT Rotor Replacement</t>
  </si>
  <si>
    <t>W_PLACEHOLDER_193: LSR New Tower</t>
  </si>
  <si>
    <t>W_PLACEHOLDER_194: GLD CT Rotor Replacement</t>
  </si>
  <si>
    <t>W_PLACEHOLDER_195: DER Demonstrations</t>
  </si>
  <si>
    <t>W_PLACEHOLDER_196: E Transformers Replacement</t>
  </si>
  <si>
    <t>W_PLACEHOLDER_199: Lineage Algona Solar CEIP</t>
  </si>
  <si>
    <t>W_PLACEHOLDER_200: Lineage Algona Storage CEIP</t>
  </si>
  <si>
    <t>W_PLACEHOLDER_54: New Primary Control Center</t>
  </si>
  <si>
    <t>W_PLACEHOLDER_63: E King County Franchise Fee</t>
  </si>
  <si>
    <t>W_PLACEHOLDER_64: G King County Franchise Fee</t>
  </si>
  <si>
    <t>W_PLACEHOLDER_67: Misc Business Enablement</t>
  </si>
  <si>
    <t>W_PLACEHOLDER_69: Facility Fleet and Supply Chain-Todd Rd</t>
  </si>
  <si>
    <t>W_PLACEHOLDER_90: Hopkins Ridge DSTATCOM Replacement</t>
  </si>
  <si>
    <t>W_PLACEHOLDER_92: Misc Technology Reliability</t>
  </si>
  <si>
    <t>W_PLACEHOLDER_99: Replace Service Centers</t>
  </si>
  <si>
    <t>W_R.10002.02.01.01: G Bonney Lake HP Supply Reliability</t>
  </si>
  <si>
    <t>W_R.10005.01.01.05: E Eastside 230Kv Subs Sammamish</t>
  </si>
  <si>
    <t>W_R.10005.01.01.06: E Eastside 230Kv Subs Somerset</t>
  </si>
  <si>
    <t>W_R.10005.01.01.08: E Talbot Hill Paccar Reconductor</t>
  </si>
  <si>
    <t>W_R.10007.02.01.02: E Bellingham Substation Rebuild Sub</t>
  </si>
  <si>
    <t>W_R.10007.12.04.01: Shuffleton Switchyard SECO Development</t>
  </si>
  <si>
    <t>W_R.10008.03.01.13: E Elec Facility Replacement Trans</t>
  </si>
  <si>
    <t>W_R.10008.07.02.02: E King County Clr Zone Pole Prog Trans</t>
  </si>
  <si>
    <t>W_R.10009.02.01.02: E Central Bellevue Dist Growth Feeder</t>
  </si>
  <si>
    <t>W_R.10009.08.02.01: E Bellingham Subs</t>
  </si>
  <si>
    <t>W_R.10009.08.02.13: E UG Sys Rel Upgr Pm Switch Dist</t>
  </si>
  <si>
    <t>W_R.10009.08.03.03: Avian Protection Program</t>
  </si>
  <si>
    <t>W_R.10009.12.01.06: C AMI System Integration</t>
  </si>
  <si>
    <t>W_R.10009.14.01.01: E Substation Replacement Battery Dist</t>
  </si>
  <si>
    <t>W_R.10009.14.01.02: E Substation Replacement Battery Trans</t>
  </si>
  <si>
    <t>W_R.10009.14.03.01: E Subs Repl Electron Mech Relays Dist</t>
  </si>
  <si>
    <t>W_R.10009.14.03.03: E Purchase PAC Engineering Software</t>
  </si>
  <si>
    <t>W_R.10009.14.05.10: E Subs Replacement Transfer Trip Dist</t>
  </si>
  <si>
    <t>W_R.10009.15.02.01: E Cherry Point Substation Tline Reimb</t>
  </si>
  <si>
    <t>W_R.10009.15.02.03: E Cherry Point Substation Reimbursable</t>
  </si>
  <si>
    <t>W_R.10009.16.01.01: E Whidbey Subs 1115Kv Bus Upgrade Sub</t>
  </si>
  <si>
    <t>W_R.10009.18.01.01: E OH Syst Upgr Tree Wire WF Tracker</t>
  </si>
  <si>
    <t>W_R.10009.18.01.14: E PSPS Notification Softwr (ACT Now) WF</t>
  </si>
  <si>
    <t>W_R.10011.01.01.02: G ERX Pilot Dist</t>
  </si>
  <si>
    <t>W_R.10011.01.01.11: G Gas Monitoring</t>
  </si>
  <si>
    <t>W_R.10013.03.01.01: G I405 Relocate Like Kind Dist</t>
  </si>
  <si>
    <t>W_R.10013.03.01.02: G I5 Tacoma Hov Relocate</t>
  </si>
  <si>
    <t>W_R.10013.05.01.03: G Seattle Core Other Projects</t>
  </si>
  <si>
    <t>W_R.10013.05.01.05: G Seattle Core Services</t>
  </si>
  <si>
    <t>W_R.10015.02.01.01: G Damage Claims Dist</t>
  </si>
  <si>
    <t>W_R.10015.03.03.02: PE Pipe Recall 1-inch</t>
  </si>
  <si>
    <t>W_R.10015.03.04.11: G DIMP Low Pressure Replacement</t>
  </si>
  <si>
    <t>W_R.10015.08.02.01: G TSA RTU/ERX Replacemnt/Retiremnt Progr</t>
  </si>
  <si>
    <t>W_R.10015.09.01.01: G Gas Mega Rule Compliance</t>
  </si>
  <si>
    <t>W_R.10017.01.01.02: E Greenwater Tap Subs</t>
  </si>
  <si>
    <t>W_R.10019.03.01.03: E West Kitsap Reliability Project</t>
  </si>
  <si>
    <t>W_R.10019.03.01.04: E Keyport Switch Station Transm</t>
  </si>
  <si>
    <t>W_R.10021.01.01.01: G N Lacey Supply 8inche Reinf Bulk Dist</t>
  </si>
  <si>
    <t>W_R.10021.02.01.01: G N Lacey HP Supply Reliability</t>
  </si>
  <si>
    <t>W_R.10022.01.01.01: E Sumner Valley Area Capacity</t>
  </si>
  <si>
    <t>W_R.10023.01.01.01: E Lakemont Substation</t>
  </si>
  <si>
    <t>W_R.10024.01.01.01: C AMR Operations</t>
  </si>
  <si>
    <t>W_R.10024.02.01.04: Meter Change SS FF PM</t>
  </si>
  <si>
    <t>W_R.10024.04.01.01: Click Enhancements</t>
  </si>
  <si>
    <t>W_R.10027.01.01.01: E Moorlnds Vitulli 115Kv Reconduc Trans</t>
  </si>
  <si>
    <t>W_R.10027.02.01.01: E Vernell Substation Feeder</t>
  </si>
  <si>
    <t>W_R.10027.02.01.02: E BelRed Area Capacity Project</t>
  </si>
  <si>
    <t>W_R.10027.03.01.01: E Redmond Inititation</t>
  </si>
  <si>
    <t>W_R.10029.01.01.01: G Tolt Hp 16in Phase 1 Main</t>
  </si>
  <si>
    <t>W_R.10031.02.01.04: E Lakeside 115 Kv Sub Tran Longlines Ph1</t>
  </si>
  <si>
    <t>W_R.10033.01.01.19: E Small Tools PTS on CC4587</t>
  </si>
  <si>
    <t>W_R.10035.02.01.01: E Greenwater Tap 55 155Kv Conversion</t>
  </si>
  <si>
    <t>W_R.10036.01.01.04: C Transmission Land</t>
  </si>
  <si>
    <t>W_R.10038.01.01.01: E Issaquah Area Capacity Project</t>
  </si>
  <si>
    <t>W_R.10039.01.01.01: E Christopher Sub 230Kv Development</t>
  </si>
  <si>
    <t>W_R.10039.02.01.04: E Electr Enum 55Kv To 115Kv Sub Krain</t>
  </si>
  <si>
    <t>W_R.10039.02.01.07: E Electr Enum 55Kv To 115Kv Tline</t>
  </si>
  <si>
    <t>W_R.10040.01.01.01: E Seabeck Area Reliability Improvement</t>
  </si>
  <si>
    <t>W_R.10043.02.01.01: E Skagit Swtchng Station Prprty Purchase</t>
  </si>
  <si>
    <t>W_R.10047.02.01.02: G SP Alignment Trans and Dist</t>
  </si>
  <si>
    <t>W_R.10048.01.01.01: E St Clair Yelm 115Kv Trans</t>
  </si>
  <si>
    <t>W_R.10050.02.01.01: E Carpenter Substation Feeder Dist</t>
  </si>
  <si>
    <t>W_R.10050.02.01.02: E Carpenter Substation Sub</t>
  </si>
  <si>
    <t>W_R.10050.03.01.01: E Hoffman Switching Station</t>
  </si>
  <si>
    <t>W_R.10054.02.01.01: E Glacier Energy Storage Project Sub</t>
  </si>
  <si>
    <t>W_R.10055.01.01.01: E Maxwelton Substation Feeders</t>
  </si>
  <si>
    <t>W_R.10055.01.01.03: E Maxwelton Substation Trans</t>
  </si>
  <si>
    <t>W_R.10055.02.01.01: E Whidbey Island 115Kv Row</t>
  </si>
  <si>
    <t>W_R.10055.03.01.01: E Whidbey Transmission Improvement</t>
  </si>
  <si>
    <t>W_R.10058.01.01.01: E Skookumchuck Wind Farm</t>
  </si>
  <si>
    <t>W_R.10059.01.01.03: CEF4 Living Lab Generator</t>
  </si>
  <si>
    <t>W_R.10059.03.01.03: E Resilience Enhancement (Non-CEIP)</t>
  </si>
  <si>
    <t>W_R.10059.07.01.01: ADMS Advanced Apps</t>
  </si>
  <si>
    <t>W_R.10062.01.01.01: Midlakes Substation Transmission</t>
  </si>
  <si>
    <t>W_R.10062.01.01.02: Midlakes Substation Distribution</t>
  </si>
  <si>
    <t>W_R.10062.02.01.02: Totem Lake Capacity Increase Dist</t>
  </si>
  <si>
    <t>W_R.10062.03.01.02: Berthusen Capacity Increase Dist</t>
  </si>
  <si>
    <t>W_R.10062.04.01.02: Sunrise Capacity Increase Dist</t>
  </si>
  <si>
    <t>W_R.10062.05.01.02: Maplewood Capacity Increase Dist</t>
  </si>
  <si>
    <t>W_R.10062.06.01.02: Southwick Capacity Increase Dist</t>
  </si>
  <si>
    <t>W_R.10062.07.01.02: Rose Hill Capacity Increase Dist</t>
  </si>
  <si>
    <t>W_R.10062.08.01.02: Rhodes Lake Capacity Increase Dist</t>
  </si>
  <si>
    <t>W_R.10062.11.01.02: Cedarhurst Capacity Increase Dist</t>
  </si>
  <si>
    <t>W_R.10062.12.01.02: Grady Subs Capacity Increase Dist</t>
  </si>
  <si>
    <t>W_X.10002.01.01.01: Water Heater Commerical Gas</t>
  </si>
  <si>
    <t>W_X.10002.01.01.02: Water Heater Residential Gas</t>
  </si>
  <si>
    <t>W_X.10006.02.01.01: EV Charging Program PSE Internal</t>
  </si>
  <si>
    <t>W_X.10006.05.01.01: DER Solar Projects and Programs CEIP</t>
  </si>
  <si>
    <t>W_X.10006.05.01.02: DER Storage Projects and Programs CEIP</t>
  </si>
  <si>
    <t>From Report File</t>
  </si>
  <si>
    <t>Reconciled</t>
  </si>
  <si>
    <t>2023 Net Additions</t>
  </si>
  <si>
    <t>&lt;------ reconciled ------&gt;</t>
  </si>
  <si>
    <t>Reconciled (Difference is immaterial)</t>
  </si>
  <si>
    <t>Reconciled (Difference Immaterial)</t>
  </si>
  <si>
    <t>JAK-5 from 2022 GRC Compliance Filing</t>
  </si>
  <si>
    <t>Colstrip</t>
  </si>
  <si>
    <t>Included in MYRP</t>
  </si>
  <si>
    <t>Total included in MYRP</t>
  </si>
  <si>
    <t>Remove Colstrip to separate Tracker (not part of STR review)</t>
  </si>
  <si>
    <t>Total in rates for MYRYP STR Review</t>
  </si>
  <si>
    <t>F.10002.01.16.01</t>
  </si>
  <si>
    <t>Placeholder WBS 53b: DER Circuit Enablemnt Virtual Power Plan</t>
  </si>
  <si>
    <t>X.10006.05.01.01</t>
  </si>
  <si>
    <t>W_K.10038.02.01.01: Rooftop Solar Program:DER Solar Project and Programs CEIP</t>
  </si>
  <si>
    <t>R.10059.02.01.03</t>
  </si>
  <si>
    <t>PLACEHOLDER WBS 38b: E Volt/Var Optimization</t>
  </si>
  <si>
    <t>F.10002.01.30.01</t>
  </si>
  <si>
    <t>PLACEHOLDER WBS 31b: Hosting Capacity and Customer Portal</t>
  </si>
  <si>
    <t>PLACEHOLDER WBS 24</t>
  </si>
  <si>
    <t>PLACEHOLDER WBS 7b: Demand Response transferred to Placeholder WBS 24</t>
  </si>
  <si>
    <t>F.10002.01.28.01</t>
  </si>
  <si>
    <t>PLACEHOLDER WBS 88b: DER Innovation Process CEIP</t>
  </si>
  <si>
    <t>K.10038.01.01.01</t>
  </si>
  <si>
    <t>W_K.10038.01.01.01: Cust Sited Energy Storage Demos CEIP</t>
  </si>
  <si>
    <t>YE 2023 Additions</t>
  </si>
  <si>
    <t>2023 Accum Depr</t>
  </si>
  <si>
    <t>Balance</t>
  </si>
  <si>
    <t>(AMA)</t>
  </si>
  <si>
    <t>Plant</t>
  </si>
  <si>
    <t>Closings</t>
  </si>
  <si>
    <t xml:space="preserve">(cumulative </t>
  </si>
  <si>
    <t>2022-2023)</t>
  </si>
  <si>
    <t xml:space="preserve">As Filed </t>
  </si>
  <si>
    <t>From Electric</t>
  </si>
  <si>
    <t>h</t>
  </si>
  <si>
    <t>i</t>
  </si>
  <si>
    <t>As Revised to Remove Energize Eastside</t>
  </si>
  <si>
    <t>Rate Year 1, 2023</t>
  </si>
  <si>
    <t>check to add detail</t>
  </si>
  <si>
    <t>Total Additions per period</t>
  </si>
  <si>
    <t>UG Feeders</t>
  </si>
  <si>
    <t>Rooftop Solar</t>
  </si>
  <si>
    <t>RNG</t>
  </si>
  <si>
    <t>Projected - Gas</t>
  </si>
  <si>
    <t>Projected - Electric</t>
  </si>
  <si>
    <t>Projected - Common</t>
  </si>
  <si>
    <t>IT Operational Program - Common</t>
  </si>
  <si>
    <t>Freddy Hot Gas Path</t>
  </si>
  <si>
    <t>EMS Upgrade</t>
  </si>
  <si>
    <t>Control Center</t>
  </si>
  <si>
    <t>Colstrip 3&amp;4</t>
  </si>
  <si>
    <t>AMI Meters and Modules Deployment - Gas</t>
  </si>
  <si>
    <t>AMI Meters and Modules Deployment - Electric</t>
  </si>
  <si>
    <t>AMI Meters and Modules Deployment - Common</t>
  </si>
  <si>
    <t>Column Reference do not delete</t>
  </si>
  <si>
    <t>Rate Year 3</t>
  </si>
  <si>
    <t>Rate Year 2</t>
  </si>
  <si>
    <t>Rate Year 1</t>
  </si>
  <si>
    <t>GAP Year</t>
  </si>
  <si>
    <t>Trad Proforma</t>
  </si>
  <si>
    <t>Used and Useful Category</t>
  </si>
  <si>
    <t>Alloc</t>
  </si>
  <si>
    <t>101-E398</t>
  </si>
  <si>
    <t>101-E397</t>
  </si>
  <si>
    <t>101-E396</t>
  </si>
  <si>
    <t>101-E395</t>
  </si>
  <si>
    <t>101-E394</t>
  </si>
  <si>
    <t>101-E393</t>
  </si>
  <si>
    <t>101-E392</t>
  </si>
  <si>
    <t>101-E391</t>
  </si>
  <si>
    <t>101-E390</t>
  </si>
  <si>
    <t>101-E373</t>
  </si>
  <si>
    <t>101-E371</t>
  </si>
  <si>
    <t>101-E370</t>
  </si>
  <si>
    <t>101-E369</t>
  </si>
  <si>
    <t>101-E368</t>
  </si>
  <si>
    <t>101-E367</t>
  </si>
  <si>
    <t>101-E366</t>
  </si>
  <si>
    <t>101-E365</t>
  </si>
  <si>
    <t>101-GRNG</t>
  </si>
  <si>
    <t>101-E364</t>
  </si>
  <si>
    <t>101-G397</t>
  </si>
  <si>
    <t>101-E363</t>
  </si>
  <si>
    <t>101-G396</t>
  </si>
  <si>
    <t>101-E362</t>
  </si>
  <si>
    <t>101-G395</t>
  </si>
  <si>
    <t>101-E361</t>
  </si>
  <si>
    <t>101-G394</t>
  </si>
  <si>
    <t>101-E360</t>
  </si>
  <si>
    <t>101-G392</t>
  </si>
  <si>
    <t>101-E359</t>
  </si>
  <si>
    <t>101-G391</t>
  </si>
  <si>
    <t>101-E358</t>
  </si>
  <si>
    <t>101-G390</t>
  </si>
  <si>
    <t>101-E357</t>
  </si>
  <si>
    <t>101-G389</t>
  </si>
  <si>
    <t>101-E356</t>
  </si>
  <si>
    <t>101-G387</t>
  </si>
  <si>
    <t>101-E355</t>
  </si>
  <si>
    <t>101-G385</t>
  </si>
  <si>
    <t>101-E353</t>
  </si>
  <si>
    <t>101-G384</t>
  </si>
  <si>
    <t>101-E352</t>
  </si>
  <si>
    <t>101-G383</t>
  </si>
  <si>
    <t>101-E350</t>
  </si>
  <si>
    <t>101-G382</t>
  </si>
  <si>
    <t>101-E346</t>
  </si>
  <si>
    <t>101-G381</t>
  </si>
  <si>
    <t>101-E345</t>
  </si>
  <si>
    <t>101-G380</t>
  </si>
  <si>
    <t>101-E344</t>
  </si>
  <si>
    <t>101-G378</t>
  </si>
  <si>
    <t>101-E342</t>
  </si>
  <si>
    <t>101-G376</t>
  </si>
  <si>
    <t>101-E341</t>
  </si>
  <si>
    <t>101-G375</t>
  </si>
  <si>
    <t>101-E335</t>
  </si>
  <si>
    <t>101-G374</t>
  </si>
  <si>
    <t>101-E333</t>
  </si>
  <si>
    <t>101-G362</t>
  </si>
  <si>
    <t>101-E332</t>
  </si>
  <si>
    <t>101-G357</t>
  </si>
  <si>
    <t>101-E331</t>
  </si>
  <si>
    <t>101-G356</t>
  </si>
  <si>
    <t>101-E330</t>
  </si>
  <si>
    <t>101-G355</t>
  </si>
  <si>
    <t>101-E316</t>
  </si>
  <si>
    <t>101-G354</t>
  </si>
  <si>
    <t>101-E315</t>
  </si>
  <si>
    <t>101-G353</t>
  </si>
  <si>
    <t>101-E314</t>
  </si>
  <si>
    <t>101-G352</t>
  </si>
  <si>
    <t>101-E312</t>
  </si>
  <si>
    <t>101-G351</t>
  </si>
  <si>
    <t>101-E311</t>
  </si>
  <si>
    <t>101-G303</t>
  </si>
  <si>
    <t>101-E303</t>
  </si>
  <si>
    <t>101-G302</t>
  </si>
  <si>
    <t>101-E302</t>
  </si>
  <si>
    <t>101-C397</t>
  </si>
  <si>
    <t>101-C396</t>
  </si>
  <si>
    <t>101-C394</t>
  </si>
  <si>
    <t>101-C392</t>
  </si>
  <si>
    <t>101-C391</t>
  </si>
  <si>
    <t>101-C390</t>
  </si>
  <si>
    <t>101-C389</t>
  </si>
  <si>
    <t>101-C303</t>
  </si>
  <si>
    <t>101-C302</t>
  </si>
  <si>
    <t>check</t>
  </si>
  <si>
    <t>E3670 DST U/G Conductor/Devices</t>
  </si>
  <si>
    <t>E3660 DST U/G Conduit</t>
  </si>
  <si>
    <t>E3640 DST Poles/Towers/Fixtures</t>
  </si>
  <si>
    <t>C3970 CMN Comm Equip, new</t>
  </si>
  <si>
    <t>C3912 CMN Computer Eq, new</t>
  </si>
  <si>
    <t>C303.3 INT Misc Intangible Plant</t>
  </si>
  <si>
    <t>E3536 TSM Substation Equipment</t>
  </si>
  <si>
    <t>C303.10 INT Misc Intangible Plant</t>
  </si>
  <si>
    <t>E3556 TSM Poles</t>
  </si>
  <si>
    <t>E34402 PRD Gen, Com Solar</t>
  </si>
  <si>
    <t>GRNG New RNG Gas Assets</t>
  </si>
  <si>
    <t>E3650 DST O/H Conductor/Devices</t>
  </si>
  <si>
    <t>E3630 DST Battery Storage Equipment</t>
  </si>
  <si>
    <t>E3610 DST Structures &amp; Improvement</t>
  </si>
  <si>
    <t>G3970 GEN Comm Equip, new</t>
  </si>
  <si>
    <t>G396 GEN Power Op Equip, new</t>
  </si>
  <si>
    <t>G3950 GEN Laboratory Equip, new</t>
  </si>
  <si>
    <t>G3940 GEN Tools/Garage/Shop, new</t>
  </si>
  <si>
    <t>G392 GEN Trans Equip, new</t>
  </si>
  <si>
    <t>G3912 GEN Computer Eq, new</t>
  </si>
  <si>
    <t>G390 GEN Structures &amp; Improvements</t>
  </si>
  <si>
    <t>G389 GEN Land &amp; Land Rights</t>
  </si>
  <si>
    <t>G385 DST Industrial M&amp;R Sta Eq</t>
  </si>
  <si>
    <t>G384 DST House Regulator Installs</t>
  </si>
  <si>
    <t>G383 DST House Regulators</t>
  </si>
  <si>
    <t>G3822 DST Module Installations, AMI</t>
  </si>
  <si>
    <t>G3820 DST Meter Installations (AMR)</t>
  </si>
  <si>
    <t>G3812 DST Modules, AMI</t>
  </si>
  <si>
    <t>G3810 DST Meters (AMR)</t>
  </si>
  <si>
    <t>G3803 DST Services, Steel Wrapped</t>
  </si>
  <si>
    <t>G3802 DST Services, Plastic</t>
  </si>
  <si>
    <t>G3801 DST Services, Cathodic Protec</t>
  </si>
  <si>
    <t>G3780 DST Measuring &amp; Reg Station</t>
  </si>
  <si>
    <t>G3765 DST Mains, Cathodic Protectio</t>
  </si>
  <si>
    <t>G3764 DST Mains, Wrapped Steel</t>
  </si>
  <si>
    <t>G3762 DST Mains, Plastic</t>
  </si>
  <si>
    <t>G3750 DST Structures &amp; Improvements</t>
  </si>
  <si>
    <t>G357 UGS Other Equipment</t>
  </si>
  <si>
    <t>G356 UGS Purification Equipment</t>
  </si>
  <si>
    <t>G355 UGS Regulating Station</t>
  </si>
  <si>
    <t>G354 UGS Compressor Station</t>
  </si>
  <si>
    <t>G353 UGS Lines</t>
  </si>
  <si>
    <t>G3520 UGS Wells</t>
  </si>
  <si>
    <t>G3514 UGS Other Structures</t>
  </si>
  <si>
    <t>G3512 UGS Compressor Sta Structures</t>
  </si>
  <si>
    <t>G3511 UGS Well Structures</t>
  </si>
  <si>
    <t>G303.7 INT Misc Intangible Plant</t>
  </si>
  <si>
    <t>G303.5 INT Misc Intangible Plant</t>
  </si>
  <si>
    <t>G303.3 INT Misc Intangible Plant</t>
  </si>
  <si>
    <t>G303.10 INT Misc Intangible Plant</t>
  </si>
  <si>
    <t>G302.10 INT Franchises &amp; Consents</t>
  </si>
  <si>
    <t>E3980 GEN Misc Equipment, new</t>
  </si>
  <si>
    <t>E3980 GEN Misc Equip, Encogen</t>
  </si>
  <si>
    <t>E3970 GEN CommEq, LSR</t>
  </si>
  <si>
    <t>E3970 GEN CommEq, Colstrip 1-4 new</t>
  </si>
  <si>
    <t>E3970 GEN CommEq, 3rd AC new</t>
  </si>
  <si>
    <t>E3970 GEN Comm Equip, new</t>
  </si>
  <si>
    <t>E396 GEN Power-Op Equip, new</t>
  </si>
  <si>
    <t>E3950 GEN Laboratory Equip, new</t>
  </si>
  <si>
    <t>E3940 GEN Tools/Garage/Shop, new</t>
  </si>
  <si>
    <t>E3940 GEN Tools LSR</t>
  </si>
  <si>
    <t>E3930 GEN Stores Equip, new</t>
  </si>
  <si>
    <t>E392 GEN Trans Equip, new</t>
  </si>
  <si>
    <t>E3912 GEN Computer Eq, new</t>
  </si>
  <si>
    <t>E3911 GEN Off Furn &amp; Eq, LSR</t>
  </si>
  <si>
    <t>E3900 GEN Structures &amp; Improvement</t>
  </si>
  <si>
    <t>E3900 GEN Str&amp;Impv, Burlington/Skag</t>
  </si>
  <si>
    <t>E373 DST Street Lighting &amp; Signal</t>
  </si>
  <si>
    <t>E3711 DST EV Charger Cust Premises</t>
  </si>
  <si>
    <t>E3701 DST Meters AMI</t>
  </si>
  <si>
    <t>E369 DST Services</t>
  </si>
  <si>
    <t>E368 DST Line Transformers</t>
  </si>
  <si>
    <t>E3620 DST Substation Equipment</t>
  </si>
  <si>
    <t>E3600 DST Land &amp; Land Rights</t>
  </si>
  <si>
    <t>E3590 TSM Roads, 3rd AC Line</t>
  </si>
  <si>
    <t>E3589 (GIF) UG Conductor, LSR</t>
  </si>
  <si>
    <t>E3569 (GIF) O/H Conductor, LSR</t>
  </si>
  <si>
    <t>E3569 (GIF) O/H Cond, TLN-HPK@plant</t>
  </si>
  <si>
    <t>E3567 TSM O/H Conductor/Devices</t>
  </si>
  <si>
    <t>E3566 TSM O/H Conductor/Devices</t>
  </si>
  <si>
    <t>E356 TSM O/H Conductor &amp; Devices</t>
  </si>
  <si>
    <t>E356 TSM O/H Cond, 3rd AC Line</t>
  </si>
  <si>
    <t>E3559 (GIF) TSM Poles, LSR</t>
  </si>
  <si>
    <t>E3557 TSM Poles</t>
  </si>
  <si>
    <t>E355 TSM Poles &amp; Fixtures</t>
  </si>
  <si>
    <t>E3539 (GIF) Sta Eq, LSR</t>
  </si>
  <si>
    <t>E3539 (GIF) Sta Eq, HPK sub@plant</t>
  </si>
  <si>
    <t>E3539 (GIF) Sta Eq, Hopkins Ridge</t>
  </si>
  <si>
    <t>E3537 TSM Substation Equipment</t>
  </si>
  <si>
    <t>E353 TSM Station Equipment</t>
  </si>
  <si>
    <t>E353 TSM Sta Eq, Colstrip 3-4</t>
  </si>
  <si>
    <t>E353 TSM Sta Eq, 3rd AC Line</t>
  </si>
  <si>
    <t>E3529 (GIF) Struc/Improv, LSR</t>
  </si>
  <si>
    <t>E352 TSM Structures &amp; Improvement</t>
  </si>
  <si>
    <t>E35016 TSM Easements</t>
  </si>
  <si>
    <t>E35010 TSM Easement</t>
  </si>
  <si>
    <t>E3500 TSM Land, 3rd AC</t>
  </si>
  <si>
    <t>E34611 PRD Sta Main Tools,WildHorse</t>
  </si>
  <si>
    <t>E34611 PRD Sta Main Tools, LSR</t>
  </si>
  <si>
    <t>E34611 PRD Sta Main Tools, Hopkins</t>
  </si>
  <si>
    <t>E3461 PRD Sta MainTools,Frederickso</t>
  </si>
  <si>
    <t>E3461 PRD Sta MainTools, Whitehorn</t>
  </si>
  <si>
    <t>E3461 PRD Sta Main Tools,Goldendale</t>
  </si>
  <si>
    <t>E3461 PRD Sta Main Tools, Sumas</t>
  </si>
  <si>
    <t>E3461 PRD Sta Main Tools, Mint Farm</t>
  </si>
  <si>
    <t>E3461 PRD Sta Main Tools, Fredonia</t>
  </si>
  <si>
    <t>E3461 PRD Sta Main Tools, Encogen</t>
  </si>
  <si>
    <t>E34601 PRD Other, LSR</t>
  </si>
  <si>
    <t>E346 PRD Other, Mint Farm</t>
  </si>
  <si>
    <t>E346 PRD Other, Goldendale</t>
  </si>
  <si>
    <t>E34501 PRD Accessory,Wild HorseWind</t>
  </si>
  <si>
    <t>E34501 PRD Accessory,Wild Horse Exp</t>
  </si>
  <si>
    <t>E34501 PRD Accessory, LSR</t>
  </si>
  <si>
    <t>E34501 PRD Accessory, Hopkins Ridge</t>
  </si>
  <si>
    <t>E345 PRD Accessory, Whitehorn 2-3 C</t>
  </si>
  <si>
    <t>E345 PRD Accessory, Mint Farm</t>
  </si>
  <si>
    <t>E345 PRD Accessory, Fredonia 3&amp;4 OP</t>
  </si>
  <si>
    <t>E345 PRD Accessory, Fredonia</t>
  </si>
  <si>
    <t>E345 PRD Accessory, Frederickson</t>
  </si>
  <si>
    <t>E345 PRD Accessory, Ferndale</t>
  </si>
  <si>
    <t>E345 PRD Accessory, Encogen</t>
  </si>
  <si>
    <t>E345 PRD Accessory, Cystal Mtn</t>
  </si>
  <si>
    <t>E34420 PRD Gen, Mint Farm</t>
  </si>
  <si>
    <t>E34420 PRD Gen, Goldendale</t>
  </si>
  <si>
    <t>E34420 PRD Gen, Fred 1/APC</t>
  </si>
  <si>
    <t>E34420 PRD Gen, Ferndale</t>
  </si>
  <si>
    <t>E34420 PRD Gen, Encogen</t>
  </si>
  <si>
    <t>E34401 PRD Gen,Wild Horse Expansion</t>
  </si>
  <si>
    <t>E34401 PRD Gen, Wild Horse Wind</t>
  </si>
  <si>
    <t>E34401 PRD Gen, LSR</t>
  </si>
  <si>
    <t>E34401 PRD Gen, Hopkins Ridge</t>
  </si>
  <si>
    <t>E34401 PRD Gen, Hopkins Expansion</t>
  </si>
  <si>
    <t>E3440 PRD Gen, Whitehorn 2-3 Com</t>
  </si>
  <si>
    <t>E3440 PRD Gen, Fredonia 3&amp;4 OP</t>
  </si>
  <si>
    <t>E3440 PRD Gen, Fredonia</t>
  </si>
  <si>
    <t>E3440 PRD Gen, Frederickson</t>
  </si>
  <si>
    <t>E3440 PRD Gen, Crystal Mtn</t>
  </si>
  <si>
    <t>E342 PRD Fuel Holder, Mint Farm</t>
  </si>
  <si>
    <t>E342 PRD Fuel Holder, Ferndale</t>
  </si>
  <si>
    <t>E342 PRD Fuel Holder, Encogen</t>
  </si>
  <si>
    <t>E34101 PRD Str/Impv, LSR</t>
  </si>
  <si>
    <t>E3410 PRD Str/Impv, Whitehorn 2-3Cm</t>
  </si>
  <si>
    <t>E3410 PRD Str/Impv, Mint Farm</t>
  </si>
  <si>
    <t>E3410 PRD Str/Impv, Fredonia</t>
  </si>
  <si>
    <t>E3410 PRD Str/Impv, Frederickson</t>
  </si>
  <si>
    <t>E3410 PRD Str/Impv, Ferndale</t>
  </si>
  <si>
    <t>E3410 PRD Str/Impv, Encogen</t>
  </si>
  <si>
    <t>E3410 PRD Str/Impv, Crystal Mtn</t>
  </si>
  <si>
    <t>E3351 HYD Sta Main Tools, Lwer Bker</t>
  </si>
  <si>
    <t>E3351 HYD Sta Main Tools, LB-2013</t>
  </si>
  <si>
    <t>E3351 HYD Sta Main Tool, Upper Bker</t>
  </si>
  <si>
    <t>E3351 HYD S/M/Tools, Snoq 1-2013</t>
  </si>
  <si>
    <t>E335 HYD Misc, Upper Baker</t>
  </si>
  <si>
    <t>E335 HYD Misc, UB Hatchery</t>
  </si>
  <si>
    <t>E335 HYD Misc, Lower Baker</t>
  </si>
  <si>
    <t>E333 HYD Wtrwhl/Trbn, Snoqualmie 2</t>
  </si>
  <si>
    <t>E333 HYD Wtrwhl/Trbn, Snoqualmie 1</t>
  </si>
  <si>
    <t>E333 HYD Wtrwhl/Trbn, Lower Baker</t>
  </si>
  <si>
    <t>E332 HYD Res/Dam/Wwy, Upper Baker</t>
  </si>
  <si>
    <t>E332 HYD Res/Dam/Wwy, UB FSC</t>
  </si>
  <si>
    <t>E332 HYD R/D/W,LBAdultFishTr2010</t>
  </si>
  <si>
    <t>E332 HYD R/D/W, Snoq 2 - 2013</t>
  </si>
  <si>
    <t>E331 HYD Str/Impv, Upper Baker</t>
  </si>
  <si>
    <t>E331 HYD S/I, UB FishHatchery2010</t>
  </si>
  <si>
    <t>E3300 HYD Land, Lower Baker</t>
  </si>
  <si>
    <t>E316 STM Misc, Mint Farm</t>
  </si>
  <si>
    <t>E314 STM Turbogen, Mint Farm</t>
  </si>
  <si>
    <t>E314 STM Turbogen, Goldendale</t>
  </si>
  <si>
    <t>E314 STM Turbogen, Fred 1/APC</t>
  </si>
  <si>
    <t>E314 STM Turbogen, Encogen</t>
  </si>
  <si>
    <t>E312 STM Boiler, Mint Farm</t>
  </si>
  <si>
    <t>E312 STM Boiler, Goldendale</t>
  </si>
  <si>
    <t>E312 STM Boiler, Ferndale</t>
  </si>
  <si>
    <t>E312 STM Boiler, Encogen</t>
  </si>
  <si>
    <t>E311 STM Str/Impv, Goldendale</t>
  </si>
  <si>
    <t>E311 STM Str/Impv, Ferndale</t>
  </si>
  <si>
    <t>E311 STM Str/Imprv, Mint Farm</t>
  </si>
  <si>
    <t>E303.5 INT Misc Intangible Plant</t>
  </si>
  <si>
    <t>E303.4 INT Misc Intangible Plant</t>
  </si>
  <si>
    <t>E303.3 INT Misc Intangible Plant</t>
  </si>
  <si>
    <t>E303.10 INT Misc Intangible Plant</t>
  </si>
  <si>
    <t>E302.10 INT Franchises, Baker Project</t>
  </si>
  <si>
    <t>E302.10 INT Franchises</t>
  </si>
  <si>
    <t>C396 GEN Power Op Equip, new</t>
  </si>
  <si>
    <t>C3940 CMN Tools/Shop/Garage new</t>
  </si>
  <si>
    <t>C3920 GEN Trans Equip, new</t>
  </si>
  <si>
    <t>C3911 CMN Office Furn &amp; Eq, new</t>
  </si>
  <si>
    <t>C3901 CMN LH, Redmond West/Willow</t>
  </si>
  <si>
    <t>C3901 CMN LH, PSE East Building</t>
  </si>
  <si>
    <t>C3901 CMN LH, Bothell Access Center</t>
  </si>
  <si>
    <t>C3900 CMN Structure &amp; Improvement</t>
  </si>
  <si>
    <t>C3900 CMN Str/Impv, Tacoma Office</t>
  </si>
  <si>
    <t>C3900 CMN Str/Impv, S King Complex</t>
  </si>
  <si>
    <t>C3900 CMN Str/Impv, Olympia Svc Ctr</t>
  </si>
  <si>
    <t>C3900 CMN Str/Impv, Kittitas Svc Ct</t>
  </si>
  <si>
    <t>C3900 CMN Str/Impv, Fleet Svc Facl</t>
  </si>
  <si>
    <t>C389 CMN Land &amp; Land Rights</t>
  </si>
  <si>
    <t>C303.8 INT Misc Intangible Plant</t>
  </si>
  <si>
    <t>C303.7 INT Misc Intangible Plant</t>
  </si>
  <si>
    <t>C303.5 INT Misc Intangible Plant</t>
  </si>
  <si>
    <t>C302.10 INT Franchises &amp; Consents</t>
  </si>
  <si>
    <t>E36010 DST Easements</t>
  </si>
  <si>
    <t>G362 OSP Gas Holders</t>
  </si>
  <si>
    <t>E3587 TSM U/G Conductor/Devices</t>
  </si>
  <si>
    <t>E3577 TSM U/G Conduit</t>
  </si>
  <si>
    <t>E355 TSM Poles, Wild Horse-WindRidg</t>
  </si>
  <si>
    <t>E353 TSM Sta Eq, Wind Ridge-NonProj</t>
  </si>
  <si>
    <t>G387 DST Other Equipment</t>
  </si>
  <si>
    <t>E3539 (GIF) Sta Eq, Fredonia 1&amp;2</t>
  </si>
  <si>
    <t>E3631 DST Battery, Customer Site</t>
  </si>
  <si>
    <t>G3742 DST Easements</t>
  </si>
  <si>
    <t>E396 GEN Power-Op Equip, Colstrip 4</t>
  </si>
  <si>
    <t>E396 GEN Power-Op Equip, Colstrip 3</t>
  </si>
  <si>
    <t>E3940 GEN Tools, Colstrip 4</t>
  </si>
  <si>
    <t>E3940 GEN Tools, Colstrip 3</t>
  </si>
  <si>
    <t>E392 GEN Trans Equip, Colstrip 4</t>
  </si>
  <si>
    <t>E392 GEN Trans Equip, Colstrip 3</t>
  </si>
  <si>
    <t>E316 STM Misc, Colstrip 4</t>
  </si>
  <si>
    <t>E316 STM Misc, Colstrip 3</t>
  </si>
  <si>
    <t>E315 STM Accessory, Colstrip 4</t>
  </si>
  <si>
    <t>E315 STM Accessory, Colstrip 3-4 Cm</t>
  </si>
  <si>
    <t>E315 STM Accessory, Colstrip 3</t>
  </si>
  <si>
    <t>E314 STM Turbogen, Colstrip 4</t>
  </si>
  <si>
    <t>E314 STM Turbogen, Colstrip 3</t>
  </si>
  <si>
    <t>E312 STM Boiler, Colstrip 4</t>
  </si>
  <si>
    <t>E312 STM Boiler, Colstrip 3-4 Com</t>
  </si>
  <si>
    <t>E312 STM Boiler, Colstrip 3</t>
  </si>
  <si>
    <t>E311 STM Str/Impv, Colstrip 4</t>
  </si>
  <si>
    <t>E311 STM Str/Impv, Colstrip 3-4 Com</t>
  </si>
  <si>
    <t>E311 STM Str/Impv, Colstrip 3</t>
  </si>
  <si>
    <t>G3911 GEN Office Furn &amp; Eq, new</t>
  </si>
  <si>
    <t>C3974 CMN Comm Equip, AMI Network</t>
  </si>
  <si>
    <t>RBxFERC Key</t>
  </si>
  <si>
    <t>Depreciation Group</t>
  </si>
  <si>
    <t>Alloc Check</t>
  </si>
  <si>
    <t>Rate Year 3 Accumulated Depr</t>
  </si>
  <si>
    <t>Rate Year 2 Accumulated Depr</t>
  </si>
  <si>
    <t>Rate Year 1 Accumulated Depr</t>
  </si>
  <si>
    <t>GAP Year Accumulated Depr</t>
  </si>
  <si>
    <t>Trad Proforma Accumulated Depr</t>
  </si>
  <si>
    <t>Rate Year 3 Depr Exp</t>
  </si>
  <si>
    <t>Rate Year 2 Depr Exp</t>
  </si>
  <si>
    <t>Rate Year 1 Depr Exp</t>
  </si>
  <si>
    <t>GAP Year Depr Exp</t>
  </si>
  <si>
    <t>Trad Proforma Depr Exp</t>
  </si>
  <si>
    <r>
      <t xml:space="preserve">ELECTRIC REVENUE REQUIREMENT </t>
    </r>
    <r>
      <rPr>
        <b/>
        <sz val="12.6"/>
        <color rgb="FFFF0000"/>
        <rFont val="Calibri"/>
        <family val="2"/>
      </rPr>
      <t>AS FILED</t>
    </r>
  </si>
  <si>
    <r>
      <t xml:space="preserve">ELECTRIC REVENUE REQUIREMENT </t>
    </r>
    <r>
      <rPr>
        <b/>
        <sz val="12.6"/>
        <color rgb="FFFF0000"/>
        <rFont val="Calibri"/>
        <family val="2"/>
      </rPr>
      <t>AS REVISED TO EXCLUDE ENERGIZE EASTSIDE</t>
    </r>
  </si>
  <si>
    <t>Per Agreement with Staff Energize Eastside is remaining in Subject to Refund Rates and is not included in the 2024 Analysis</t>
  </si>
  <si>
    <t>Remove Energize Eastside not included in this review</t>
  </si>
  <si>
    <t>(AMA in miillions)</t>
  </si>
  <si>
    <t>Grossed Up Deficiency -  In Rates</t>
  </si>
  <si>
    <t>Check (S/B zero)</t>
  </si>
  <si>
    <t>Grossed Up Deficiency to be transferred from 141R to 141 N</t>
  </si>
  <si>
    <t>Remove Energize Eastside - final review of all EE costs will be conducted in final review in 2025 or later proceeding.</t>
  </si>
  <si>
    <t>EE</t>
  </si>
  <si>
    <t>Per Detail</t>
  </si>
  <si>
    <t>For Information Only: Energize Eastside included in PSE's originally filed report</t>
  </si>
  <si>
    <t>Remove Energize Eastside - See Row 461. Final review of all EE costs will be conducted in final review in 2025 or later proceeding.</t>
  </si>
  <si>
    <t>Remove Energize Eastside - See row 462. Final review of all EE costs will be conducted in final review in 2025 or later proceeding.</t>
  </si>
  <si>
    <t xml:space="preserve">Revised to remove </t>
  </si>
  <si>
    <t>Revised to exclude Energize Eastside</t>
  </si>
  <si>
    <t>Revised October 18, 2024 to exclude Energize Eastside</t>
  </si>
  <si>
    <t>Excludes</t>
  </si>
  <si>
    <t xml:space="preserve">Amounts for Energize Eastside approved in rates subject to </t>
  </si>
  <si>
    <t>refund that is not being transferred</t>
  </si>
  <si>
    <t>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</si>
</sst>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_);_(@_)"/>
    <numFmt numFmtId="166" formatCode="0.0000%"/>
    <numFmt numFmtId="167" formatCode="_(* #,##0.000000_);_(* \(#,##0.000000\);_(* &quot;-&quot;??????_);_(@_)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0.0%"/>
    <numFmt numFmtId="173" formatCode="&quot;ADJ&quot;\ 0.00\ &quot;ER&quot;"/>
  </numFmts>
  <fonts count="6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.6"/>
      <color rgb="FFFF0000"/>
      <name val="Calibri"/>
      <family val="2"/>
    </font>
    <font>
      <i/>
      <sz val="10"/>
      <color theme="1"/>
      <name val="Arial"/>
      <family val="2"/>
    </font>
    <font>
      <u/>
      <sz val="11"/>
      <color theme="1"/>
      <name val="Calibri"/>
      <family val="2"/>
    </font>
    <font>
      <sz val="10"/>
      <color theme="0" tint="-0.499984740745262"/>
      <name val="Times New Roman"/>
      <family val="1"/>
    </font>
    <font>
      <sz val="11"/>
      <color theme="0" tint="-0.499984740745262"/>
      <name val="Calibri"/>
      <family val="2"/>
    </font>
    <font>
      <sz val="11"/>
      <color theme="0" tint="-0.49998474074526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3E7E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indexed="64"/>
      </right>
      <top style="thin">
        <color rgb="FFC3E7E3"/>
      </top>
      <bottom style="thin">
        <color rgb="FFC3E7E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7" fillId="3" borderId="0" applyNumberFormat="0" applyBorder="0" applyAlignment="0" applyProtection="0"/>
    <xf numFmtId="0" fontId="33" fillId="7" borderId="39" applyNumberFormat="0" applyAlignment="0" applyProtection="0"/>
    <xf numFmtId="0" fontId="35" fillId="0" borderId="0"/>
    <xf numFmtId="0" fontId="1" fillId="0" borderId="0"/>
  </cellStyleXfs>
  <cellXfs count="502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5" fillId="0" borderId="0" xfId="0" applyFont="1" applyBorder="1"/>
    <xf numFmtId="43" fontId="5" fillId="0" borderId="0" xfId="0" applyNumberFormat="1" applyFont="1" applyBorder="1"/>
    <xf numFmtId="43" fontId="5" fillId="0" borderId="0" xfId="0" applyNumberFormat="1" applyFont="1"/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4"/>
    <xf numFmtId="0" fontId="6" fillId="0" borderId="0" xfId="4" applyFont="1" applyAlignment="1">
      <alignment horizontal="centerContinuous"/>
    </xf>
    <xf numFmtId="0" fontId="6" fillId="0" borderId="0" xfId="4" applyFont="1" applyAlignment="1">
      <alignment horizontal="left"/>
    </xf>
    <xf numFmtId="0" fontId="6" fillId="0" borderId="0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43" fontId="9" fillId="0" borderId="0" xfId="4" applyNumberFormat="1"/>
    <xf numFmtId="43" fontId="9" fillId="0" borderId="0" xfId="4" applyNumberFormat="1" applyBorder="1"/>
    <xf numFmtId="43" fontId="9" fillId="0" borderId="0" xfId="4" applyNumberFormat="1" applyFill="1" applyBorder="1"/>
    <xf numFmtId="43" fontId="9" fillId="0" borderId="0" xfId="4" applyNumberFormat="1" applyFill="1"/>
    <xf numFmtId="0" fontId="9" fillId="0" borderId="0" xfId="4" applyFill="1"/>
    <xf numFmtId="0" fontId="9" fillId="0" borderId="0" xfId="4" applyAlignment="1">
      <alignment horizontal="center"/>
    </xf>
    <xf numFmtId="10" fontId="0" fillId="0" borderId="0" xfId="5" applyNumberFormat="1" applyFont="1"/>
    <xf numFmtId="0" fontId="10" fillId="0" borderId="0" xfId="6"/>
    <xf numFmtId="0" fontId="8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8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8" fillId="0" borderId="0" xfId="7" applyFont="1"/>
    <xf numFmtId="43" fontId="7" fillId="0" borderId="0" xfId="7" applyFont="1"/>
    <xf numFmtId="0" fontId="10" fillId="0" borderId="0" xfId="6" applyAlignment="1">
      <alignment horizontal="right"/>
    </xf>
    <xf numFmtId="10" fontId="10" fillId="0" borderId="0" xfId="6" applyNumberFormat="1" applyAlignment="1">
      <alignment horizontal="left"/>
    </xf>
    <xf numFmtId="0" fontId="4" fillId="0" borderId="0" xfId="6" applyFont="1"/>
    <xf numFmtId="0" fontId="10" fillId="0" borderId="0" xfId="6" applyFill="1" applyAlignment="1">
      <alignment horizontal="right"/>
    </xf>
    <xf numFmtId="0" fontId="10" fillId="0" borderId="0" xfId="6" applyFill="1"/>
    <xf numFmtId="43" fontId="0" fillId="0" borderId="1" xfId="7" applyFont="1" applyFill="1" applyBorder="1"/>
    <xf numFmtId="0" fontId="11" fillId="0" borderId="0" xfId="0" applyFont="1"/>
    <xf numFmtId="0" fontId="10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8" fillId="0" borderId="6" xfId="7" applyFont="1" applyBorder="1"/>
    <xf numFmtId="43" fontId="8" fillId="0" borderId="7" xfId="7" applyFont="1" applyBorder="1"/>
    <xf numFmtId="43" fontId="7" fillId="0" borderId="7" xfId="7" applyFont="1" applyBorder="1"/>
    <xf numFmtId="0" fontId="6" fillId="0" borderId="0" xfId="4" applyFont="1"/>
    <xf numFmtId="0" fontId="6" fillId="0" borderId="7" xfId="4" applyFont="1" applyBorder="1"/>
    <xf numFmtId="43" fontId="6" fillId="0" borderId="7" xfId="4" applyNumberFormat="1" applyFont="1" applyBorder="1"/>
    <xf numFmtId="43" fontId="6" fillId="0" borderId="0" xfId="4" applyNumberFormat="1" applyFont="1" applyFill="1" applyBorder="1"/>
    <xf numFmtId="0" fontId="6" fillId="0" borderId="0" xfId="4" applyFont="1" applyBorder="1"/>
    <xf numFmtId="43" fontId="6" fillId="0" borderId="0" xfId="4" applyNumberFormat="1" applyFont="1" applyBorder="1"/>
    <xf numFmtId="0" fontId="6" fillId="0" borderId="2" xfId="4" applyFont="1" applyBorder="1"/>
    <xf numFmtId="43" fontId="6" fillId="0" borderId="2" xfId="4" applyNumberFormat="1" applyFont="1" applyBorder="1"/>
    <xf numFmtId="0" fontId="6" fillId="0" borderId="3" xfId="4" applyFont="1" applyBorder="1"/>
    <xf numFmtId="0" fontId="6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9" fillId="0" borderId="4" xfId="4" applyBorder="1"/>
    <xf numFmtId="0" fontId="6" fillId="0" borderId="4" xfId="4" applyFont="1" applyBorder="1"/>
    <xf numFmtId="0" fontId="12" fillId="0" borderId="0" xfId="4" applyFont="1" applyAlignment="1">
      <alignment horizontal="centerContinuous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43" fontId="5" fillId="0" borderId="7" xfId="0" applyNumberFormat="1" applyFont="1" applyBorder="1"/>
    <xf numFmtId="0" fontId="0" fillId="0" borderId="9" xfId="0" applyBorder="1"/>
    <xf numFmtId="0" fontId="13" fillId="0" borderId="0" xfId="0" applyFont="1"/>
    <xf numFmtId="0" fontId="13" fillId="0" borderId="4" xfId="0" applyFont="1" applyBorder="1"/>
    <xf numFmtId="0" fontId="9" fillId="0" borderId="1" xfId="4" applyBorder="1"/>
    <xf numFmtId="0" fontId="9" fillId="0" borderId="8" xfId="4" applyBorder="1"/>
    <xf numFmtId="0" fontId="0" fillId="0" borderId="0" xfId="0" applyFill="1" applyBorder="1"/>
    <xf numFmtId="0" fontId="10" fillId="0" borderId="1" xfId="6" applyBorder="1"/>
    <xf numFmtId="0" fontId="8" fillId="0" borderId="8" xfId="6" applyFont="1" applyFill="1" applyBorder="1" applyAlignment="1">
      <alignment horizontal="center"/>
    </xf>
    <xf numFmtId="166" fontId="0" fillId="0" borderId="0" xfId="5" applyNumberFormat="1" applyFont="1"/>
    <xf numFmtId="10" fontId="14" fillId="0" borderId="18" xfId="2" applyNumberFormat="1" applyFont="1" applyBorder="1"/>
    <xf numFmtId="0" fontId="14" fillId="0" borderId="0" xfId="8" applyFont="1"/>
    <xf numFmtId="165" fontId="14" fillId="0" borderId="0" xfId="8" applyNumberFormat="1" applyFont="1"/>
    <xf numFmtId="168" fontId="16" fillId="0" borderId="13" xfId="8" applyNumberFormat="1" applyFont="1" applyBorder="1"/>
    <xf numFmtId="168" fontId="16" fillId="0" borderId="12" xfId="8" applyNumberFormat="1" applyFont="1" applyBorder="1"/>
    <xf numFmtId="0" fontId="16" fillId="0" borderId="11" xfId="8" applyFont="1" applyBorder="1" applyAlignment="1">
      <alignment horizontal="left"/>
    </xf>
    <xf numFmtId="165" fontId="14" fillId="0" borderId="26" xfId="8" applyNumberFormat="1" applyFont="1" applyBorder="1"/>
    <xf numFmtId="165" fontId="14" fillId="0" borderId="25" xfId="8" applyNumberFormat="1" applyFont="1" applyBorder="1"/>
    <xf numFmtId="0" fontId="14" fillId="0" borderId="27" xfId="8" applyFont="1" applyBorder="1"/>
    <xf numFmtId="0" fontId="14" fillId="0" borderId="26" xfId="8" applyFont="1" applyBorder="1"/>
    <xf numFmtId="0" fontId="14" fillId="0" borderId="25" xfId="8" applyFont="1" applyBorder="1"/>
    <xf numFmtId="164" fontId="14" fillId="0" borderId="18" xfId="9" applyNumberFormat="1" applyFont="1" applyBorder="1"/>
    <xf numFmtId="164" fontId="14" fillId="0" borderId="0" xfId="9" applyNumberFormat="1" applyFont="1" applyBorder="1"/>
    <xf numFmtId="164" fontId="14" fillId="0" borderId="17" xfId="9" applyNumberFormat="1" applyFont="1" applyBorder="1"/>
    <xf numFmtId="0" fontId="14" fillId="0" borderId="18" xfId="8" applyFont="1" applyBorder="1"/>
    <xf numFmtId="0" fontId="14" fillId="0" borderId="0" xfId="8" applyFont="1" applyBorder="1" applyAlignment="1">
      <alignment horizontal="left"/>
    </xf>
    <xf numFmtId="0" fontId="14" fillId="0" borderId="17" xfId="8" applyFont="1" applyBorder="1" applyAlignment="1">
      <alignment horizontal="left"/>
    </xf>
    <xf numFmtId="0" fontId="17" fillId="0" borderId="0" xfId="8" applyFont="1" applyBorder="1" applyAlignment="1">
      <alignment horizontal="left"/>
    </xf>
    <xf numFmtId="164" fontId="14" fillId="0" borderId="24" xfId="9" applyNumberFormat="1" applyFont="1" applyBorder="1"/>
    <xf numFmtId="164" fontId="14" fillId="0" borderId="3" xfId="9" applyNumberFormat="1" applyFont="1" applyBorder="1"/>
    <xf numFmtId="164" fontId="14" fillId="0" borderId="23" xfId="9" applyNumberFormat="1" applyFont="1" applyBorder="1"/>
    <xf numFmtId="167" fontId="14" fillId="0" borderId="18" xfId="10" applyNumberFormat="1" applyFont="1" applyBorder="1"/>
    <xf numFmtId="167" fontId="14" fillId="0" borderId="0" xfId="10" applyNumberFormat="1" applyFont="1" applyBorder="1"/>
    <xf numFmtId="167" fontId="14" fillId="0" borderId="17" xfId="10" applyNumberFormat="1" applyFont="1" applyBorder="1"/>
    <xf numFmtId="165" fontId="14" fillId="0" borderId="22" xfId="8" applyNumberFormat="1" applyFont="1" applyBorder="1"/>
    <xf numFmtId="165" fontId="14" fillId="0" borderId="10" xfId="8" applyNumberFormat="1" applyFont="1" applyBorder="1"/>
    <xf numFmtId="165" fontId="14" fillId="0" borderId="21" xfId="8" applyNumberFormat="1" applyFont="1" applyBorder="1"/>
    <xf numFmtId="165" fontId="14" fillId="0" borderId="18" xfId="8" applyNumberFormat="1" applyFont="1" applyBorder="1"/>
    <xf numFmtId="165" fontId="14" fillId="0" borderId="0" xfId="8" applyNumberFormat="1" applyFont="1" applyBorder="1"/>
    <xf numFmtId="165" fontId="14" fillId="0" borderId="17" xfId="8" applyNumberFormat="1" applyFont="1" applyBorder="1"/>
    <xf numFmtId="10" fontId="14" fillId="0" borderId="18" xfId="10" applyNumberFormat="1" applyFont="1" applyBorder="1"/>
    <xf numFmtId="10" fontId="14" fillId="0" borderId="0" xfId="8" applyNumberFormat="1" applyFont="1" applyBorder="1"/>
    <xf numFmtId="10" fontId="14" fillId="0" borderId="17" xfId="8" applyNumberFormat="1" applyFont="1" applyBorder="1"/>
    <xf numFmtId="10" fontId="14" fillId="0" borderId="0" xfId="10" applyNumberFormat="1" applyFont="1" applyBorder="1"/>
    <xf numFmtId="10" fontId="14" fillId="0" borderId="17" xfId="10" applyNumberFormat="1" applyFont="1" applyBorder="1"/>
    <xf numFmtId="0" fontId="14" fillId="0" borderId="0" xfId="8" applyFont="1" applyBorder="1"/>
    <xf numFmtId="0" fontId="14" fillId="0" borderId="17" xfId="8" applyFont="1" applyBorder="1"/>
    <xf numFmtId="0" fontId="15" fillId="0" borderId="20" xfId="8" applyFont="1" applyBorder="1" applyAlignment="1">
      <alignment horizontal="center"/>
    </xf>
    <xf numFmtId="0" fontId="15" fillId="0" borderId="1" xfId="8" applyFont="1" applyBorder="1" applyAlignment="1">
      <alignment horizontal="center"/>
    </xf>
    <xf numFmtId="0" fontId="15" fillId="0" borderId="19" xfId="8" applyFont="1" applyBorder="1" applyAlignment="1">
      <alignment horizontal="center"/>
    </xf>
    <xf numFmtId="0" fontId="15" fillId="0" borderId="20" xfId="8" applyFont="1" applyBorder="1" applyAlignment="1">
      <alignment horizontal="centerContinuous"/>
    </xf>
    <xf numFmtId="0" fontId="15" fillId="0" borderId="1" xfId="8" applyFont="1" applyBorder="1" applyAlignment="1">
      <alignment horizontal="centerContinuous"/>
    </xf>
    <xf numFmtId="0" fontId="15" fillId="0" borderId="19" xfId="8" applyFont="1" applyBorder="1" applyAlignment="1">
      <alignment horizontal="centerContinuous"/>
    </xf>
    <xf numFmtId="0" fontId="15" fillId="0" borderId="18" xfId="8" applyFont="1" applyBorder="1" applyAlignment="1">
      <alignment horizontal="center"/>
    </xf>
    <xf numFmtId="0" fontId="15" fillId="0" borderId="0" xfId="8" applyFont="1" applyBorder="1" applyAlignment="1">
      <alignment horizontal="center"/>
    </xf>
    <xf numFmtId="0" fontId="15" fillId="0" borderId="17" xfId="8" applyFont="1" applyBorder="1" applyAlignment="1">
      <alignment horizontal="center"/>
    </xf>
    <xf numFmtId="0" fontId="15" fillId="0" borderId="18" xfId="8" applyFont="1" applyBorder="1" applyAlignment="1">
      <alignment horizontal="centerContinuous"/>
    </xf>
    <xf numFmtId="0" fontId="15" fillId="0" borderId="0" xfId="8" applyFont="1" applyBorder="1" applyAlignment="1">
      <alignment horizontal="centerContinuous"/>
    </xf>
    <xf numFmtId="0" fontId="15" fillId="0" borderId="17" xfId="8" applyFont="1" applyBorder="1" applyAlignment="1">
      <alignment horizontal="centerContinuous"/>
    </xf>
    <xf numFmtId="0" fontId="14" fillId="0" borderId="16" xfId="8" applyFont="1" applyBorder="1"/>
    <xf numFmtId="0" fontId="14" fillId="0" borderId="15" xfId="8" applyFont="1" applyBorder="1"/>
    <xf numFmtId="0" fontId="14" fillId="0" borderId="14" xfId="8" applyFont="1" applyBorder="1"/>
    <xf numFmtId="0" fontId="18" fillId="0" borderId="0" xfId="11" applyFont="1"/>
    <xf numFmtId="0" fontId="19" fillId="0" borderId="0" xfId="11" applyFont="1"/>
    <xf numFmtId="0" fontId="20" fillId="0" borderId="0" xfId="11" applyFont="1" applyAlignment="1">
      <alignment horizontal="right"/>
    </xf>
    <xf numFmtId="0" fontId="21" fillId="0" borderId="0" xfId="11" applyFont="1"/>
    <xf numFmtId="0" fontId="18" fillId="0" borderId="1" xfId="11" applyFont="1" applyBorder="1" applyAlignment="1">
      <alignment horizontal="center"/>
    </xf>
    <xf numFmtId="0" fontId="3" fillId="0" borderId="0" xfId="11"/>
    <xf numFmtId="0" fontId="19" fillId="0" borderId="0" xfId="11" applyFont="1" applyAlignment="1">
      <alignment horizontal="left" indent="1"/>
    </xf>
    <xf numFmtId="10" fontId="22" fillId="0" borderId="0" xfId="11" applyNumberFormat="1" applyFont="1" applyFill="1" applyBorder="1"/>
    <xf numFmtId="10" fontId="3" fillId="0" borderId="0" xfId="11" applyNumberFormat="1"/>
    <xf numFmtId="169" fontId="22" fillId="0" borderId="0" xfId="11" applyNumberFormat="1" applyFont="1" applyFill="1" applyBorder="1"/>
    <xf numFmtId="43" fontId="3" fillId="0" borderId="0" xfId="11" applyNumberFormat="1"/>
    <xf numFmtId="41" fontId="22" fillId="0" borderId="0" xfId="11" applyNumberFormat="1" applyFont="1" applyFill="1" applyBorder="1"/>
    <xf numFmtId="41" fontId="22" fillId="0" borderId="10" xfId="11" applyNumberFormat="1" applyFont="1" applyFill="1" applyBorder="1"/>
    <xf numFmtId="169" fontId="22" fillId="0" borderId="10" xfId="11" applyNumberFormat="1" applyFont="1" applyFill="1" applyBorder="1"/>
    <xf numFmtId="169" fontId="22" fillId="0" borderId="3" xfId="11" applyNumberFormat="1" applyFont="1" applyFill="1" applyBorder="1"/>
    <xf numFmtId="5" fontId="19" fillId="0" borderId="0" xfId="11" applyNumberFormat="1" applyFont="1"/>
    <xf numFmtId="43" fontId="22" fillId="0" borderId="0" xfId="11" applyNumberFormat="1" applyFont="1" applyFill="1" applyBorder="1"/>
    <xf numFmtId="43" fontId="22" fillId="0" borderId="28" xfId="11" applyNumberFormat="1" applyFont="1" applyFill="1" applyBorder="1"/>
    <xf numFmtId="169" fontId="22" fillId="0" borderId="28" xfId="11" applyNumberFormat="1" applyFont="1" applyFill="1" applyBorder="1"/>
    <xf numFmtId="10" fontId="23" fillId="0" borderId="0" xfId="11" applyNumberFormat="1" applyFont="1" applyFill="1" applyBorder="1"/>
    <xf numFmtId="42" fontId="22" fillId="0" borderId="0" xfId="11" applyNumberFormat="1" applyFont="1" applyFill="1" applyBorder="1"/>
    <xf numFmtId="42" fontId="19" fillId="0" borderId="0" xfId="11" applyNumberFormat="1" applyFont="1"/>
    <xf numFmtId="5" fontId="22" fillId="0" borderId="0" xfId="11" applyNumberFormat="1" applyFont="1" applyFill="1" applyBorder="1"/>
    <xf numFmtId="169" fontId="22" fillId="0" borderId="2" xfId="11" applyNumberFormat="1" applyFont="1" applyFill="1" applyBorder="1"/>
    <xf numFmtId="0" fontId="24" fillId="0" borderId="0" xfId="11" applyFont="1" applyFill="1"/>
    <xf numFmtId="169" fontId="19" fillId="0" borderId="0" xfId="11" applyNumberFormat="1" applyFont="1"/>
    <xf numFmtId="43" fontId="19" fillId="0" borderId="0" xfId="11" applyNumberFormat="1" applyFont="1"/>
    <xf numFmtId="164" fontId="14" fillId="0" borderId="18" xfId="9" applyNumberFormat="1" applyFont="1" applyBorder="1" applyAlignment="1">
      <alignment horizontal="right"/>
    </xf>
    <xf numFmtId="0" fontId="14" fillId="0" borderId="0" xfId="8" applyFont="1" applyBorder="1" applyAlignment="1">
      <alignment horizontal="center"/>
    </xf>
    <xf numFmtId="0" fontId="14" fillId="0" borderId="17" xfId="8" applyFont="1" applyBorder="1" applyAlignment="1">
      <alignment horizontal="center"/>
    </xf>
    <xf numFmtId="0" fontId="14" fillId="0" borderId="18" xfId="8" applyFont="1" applyBorder="1" applyAlignment="1">
      <alignment horizontal="center"/>
    </xf>
    <xf numFmtId="0" fontId="14" fillId="2" borderId="17" xfId="8" applyFont="1" applyFill="1" applyBorder="1" applyAlignment="1">
      <alignment horizontal="left"/>
    </xf>
    <xf numFmtId="0" fontId="14" fillId="2" borderId="0" xfId="8" applyFont="1" applyFill="1" applyBorder="1" applyAlignment="1">
      <alignment horizontal="left"/>
    </xf>
    <xf numFmtId="0" fontId="14" fillId="2" borderId="18" xfId="8" applyFont="1" applyFill="1" applyBorder="1"/>
    <xf numFmtId="164" fontId="14" fillId="2" borderId="17" xfId="9" applyNumberFormat="1" applyFont="1" applyFill="1" applyBorder="1"/>
    <xf numFmtId="164" fontId="14" fillId="2" borderId="0" xfId="9" applyNumberFormat="1" applyFont="1" applyFill="1" applyBorder="1"/>
    <xf numFmtId="164" fontId="14" fillId="2" borderId="18" xfId="9" applyNumberFormat="1" applyFont="1" applyFill="1" applyBorder="1" applyAlignment="1">
      <alignment horizontal="right"/>
    </xf>
    <xf numFmtId="0" fontId="15" fillId="0" borderId="0" xfId="8" applyFont="1" applyBorder="1" applyAlignment="1">
      <alignment horizontal="left"/>
    </xf>
    <xf numFmtId="0" fontId="14" fillId="0" borderId="0" xfId="0" applyFont="1"/>
    <xf numFmtId="4" fontId="25" fillId="0" borderId="4" xfId="4" applyNumberFormat="1" applyFont="1" applyBorder="1" applyAlignment="1">
      <alignment horizontal="left"/>
    </xf>
    <xf numFmtId="44" fontId="9" fillId="0" borderId="0" xfId="12" applyFont="1"/>
    <xf numFmtId="44" fontId="6" fillId="0" borderId="3" xfId="12" applyFont="1" applyBorder="1"/>
    <xf numFmtId="4" fontId="25" fillId="0" borderId="0" xfId="4" applyNumberFormat="1" applyFont="1" applyBorder="1" applyAlignment="1">
      <alignment horizontal="left"/>
    </xf>
    <xf numFmtId="0" fontId="9" fillId="0" borderId="0" xfId="4" applyBorder="1"/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0" fontId="14" fillId="0" borderId="0" xfId="1" applyNumberFormat="1" applyFont="1"/>
    <xf numFmtId="164" fontId="14" fillId="0" borderId="3" xfId="0" applyNumberFormat="1" applyFont="1" applyBorder="1"/>
    <xf numFmtId="0" fontId="26" fillId="0" borderId="11" xfId="0" applyFont="1" applyBorder="1"/>
    <xf numFmtId="168" fontId="26" fillId="0" borderId="12" xfId="1" applyNumberFormat="1" applyFont="1" applyBorder="1"/>
    <xf numFmtId="168" fontId="26" fillId="0" borderId="13" xfId="1" applyNumberFormat="1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Continuous"/>
    </xf>
    <xf numFmtId="0" fontId="14" fillId="0" borderId="18" xfId="0" applyFont="1" applyBorder="1"/>
    <xf numFmtId="164" fontId="14" fillId="0" borderId="0" xfId="0" applyNumberFormat="1" applyFont="1" applyBorder="1"/>
    <xf numFmtId="170" fontId="14" fillId="0" borderId="0" xfId="1" applyNumberFormat="1" applyFont="1" applyBorder="1"/>
    <xf numFmtId="0" fontId="14" fillId="0" borderId="25" xfId="0" applyFont="1" applyBorder="1"/>
    <xf numFmtId="0" fontId="14" fillId="0" borderId="26" xfId="0" applyFont="1" applyBorder="1"/>
    <xf numFmtId="170" fontId="14" fillId="0" borderId="26" xfId="1" applyNumberFormat="1" applyFont="1" applyBorder="1"/>
    <xf numFmtId="0" fontId="15" fillId="0" borderId="18" xfId="0" applyFont="1" applyBorder="1" applyAlignment="1">
      <alignment horizontal="centerContinuous"/>
    </xf>
    <xf numFmtId="0" fontId="15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164" fontId="14" fillId="0" borderId="18" xfId="0" applyNumberFormat="1" applyFont="1" applyBorder="1"/>
    <xf numFmtId="164" fontId="14" fillId="0" borderId="24" xfId="0" applyNumberFormat="1" applyFont="1" applyBorder="1"/>
    <xf numFmtId="170" fontId="14" fillId="0" borderId="27" xfId="1" applyNumberFormat="1" applyFont="1" applyBorder="1"/>
    <xf numFmtId="0" fontId="0" fillId="0" borderId="16" xfId="0" applyBorder="1"/>
    <xf numFmtId="0" fontId="0" fillId="0" borderId="18" xfId="0" applyBorder="1"/>
    <xf numFmtId="164" fontId="14" fillId="0" borderId="18" xfId="12" applyNumberFormat="1" applyFont="1" applyBorder="1"/>
    <xf numFmtId="164" fontId="14" fillId="0" borderId="22" xfId="12" applyNumberFormat="1" applyFont="1" applyBorder="1"/>
    <xf numFmtId="164" fontId="14" fillId="0" borderId="29" xfId="12" applyNumberFormat="1" applyFont="1" applyBorder="1"/>
    <xf numFmtId="0" fontId="0" fillId="0" borderId="15" xfId="0" applyBorder="1"/>
    <xf numFmtId="0" fontId="0" fillId="0" borderId="26" xfId="0" applyBorder="1"/>
    <xf numFmtId="10" fontId="9" fillId="0" borderId="0" xfId="2" applyNumberFormat="1" applyFont="1"/>
    <xf numFmtId="0" fontId="15" fillId="0" borderId="20" xfId="0" applyFont="1" applyBorder="1"/>
    <xf numFmtId="170" fontId="14" fillId="0" borderId="18" xfId="0" applyNumberFormat="1" applyFont="1" applyBorder="1"/>
    <xf numFmtId="0" fontId="0" fillId="4" borderId="0" xfId="0" applyFill="1"/>
    <xf numFmtId="0" fontId="0" fillId="0" borderId="0" xfId="0" applyAlignment="1">
      <alignment horizontal="center" wrapText="1"/>
    </xf>
    <xf numFmtId="44" fontId="0" fillId="0" borderId="0" xfId="0" applyNumberFormat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5" fillId="0" borderId="0" xfId="0" quotePrefix="1" applyFont="1"/>
    <xf numFmtId="0" fontId="5" fillId="6" borderId="37" xfId="0" applyFont="1" applyFill="1" applyBorder="1" applyAlignment="1">
      <alignment horizontal="center"/>
    </xf>
    <xf numFmtId="0" fontId="5" fillId="6" borderId="37" xfId="0" applyFont="1" applyFill="1" applyBorder="1" applyAlignment="1">
      <alignment horizontal="center" wrapText="1"/>
    </xf>
    <xf numFmtId="43" fontId="0" fillId="0" borderId="4" xfId="1" applyFont="1" applyBorder="1"/>
    <xf numFmtId="43" fontId="28" fillId="0" borderId="0" xfId="0" applyNumberFormat="1" applyFont="1" applyBorder="1"/>
    <xf numFmtId="0" fontId="0" fillId="0" borderId="1" xfId="0" applyBorder="1" applyAlignment="1">
      <alignment horizontal="left"/>
    </xf>
    <xf numFmtId="43" fontId="0" fillId="0" borderId="36" xfId="1" applyFont="1" applyBorder="1"/>
    <xf numFmtId="43" fontId="0" fillId="0" borderId="8" xfId="1" applyFont="1" applyBorder="1"/>
    <xf numFmtId="43" fontId="0" fillId="0" borderId="1" xfId="0" applyNumberFormat="1" applyBorder="1"/>
    <xf numFmtId="0" fontId="5" fillId="0" borderId="2" xfId="0" applyFont="1" applyBorder="1"/>
    <xf numFmtId="0" fontId="0" fillId="0" borderId="2" xfId="0" applyBorder="1"/>
    <xf numFmtId="0" fontId="29" fillId="0" borderId="0" xfId="0" applyFont="1"/>
    <xf numFmtId="0" fontId="5" fillId="0" borderId="0" xfId="0" applyFont="1"/>
    <xf numFmtId="0" fontId="0" fillId="0" borderId="0" xfId="0" pivotButton="1"/>
    <xf numFmtId="0" fontId="15" fillId="5" borderId="30" xfId="0" applyFont="1" applyFill="1" applyBorder="1"/>
    <xf numFmtId="0" fontId="15" fillId="5" borderId="10" xfId="0" applyFont="1" applyFill="1" applyBorder="1" applyAlignment="1">
      <alignment horizontal="center" wrapText="1"/>
    </xf>
    <xf numFmtId="0" fontId="15" fillId="5" borderId="31" xfId="0" applyFont="1" applyFill="1" applyBorder="1" applyAlignment="1">
      <alignment horizontal="center" wrapText="1"/>
    </xf>
    <xf numFmtId="0" fontId="15" fillId="0" borderId="32" xfId="0" applyFont="1" applyBorder="1" applyAlignment="1">
      <alignment horizontal="left"/>
    </xf>
    <xf numFmtId="44" fontId="15" fillId="0" borderId="33" xfId="0" applyNumberFormat="1" applyFont="1" applyBorder="1"/>
    <xf numFmtId="44" fontId="15" fillId="0" borderId="34" xfId="0" applyNumberFormat="1" applyFont="1" applyBorder="1"/>
    <xf numFmtId="0" fontId="15" fillId="5" borderId="35" xfId="0" applyFont="1" applyFill="1" applyBorder="1" applyAlignment="1">
      <alignment horizontal="left"/>
    </xf>
    <xf numFmtId="44" fontId="15" fillId="5" borderId="1" xfId="0" applyNumberFormat="1" applyFont="1" applyFill="1" applyBorder="1"/>
    <xf numFmtId="44" fontId="15" fillId="5" borderId="36" xfId="0" applyNumberFormat="1" applyFont="1" applyFill="1" applyBorder="1"/>
    <xf numFmtId="0" fontId="30" fillId="0" borderId="0" xfId="13" applyFont="1" applyFill="1" applyAlignment="1">
      <alignment horizontal="left"/>
    </xf>
    <xf numFmtId="43" fontId="30" fillId="0" borderId="0" xfId="13" applyNumberFormat="1" applyFont="1" applyFill="1"/>
    <xf numFmtId="43" fontId="30" fillId="0" borderId="4" xfId="13" applyNumberFormat="1" applyFont="1" applyFill="1" applyBorder="1"/>
    <xf numFmtId="0" fontId="30" fillId="0" borderId="0" xfId="13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31" fillId="0" borderId="0" xfId="0" applyNumberFormat="1" applyFont="1"/>
    <xf numFmtId="0" fontId="3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3" fillId="7" borderId="41" xfId="14" applyBorder="1" applyAlignment="1">
      <alignment horizontal="centerContinuous"/>
    </xf>
    <xf numFmtId="0" fontId="33" fillId="7" borderId="2" xfId="14" applyBorder="1" applyAlignment="1">
      <alignment horizontal="centerContinuous"/>
    </xf>
    <xf numFmtId="0" fontId="33" fillId="7" borderId="42" xfId="14" applyBorder="1" applyAlignment="1">
      <alignment horizontal="centerContinuous"/>
    </xf>
    <xf numFmtId="0" fontId="0" fillId="0" borderId="0" xfId="0" applyNumberFormat="1"/>
    <xf numFmtId="171" fontId="0" fillId="0" borderId="0" xfId="0" applyNumberFormat="1"/>
    <xf numFmtId="43" fontId="30" fillId="0" borderId="0" xfId="1" applyFont="1" applyFill="1"/>
    <xf numFmtId="169" fontId="0" fillId="0" borderId="0" xfId="1" applyNumberFormat="1" applyFont="1"/>
    <xf numFmtId="44" fontId="5" fillId="6" borderId="2" xfId="12" applyNumberFormat="1" applyFont="1" applyFill="1" applyBorder="1"/>
    <xf numFmtId="44" fontId="0" fillId="0" borderId="0" xfId="12" applyFont="1"/>
    <xf numFmtId="44" fontId="0" fillId="0" borderId="38" xfId="12" applyFont="1" applyBorder="1"/>
    <xf numFmtId="44" fontId="34" fillId="8" borderId="40" xfId="12" applyFont="1" applyFill="1" applyBorder="1"/>
    <xf numFmtId="0" fontId="0" fillId="0" borderId="41" xfId="0" applyBorder="1"/>
    <xf numFmtId="10" fontId="0" fillId="0" borderId="42" xfId="0" applyNumberFormat="1" applyBorder="1"/>
    <xf numFmtId="3" fontId="31" fillId="0" borderId="0" xfId="0" applyNumberFormat="1" applyFont="1" applyAlignment="1">
      <alignment horizontal="right" wrapText="1"/>
    </xf>
    <xf numFmtId="0" fontId="15" fillId="5" borderId="30" xfId="0" applyFont="1" applyFill="1" applyBorder="1" applyAlignment="1">
      <alignment vertical="top" wrapText="1"/>
    </xf>
    <xf numFmtId="169" fontId="0" fillId="0" borderId="0" xfId="0" applyNumberFormat="1"/>
    <xf numFmtId="171" fontId="0" fillId="0" borderId="0" xfId="0" applyNumberFormat="1" applyFill="1" applyBorder="1"/>
    <xf numFmtId="4" fontId="31" fillId="4" borderId="0" xfId="0" applyNumberFormat="1" applyFont="1" applyFill="1"/>
    <xf numFmtId="0" fontId="15" fillId="6" borderId="43" xfId="0" applyFont="1" applyFill="1" applyBorder="1" applyAlignment="1">
      <alignment horizontal="center"/>
    </xf>
    <xf numFmtId="0" fontId="15" fillId="6" borderId="44" xfId="0" applyFont="1" applyFill="1" applyBorder="1" applyAlignment="1">
      <alignment horizontal="center" wrapText="1"/>
    </xf>
    <xf numFmtId="0" fontId="15" fillId="6" borderId="45" xfId="0" applyFont="1" applyFill="1" applyBorder="1" applyAlignment="1">
      <alignment horizontal="center" wrapText="1"/>
    </xf>
    <xf numFmtId="0" fontId="14" fillId="0" borderId="46" xfId="0" applyFont="1" applyBorder="1" applyAlignment="1">
      <alignment horizontal="left"/>
    </xf>
    <xf numFmtId="171" fontId="14" fillId="0" borderId="0" xfId="0" applyNumberFormat="1" applyFont="1" applyFill="1" applyBorder="1"/>
    <xf numFmtId="171" fontId="14" fillId="0" borderId="47" xfId="0" applyNumberFormat="1" applyFont="1" applyBorder="1"/>
    <xf numFmtId="169" fontId="14" fillId="0" borderId="0" xfId="1" applyNumberFormat="1" applyFont="1" applyFill="1" applyBorder="1"/>
    <xf numFmtId="169" fontId="14" fillId="0" borderId="47" xfId="0" applyNumberFormat="1" applyFont="1" applyBorder="1"/>
    <xf numFmtId="0" fontId="15" fillId="6" borderId="48" xfId="0" applyFont="1" applyFill="1" applyBorder="1" applyAlignment="1">
      <alignment horizontal="left"/>
    </xf>
    <xf numFmtId="171" fontId="15" fillId="6" borderId="49" xfId="0" applyNumberFormat="1" applyFont="1" applyFill="1" applyBorder="1"/>
    <xf numFmtId="171" fontId="15" fillId="6" borderId="50" xfId="0" applyNumberFormat="1" applyFont="1" applyFill="1" applyBorder="1"/>
    <xf numFmtId="0" fontId="30" fillId="0" borderId="0" xfId="13" applyFont="1" applyFill="1" applyAlignment="1">
      <alignment horizontal="center"/>
    </xf>
    <xf numFmtId="0" fontId="0" fillId="0" borderId="1" xfId="0" applyBorder="1" applyAlignment="1">
      <alignment horizontal="center"/>
    </xf>
    <xf numFmtId="172" fontId="0" fillId="4" borderId="0" xfId="2" applyNumberFormat="1" applyFont="1" applyFill="1"/>
    <xf numFmtId="164" fontId="0" fillId="0" borderId="0" xfId="12" applyNumberFormat="1" applyFont="1"/>
    <xf numFmtId="170" fontId="0" fillId="0" borderId="0" xfId="1" applyNumberFormat="1" applyFont="1"/>
    <xf numFmtId="0" fontId="0" fillId="0" borderId="10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>
      <alignment horizontal="centerContinuous"/>
    </xf>
    <xf numFmtId="44" fontId="0" fillId="0" borderId="0" xfId="12" applyNumberFormat="1" applyFont="1"/>
    <xf numFmtId="43" fontId="0" fillId="0" borderId="0" xfId="1" applyNumberFormat="1" applyFont="1"/>
    <xf numFmtId="44" fontId="0" fillId="0" borderId="10" xfId="0" applyNumberFormat="1" applyBorder="1"/>
    <xf numFmtId="44" fontId="0" fillId="0" borderId="0" xfId="1" applyNumberFormat="1" applyFont="1"/>
    <xf numFmtId="44" fontId="0" fillId="0" borderId="3" xfId="0" applyNumberFormat="1" applyBorder="1"/>
    <xf numFmtId="164" fontId="0" fillId="0" borderId="10" xfId="12" applyNumberFormat="1" applyFont="1" applyBorder="1"/>
    <xf numFmtId="9" fontId="14" fillId="0" borderId="27" xfId="2" applyFont="1" applyBorder="1"/>
    <xf numFmtId="37" fontId="20" fillId="0" borderId="0" xfId="11" applyNumberFormat="1" applyFont="1" applyAlignment="1">
      <alignment horizontal="left"/>
    </xf>
    <xf numFmtId="0" fontId="23" fillId="0" borderId="0" xfId="11" applyFont="1"/>
    <xf numFmtId="10" fontId="23" fillId="0" borderId="0" xfId="11" applyNumberFormat="1" applyFont="1"/>
    <xf numFmtId="171" fontId="23" fillId="0" borderId="0" xfId="11" applyNumberFormat="1" applyFont="1"/>
    <xf numFmtId="171" fontId="23" fillId="0" borderId="0" xfId="12" applyNumberFormat="1" applyFont="1"/>
    <xf numFmtId="9" fontId="23" fillId="0" borderId="0" xfId="2" applyNumberFormat="1" applyFont="1"/>
    <xf numFmtId="0" fontId="23" fillId="0" borderId="0" xfId="11" applyFont="1" applyAlignment="1">
      <alignment horizontal="left" indent="1"/>
    </xf>
    <xf numFmtId="0" fontId="22" fillId="0" borderId="0" xfId="11" applyFont="1"/>
    <xf numFmtId="169" fontId="22" fillId="0" borderId="0" xfId="11" applyNumberFormat="1" applyFont="1"/>
    <xf numFmtId="44" fontId="9" fillId="0" borderId="0" xfId="4" applyNumberFormat="1"/>
    <xf numFmtId="0" fontId="0" fillId="0" borderId="0" xfId="0" applyAlignment="1">
      <alignment wrapText="1"/>
    </xf>
    <xf numFmtId="0" fontId="15" fillId="0" borderId="17" xfId="8" applyFont="1" applyBorder="1"/>
    <xf numFmtId="0" fontId="39" fillId="0" borderId="0" xfId="0" applyFont="1"/>
    <xf numFmtId="0" fontId="40" fillId="0" borderId="0" xfId="0" applyFont="1"/>
    <xf numFmtId="0" fontId="0" fillId="0" borderId="0" xfId="0" applyFont="1"/>
    <xf numFmtId="0" fontId="39" fillId="0" borderId="52" xfId="0" applyNumberFormat="1" applyFont="1" applyFill="1" applyBorder="1" applyAlignment="1">
      <alignment horizontal="right"/>
    </xf>
    <xf numFmtId="173" fontId="39" fillId="0" borderId="53" xfId="0" applyNumberFormat="1" applyFont="1" applyFill="1" applyBorder="1" applyAlignment="1">
      <alignment horizontal="right"/>
    </xf>
    <xf numFmtId="43" fontId="39" fillId="0" borderId="0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3" fillId="0" borderId="0" xfId="0" applyFont="1"/>
    <xf numFmtId="43" fontId="4" fillId="0" borderId="0" xfId="0" applyNumberFormat="1" applyFont="1"/>
    <xf numFmtId="43" fontId="44" fillId="0" borderId="0" xfId="0" applyNumberFormat="1" applyFont="1"/>
    <xf numFmtId="43" fontId="4" fillId="0" borderId="1" xfId="0" applyNumberFormat="1" applyFont="1" applyBorder="1"/>
    <xf numFmtId="43" fontId="44" fillId="0" borderId="1" xfId="0" applyNumberFormat="1" applyFont="1" applyBorder="1"/>
    <xf numFmtId="9" fontId="4" fillId="0" borderId="0" xfId="0" applyNumberFormat="1" applyFont="1"/>
    <xf numFmtId="43" fontId="4" fillId="0" borderId="3" xfId="0" applyNumberFormat="1" applyFont="1" applyBorder="1"/>
    <xf numFmtId="43" fontId="44" fillId="0" borderId="3" xfId="0" applyNumberFormat="1" applyFont="1" applyBorder="1"/>
    <xf numFmtId="43" fontId="45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/>
    <xf numFmtId="43" fontId="4" fillId="0" borderId="0" xfId="0" applyNumberFormat="1" applyFont="1" applyFill="1"/>
    <xf numFmtId="169" fontId="4" fillId="0" borderId="0" xfId="0" applyNumberFormat="1" applyFont="1" applyFill="1"/>
    <xf numFmtId="43" fontId="4" fillId="0" borderId="1" xfId="0" applyNumberFormat="1" applyFont="1" applyFill="1" applyBorder="1"/>
    <xf numFmtId="169" fontId="4" fillId="0" borderId="1" xfId="0" applyNumberFormat="1" applyFont="1" applyFill="1" applyBorder="1"/>
    <xf numFmtId="0" fontId="0" fillId="0" borderId="0" xfId="0" applyFill="1"/>
    <xf numFmtId="43" fontId="4" fillId="0" borderId="0" xfId="0" applyNumberFormat="1" applyFont="1" applyFill="1" applyBorder="1"/>
    <xf numFmtId="169" fontId="4" fillId="0" borderId="0" xfId="0" applyNumberFormat="1" applyFont="1" applyFill="1" applyBorder="1"/>
    <xf numFmtId="9" fontId="4" fillId="0" borderId="0" xfId="0" applyNumberFormat="1" applyFont="1" applyFill="1"/>
    <xf numFmtId="43" fontId="4" fillId="0" borderId="10" xfId="0" applyNumberFormat="1" applyFont="1" applyFill="1" applyBorder="1"/>
    <xf numFmtId="169" fontId="4" fillId="0" borderId="10" xfId="0" applyNumberFormat="1" applyFont="1" applyFill="1" applyBorder="1"/>
    <xf numFmtId="43" fontId="4" fillId="0" borderId="3" xfId="0" applyNumberFormat="1" applyFont="1" applyFill="1" applyBorder="1"/>
    <xf numFmtId="169" fontId="4" fillId="0" borderId="3" xfId="0" applyNumberFormat="1" applyFont="1" applyFill="1" applyBorder="1"/>
    <xf numFmtId="43" fontId="46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left"/>
    </xf>
    <xf numFmtId="43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49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3" fontId="50" fillId="0" borderId="0" xfId="4" applyNumberFormat="1" applyFont="1"/>
    <xf numFmtId="0" fontId="50" fillId="0" borderId="0" xfId="4" applyFont="1" applyAlignment="1">
      <alignment horizontal="centerContinuous"/>
    </xf>
    <xf numFmtId="44" fontId="50" fillId="0" borderId="0" xfId="4" applyNumberFormat="1" applyFont="1"/>
    <xf numFmtId="44" fontId="51" fillId="0" borderId="0" xfId="0" applyNumberFormat="1" applyFont="1"/>
    <xf numFmtId="0" fontId="51" fillId="0" borderId="0" xfId="0" applyFont="1" applyAlignment="1">
      <alignment horizontal="right"/>
    </xf>
    <xf numFmtId="0" fontId="0" fillId="9" borderId="30" xfId="0" applyFill="1" applyBorder="1"/>
    <xf numFmtId="0" fontId="0" fillId="9" borderId="10" xfId="0" applyFill="1" applyBorder="1"/>
    <xf numFmtId="0" fontId="0" fillId="9" borderId="31" xfId="0" applyFill="1" applyBorder="1"/>
    <xf numFmtId="0" fontId="0" fillId="9" borderId="46" xfId="0" applyFill="1" applyBorder="1"/>
    <xf numFmtId="0" fontId="0" fillId="9" borderId="0" xfId="0" applyFill="1" applyBorder="1"/>
    <xf numFmtId="0" fontId="0" fillId="9" borderId="47" xfId="0" applyFill="1" applyBorder="1"/>
    <xf numFmtId="0" fontId="0" fillId="9" borderId="35" xfId="0" applyFill="1" applyBorder="1"/>
    <xf numFmtId="0" fontId="0" fillId="9" borderId="1" xfId="0" applyFill="1" applyBorder="1"/>
    <xf numFmtId="0" fontId="0" fillId="9" borderId="36" xfId="0" applyFill="1" applyBorder="1"/>
    <xf numFmtId="0" fontId="29" fillId="9" borderId="0" xfId="0" applyFont="1" applyFill="1" applyBorder="1"/>
    <xf numFmtId="0" fontId="15" fillId="0" borderId="18" xfId="0" applyFont="1" applyBorder="1" applyAlignment="1">
      <alignment horizontal="center"/>
    </xf>
    <xf numFmtId="164" fontId="14" fillId="0" borderId="54" xfId="0" applyNumberFormat="1" applyFont="1" applyBorder="1"/>
    <xf numFmtId="0" fontId="52" fillId="0" borderId="18" xfId="0" applyFont="1" applyBorder="1" applyAlignment="1">
      <alignment horizontal="center"/>
    </xf>
    <xf numFmtId="0" fontId="52" fillId="0" borderId="18" xfId="8" applyFont="1" applyBorder="1" applyAlignment="1">
      <alignment horizontal="center"/>
    </xf>
    <xf numFmtId="0" fontId="53" fillId="0" borderId="0" xfId="0" applyFont="1" applyBorder="1"/>
    <xf numFmtId="0" fontId="53" fillId="0" borderId="17" xfId="0" applyFont="1" applyBorder="1"/>
    <xf numFmtId="0" fontId="26" fillId="0" borderId="0" xfId="8" applyFont="1" applyAlignment="1">
      <alignment horizontal="center"/>
    </xf>
    <xf numFmtId="0" fontId="14" fillId="0" borderId="0" xfId="8" applyFont="1" applyAlignment="1">
      <alignment horizontal="centerContinuous"/>
    </xf>
    <xf numFmtId="44" fontId="1" fillId="0" borderId="0" xfId="12" applyFont="1"/>
    <xf numFmtId="0" fontId="15" fillId="0" borderId="30" xfId="8" applyFont="1" applyBorder="1" applyAlignment="1">
      <alignment horizontal="centerContinuous"/>
    </xf>
    <xf numFmtId="0" fontId="15" fillId="0" borderId="31" xfId="8" applyFont="1" applyBorder="1" applyAlignment="1">
      <alignment horizontal="centerContinuous"/>
    </xf>
    <xf numFmtId="0" fontId="15" fillId="0" borderId="46" xfId="8" applyFont="1" applyBorder="1" applyAlignment="1">
      <alignment horizontal="centerContinuous"/>
    </xf>
    <xf numFmtId="0" fontId="15" fillId="0" borderId="47" xfId="8" applyFont="1" applyBorder="1" applyAlignment="1">
      <alignment horizontal="centerContinuous"/>
    </xf>
    <xf numFmtId="0" fontId="14" fillId="0" borderId="46" xfId="8" applyFont="1" applyBorder="1"/>
    <xf numFmtId="0" fontId="14" fillId="0" borderId="47" xfId="8" applyFont="1" applyBorder="1"/>
    <xf numFmtId="44" fontId="14" fillId="0" borderId="46" xfId="8" applyNumberFormat="1" applyFont="1" applyBorder="1"/>
    <xf numFmtId="44" fontId="14" fillId="0" borderId="47" xfId="8" applyNumberFormat="1" applyFont="1" applyBorder="1"/>
    <xf numFmtId="10" fontId="14" fillId="0" borderId="46" xfId="8" applyNumberFormat="1" applyFont="1" applyBorder="1"/>
    <xf numFmtId="10" fontId="14" fillId="0" borderId="47" xfId="8" applyNumberFormat="1" applyFont="1" applyBorder="1"/>
    <xf numFmtId="165" fontId="14" fillId="0" borderId="46" xfId="8" applyNumberFormat="1" applyFont="1" applyBorder="1"/>
    <xf numFmtId="165" fontId="14" fillId="0" borderId="47" xfId="8" applyNumberFormat="1" applyFont="1" applyBorder="1"/>
    <xf numFmtId="0" fontId="14" fillId="0" borderId="35" xfId="8" applyFont="1" applyBorder="1"/>
    <xf numFmtId="0" fontId="14" fillId="0" borderId="36" xfId="8" applyFont="1" applyBorder="1"/>
    <xf numFmtId="0" fontId="15" fillId="0" borderId="35" xfId="8" applyFont="1" applyBorder="1" applyAlignment="1">
      <alignment horizontal="center"/>
    </xf>
    <xf numFmtId="0" fontId="15" fillId="0" borderId="36" xfId="8" applyFont="1" applyBorder="1" applyAlignment="1">
      <alignment horizontal="center"/>
    </xf>
    <xf numFmtId="0" fontId="14" fillId="0" borderId="46" xfId="8" applyFont="1" applyBorder="1" applyAlignment="1">
      <alignment horizontal="center"/>
    </xf>
    <xf numFmtId="0" fontId="14" fillId="0" borderId="47" xfId="8" applyFont="1" applyBorder="1" applyAlignment="1">
      <alignment horizontal="center"/>
    </xf>
    <xf numFmtId="165" fontId="14" fillId="0" borderId="41" xfId="8" applyNumberFormat="1" applyFont="1" applyBorder="1"/>
    <xf numFmtId="165" fontId="14" fillId="0" borderId="42" xfId="8" applyNumberFormat="1" applyFont="1" applyBorder="1"/>
    <xf numFmtId="165" fontId="14" fillId="0" borderId="55" xfId="8" applyNumberFormat="1" applyFont="1" applyBorder="1"/>
    <xf numFmtId="165" fontId="14" fillId="0" borderId="56" xfId="8" applyNumberFormat="1" applyFont="1" applyBorder="1"/>
    <xf numFmtId="43" fontId="9" fillId="0" borderId="0" xfId="1" applyFont="1"/>
    <xf numFmtId="165" fontId="14" fillId="0" borderId="46" xfId="8" applyNumberFormat="1" applyFont="1" applyFill="1" applyBorder="1"/>
    <xf numFmtId="165" fontId="14" fillId="0" borderId="47" xfId="8" applyNumberFormat="1" applyFont="1" applyFill="1" applyBorder="1"/>
    <xf numFmtId="165" fontId="14" fillId="0" borderId="17" xfId="8" applyNumberFormat="1" applyFont="1" applyFill="1" applyBorder="1"/>
    <xf numFmtId="165" fontId="14" fillId="0" borderId="0" xfId="8" applyNumberFormat="1" applyFont="1" applyFill="1" applyBorder="1"/>
    <xf numFmtId="165" fontId="14" fillId="0" borderId="2" xfId="8" applyNumberFormat="1" applyFont="1" applyBorder="1"/>
    <xf numFmtId="0" fontId="1" fillId="0" borderId="0" xfId="16"/>
    <xf numFmtId="0" fontId="1" fillId="0" borderId="0" xfId="16" applyAlignment="1">
      <alignment horizontal="center"/>
    </xf>
    <xf numFmtId="43" fontId="1" fillId="0" borderId="0" xfId="16" applyNumberFormat="1"/>
    <xf numFmtId="0" fontId="54" fillId="0" borderId="0" xfId="16" applyFont="1" applyAlignment="1">
      <alignment horizontal="right"/>
    </xf>
    <xf numFmtId="0" fontId="1" fillId="0" borderId="0" xfId="16" applyAlignment="1">
      <alignment horizontal="left"/>
    </xf>
    <xf numFmtId="43" fontId="1" fillId="0" borderId="1" xfId="16" applyNumberFormat="1" applyFont="1" applyBorder="1"/>
    <xf numFmtId="0" fontId="1" fillId="0" borderId="1" xfId="16" applyBorder="1" applyAlignment="1">
      <alignment horizontal="center"/>
    </xf>
    <xf numFmtId="43" fontId="1" fillId="0" borderId="0" xfId="16" applyNumberFormat="1" applyFont="1"/>
    <xf numFmtId="43" fontId="1" fillId="0" borderId="1" xfId="16" applyNumberFormat="1" applyBorder="1"/>
    <xf numFmtId="0" fontId="1" fillId="0" borderId="1" xfId="16" applyBorder="1" applyAlignment="1">
      <alignment horizontal="left"/>
    </xf>
    <xf numFmtId="43" fontId="1" fillId="11" borderId="0" xfId="16" applyNumberFormat="1" applyFill="1"/>
    <xf numFmtId="0" fontId="1" fillId="0" borderId="0" xfId="16" applyFill="1"/>
    <xf numFmtId="43" fontId="1" fillId="0" borderId="0" xfId="16" applyNumberFormat="1" applyFont="1" applyFill="1"/>
    <xf numFmtId="0" fontId="1" fillId="0" borderId="0" xfId="16" applyFill="1" applyAlignment="1">
      <alignment horizontal="center"/>
    </xf>
    <xf numFmtId="43" fontId="1" fillId="0" borderId="0" xfId="16" applyNumberFormat="1" applyFill="1"/>
    <xf numFmtId="0" fontId="1" fillId="0" borderId="1" xfId="16" applyBorder="1"/>
    <xf numFmtId="0" fontId="55" fillId="0" borderId="1" xfId="16" applyFont="1" applyBorder="1" applyAlignment="1">
      <alignment horizontal="center"/>
    </xf>
    <xf numFmtId="0" fontId="55" fillId="0" borderId="1" xfId="16" applyFont="1" applyBorder="1" applyAlignment="1">
      <alignment horizontal="right"/>
    </xf>
    <xf numFmtId="0" fontId="54" fillId="0" borderId="0" xfId="16" applyFont="1" applyAlignment="1">
      <alignment horizontal="center"/>
    </xf>
    <xf numFmtId="0" fontId="6" fillId="0" borderId="0" xfId="16" applyFont="1" applyAlignment="1">
      <alignment horizontal="center"/>
    </xf>
    <xf numFmtId="0" fontId="6" fillId="0" borderId="0" xfId="16" applyFont="1"/>
    <xf numFmtId="10" fontId="1" fillId="0" borderId="0" xfId="16" applyNumberFormat="1" applyAlignment="1">
      <alignment horizontal="left"/>
    </xf>
    <xf numFmtId="0" fontId="1" fillId="0" borderId="0" xfId="16" applyAlignment="1">
      <alignment horizontal="right"/>
    </xf>
    <xf numFmtId="10" fontId="1" fillId="0" borderId="0" xfId="16" applyNumberFormat="1" applyFont="1"/>
    <xf numFmtId="0" fontId="1" fillId="11" borderId="0" xfId="16" applyFill="1"/>
    <xf numFmtId="43" fontId="1" fillId="11" borderId="0" xfId="16" applyNumberFormat="1" applyFont="1" applyFill="1"/>
    <xf numFmtId="0" fontId="1" fillId="0" borderId="0" xfId="16" applyFont="1" applyAlignment="1">
      <alignment horizontal="center"/>
    </xf>
    <xf numFmtId="43" fontId="1" fillId="0" borderId="4" xfId="16" applyNumberFormat="1" applyBorder="1"/>
    <xf numFmtId="43" fontId="1" fillId="0" borderId="8" xfId="16" applyNumberFormat="1" applyFont="1" applyBorder="1"/>
    <xf numFmtId="43" fontId="1" fillId="0" borderId="1" xfId="16" applyNumberFormat="1" applyFont="1" applyBorder="1" applyAlignment="1">
      <alignment horizontal="center"/>
    </xf>
    <xf numFmtId="0" fontId="1" fillId="0" borderId="0" xfId="16" applyBorder="1"/>
    <xf numFmtId="43" fontId="1" fillId="0" borderId="0" xfId="16" applyNumberFormat="1" applyBorder="1"/>
    <xf numFmtId="43" fontId="1" fillId="0" borderId="0" xfId="16" applyNumberFormat="1" applyFont="1" applyBorder="1"/>
    <xf numFmtId="0" fontId="1" fillId="0" borderId="0" xfId="16" applyBorder="1" applyAlignment="1">
      <alignment horizontal="center"/>
    </xf>
    <xf numFmtId="0" fontId="1" fillId="0" borderId="0" xfId="16" applyBorder="1" applyAlignment="1">
      <alignment horizontal="left"/>
    </xf>
    <xf numFmtId="43" fontId="1" fillId="0" borderId="0" xfId="16" applyNumberFormat="1" applyFont="1" applyAlignment="1">
      <alignment horizontal="center"/>
    </xf>
    <xf numFmtId="43" fontId="1" fillId="0" borderId="4" xfId="16" applyNumberFormat="1" applyFont="1" applyBorder="1"/>
    <xf numFmtId="43" fontId="1" fillId="0" borderId="0" xfId="16" applyNumberFormat="1" applyAlignment="1">
      <alignment horizontal="center"/>
    </xf>
    <xf numFmtId="0" fontId="1" fillId="0" borderId="1" xfId="16" applyFont="1" applyFill="1" applyBorder="1" applyAlignment="1">
      <alignment horizontal="center" wrapText="1"/>
    </xf>
    <xf numFmtId="0" fontId="6" fillId="0" borderId="0" xfId="16" applyFont="1" applyBorder="1" applyAlignment="1">
      <alignment horizontal="center" wrapText="1"/>
    </xf>
    <xf numFmtId="0" fontId="6" fillId="0" borderId="0" xfId="16" applyFont="1" applyBorder="1" applyAlignment="1">
      <alignment horizontal="center"/>
    </xf>
    <xf numFmtId="0" fontId="6" fillId="0" borderId="0" xfId="16" applyFont="1" applyAlignment="1">
      <alignment horizontal="center" wrapText="1"/>
    </xf>
    <xf numFmtId="10" fontId="1" fillId="0" borderId="0" xfId="16" applyNumberFormat="1" applyAlignment="1">
      <alignment horizontal="right"/>
    </xf>
    <xf numFmtId="0" fontId="6" fillId="0" borderId="35" xfId="4" applyFont="1" applyBorder="1" applyAlignment="1">
      <alignment horizontal="center"/>
    </xf>
    <xf numFmtId="0" fontId="31" fillId="0" borderId="0" xfId="0" applyFont="1"/>
    <xf numFmtId="0" fontId="0" fillId="10" borderId="0" xfId="0" applyFill="1"/>
    <xf numFmtId="0" fontId="35" fillId="10" borderId="0" xfId="0" applyFont="1" applyFill="1" applyBorder="1"/>
    <xf numFmtId="0" fontId="36" fillId="12" borderId="37" xfId="0" applyFont="1" applyFill="1" applyBorder="1" applyAlignment="1">
      <alignment horizontal="center"/>
    </xf>
    <xf numFmtId="0" fontId="37" fillId="10" borderId="0" xfId="0" applyFont="1" applyFill="1"/>
    <xf numFmtId="171" fontId="38" fillId="10" borderId="0" xfId="12" applyNumberFormat="1" applyFont="1" applyFill="1" applyBorder="1"/>
    <xf numFmtId="169" fontId="37" fillId="10" borderId="0" xfId="1" applyNumberFormat="1" applyFont="1" applyFill="1"/>
    <xf numFmtId="171" fontId="37" fillId="10" borderId="3" xfId="0" applyNumberFormat="1" applyFont="1" applyFill="1" applyBorder="1"/>
    <xf numFmtId="171" fontId="37" fillId="10" borderId="0" xfId="0" applyNumberFormat="1" applyFont="1" applyFill="1" applyBorder="1"/>
    <xf numFmtId="0" fontId="0" fillId="10" borderId="5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4" xfId="0" applyFill="1" applyBorder="1" applyAlignment="1">
      <alignment horizontal="center"/>
    </xf>
    <xf numFmtId="10" fontId="0" fillId="10" borderId="0" xfId="0" applyNumberFormat="1" applyFill="1"/>
    <xf numFmtId="0" fontId="0" fillId="10" borderId="8" xfId="0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left" indent="1"/>
    </xf>
    <xf numFmtId="10" fontId="22" fillId="0" borderId="0" xfId="0" applyNumberFormat="1" applyFont="1" applyFill="1" applyBorder="1"/>
    <xf numFmtId="169" fontId="22" fillId="0" borderId="0" xfId="0" applyNumberFormat="1" applyFont="1" applyFill="1" applyBorder="1"/>
    <xf numFmtId="41" fontId="22" fillId="0" borderId="0" xfId="0" applyNumberFormat="1" applyFont="1" applyFill="1" applyBorder="1"/>
    <xf numFmtId="41" fontId="22" fillId="0" borderId="10" xfId="0" applyNumberFormat="1" applyFont="1" applyFill="1" applyBorder="1"/>
    <xf numFmtId="169" fontId="22" fillId="0" borderId="10" xfId="0" applyNumberFormat="1" applyFont="1" applyFill="1" applyBorder="1"/>
    <xf numFmtId="169" fontId="22" fillId="0" borderId="3" xfId="0" applyNumberFormat="1" applyFont="1" applyFill="1" applyBorder="1"/>
    <xf numFmtId="43" fontId="22" fillId="0" borderId="0" xfId="0" applyNumberFormat="1" applyFont="1" applyFill="1" applyBorder="1"/>
    <xf numFmtId="43" fontId="22" fillId="0" borderId="28" xfId="0" applyNumberFormat="1" applyFont="1" applyFill="1" applyBorder="1"/>
    <xf numFmtId="43" fontId="46" fillId="0" borderId="0" xfId="1" applyFont="1"/>
    <xf numFmtId="169" fontId="22" fillId="13" borderId="28" xfId="0" applyNumberFormat="1" applyFont="1" applyFill="1" applyBorder="1"/>
    <xf numFmtId="10" fontId="23" fillId="0" borderId="0" xfId="0" applyNumberFormat="1" applyFont="1" applyFill="1" applyBorder="1"/>
    <xf numFmtId="42" fontId="22" fillId="0" borderId="0" xfId="0" applyNumberFormat="1" applyFont="1" applyFill="1" applyBorder="1"/>
    <xf numFmtId="5" fontId="22" fillId="0" borderId="0" xfId="0" applyNumberFormat="1" applyFont="1" applyFill="1" applyBorder="1"/>
    <xf numFmtId="169" fontId="22" fillId="0" borderId="2" xfId="0" applyNumberFormat="1" applyFont="1" applyFill="1" applyBorder="1"/>
    <xf numFmtId="43" fontId="0" fillId="0" borderId="10" xfId="0" applyNumberFormat="1" applyBorder="1"/>
    <xf numFmtId="0" fontId="57" fillId="0" borderId="14" xfId="8" applyFont="1" applyBorder="1" applyAlignment="1">
      <alignment horizontal="centerContinuous"/>
    </xf>
    <xf numFmtId="0" fontId="14" fillId="0" borderId="15" xfId="8" applyFont="1" applyBorder="1" applyAlignment="1">
      <alignment horizontal="centerContinuous"/>
    </xf>
    <xf numFmtId="0" fontId="14" fillId="0" borderId="16" xfId="8" applyFont="1" applyBorder="1" applyAlignment="1">
      <alignment horizontal="centerContinuous"/>
    </xf>
    <xf numFmtId="0" fontId="58" fillId="0" borderId="0" xfId="0" applyFont="1"/>
    <xf numFmtId="0" fontId="49" fillId="0" borderId="0" xfId="0" applyFont="1"/>
    <xf numFmtId="0" fontId="16" fillId="0" borderId="46" xfId="8" applyFont="1" applyBorder="1" applyAlignment="1">
      <alignment horizontal="right"/>
    </xf>
    <xf numFmtId="1" fontId="16" fillId="0" borderId="47" xfId="8" applyNumberFormat="1" applyFont="1" applyBorder="1"/>
    <xf numFmtId="0" fontId="19" fillId="0" borderId="0" xfId="0" applyFont="1" applyAlignment="1">
      <alignment horizontal="center"/>
    </xf>
    <xf numFmtId="171" fontId="22" fillId="0" borderId="0" xfId="12" applyNumberFormat="1" applyFont="1" applyFill="1" applyBorder="1"/>
    <xf numFmtId="0" fontId="59" fillId="0" borderId="0" xfId="0" applyFont="1"/>
    <xf numFmtId="0" fontId="60" fillId="0" borderId="0" xfId="0" applyFont="1"/>
    <xf numFmtId="171" fontId="61" fillId="0" borderId="0" xfId="12" applyNumberFormat="1" applyFont="1" applyFill="1" applyBorder="1"/>
    <xf numFmtId="44" fontId="15" fillId="0" borderId="33" xfId="0" applyNumberFormat="1" applyFont="1" applyFill="1" applyBorder="1"/>
  </cellXfs>
  <cellStyles count="17">
    <cellStyle name="Bad" xfId="13" builtinId="27"/>
    <cellStyle name="Calculation" xfId="14" builtinId="22"/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5"/>
    <cellStyle name="Normal 6" xfId="16"/>
    <cellStyle name="Percent" xfId="2" builtinId="5"/>
    <cellStyle name="Percent 2" xfId="5"/>
    <cellStyle name="Percent 2 2" xfId="10"/>
  </cellStyles>
  <dxfs count="282">
    <dxf>
      <numFmt numFmtId="35" formatCode="_(* #,##0.00_);_(* \(#,##0.00\);_(* &quot;-&quot;??_);_(@_)"/>
    </dxf>
    <dxf>
      <alignment wrapText="1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horizontal="center" readingOrder="0"/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numFmt numFmtId="35" formatCode="_(* #,##0.00_);_(* \(#,##0.00\);_(* &quot;-&quot;??_);_(@_)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wrapText="1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alignment wrapText="1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wrapText="1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140533</xdr:colOff>
      <xdr:row>3</xdr:row>
      <xdr:rowOff>0</xdr:rowOff>
    </xdr:from>
    <xdr:to>
      <xdr:col>20</xdr:col>
      <xdr:colOff>567765</xdr:colOff>
      <xdr:row>22</xdr:row>
      <xdr:rowOff>82176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9298" y="560294"/>
          <a:ext cx="10228643" cy="3645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23</xdr:row>
      <xdr:rowOff>19050</xdr:rowOff>
    </xdr:from>
    <xdr:to>
      <xdr:col>7</xdr:col>
      <xdr:colOff>510574</xdr:colOff>
      <xdr:row>41</xdr:row>
      <xdr:rowOff>9112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4075" y="4038600"/>
          <a:ext cx="4584099" cy="3419062"/>
        </a:xfrm>
        <a:prstGeom prst="rect">
          <a:avLst/>
        </a:prstGeom>
        <a:solidFill>
          <a:schemeClr val="bg2">
            <a:lumMod val="50000"/>
          </a:schemeClr>
        </a:solidFill>
        <a:ln>
          <a:solidFill>
            <a:schemeClr val="tx1"/>
          </a:solidFill>
        </a:ln>
      </xdr:spPr>
    </xdr:pic>
    <xdr:clientData/>
  </xdr:twoCellAnchor>
  <xdr:twoCellAnchor>
    <xdr:from>
      <xdr:col>3</xdr:col>
      <xdr:colOff>552450</xdr:colOff>
      <xdr:row>11</xdr:row>
      <xdr:rowOff>63500</xdr:rowOff>
    </xdr:from>
    <xdr:to>
      <xdr:col>3</xdr:col>
      <xdr:colOff>558800</xdr:colOff>
      <xdr:row>13</xdr:row>
      <xdr:rowOff>152400</xdr:rowOff>
    </xdr:to>
    <xdr:cxnSp macro="">
      <xdr:nvCxnSpPr>
        <xdr:cNvPr id="3" name="Straight Arrow Connector 2"/>
        <xdr:cNvCxnSpPr/>
      </xdr:nvCxnSpPr>
      <xdr:spPr>
        <a:xfrm flipV="1">
          <a:off x="4067175" y="1787525"/>
          <a:ext cx="6350" cy="479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13</xdr:col>
      <xdr:colOff>28575</xdr:colOff>
      <xdr:row>19</xdr:row>
      <xdr:rowOff>152400</xdr:rowOff>
    </xdr:to>
    <xdr:pic>
      <xdr:nvPicPr>
        <xdr:cNvPr id="4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2495550"/>
          <a:ext cx="6134100" cy="914400"/>
        </a:xfrm>
        <a:prstGeom prst="rect">
          <a:avLst/>
        </a:prstGeom>
        <a:solidFill>
          <a:schemeClr val="bg2">
            <a:lumMod val="50000"/>
          </a:schemeClr>
        </a:solidFill>
        <a:ln w="9525">
          <a:solidFill>
            <a:srgbClr val="000000"/>
          </a:solidFill>
          <a:miter lim="800000"/>
          <a:headEnd/>
          <a:tailEnd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6351</xdr:colOff>
      <xdr:row>22</xdr:row>
      <xdr:rowOff>133350</xdr:rowOff>
    </xdr:from>
    <xdr:to>
      <xdr:col>15</xdr:col>
      <xdr:colOff>303857</xdr:colOff>
      <xdr:row>39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2451" y="4197350"/>
          <a:ext cx="5783906" cy="30035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32</xdr:col>
      <xdr:colOff>512305</xdr:colOff>
      <xdr:row>21</xdr:row>
      <xdr:rowOff>142464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6100" y="736600"/>
          <a:ext cx="16361905" cy="328571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son, Pete" refreshedDate="45575.465935879627" createdVersion="6" refreshedVersion="6" minRefreshableVersion="3" recordCount="449">
  <cacheSource type="worksheet">
    <worksheetSource ref="A4:J453" sheet="Source Data - Act v Plan by WBS"/>
  </cacheSource>
  <cacheFields count="10">
    <cacheField name="WBS" numFmtId="0">
      <sharedItems/>
    </cacheField>
    <cacheField name="PB - WBS Level 3" numFmtId="0">
      <sharedItems/>
    </cacheField>
    <cacheField name="Energy" numFmtId="0">
      <sharedItems count="6">
        <s v="Common"/>
        <s v="Electric"/>
        <s v="Gas"/>
        <s v="G" u="1"/>
        <s v="E" u="1"/>
        <s v="C" u="1"/>
      </sharedItems>
    </cacheField>
    <cacheField name="Project" numFmtId="0">
      <sharedItems containsBlank="1" count="40">
        <m/>
        <s v="Not Ops"/>
        <s v="Projected"/>
        <s v="Energize Eastside"/>
        <s v="Grid Modernization"/>
        <s v="CIAC - Electric"/>
        <s v="Customer Construction Electric"/>
        <s v="Major Projects Electric"/>
        <s v="PI Electric"/>
        <s v="Emergent Electric"/>
        <s v="Capacity Electric"/>
        <s v="AMI Meters and Modules Deployment"/>
        <s v="Gas Modernization"/>
        <s v="Major Projects Gas"/>
        <s v="Customer Construction Gas"/>
        <s v="CIAC - Gas"/>
        <s v="PI Gas"/>
        <s v="Emergent Gas"/>
        <s v="Pipe Replacement"/>
        <s v="Capacity Gas"/>
        <s v="Bainbridge Tlines Trans"/>
        <s v="Sammamish Juanita 115Kv Tline"/>
        <s v="Thurston Transmission Capacity"/>
        <s v="EV Circuit"/>
        <s v="Resilience Enhancement"/>
        <s v="Marine Crossing"/>
        <s v="AMI - Common" u="1"/>
        <s v="Capacity - Gas" u="1"/>
        <s v="Major Projects Electric - Not in JAK5" u="1"/>
        <s v="AMI - Gas" u="1"/>
        <s v="AMI - Electric" u="1"/>
        <s v="Customer Requests - Gas" u="1"/>
        <s v="Sammamish Juanita" u="1"/>
        <s v="Customer Requests - Electric" u="1"/>
        <e v="#N/A" u="1"/>
        <s v="Capacity - Electric" u="1"/>
        <s v="Public Improvement - Gas" u="1"/>
        <s v="Public Improvement - Electric" u="1"/>
        <s v="Pipeline Replacement" u="1"/>
        <s v="Pipeline Replacement - Not in JAK5 " u="1"/>
      </sharedItems>
    </cacheField>
    <cacheField name="U&amp;U Category" numFmtId="0">
      <sharedItems containsBlank="1" count="9">
        <m/>
        <s v="Not Ops"/>
        <s v="Projected"/>
        <s v="Specific: Specific"/>
        <s v="Programmatic: Programmatic"/>
        <s v="Programmatic Customer Driven"/>
        <s v="Programmatic Programmatic" u="1"/>
        <e v="#N/A" u="1"/>
        <s v="Specific" u="1"/>
      </sharedItems>
    </cacheField>
    <cacheField name="Explanation" numFmtId="0">
      <sharedItems containsBlank="1" containsMixedTypes="1" containsNumber="1" containsInteger="1" minValue="1" maxValue="9" count="20">
        <m/>
        <s v="9 - Projected"/>
        <s v="6E - Grid Mod"/>
        <s v="3E - CIAC, NCC, PI"/>
        <s v="7E - Maj Proj"/>
        <s v="4 - Emergent Work"/>
        <s v="1 - AMI"/>
        <s v="6G - Gas Mod"/>
        <s v="7G - Maj Proj"/>
        <s v="3G - CIAC, NCC, PI"/>
        <s v="8 - Pipe Replacement"/>
        <s v="2 - Bainbridge"/>
        <s v="10 - Sammamish"/>
        <s v="11 - Thurston"/>
        <n v="2" u="1"/>
        <n v="1" u="1"/>
        <n v="3" u="1"/>
        <n v="8" u="1"/>
        <n v="9" u="1"/>
        <n v="4" u="1"/>
      </sharedItems>
    </cacheField>
    <cacheField name="Area" numFmtId="0">
      <sharedItems count="8">
        <s v="Facilities"/>
        <s v="IT"/>
        <s v="Other"/>
        <s v="Storm"/>
        <s v="Operations"/>
        <s v="Generation"/>
        <s v="AMI"/>
        <s v="NP&amp;S"/>
      </sharedItems>
    </cacheField>
    <cacheField name="2023 EOP Total Actual CWIP Closings" numFmtId="0">
      <sharedItems containsString="0" containsBlank="1" containsNumber="1" minValue="-49271824.509905539" maxValue="14562652.299999999"/>
    </cacheField>
    <cacheField name="JAK5 SEF16 Forecast CWIP Closings" numFmtId="0">
      <sharedItems containsString="0" containsBlank="1" containsNumber="1" minValue="-104544526.2964678" maxValue="40119811.454329111"/>
    </cacheField>
    <cacheField name="Variance" numFmtId="0">
      <sharedItems containsSemiMixedTypes="0" containsString="0" containsNumber="1" minValue="-40119811.454329111" maxValue="76703906.5246057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eterson, Pete" refreshedDate="45580.439712500003" createdVersion="6" refreshedVersion="6" minRefreshableVersion="3" recordCount="449">
  <cacheSource type="worksheet">
    <worksheetSource ref="A4:K453" sheet="Source Data - Act v Plan by WBS"/>
  </cacheSource>
  <cacheFields count="11">
    <cacheField name="WBS" numFmtId="0">
      <sharedItems/>
    </cacheField>
    <cacheField name="PB - WBS Level 3" numFmtId="0">
      <sharedItems count="584">
        <s v="W_C.10002.02.02.02: CLSD PSE HQ Refresh Phase 2"/>
        <s v="W_C.10002.02.02.04: CLSD Remodel Bellevue 9th Floor"/>
        <s v="W_C.10002.02.04.01: Facility Optimizatn Bothell G Lease Exit"/>
        <s v="W_C.10002.07.01.01: CLSD Puyallup Service Center Rebuild"/>
        <s v="W_C.10002.08.02.01: CLSD Operational Training Center"/>
        <s v="W_C.10003.01.01.01: CLSD Furniture and Fixture Installation"/>
        <s v="W_C.10003.01.03.01: Unplanned Facility Improvements"/>
        <s v="W_C.10005.01.02.01: Security System Installations Electric"/>
        <s v="W_C.10005.01.02.02: WECC Mitigation Security Installations"/>
        <s v="W_C.10006.01.01.01: Fleet Capital Purchase"/>
        <s v="W_C.10006.01.01.03: Fleet Radio Upgrade"/>
        <s v="W_C.10009.01.01.01: Storm OH Replacement Dist"/>
        <s v="W_C.10009.01.01.02: Storm OH Replacement Trans"/>
        <s v="W_C.10010.02.01.01: Shuffleton Reloc at Kent Serv Center"/>
        <s v="W_C.40001.01.01.01: Success Factors Application"/>
        <s v="W_F.10002.01.14.01: Data Governance Foundation"/>
        <s v="W_F.10002.01.17.01: iDOT Replacement"/>
        <s v="W_F.10002.01.18.01: Cap and Invest Billing"/>
        <s v="W_F.10002.01.23.01: Complex Billing CEIP"/>
        <s v="W_F.10002.03.02.01: Field Resources Call Out Tool"/>
        <s v="W_F.10002.03.03.01: Multi-Channel Workforce Management"/>
        <s v="W_F.10002.04.01.01: Travel mgmt.-Exp Rpting and Elect pmt"/>
        <s v="W_F.10002.05.02.01: Check Payment Processing"/>
        <s v="W_F.10002.06.01.01: eGain Replacement"/>
        <s v="W_F.10002.06.02.01: Customer Experience Enhancement Program"/>
        <s v="W_F.10002.06.06.01: Bill Discount Rate"/>
        <s v="W_F.10002.07.06.01: Time Varying Rates Pilot"/>
        <s v="W_F.10002.09.02.01: Enterprise PPM Tool"/>
        <s v="W_F.10003.02.01.07: Data Center Hardware Refresh"/>
        <s v="W_F.10003.03.02.01: Transport Network Modernization"/>
        <s v="W_F.10013.09.01.03: PSE ITSR"/>
        <s v="W_F.10015.02.06.02: Gas Control Upgrade 2022"/>
        <s v="W_F.10015.02.14.02: OSI Soft PI Historian"/>
        <s v="W_F.10015.02.17.03: CLSD ADMS Advanced Apps"/>
        <s v="W_F.10015.02.20.01: Annual Market Changes to Support CAISO"/>
        <s v="W_F.10015.02.23.01: ERX Migration"/>
        <s v="W_F.10015.04.02.04: MDMS License Extension 2022-2026"/>
        <s v="W_F.10015.05.04.01: Quality Framework"/>
        <s v="W_F.10015.06.05.02: SAP HR Support Packs 2022-2026"/>
        <s v="W_F.10015.06.23.02: SAP BW 7.5 Functional Upgrade"/>
        <s v="W_F.10015.06.25.01: SAP Annual Upgrades 2022-2026"/>
        <s v="W_F.10015.06.26.01: Enhanced SAP Monitoring Alerting BPM"/>
        <s v="W_F.10015.06.27.01: Cloud Connector SLS11 to SLS15 Upgrade"/>
        <s v="W_F.10015.08.11.06: ServiceNow Improvements 2022-2026"/>
        <s v="W_F.10015.08.14.03: Sitecore 9.3 to 10.2 Upgrade"/>
        <s v="W_F.10015.08.18.01: Microservices NET Core Upgrade"/>
        <s v="W_F.10015.08.19.01: Terraform Upgrade"/>
        <s v="W_F.10015.08.23.01: Xamarin Forms Migration to MAUI"/>
        <s v="W_F.10015.11.04.01: Windows Server 2012 Upgrade"/>
        <s v="W_F.10015.11.06.01: Migration to Dynatrace SaaS"/>
        <s v="W_F.10016.01.01.03: IT Enterprise Architecture Tool 2022"/>
        <s v="W_F.10017.02.01.03: CLSD Annual Comm Room Tech Refresh 2022"/>
        <s v="W_F.10017.02.02.03: Annual Data Center Tech Refresh 2022-26"/>
        <s v="W_F.10017.03.05.02: Annual End User PC Refresh 2022-2026"/>
        <s v="W_F.10017.05.03.02: Annual MS Enterprise Agreement Growth"/>
        <s v="W_F.10017.05.07.01: DC Battery Management"/>
        <s v="W_F.10017.07.01.03: IPP SharePoint Upgrade NERC"/>
        <s v="W_F.10017.08.02.03: Annual Telecom SCADA Refresh 2022-26"/>
        <s v="W_F.10017.08.03.01: Enhanced Substation Communications"/>
        <s v="W_F.10017.08.07.01: 700MHz Spectrum"/>
        <s v="W_F.10017.08.08.01: ASAT to RTAC Replacement"/>
        <s v="W_F.10017.10.06.04: Annual Server Growth 2022-2026"/>
        <s v="W_F.10017.10.09.02: Hyper Converged Infra Refresh"/>
        <s v="W_F.10017.10.18.01: Directory Services Optimization"/>
        <s v="W_F.10017.11.01.04: Annual Storage Growth 2022-2026"/>
        <s v="W_F.10017.12.01.03: Annual Fiber Refresh Repair 2022-26"/>
        <s v="W_F.10017.12.05.03: Annual Telecom RF Refresh 2022-26"/>
        <s v="W_F.10017.12.06.03: Annual Telecom Equip Growth Tool 2022-26"/>
        <s v="W_F.10017.12.08.04: Annual Telecom Network Refresh 2022-2026"/>
        <s v="W_F.10017.12.23.04: Annual Network Tech Refresh 2022-2026"/>
        <s v="W_F.10017.12.25.02: Annual Audio Visual Tech Refresh 2022-26"/>
        <s v="W_F.10017.12.26.01: Generation Sites"/>
        <s v="W_F.10017.12.26.02: Generation Infrastructure Prgrm 2022-26"/>
        <s v="W_F.10017.13.01.03: CLSD Annual Voice Equipment Refresh New"/>
        <s v="W_F.10017.13.05.01: ACTR 2021"/>
        <s v="W_F.10017.13.06.01: Voice Recording Tech Refresh"/>
        <s v="W_F.10017.15.01.04: Cloud Cost Optimization Tooling Refresh"/>
        <s v="W_F.10018.02.03.02: Opex to Capital Maint 2022-2026"/>
        <s v="W_F.10018.02.04.01: Annual Enterprise App Growth 2022-2026"/>
        <s v="W_F.10025.01.04.01: Physical Security Roadmap"/>
        <s v="W_F.10025.01.04.02: Cyber Audit Web Server Upgrade"/>
        <s v="W_F.10025.02.01.07: Transportation Security Admin TSA"/>
        <s v="W_F.10025.02.01.08: Cyber Security Roadmap"/>
        <s v="W_F.10026.01.01.01: Robotic Process Automation"/>
        <s v="W_K.10001.01.01.01: LBK Hydro Plant Work"/>
        <s v="W_K.10001.01.01.02: LBK Small Tools"/>
        <s v="W_K.10001.01.02.01: UBK Hydro Plant Work"/>
        <s v="W_K.10001.01.02.02: UBK Small Tools"/>
        <s v="W_K.10002.01.02.06: UBK U2 Runner Replacement"/>
        <s v="W_K.10003.01.01.01: LBK Crest Improvement and Floodwall"/>
        <s v="W_K.10003.01.01.03: LBK Hatchery Raceway Project"/>
        <s v="W_K.10003.02.01.01: UBK Phase II Spillway Stabilization"/>
        <s v="W_K.10004.01.01.01: COL 500Kv Trans Line"/>
        <s v="W_K.10006.01.01.02: ENC Thermal Plant Work"/>
        <s v="W_K.10007.01.01.02: FERN Thermal Plant Work"/>
        <s v="W_K.10007.01.01.03: FERN Major Maintenance Activity"/>
        <s v="W_K.10008.01.01.03: FREDDY 1 Thermal Plant Work"/>
        <s v="W_K.10009.01.01.03: FRA Small Tools"/>
        <s v="W_K.10009.01.01.04: FRA Thermal Plant Work"/>
        <s v="W_K.10010.01.01.04: FRE Thermal Plant Work"/>
        <s v="W_K.10013.01.01.01: GLD Small Tools"/>
        <s v="W_K.10013.01.01.02: GLD Thermal Plant Work"/>
        <s v="W_K.10015.01.01.01: HPK Ongoing UOP Replacements"/>
        <s v="W_K.10015.01.01.02: HPK Small Tools"/>
        <s v="W_K.10015.01.01.03: HPK Wind Plant Work"/>
        <s v="W_K.10016.01.01.01: JP Operational Capital"/>
        <s v="W_K.10017.01.01.01: BKR Aquatic Riparian Habitat"/>
        <s v="W_K.10018.01.01.01: LSR1 Ongoing Uop Replacements"/>
        <s v="W_K.10018.01.01.02: LSR1 Small Tools"/>
        <s v="W_K.10018.01.01.03: LSR1 Wind Plant Work"/>
        <s v="W_K.10019.01.01.01: MTF Small Tools"/>
        <s v="W_K.10019.01.01.02: MTF Thermal Plant Work"/>
        <s v="W_K.10021.01.01.01: SNO Hydro Plant Work"/>
        <s v="W_K.10021.01.01.02: SNO Small Tools"/>
        <s v="W_K.10023.01.01.02: SMS Thermal Plant Work"/>
        <s v="W_K.10025.01.02.01: LNG 1 Mile Pipe Connector"/>
        <s v="W_K.10025.01.02.02: LNG 4 Mile Pipe To Plant"/>
        <s v="W_K.10025.02.01.01: TLNG Operational Plant"/>
        <s v="W_K.10026.01.01.03: WHH Small Tools"/>
        <s v="W_K.10026.01.01.04: WHH Thermal Plant Work"/>
        <s v="W_K.10028.01.01.01: WLD Small Tools"/>
        <s v="W_K.10028.01.01.03: WLD Wind Plant Work"/>
        <s v="W_K.10028.01.01.04: WLD Ongoing UOP Replacements"/>
        <s v="W_R.10005.01.01.01: E Eastside 230Kv Subs Richards Creek"/>
        <s v="W_R.10005.01.01.02: E Eastside 230Kv Subs Talbot Hill"/>
        <s v="W_R.10005.01.01.07: E Eastside 230Kv Tlines"/>
        <s v="W_R.10006.01.01.03: E Substation SCADA CEIP"/>
        <s v="W_R.10006.01.01.04: E Trans Automation"/>
        <s v="W_R.10006.01.01.07: E Electric System Modeling"/>
        <s v="W_R.10007.06.01.01: E 5 Yr Electric Refundable CIAC"/>
        <s v="W_R.10007.07.01.01: E Customer Reimbursed"/>
        <s v="W_R.10007.08.01.01: E OH UG Commercial Services"/>
        <s v="W_R.10007.08.02.01: E OH UG Residential Services"/>
        <s v="W_R.10007.08.02.02: E UG Residential Services In Plats"/>
        <s v="W_R.10007.09.01.01: E Commercial Line Extension"/>
        <s v="W_R.10007.09.02.01: E Multi Family Line Extension"/>
        <s v="W_R.10007.09.03.02: E Plats Line Extension"/>
        <s v="W_R.10007.09.04.01: E Single Family Line Extension"/>
        <s v="W_R.10007.12.01.01: E Microsoft Campus Rebuild"/>
        <s v="W_R.10007.12.03.01: E Customer Reimbursed Major Projects"/>
        <s v="W_R.10008.01.01.01: E Conversions Sched 73 Cust Driven"/>
        <s v="W_R.10008.01.01.02: E OH UG Reloc - Removal Cust Driven Dist"/>
        <s v="W_R.10008.03.01.01: E Conversions Sched 74 PI Driven"/>
        <s v="W_R.10008.03.01.03: E OH UG Rel PI Driven NonReimb Dist"/>
        <s v="W_R.10008.03.01.04: E OH UG Rel PI Driven Reimburse Dist"/>
        <s v="W_R.10008.03.01.05: E PI Driven Relocations Trans"/>
        <s v="W_R.10008.03.01.14: E Sound Transit Reimburse"/>
        <s v="W_R.10008.03.01.18: E WSDOT Fish Passage Relocation"/>
        <s v="W_R.10008.05.01.01: E Sound Transit Dist"/>
        <s v="W_R.10008.05.01.02: E Sound Transit East Link Dist"/>
        <s v="W_R.10008.07.01.01: E WSDOT Clr Zone Pole Prog Dist"/>
        <s v="W_R.10009.01.01.01: E BPA 3rd AC Transmission Intertie Work"/>
        <s v="W_R.10009.02.01.03: E Central Bellevue Dist Rel Feeder"/>
        <s v="W_R.10009.04.01.02: E Damage Claims Cap Writeoff"/>
        <s v="W_R.10009.05.01.01: E Emergency NonOutage OH Repl Dist"/>
        <s v="W_R.10009.05.01.02: E Emergency NonOutage OH Repl Trans"/>
        <s v="W_R.10009.05.01.03: E Emergency NonOutage UG Repl Dist"/>
        <s v="W_R.10009.05.02.01: E Emergency OH Replacement Trans"/>
        <s v="W_R.10009.05.02.02: E Emergency Outage OH Replacement Dist"/>
        <s v="W_R.10009.05.02.03: E Emergency Outage UG Replacement Dist"/>
        <s v="W_R.10009.05.02.04: E Unplanned OH Distribution Abnormals"/>
        <s v="W_R.10009.05.02.05: E Unplanned UG Distribution Abnormals"/>
        <s v="W_R.10009.07.01.01: E OH System Capacity New Dist"/>
        <s v="W_R.10009.07.01.03: E UG System Capacity New Dist"/>
        <s v="W_R.10009.07.01.07: E System Planning Software"/>
        <s v="W_R.10009.07.03.01: E OH UG System Improv Opport New Dist"/>
        <s v="W_R.10009.08.01.02: E UG Cable Remediation Dist"/>
        <s v="W_R.10009.08.01.07: E UG Cable Remediation Progr IPM"/>
        <s v="W_R.10009.08.02.05: E OH Clearance Alley Syst Dist"/>
        <s v="W_R.10009.08.02.07: E OH Sys Rel Upgrades Outage Dist"/>
        <s v="W_R.10009.08.02.09: E OH Syst Rel Upgrades Rebuild Dist"/>
        <s v="W_R.10009.08.02.10: E OH Syst Rel Upgrades UG Convers Dist"/>
        <s v="W_R.10009.08.02.11: E OH Syst Rel Upgr Gang OP Switches Dist"/>
        <s v="W_R.10009.08.02.12: E OH Syst Rel Upgr Reclosers Dist"/>
        <s v="W_R.10009.08.02.14: E OH Syst Rel Upgr Tree WirE Dist"/>
        <s v="W_R.10009.08.02.15: E OH Syst Rel Upgr Fusesaver Dist"/>
        <s v="W_R.10009.08.02.17: E OH System Capacity Upgrade Dist"/>
        <s v="W_R.10009.08.02.19: E OH System Reliability Upgrades Trans"/>
        <s v="W_R.10009.08.02.22: E 6 Copper Open Wire 2nd Repl Dist"/>
        <s v="W_R.10009.08.02.24: E Sedro Mar Pt 230 Remediate Underbuild"/>
        <s v="W_R.10009.08.02.25: E UG Syst Rel Upgrades Dist"/>
        <s v="W_R.10009.08.02.28: E UG System Capacity Upgrade Dist"/>
        <s v="W_R.10009.08.03.01: E Fish And Wildlife Program Dist"/>
        <s v="W_R.10009.08.05.02: E Emergent Pole Replacement Dist"/>
        <s v="W_R.10009.08.05.03: E Emergent Pole Replacement Trans"/>
        <s v="W_R.10009.08.05.05: E Pole Replacement Plan Dist"/>
        <s v="W_R.10009.08.05.07: E Pole Replacement Plan Trans"/>
        <s v="W_R.10009.08.05.16: E Pole Inspection and Restoration Dist"/>
        <s v="W_R.10009.08.05.17: E Pole Inspection and Restoration Trans"/>
        <s v="W_R.10009.12.01.01: C AMI Network Installations Gen Plant"/>
        <s v="W_R.10009.12.01.03: E AMI Netwrk Installtion TransDist"/>
        <s v="W_R.10009.12.01.04: E AMI Electric Meter Deployment"/>
        <s v="W_R.10009.12.01.05: G AMI Gas Module Deployment"/>
        <s v="W_R.10009.12.01.08: E Opt Out AMR to NCM Capital Exch"/>
        <s v="W_R.10009.12.01.09: G Opt Out AMI to NCM Capital Exch"/>
        <s v="W_R.10009.12.03.01: E Distribution Automation Dist"/>
        <s v="W_R.10009.14.04.01: E Substation Replacement SpcC Dist"/>
        <s v="W_R.10009.14.05.02: E Emergent Substation Replacement Dist"/>
        <s v="W_R.10009.14.05.03: E Emergent Substation Replacement Trans"/>
        <s v="W_R.10009.14.05.06: E Substation Reliability Dist"/>
        <s v="W_R.10009.14.05.07: E Subs Replacement Fuses Dist"/>
        <s v="W_R.10009.14.05.09: E Substation Reliability Trans"/>
        <s v="W_R.10009.14.07.01: E Subs Replacement Breaker Replcmt Trans"/>
        <s v="W_R.10009.17.01.01: E Mazama Pcket Gopher Habitat Mitigation"/>
        <s v="W_R.10011.01.01.03: G Gas System Monitoring Equip Replc"/>
        <s v="W_R.10011.01.01.04: G Gauges Sems Dist"/>
        <s v="W_R.10011.01.01.06: G Remote Telemetry Units Dist"/>
        <s v="W_R.10011.01.01.07: G Williams Pipeline Equipment Upgrades"/>
        <s v="W_R.10012.01.01.01: G Altered Modified Comm Ind Mains"/>
        <s v="W_R.10012.01.01.02: G Altered Modified Comm Ind Service"/>
        <s v="W_R.10012.01.02.01: G Altered Modified Residential Mains"/>
        <s v="W_R.10012.01.02.02: G Altered Modified Residential Services"/>
        <s v="W_R.10012.02.01.01: G 5 Yr Gas Refundable CIAC"/>
        <s v="W_R.10012.03.01.01: G Commercial Industrial Mains"/>
        <s v="W_R.10012.03.02.01: G Multi Family Mains"/>
        <s v="W_R.10012.03.03.01: G Plats Mains"/>
        <s v="W_R.10012.03.03.02: G Residential Mains"/>
        <s v="W_R.10012.04.01.01: G Commercial Industrial Service"/>
        <s v="W_R.10012.04.02.01: G Multi Family Service"/>
        <s v="W_R.10012.04.03.02: G Residential Services"/>
        <s v="W_R.10012.04.03.03: G Residential Services In Plat Dev"/>
        <s v="W_R.10012.06.01.01: G Gas Retire Only No Additions"/>
        <s v="W_R.10013.01.01.01: G Cust Driven Relocate Reimburse Dist"/>
        <s v="W_R.10013.04.01.01: G PI Driven Relocate NonReimb Dist"/>
        <s v="W_R.10013.04.01.02: G PI Driven Relocate Reimb Dist"/>
        <s v="W_R.10013.04.01.04: G Sound Transit Reimburse"/>
        <s v="W_R.10013.04.01.06: G WSDOT Fish Passage Relocation"/>
        <s v="W_R.10013.05.01.01: G Seattle Core Alaskan Way Viaduct"/>
        <s v="W_R.10013.05.01.02: G Seattle Core IP Main"/>
        <s v="W_R.10013.06.01.01: G Sound Transit Dist"/>
        <s v="W_R.10013.07.01.01: G Relocate Bulk Dist Like Kind Dist"/>
        <s v="W_R.10013.07.01.02: G System Improv Opport Dist"/>
        <s v="W_R.10014.01.01.01: G Swarr Propane Air Plant Upgrades"/>
        <s v="W_R.10015.01.01.01: G CP System Improv Main With Serv Dist"/>
        <s v="W_R.10015.01.01.02: G CP System Improv Service Dist"/>
        <s v="W_R.10015.01.01.03: G CP System Improv Dist"/>
        <s v="W_R.10015.01.01.05: G Emergent CP System Improv Dist"/>
        <s v="W_R.10015.02.01.02: G Damage Claims Cap Writeoff"/>
        <s v="W_R.10015.03.01.01: G DIMP Brdg Sld Dist Unmaintain Facil"/>
        <s v="W_R.10015.03.02.01: G DIMP Mobile Home Encroachment Program"/>
        <s v="W_R.10015.03.04.01: G DIMP Dupont Pipe Repl Main With Serv"/>
        <s v="W_R.10015.03.04.02: G DIMP Older Stw Repl Main With Service"/>
        <s v="W_R.10015.03.04.03: G DIMP Older Stw Repl Service Only"/>
        <s v="W_R.10015.03.06.01: G DIMP Legacy Cross Bore Inspection Dist"/>
        <s v="W_R.10015.03.07.01: G DIMP Continuing Surveillance Other"/>
        <s v="W_R.10015.03.07.03: G DIMP Shallow Serv and Main Repl"/>
        <s v="W_R.10015.03.08.01: G DIMP Buried MSA Serv Or Riser Repl Opp"/>
        <s v="W_R.10015.03.09.01: G DIMP Preventative Maint Facilities"/>
        <s v="W_R.10015.03.09.03: G DIMP Preventive Maint Dist Reg Dist"/>
        <s v="W_R.10015.03.09.07: G DIMP Preventive Maint Farm Taps Dist"/>
        <s v="W_R.10015.03.09.14: G Idle Riser Remediation"/>
        <s v="W_R.10015.03.09.15: G Buried Meter Riser Replacement"/>
        <s v="W_R.10015.03.10.02: G-DIMP Unmaintainable STW Main in Casing"/>
        <s v="W_R.10015.03.11.01: G DIMP Guard Posts"/>
        <s v="W_R.10015.04.01.02: G Leak Repair Main"/>
        <s v="W_R.10015.04.01.03: G Leak Repair Service"/>
        <s v="W_R.10015.04.01.04: G Scattered Short Main Rehab"/>
        <s v="W_R.10015.04.01.05: G Service Replacement Misc"/>
        <s v="W_R.10015.04.01.06: G Sewer Cross Bore Repair Main"/>
        <s v="W_R.10015.04.01.07: G Sewer Cross Bore Repair Service"/>
        <s v="W_R.10015.04.01.09: G Gas Work Release Service"/>
        <s v="W_R.10015.04.01.12: G Nonhaz Main Repair Methane PRP"/>
        <s v="W_R.10015.04.01.13: G Nonhaz Service Repair Methane PRP"/>
        <s v="W_R.10015.05.01.01: G System Capacity New Dist"/>
        <s v="W_R.10015.06.01.02: G Odorizer Componant Repl Bulk Dist"/>
        <s v="W_R.10015.06.01.04: G System Capacity Upgrade Bulk Dist"/>
        <s v="W_R.10015.06.01.05: G System Capacity Upgrade Dist"/>
        <s v="W_R.10015.07.01.01: G Gas Lightups Clearing"/>
        <s v="W_R.10015.08.02.02: G Alternative Fuels"/>
        <s v="W_R.10019.01.01.01: E Port Madison Subs"/>
        <s v="W_R.10019.01.01.02: Bainbridge Trans WIN-MUR Loop"/>
        <s v="W_R.10024.01.01.04: G AMR Operations"/>
        <s v="W_R.10024.01.01.05: E AMR Operations"/>
        <s v="W_R.10024.01.01.07: E Opt Out AMR to NCM Capital Exch"/>
        <s v="W_R.10024.01.01.09: G AMI Operations"/>
        <s v="W_R.10024.02.01.01: G NonRegistering Meters Dist"/>
        <s v="W_R.10024.02.01.03: G Periodic Meter Changeout IMO Dist"/>
        <s v="W_R.10031.01.01.02: E Lake Hills Phantom Lake 115Kv Tline"/>
        <s v="W_R.10031.03.01.01: E Sammamish Juanita 115Kv Tline"/>
        <s v="W_R.10033.01.01.03: E Small Tool Electric Operations Tool"/>
        <s v="W_R.10033.01.01.09: G Small Tool Gas Operations Tool"/>
        <s v="W_R.10033.02.01.01: C Operational Training ISR Program"/>
        <s v="W_R.10036.02.01.01: C Capitalization of Real Estate Permits"/>
        <s v="W_R.10036.03.01.01: C Transient Deterrent"/>
        <s v="W_R.10039.02.01.01: E Buckley Substation Feeder"/>
        <s v="W_R.10039.02.01.02: E Buckley Substation Sub"/>
        <s v="W_R.10039.02.01.06: E Electr Enum 55Kv To 115Kv Fiber"/>
        <s v="W_R.10045.01.01.01: E Talbot Asbury Ug 115Kv Repl Tline"/>
        <s v="W_R.10051.02.01.01: E Thurston Transmission Capacity"/>
        <s v="W_R.10054.01.01.01: E Bellingham Sedro 4 115Kv Recond Tline"/>
        <s v="W_R.10059.02.01.02: E Circuit Enablement EV"/>
        <s v="W_R.10059.03.01.01: E Resilience Enhancement Substation"/>
        <s v="W_R.10059.04.01.01: E Wildfire Resilience"/>
        <s v="W_R.10060.01.01.01: G Vashon Marine Crossing"/>
        <s v="W_R.10060.01.01.02: G Vashon Interim Supply at Gig Harbor"/>
        <s v="W_X.10003.01.01.01: Street and Area Lighting Services"/>
        <s v="W_X.10003.01.03.01: Street Light Replacement"/>
        <s v="W_X.10003.01.03.02: Smart Street Lighting"/>
        <s v="W_X.10005.01.01.01: Wireless and Wireline Construction"/>
        <s v="W_X.10006.01.01.01: Customer Sited Energy Storage Pilot"/>
        <s v="W_X.10006.02.02.02: EV Charging Program Infrastructure"/>
        <s v="W_X.10006.03.01.05: Community Solar Program 2022-25"/>
        <s v="W_X.10007.01.01.01: Covid 19 Work for WUTC Order"/>
        <s v="Placeholder WBS 53b: DER Circuit Enablemnt Virtual Power Plan"/>
        <s v="W_K.10038.02.01.01: Rooftop Solar Program:DER Solar Project and Programs CEIP"/>
        <s v="PLACEHOLDER WBS 38b: E Volt/Var Optimization"/>
        <s v="PLACEHOLDER WBS 31b: Hosting Capacity and Customer Portal"/>
        <s v="PLACEHOLDER WBS 7b: Demand Response transferred to Placeholder WBS 24"/>
        <s v="PLACEHOLDER WBS 88b: DER Innovation Process CEIP"/>
        <s v="W_K.10038.01.01.01: Cust Sited Energy Storage Demos CEIP"/>
        <s v="W_C.10002.12.01.01: Hybrid Working Transition to 50 Percent"/>
        <s v="W_C.10003.01.01.03: Furniture Fixtures HVAC Refresh"/>
        <s v="W_C.10006.01.01.04: EEI Fleet Electrical Commitment"/>
        <s v="W_F.10002.01.20.01: Front Office Enhancements"/>
        <s v="W_F.10002.01.26.01: Urbint Enhancement"/>
        <s v="W_F.10002.01.31.01: Sendout Replacement"/>
        <s v="W_F.10002.06.05.02: PSE 2030 Digital Experience Non CEIP"/>
        <s v="W_F.10002.06.08.04: Billing Correction Automation"/>
        <s v="W_F.10002.07.03.01: GIS Upgrade Smallworld"/>
        <s v="W_F.10002.07.04.01: Streetlight New Business DB SAP Conversn"/>
        <s v="W_F.10002.07.08.01: eGRC Archer"/>
        <s v="W_F.10003.04.01.01: Digital Workplace Transformation"/>
        <s v="W_F.10015.01.03.02: Oracle Upgrades 2023"/>
        <s v="W_F.10015.02.24.01: PI Vision Suite Migration"/>
        <s v="W_F.10015.04.07.01: LoadSEER Non-production Environmnt Purch"/>
        <s v="W_F.10015.05.04.02: Annual Quality Framework Enhancemnt 2023"/>
        <s v="W_F.10015.05.10.01: Work Manager Upgrade"/>
        <s v="W_F.10015.06.24.03: POI - HANA DR Enablement"/>
        <s v="W_F.10015.06.26.02: SAP Business Process Monitoring"/>
        <s v="W_F.10015.06.28.01: Annual SQL Server Patches"/>
        <s v="W_F.10015.08.11.07: Annual ServiceNow Platform Upgrades"/>
        <s v="W_F.10015.08.14.04: Sitecore Autoscaling 2023"/>
        <s v="W_F.10015.08.14.05: Consolidate Web Platforms"/>
        <s v="W_F.10015.08.18.02: Microservices Refactoring with Cassandra"/>
        <s v="W_F.10015.08.20.01: Annual Splunk Growth (2023-27)"/>
        <s v="W_F.10015.08.20.02: Splunk Version Upgrades 2023"/>
        <s v="W_F.10015.08.20.03: Annual Splunk Security Improvements"/>
        <s v="W_F.10015.08.21.01: DataStax Astra Migration"/>
        <s v="W_F.10015.08.24.01: Twilio/SendGrid Replacement"/>
        <s v="W_F.10016.01.01.04: IT Enterprise Architecture 2023-27"/>
        <s v="W_F.10017.02.02.04: Annual Data Center Tech Refresh (2023+)"/>
        <s v="W_F.10017.03.08.01: Annual  AV/Conf Room Tech Refresh"/>
        <s v="W_F.10017.05.07.02: DC Battery Management 2022-26"/>
        <s v="W_F.10017.07.01.04: OpenText ECM Upgrade"/>
        <s v="W_F.10017.09.11.01: Annual Network&amp;Voice Tech Refresh/Growth"/>
        <s v="W_F.10017.10.20.01: Annual Corporate Comm Room Tech Refresh"/>
        <s v="W_F.10017.10.21.01: Purch &amp; Implmnt Syst Orchestration Tool"/>
        <s v="W_F.10017.12.29.01: Annual Telecom Comm Sites Tech Refresh"/>
        <s v="W_F.10025.01.04.05: Reconeyez Wireless Video"/>
        <s v="W_F.10025.01.05.01: Zero Trust Strategy for TSA Gas Pipeline"/>
        <s v="W_F.10025.01.05.03: Jackson Prairie IT Infrastructure"/>
        <s v="W_F.10026.01.01.03: Robotic Process Automation (2023-27)"/>
        <s v="W_K.10008.01.01.05: FREDDY 1 Major Maintenance Activity"/>
        <s v="W_K.10011.01.03.01: FRE Major Maintenance Activity"/>
        <s v="W_K.10020.01.01.07: MTF Major Maintenance"/>
        <s v="W_R.10006.01.01.08: E Substation SCADA (Non-CEIP)"/>
        <s v="W_R.10009.08.07.01: E Fault Location"/>
        <s v="W_R.10015.03.09.16: G NRF Retirement Program"/>
        <s v="W_R.10015.08.01.02: G Enhanced Methane Emissions Reduction"/>
        <s v="W_R.10034.01.01.03: E Pierce Co 230Kv Alderton Tline"/>
        <s v="W_R.10035.01.01.01: E Alderton Electron Hgts 115Kv Ph2 Tline"/>
        <s v="W_R.10059.06.01.01: E Conservation Voltage Reduction"/>
        <s v="W_X.10006.02.03.02: Transprtatn Electrificatn Plan General"/>
        <s v="W_C.10002.02.02.01: CLSD East Building Retirement"/>
        <s v="W_C.10002.04.03.01: CLSD New Headquarters TI"/>
        <s v="W_C.10002.09.01.01: CLSD BUCC relocation"/>
        <s v="PLACEHOLDER WBS 34: Crystal Mountain "/>
        <s v="W_F.10002.01.34.01: IWM Enhancements"/>
        <s v="W_K.10012.01.01.10: BPCC Faster Pmt Posting"/>
        <s v="W_R.10059.02.01.09: E Property Acquisition Cir Enablement"/>
        <s v="W_C.10002.02.03.01: RedWest Vacate and SKC Buildout"/>
        <s v="W_C.20001.01.01.01: Transformer Retirement and Disposal"/>
        <s v="W_C.20001.02.01.01: Treated Wood Disposal"/>
        <s v="W_F.10015.04.04.01: GIS SmallWorld Upgrade"/>
        <s v="W_F.10017.05.04.02: AV Updates"/>
        <s v="W_F.10017.07.01.02: OpenText Migrations"/>
        <s v="W_F.10017.13.02.02: Annual VOIP Deployment and Refresh"/>
        <s v="W_K.10035.01.01.02: FRA Unit 2 to 4 Hot Gas Path"/>
        <s v="W_R.10009.12.04.01: E Trans Automation Placeholder"/>
        <s v="W_R.10009.14.05.15: E Subs CAP Transient Security Issues Dis"/>
        <s v="W_R.10037.01.01.07: G Scrap Sale Plt Meters Dist"/>
        <s v="W_R.10044.01.01.03: E Lake Holm Substation Subs"/>
        <s v="W_R.10009.07.03.02: E OH UG System Improv Opport New Trans"/>
        <s v="W_R.10039.03.01.01: E White River Krain Substation"/>
        <s v="W_F.10007.02.01.02: IT Operational Funding"/>
        <s v="W_R.10003.01.01.01: E Lake Tradition 230Kv Development"/>
        <s v="W_R.10037.01.01.06: G Removal Cost Meters"/>
        <s v="W_R.10037.01.01.01: E Removal Cost Meters"/>
        <s v="W_R.10015.06.01.11: G Project Initiation"/>
        <s v="W_R.10009.08.02.23: E Project Initiation"/>
        <s v="W_R.99999.99.99.99: General Transmission Project (Offest to Energize Eastside)"/>
        <s v="W_C.10004.01.01.02: Wireless PCS Construction"/>
        <s v="W_F.10002.01.22.01: Click Schedule Replacement"/>
        <s v="W_F.10002.01.25.01: Transmission &amp; Generation Facilities DB"/>
        <s v="W_F.10015.02.17.01: Distribution Management System"/>
        <s v="W_F.10015.08.13.03: UI Enhancements Phase 3"/>
        <s v="W_F.10017.05.04.01: Workplace Mobility Program"/>
        <s v="W_F.10017.13.03.02: VOIP Deployment and Refresh"/>
        <s v="W_K.10006.01.01.01: ENC Small Tools"/>
        <s v="W_K.10010.01.01.03: FRE Small Tools"/>
        <s v="W_K.10020.01.01.03: MTF CT Major Maintenance"/>
        <s v="W_K.10023.01.01.01: SMS Small Tools"/>
        <s v="W_R.10004.01.01.01: C Franchises"/>
        <s v="W_R.10005.01.01.04: E Eastside 230Kv Subs Rose Hill"/>
        <s v="W_R.10008.02.01.01: E Franchises"/>
        <s v="W_R.10008.07.02.01: E King County Clr Zone Pole Prog Dist"/>
        <s v="W_R.10009.03.01.01: E Clyde Hill Switching Station"/>
        <s v="W_R.10009.08.02.18: E OH Sys Capacity Upgrades Uprates Trans"/>
        <s v="W_R.10009.08.02.20: E OH Transformer PCB Remediation"/>
        <s v="W_R.10009.08.05.04: E Pole Replacement Due To Joint Use"/>
        <s v="W_R.10009.08.06.01: E Root Cause Analysis"/>
        <s v="W_R.10009.09.01.02: E Emergent Major Projects Trans"/>
        <s v="W_R.10009.10.01.01: E Issaquah Highland Substation"/>
        <s v="W_R.10009.12.02.04: E Conservation Voltage Reduction"/>
        <s v="W_R.10009.12.03.04: E Network and Automate Grid"/>
        <s v="W_R.10009.14.05.01: E Digital Fault Recorders Replacement"/>
        <s v="W_R.10009.14.05.05: E Subs Replacement Circuit Switcher Dist"/>
        <s v="W_R.10009.14.05.11: E Subs Replacement Vegetation Management"/>
        <s v="W_R.10009.14.06.01: E Subs Replacement Transformers Dist"/>
        <s v="W_R.10011.01.01.10: G Service Replacements CBP"/>
        <s v="W_R.10013.02.01.01: G Franchises"/>
        <s v="W_R.10015.03.05.04: G DIMP Regulator Station Sidewalk Regs"/>
        <s v="W_R.10015.03.06.02: G DIMP Legacy Crss Bore Replacement Dist"/>
        <s v="W_R.10015.03.09.05: G DIMP Preventive Maintenance MSA Dist"/>
        <s v="W_R.10015.04.01.08: G Gas Work Release Main"/>
        <s v="W_R.10015.06.01.01: G Cold Weather Action Reinforcement"/>
        <s v="W_R.10018.01.01.01: E Covington Area Capacity Project"/>
        <s v="W_R.10019.01.01.03: E Rebuild Winslow Tap"/>
        <s v="W_R.10019.01.01.04: E Murden Cove Subs"/>
        <s v="W_R.10019.03.01.01: E So Brm Bngr 115Kv 230Kv Prprty Purch"/>
        <s v="W_R.10020.02.01.01: E Wind RidgE Kittitas 115Kv Tline"/>
        <s v="W_R.10039.02.01.03: E Electr Enum 55Kv 115Kv Sub Electr Hght"/>
        <s v="W_R.10039.02.01.05: E Electr Enum 55Kv To 115Kv Sub Enum"/>
        <s v="W_R.10052.01.01.01: E Kent-Tukwila Area Capacity Project"/>
        <s v="W_R.10052.01.01.02: E Briscoe Park Substation Tline"/>
        <s v="W_R.10054.03.01.01: E Lynden Substation Expansion"/>
        <s v="W_R.10056.01.01.01: E Wilkeson Substation Sub"/>
        <s v="W_R.10059.01.01.01: E Smart Grid Living Lab"/>
        <s v="W_R.10059.02.01.01: E ADMS Circuit Enablement"/>
        <s v="W_R.10059.05.01.01: E Submarine Cable - Mercer Island"/>
        <s v="W_X.10006.03.01.02: Community Solar Program"/>
        <s v="W_F.10002.01.27.01: Asset Change Work Management"/>
        <s v="W_F.10002.05.03.01: EA and Magic Access DB Replacement"/>
        <s v="PLACEHOLDER WBS 21: IP Scada"/>
        <s v="W_F.10002.06.04.01: Arrearage Management Plan"/>
        <s v="W_F.10002.06.07.01: Cust Usage Disaggregation and Presentmnt"/>
        <s v="W_F.10002.07.05.01: Third Party Risk"/>
        <s v="W_F.10002.07.07.01: Multi-Family Solar"/>
        <s v="W_F.10002.07.09.01: Supply Chain Stabilization Phase 3"/>
        <s v="W_K.10025.01.02.03: LNG Clover Creek Limit Station Modi" u="1"/>
        <s v="W_R.10027.02.01.02: E BelRed Area Capacity Project" u="1"/>
        <s v="W_R.10009.02.01.02: E Central Bellevue Dist Growth Feeder" u="1"/>
        <s v="W_F.10026.01.01.02: Workspace Reservation System" u="1"/>
        <s v="c" u="1"/>
        <s v="W_R.10009.14.01.02: E Substation Replacement Battery Trans" u="1"/>
        <s v="W_R.10009.14.03.03: E Purchase PAC Engineering Software" u="1"/>
        <s v="W_F.10003.03.01.01: Wireless Spectrum" u="1"/>
        <s v="W_F.10015.06.24.01: POI HANA Memory Uplift (MAR)" u="1"/>
        <s v="W_C.10010.06.01.01: Shuffleton Reloc at Todd Road" u="1"/>
        <s v="W_F.10015.11.01.01: Enterprise Application Data Archiving" u="1"/>
        <s v="W_R.10055.02.01.01: E Whidbey Island 115Kv Row" u="1"/>
        <s v="W_R.10008.03.01.13: E Elec Facility Replacement Trans" u="1"/>
        <s v="W_F.10017.12.27.01: Move of Telecom Core" u="1"/>
        <s v="W_X.10006.02.01.01: EV Charging Program PSE Internal" u="1"/>
        <s v="Placeholder WBS 48: Data Enablement and Enrichment Program" u="1"/>
        <s v="W_K.10012.01.05.04: CLSD IWM Work Management System" u="1"/>
        <s v="W_R.99999.99.99.99: General Transmission Project (Rate Case Only)" u="1"/>
        <s v="W_F.10025.02.01.04: Tenable.io" u="1"/>
        <s v="W_R.10007.02.01.02: E Bellingham Substation Rebuild Sub" u="1"/>
        <s v="W_F.10015.02.17.02: ADMS SCADA" u="1"/>
        <s v="W_F.10015.11.03.01: Gas Control Workstations Upgrade" u="1"/>
        <s v="PLACEHOLDER WBS 65: Pipeline Modernization" u="1"/>
        <s v="W_R.10024.04.01.01: Click Enhancements" u="1"/>
        <s v="W_R.10009.14.01.01: E Substation Replacement Battery Dist" u="1"/>
        <s v="W_R.10050.04.01.01: E Nisqually Sub Proj Property Purchase" u="1"/>
        <s v="W_R.10022.01.01.01: E Sumner Valley Area Capacity" u="1"/>
        <s v="W_C.10002.09.01.01: BUCC Relocation" u="1"/>
        <s v="W_F.10017.02.02.02: Annual Data Center Refresh and Growth" u="1"/>
        <s v="W_F.10015.08.09.06: PSE.com Outage Notification Engine" u="1"/>
        <s v="W_K.10012.01.01.04: BPCC Customer Self Service" u="1"/>
        <s v="W_F.10025.02.01.06: CDC Extension &amp; Efficiency" u="1"/>
        <s v="W_R.10009.14.03.01: E Subs Repl Electron Mech Relays Dist" u="1"/>
        <s v="W_K.10003.02.01.02: UBK W Pass Dike Instrmt n Stability Eval" u="1"/>
        <s v="W_F.10015.04.02.05: MDMS DB Partitioning Truncation" u="1"/>
        <s v="W_R.10040.01.01.01: E Seabeck Area Reliability Improvement" u="1"/>
        <s v="W_F.10018.02.02.01: IT Client Software Growth" u="1"/>
        <s v="W_F.10015.08.11.05: ServiceNow 2021" u="1"/>
        <s v="W_F.10018.02.03.01: Opex to Capex Maint" u="1"/>
        <s v="W_R.10029.01.01.01: G Tolt Hp 16in Phase 1 Main" u="1"/>
        <s v="W_R.10013.05.01.03: G Seattle Core Other Projects" u="1"/>
        <s v="W_F.10017.03.01.03: PC and TB Refresh New" u="1"/>
        <s v="W_F.10017.12.05.02: Annual RF Refresh New" u="1"/>
        <s v="W_K.10012.01.02.18: CLSD Data Analytics 2.0" u="1"/>
        <s v="PLACEHOLDER WBS 63: E King County Franchise Fee" u="1"/>
        <s v="W_F.10002.01.16.01: DER Cir Enable - Virtual PowerPlant CEIP" u="1"/>
        <s v="W_F.10017.04.03.02: eWFM Back Office Component" u="1"/>
        <s v="W_C.10002.02.02.02: PSE HQ Refresh Phase 2" u="1"/>
        <s v="W_R.10009.08.02.03: E North Bend Subs Rebuild Subs" u="1"/>
        <s v="W_F.10017.05.08.01: Underground Fuel Tank Removal" u="1"/>
        <s v="W_K.10025.01.03.01: LNG IT Business Enablement" u="1"/>
        <s v="W_C.10002.07.01.01: Puyallup Serv Center Rebuild" u="1"/>
        <s v="W_F.10017.08.02.02: CLSD Annual Scada Refresh New" u="1"/>
        <s v="W_F.10017.12.01.02: CLSD Annual Fiber Refresh New" u="1"/>
        <s v="W_R.10047.02.01.02: G SP Alignment Trans and Dist" u="1"/>
        <s v="W_R.10059.03.01.01: E Resilience Enhancement CEIP" u="1"/>
        <s v="W_F.10015.02.14.03: Elec OSI PI Asst Framewrk PI Vision Migr" u="1"/>
        <s v="W_F.10002.06.03.01: CLSD Data POI Operations Program" u="1"/>
        <s v="W_K.10005.01.02.01: COL U3 U4 Operational (non-production)" u="1"/>
        <s v="W_F.10017.02.01.03: Annual Comm Room Tech Refresh 2022-26" u="1"/>
        <s v="W_R.10042.01.01.01: E Silverdale 115Kv Tap To VJN Tline" u="1"/>
        <s v="W_R.10009.14.05.06: E Subs Replacement Dist" u="1"/>
        <s v="W_F.10015.06.05.01: SAP HR Support Packs" u="1"/>
        <s v="W_F.10015.05.03.01: Mitigate 2008" u="1"/>
        <s v="W_F.10017.10.19.01: Data Center UPS Battery Replacement" u="1"/>
        <s v="W_F.10017.13.04.01: Corp SIP trunking expansion" u="1"/>
        <s v="W_F.10017.09.08.01: DDoS Protection (Layer 7)" u="1"/>
        <s v="W_F.10002.04.02.01: HANA 2.0 and HW Upgrade            " u="1"/>
        <s v="W_F.10017.02.01.02: CLSD CLSD Annual Comm Room Refresh" u="1"/>
        <s v="W_R.10033.01.01.19: E Small Tools PTS on CC4587" u="1"/>
        <s v="W_F.10017.12.23.03: Network Refresh n Growth New" u="1"/>
        <s v="W_X.10006.03.01.04: Community Solar Program IT" u="1"/>
        <s v="W_F.10015.06.20.01: SAP Transport Tool Upgrade" u="1"/>
        <s v="W_K.10002.01.01.01: LBK Clubhouse Remodel Visitor Center" u="1"/>
        <s v="W_R.10013.03.01.02: G I5 Tacoma Hov Relocate" u="1"/>
        <s v="W_R.10035.02.01.01: E Greenwater Tap 55 155Kv Conversion" u="1"/>
        <s v="W_R.10009.08.02.01: E Bellingham Subs" u="1"/>
        <s v="W_R.10039.02.01.07: E Electr Enum 55Kv To 115Kv Tline" u="1"/>
        <s v="W_F.10002.09.01.01: Power Plan Upgrade" u="1"/>
        <s v="W_R.10027.01.01.01: E Moorlnds Vitulli 115Kv Reconduc Trans" u="1"/>
        <s v="W_K.10012.01.05.11: IWM EFR Electric First Response" u="1"/>
        <s v="W_F.10015.08.03.05: IAM Stability and Enhancement" u="1"/>
        <s v="W_R.10009.14.05.10: E Subs Replacement Transfer Trip Dist" u="1"/>
        <s v="W_R.10028.01.01.01: E North Bellevue Bank No3" u="1"/>
        <s v="W_F.10015.02.03.01: EMS 3X Upgrade" u="1"/>
        <s v="W_C.10002.04.03.01: New Headquarters TI" u="1"/>
        <s v="W_F.10015.12.01.01: MIGRATE FROM TABLEAU TO POWER BI" u="1"/>
        <s v="W_R.10050.02.01.01: E Carpenter Substation Feeder Dist" u="1"/>
        <s v="W_K.10025.01.02.06: LNG Golden Givens New Limit Station" u="1"/>
        <s v="W_F.10013.09.01.02: PSE ITSR" u="1"/>
        <s v="W_F.10015.04.02.03: MDMS 7.5 Upgrade" u="1"/>
        <s v="W_F.10002.05.01.01: Automate GEN RFP Review Process Modeling" u="1"/>
        <s v="W_C.10002.03.01.03: South King Complex" u="1"/>
        <s v="W_F.10007.02.01.02: IT Operational Program" u="1"/>
        <s v="W_F.10016.01.01.02: IT Enterprise Architecture System" u="1"/>
        <s v="W_X.10006.04.01.02: Renewable Natural Gas Program IT" u="1"/>
        <s v="W_K.10022.01.01.04: SNO U5 Erosion Repair" u="1"/>
        <s v="W_R.10027.02.01.01: E Vernell Substation Feeder" u="1"/>
        <s v="W_F.10017.09.04.07: SAP Security Roles Optimization" u="1"/>
        <s v="W_K.10014.01.01.02: GLD CT Major Inspection" u="1"/>
        <s v="W_K.10020.01.01.03: MTF CT Major Inspection" u="1"/>
        <s v="W_F.10015.02.18.02: Geospacial Load Forecasting" u="1"/>
        <s v="W_F.10017.02.04.02: Enterpr Monitoring Standardization 2022" u="1"/>
        <s v="W_F.10017.09.05.02: RSA Token Refresh" u="1"/>
        <s v="W_F.10017.12.08.01: Annual Telecom Netwrk Refrh n Grwth" u="1"/>
        <s v="W_R.10058.01.01.01: E Skookumchuck Wind Farm" u="1"/>
        <s v="W_R.10055.01.01.03: E Maxwelton Substation Trans" u="1"/>
        <s v="W_K.10002.01.01.06: LBK FSC Guide Net Replacement" u="1"/>
        <s v="W_K.10017.01.02.01: HPK Eagle Conservation Plan" u="1"/>
        <s v="W_F.10015.02.22.01: ESO Video Wall Replacement" u="1"/>
        <s v="W_R.10011.01.01.02: G ERX Pilot Dist" u="1"/>
        <s v="W_C.10002.08.02.01: Operational Training Center" u="1"/>
        <s v="W_R.10015.06.01.06: G System Capacity Uprate Bulk Dist" u="1"/>
        <s v="W_F.10015.11.02.01: Command Center Upgrade 2021" u="1"/>
        <s v="W_F.10002.01.02.04: PCI Upgrade for EIM Changes" u="1"/>
        <s v="W_R.10055.01.01.01: E Maxwelton Substation Feeders" u="1"/>
        <s v="W_F.10017.15.01.03: Automation API Platform" u="1"/>
        <s v="W_C.10002.02.02.01: East Bldg Retirement" u="1"/>
        <s v="W_R.10019.03.01.03: E West Kitsap Reliability Project" u="1"/>
        <s v="W_F.10017.10.14.01: Windows 10 Base Image" u="1"/>
        <s v="W_K.10017.01.01.03: BKR Elk Habitat" u="1"/>
        <s v="W_F.10002.01.02.03: Endur APM Upgrade" u="1"/>
        <s v="W_C.10002.06.01.01: Snoqualmie Technology Center" u="1"/>
        <s v="W_R.10013.05.01.05: G Seattle Core Services" u="1"/>
        <s v="W_F.10002.01.15.01: Cust GEN Integration Pwrclerk to PSE Sys" u="1"/>
        <s v="W_C.10003.01.01.01: Furniture and Fixture Installation" u="1"/>
        <s v="W_F.10015.08.16.01: Cassandra Upgrade 2021" u="1"/>
        <s v="W_F.10002.07.01.01: IMPACT" u="1"/>
        <s v="W_F.10017.10.16.01: CheckPoint Capsule Cloud Replacement" u="1"/>
        <s v="W_C.10002.10.01.01: Site Devlpmnt Feasibility and Mastr Plan" u="1"/>
        <s v="W_R.10005.01.01.08: E Talbot Hill Paccar Reconductor" u="1"/>
        <s v="W_K.10017.01.03.01: LSR1 Eagle Conservation Plan" u="1"/>
        <s v="W_K.10017.01.01.02: BKR Develop Recreation Capital" u="1"/>
        <s v="W_R.10009.08.02.13: E UG Sys Rel Upgr Pm Switch Dist" u="1"/>
        <s v="W_F.10017.11.01.03: Annual Strge Bckup Growth Refresh New" u="1"/>
      </sharedItems>
    </cacheField>
    <cacheField name="Energy" numFmtId="0">
      <sharedItems/>
    </cacheField>
    <cacheField name="Project" numFmtId="0">
      <sharedItems containsBlank="1"/>
    </cacheField>
    <cacheField name="U&amp;U Category" numFmtId="0">
      <sharedItems containsBlank="1"/>
    </cacheField>
    <cacheField name="Explanation" numFmtId="0">
      <sharedItems containsBlank="1"/>
    </cacheField>
    <cacheField name="Area" numFmtId="0">
      <sharedItems count="9">
        <s v="Facilities"/>
        <s v="IT"/>
        <s v="Other"/>
        <s v="Storm"/>
        <s v="Operations"/>
        <s v="Generation"/>
        <s v="AMI"/>
        <s v="NP&amp;S"/>
        <s v="HR" u="1"/>
      </sharedItems>
    </cacheField>
    <cacheField name="2023 EOP Total Actual CWIP Closings" numFmtId="0">
      <sharedItems containsString="0" containsBlank="1" containsNumber="1" minValue="-49271824.509905539" maxValue="14562652.299999999"/>
    </cacheField>
    <cacheField name="JAK5 SEF16 Forecast CWIP Closings" numFmtId="0">
      <sharedItems containsString="0" containsBlank="1" containsNumber="1" minValue="-104544526.2964678" maxValue="40119811.454329111"/>
    </cacheField>
    <cacheField name="Variance" numFmtId="0">
      <sharedItems containsSemiMixedTypes="0" containsString="0" containsNumber="1" minValue="-40119811.454329111" maxValue="76703906.52460575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9">
  <r>
    <s v="C.10002.02.02.02"/>
    <s v="W_C.10002.02.02.02: CLSD PSE HQ Refresh Phase 2"/>
    <x v="0"/>
    <x v="0"/>
    <x v="0"/>
    <x v="0"/>
    <x v="0"/>
    <n v="-1136.8900000000001"/>
    <n v="0"/>
    <n v="-1136.8900000000001"/>
  </r>
  <r>
    <s v="C.10002.02.02.04"/>
    <s v="W_C.10002.02.02.04: CLSD Remodel Bellevue 9th Floor"/>
    <x v="0"/>
    <x v="0"/>
    <x v="0"/>
    <x v="0"/>
    <x v="0"/>
    <n v="-3137460.19"/>
    <n v="0"/>
    <n v="-3137460.19"/>
  </r>
  <r>
    <s v="C.10002.02.04.01"/>
    <s v="W_C.10002.02.04.01: Facility Optimizatn Bothell G Lease Exit"/>
    <x v="0"/>
    <x v="0"/>
    <x v="0"/>
    <x v="0"/>
    <x v="0"/>
    <n v="-1454822.02"/>
    <n v="0"/>
    <n v="-1454822.02"/>
  </r>
  <r>
    <s v="C.10002.07.01.01"/>
    <s v="W_C.10002.07.01.01: CLSD Puyallup Service Center Rebuild"/>
    <x v="0"/>
    <x v="0"/>
    <x v="0"/>
    <x v="0"/>
    <x v="0"/>
    <n v="-3163.1400000000003"/>
    <n v="0"/>
    <n v="-3163.1400000000003"/>
  </r>
  <r>
    <s v="C.10002.08.02.01"/>
    <s v="W_C.10002.08.02.01: CLSD Operational Training Center"/>
    <x v="0"/>
    <x v="0"/>
    <x v="0"/>
    <x v="0"/>
    <x v="0"/>
    <n v="-957996.1100000001"/>
    <n v="0"/>
    <n v="-957996.1100000001"/>
  </r>
  <r>
    <s v="C.10003.01.01.01"/>
    <s v="W_C.10003.01.01.01: CLSD Furniture and Fixture Installation"/>
    <x v="0"/>
    <x v="0"/>
    <x v="0"/>
    <x v="0"/>
    <x v="0"/>
    <n v="-299505.27"/>
    <n v="-3000000.0000000005"/>
    <n v="2700494.7300000004"/>
  </r>
  <r>
    <s v="C.10003.01.03.01"/>
    <s v="W_C.10003.01.03.01: Unplanned Facility Improvements"/>
    <x v="1"/>
    <x v="0"/>
    <x v="0"/>
    <x v="0"/>
    <x v="0"/>
    <n v="-22263.42"/>
    <n v="0"/>
    <n v="-22263.42"/>
  </r>
  <r>
    <s v="C.10005.01.02.01"/>
    <s v="W_C.10005.01.02.01: Security System Installations Electric"/>
    <x v="1"/>
    <x v="0"/>
    <x v="0"/>
    <x v="0"/>
    <x v="1"/>
    <n v="-28851.060000000009"/>
    <n v="-4150542.9239990781"/>
    <n v="4121691.8639990781"/>
  </r>
  <r>
    <s v="C.10005.01.02.02"/>
    <s v="W_C.10005.01.02.02: WECC Mitigation Security Installations"/>
    <x v="1"/>
    <x v="0"/>
    <x v="0"/>
    <x v="0"/>
    <x v="1"/>
    <n v="-14028826.310000001"/>
    <n v="-7015753.7989489995"/>
    <n v="-7013072.511051001"/>
  </r>
  <r>
    <s v="C.10006.01.01.01"/>
    <s v="W_C.10006.01.01.01: Fleet Capital Purchase"/>
    <x v="1"/>
    <x v="0"/>
    <x v="0"/>
    <x v="0"/>
    <x v="2"/>
    <n v="-1679811.81"/>
    <n v="-999999.99999999942"/>
    <n v="-679811.81000000064"/>
  </r>
  <r>
    <s v="C.10006.01.01.03"/>
    <s v="W_C.10006.01.01.03: Fleet Radio Upgrade"/>
    <x v="0"/>
    <x v="0"/>
    <x v="0"/>
    <x v="0"/>
    <x v="2"/>
    <n v="-213317.6"/>
    <n v="-299999.99999999994"/>
    <n v="86682.399999999936"/>
  </r>
  <r>
    <s v="C.10009.01.01.01"/>
    <s v="W_C.10009.01.01.01: Storm OH Replacement Dist"/>
    <x v="1"/>
    <x v="1"/>
    <x v="1"/>
    <x v="0"/>
    <x v="3"/>
    <n v="-3338732.2712695785"/>
    <n v="-2712513.0791971558"/>
    <n v="-626219.19207242271"/>
  </r>
  <r>
    <s v="C.10009.01.01.02"/>
    <s v="W_C.10009.01.01.02: Storm OH Replacement Trans"/>
    <x v="1"/>
    <x v="1"/>
    <x v="1"/>
    <x v="0"/>
    <x v="3"/>
    <n v="-1038901.7100000001"/>
    <n v="-1056886.4310916138"/>
    <n v="17984.721091613756"/>
  </r>
  <r>
    <s v="C.10010.02.01.01"/>
    <s v="W_C.10010.02.01.01: Shuffleton Reloc at Kent Serv Center"/>
    <x v="0"/>
    <x v="0"/>
    <x v="0"/>
    <x v="0"/>
    <x v="0"/>
    <n v="-730.16000000000008"/>
    <n v="0"/>
    <n v="-730.16000000000008"/>
  </r>
  <r>
    <s v="C.40001.01.01.01"/>
    <s v="W_C.40001.01.01.01: Success Factors Application"/>
    <x v="0"/>
    <x v="0"/>
    <x v="0"/>
    <x v="0"/>
    <x v="1"/>
    <n v="-31187.46"/>
    <n v="0"/>
    <n v="-31187.46"/>
  </r>
  <r>
    <s v="F.10002.01.14.01"/>
    <s v="W_F.10002.01.14.01: Data Governance Foundation"/>
    <x v="0"/>
    <x v="0"/>
    <x v="0"/>
    <x v="0"/>
    <x v="1"/>
    <n v="-2813318.35"/>
    <n v="-3510776.5000000033"/>
    <n v="697458.15000000317"/>
  </r>
  <r>
    <s v="F.10002.01.17.01"/>
    <s v="W_F.10002.01.17.01: iDOT Replacement"/>
    <x v="0"/>
    <x v="0"/>
    <x v="0"/>
    <x v="0"/>
    <x v="1"/>
    <n v="2178.6799999999998"/>
    <n v="0"/>
    <n v="2178.6799999999998"/>
  </r>
  <r>
    <s v="F.10002.01.18.01"/>
    <s v="W_F.10002.01.18.01: Cap and Invest Billing"/>
    <x v="0"/>
    <x v="0"/>
    <x v="0"/>
    <x v="0"/>
    <x v="1"/>
    <n v="-3262565.93"/>
    <n v="0"/>
    <n v="-3262565.93"/>
  </r>
  <r>
    <s v="F.10002.01.23.01"/>
    <s v="W_F.10002.01.23.01: Complex Billing CEIP"/>
    <x v="0"/>
    <x v="0"/>
    <x v="0"/>
    <x v="0"/>
    <x v="1"/>
    <n v="-1906500.52"/>
    <n v="-975493.83509245317"/>
    <n v="-931006.68490754685"/>
  </r>
  <r>
    <s v="F.10002.03.02.01"/>
    <s v="W_F.10002.03.02.01: Field Resources Call Out Tool"/>
    <x v="1"/>
    <x v="0"/>
    <x v="0"/>
    <x v="0"/>
    <x v="1"/>
    <n v="8597.42"/>
    <n v="0"/>
    <n v="8597.42"/>
  </r>
  <r>
    <s v="F.10002.03.03.01"/>
    <s v="W_F.10002.03.03.01: Multi-Channel Workforce Management"/>
    <x v="0"/>
    <x v="0"/>
    <x v="0"/>
    <x v="0"/>
    <x v="1"/>
    <n v="-1269752.1399999999"/>
    <n v="-4469507.2760326117"/>
    <n v="3199755.1360326121"/>
  </r>
  <r>
    <s v="F.10002.04.01.01"/>
    <s v="W_F.10002.04.01.01: Travel mgmt.-Exp Rpting and Elect pmt"/>
    <x v="0"/>
    <x v="0"/>
    <x v="0"/>
    <x v="0"/>
    <x v="1"/>
    <n v="-1281.01"/>
    <n v="0"/>
    <n v="-1281.01"/>
  </r>
  <r>
    <s v="F.10002.05.02.01"/>
    <s v="W_F.10002.05.02.01: Check Payment Processing"/>
    <x v="0"/>
    <x v="0"/>
    <x v="0"/>
    <x v="0"/>
    <x v="1"/>
    <n v="-1294.48"/>
    <n v="0"/>
    <n v="-1294.48"/>
  </r>
  <r>
    <s v="F.10002.06.01.01"/>
    <s v="W_F.10002.06.01.01: eGain Replacement"/>
    <x v="0"/>
    <x v="0"/>
    <x v="0"/>
    <x v="0"/>
    <x v="1"/>
    <n v="478.33"/>
    <n v="0"/>
    <n v="478.33"/>
  </r>
  <r>
    <s v="F.10002.06.02.01"/>
    <s v="W_F.10002.06.02.01: Customer Experience Enhancement Program"/>
    <x v="0"/>
    <x v="0"/>
    <x v="0"/>
    <x v="0"/>
    <x v="1"/>
    <n v="-2149992.8199999998"/>
    <n v="0"/>
    <n v="-2149992.8199999998"/>
  </r>
  <r>
    <s v="F.10002.06.06.01"/>
    <s v="W_F.10002.06.06.01: Bill Discount Rate"/>
    <x v="0"/>
    <x v="0"/>
    <x v="0"/>
    <x v="0"/>
    <x v="1"/>
    <n v="-2714622"/>
    <n v="0"/>
    <n v="-2714622"/>
  </r>
  <r>
    <s v="F.10002.07.06.01"/>
    <s v="W_F.10002.07.06.01: Time Varying Rates Pilot"/>
    <x v="1"/>
    <x v="0"/>
    <x v="0"/>
    <x v="0"/>
    <x v="1"/>
    <n v="-4294742.08"/>
    <n v="-6226556.3942071535"/>
    <n v="1931814.3142071534"/>
  </r>
  <r>
    <s v="F.10002.09.02.01"/>
    <s v="W_F.10002.09.02.01: Enterprise PPM Tool"/>
    <x v="0"/>
    <x v="0"/>
    <x v="0"/>
    <x v="0"/>
    <x v="1"/>
    <n v="-3016387.9300000006"/>
    <n v="-2130526.2727742712"/>
    <n v="-885861.65722572943"/>
  </r>
  <r>
    <s v="F.10003.02.01.07"/>
    <s v="W_F.10003.02.01.07: Data Center Hardware Refresh"/>
    <x v="0"/>
    <x v="0"/>
    <x v="0"/>
    <x v="0"/>
    <x v="1"/>
    <n v="-11719941.200000001"/>
    <n v="-19898747.474077597"/>
    <n v="8178806.2740775961"/>
  </r>
  <r>
    <s v="F.10003.03.02.01"/>
    <s v="W_F.10003.03.02.01: Transport Network Modernization"/>
    <x v="0"/>
    <x v="0"/>
    <x v="0"/>
    <x v="0"/>
    <x v="1"/>
    <n v="-768647.57"/>
    <n v="0"/>
    <n v="-768647.57"/>
  </r>
  <r>
    <s v="F.10013.09.01.03"/>
    <s v="W_F.10013.09.01.03: PSE ITSR"/>
    <x v="0"/>
    <x v="0"/>
    <x v="0"/>
    <x v="0"/>
    <x v="1"/>
    <n v="-1662783.6699999997"/>
    <n v="-2004756.4599013247"/>
    <n v="341972.78990132501"/>
  </r>
  <r>
    <s v="F.10015.02.06.02"/>
    <s v="W_F.10015.02.06.02: Gas Control Upgrade 2022"/>
    <x v="2"/>
    <x v="0"/>
    <x v="0"/>
    <x v="0"/>
    <x v="1"/>
    <n v="-6651845"/>
    <n v="-3510776.5000000033"/>
    <n v="-3141068.4999999967"/>
  </r>
  <r>
    <s v="F.10015.02.14.02"/>
    <s v="W_F.10015.02.14.02: OSI Soft PI Historian"/>
    <x v="1"/>
    <x v="0"/>
    <x v="0"/>
    <x v="0"/>
    <x v="1"/>
    <n v="-142.27000000000001"/>
    <n v="0"/>
    <n v="-142.27000000000001"/>
  </r>
  <r>
    <s v="F.10015.02.17.03"/>
    <s v="W_F.10015.02.17.03: CLSD ADMS Advanced Apps"/>
    <x v="1"/>
    <x v="2"/>
    <x v="2"/>
    <x v="1"/>
    <x v="4"/>
    <n v="-32603.37"/>
    <n v="0"/>
    <n v="-32603.37"/>
  </r>
  <r>
    <s v="F.10015.02.20.01"/>
    <s v="W_F.10015.02.20.01: Annual Market Changes to Support CAISO"/>
    <x v="0"/>
    <x v="0"/>
    <x v="0"/>
    <x v="0"/>
    <x v="1"/>
    <n v="-78559.510000000009"/>
    <n v="0"/>
    <n v="-78559.510000000009"/>
  </r>
  <r>
    <s v="F.10015.02.23.01"/>
    <s v="W_F.10015.02.23.01: ERX Migration"/>
    <x v="0"/>
    <x v="2"/>
    <x v="2"/>
    <x v="1"/>
    <x v="4"/>
    <n v="-86238.400000000009"/>
    <n v="0"/>
    <n v="-86238.400000000009"/>
  </r>
  <r>
    <s v="F.10015.04.02.04"/>
    <s v="W_F.10015.04.02.04: MDMS License Extension 2022-2026"/>
    <x v="0"/>
    <x v="0"/>
    <x v="0"/>
    <x v="0"/>
    <x v="1"/>
    <n v="-215968.57"/>
    <n v="0"/>
    <n v="-215968.57"/>
  </r>
  <r>
    <s v="F.10015.05.04.01"/>
    <s v="W_F.10015.05.04.01: Quality Framework"/>
    <x v="0"/>
    <x v="0"/>
    <x v="0"/>
    <x v="0"/>
    <x v="1"/>
    <n v="-26817.3"/>
    <n v="0"/>
    <n v="-26817.3"/>
  </r>
  <r>
    <s v="F.10015.06.05.02"/>
    <s v="W_F.10015.06.05.02: SAP HR Support Packs 2022-2026"/>
    <x v="0"/>
    <x v="0"/>
    <x v="0"/>
    <x v="0"/>
    <x v="1"/>
    <n v="-328596.65999999997"/>
    <n v="0"/>
    <n v="-328596.65999999997"/>
  </r>
  <r>
    <s v="F.10015.06.23.02"/>
    <s v="W_F.10015.06.23.02: SAP BW 7.5 Functional Upgrade"/>
    <x v="0"/>
    <x v="0"/>
    <x v="0"/>
    <x v="0"/>
    <x v="1"/>
    <n v="-16812.05"/>
    <n v="0"/>
    <n v="-16812.05"/>
  </r>
  <r>
    <s v="F.10015.06.25.01"/>
    <s v="W_F.10015.06.25.01: SAP Annual Upgrades 2022-2026"/>
    <x v="0"/>
    <x v="0"/>
    <x v="0"/>
    <x v="0"/>
    <x v="1"/>
    <n v="-501758.06999999995"/>
    <n v="0"/>
    <n v="-501758.06999999995"/>
  </r>
  <r>
    <s v="F.10015.06.26.01"/>
    <s v="W_F.10015.06.26.01: Enhanced SAP Monitoring Alerting BPM"/>
    <x v="0"/>
    <x v="0"/>
    <x v="0"/>
    <x v="0"/>
    <x v="1"/>
    <n v="-752.48000000000013"/>
    <n v="0"/>
    <n v="-752.48000000000013"/>
  </r>
  <r>
    <s v="F.10015.06.27.01"/>
    <s v="W_F.10015.06.27.01: Cloud Connector SLS11 to SLS15 Upgrade"/>
    <x v="0"/>
    <x v="0"/>
    <x v="0"/>
    <x v="0"/>
    <x v="1"/>
    <n v="-212438.2"/>
    <n v="0"/>
    <n v="-212438.2"/>
  </r>
  <r>
    <s v="F.10015.08.11.06"/>
    <s v="W_F.10015.08.11.06: ServiceNow Improvements 2022-2026"/>
    <x v="0"/>
    <x v="0"/>
    <x v="0"/>
    <x v="0"/>
    <x v="1"/>
    <n v="-1687241.67"/>
    <n v="0"/>
    <n v="-1687241.67"/>
  </r>
  <r>
    <s v="F.10015.08.14.03"/>
    <s v="W_F.10015.08.14.03: Sitecore 9.3 to 10.2 Upgrade"/>
    <x v="0"/>
    <x v="0"/>
    <x v="0"/>
    <x v="0"/>
    <x v="1"/>
    <n v="-1356429.5599999998"/>
    <n v="0"/>
    <n v="-1356429.5599999998"/>
  </r>
  <r>
    <s v="F.10015.08.18.01"/>
    <s v="W_F.10015.08.18.01: Microservices NET Core Upgrade"/>
    <x v="0"/>
    <x v="0"/>
    <x v="0"/>
    <x v="0"/>
    <x v="1"/>
    <n v="176.26"/>
    <n v="0"/>
    <n v="176.26"/>
  </r>
  <r>
    <s v="F.10015.08.19.01"/>
    <s v="W_F.10015.08.19.01: Terraform Upgrade"/>
    <x v="0"/>
    <x v="0"/>
    <x v="0"/>
    <x v="0"/>
    <x v="1"/>
    <n v="7583.27"/>
    <n v="0"/>
    <n v="7583.27"/>
  </r>
  <r>
    <s v="F.10015.08.23.01"/>
    <s v="W_F.10015.08.23.01: Xamarin Forms Migration to MAUI"/>
    <x v="0"/>
    <x v="0"/>
    <x v="0"/>
    <x v="0"/>
    <x v="1"/>
    <n v="-748465.54"/>
    <n v="0"/>
    <n v="-748465.54"/>
  </r>
  <r>
    <s v="F.10015.11.04.01"/>
    <s v="W_F.10015.11.04.01: Windows Server 2012 Upgrade"/>
    <x v="0"/>
    <x v="0"/>
    <x v="0"/>
    <x v="0"/>
    <x v="1"/>
    <n v="-3579613.96"/>
    <n v="0"/>
    <n v="-3579613.96"/>
  </r>
  <r>
    <s v="F.10015.11.06.01"/>
    <s v="W_F.10015.11.06.01: Migration to Dynatrace SaaS"/>
    <x v="0"/>
    <x v="0"/>
    <x v="0"/>
    <x v="0"/>
    <x v="1"/>
    <n v="-2868.41"/>
    <n v="0"/>
    <n v="-2868.41"/>
  </r>
  <r>
    <s v="F.10016.01.01.03"/>
    <s v="W_F.10016.01.01.03: IT Enterprise Architecture Tool 2022"/>
    <x v="0"/>
    <x v="0"/>
    <x v="0"/>
    <x v="0"/>
    <x v="1"/>
    <n v="-162419.6"/>
    <n v="0"/>
    <n v="-162419.6"/>
  </r>
  <r>
    <s v="F.10017.02.01.03"/>
    <s v="W_F.10017.02.01.03: CLSD Annual Comm Room Tech Refresh 2022"/>
    <x v="0"/>
    <x v="0"/>
    <x v="0"/>
    <x v="0"/>
    <x v="1"/>
    <n v="1371.58"/>
    <n v="0"/>
    <n v="1371.58"/>
  </r>
  <r>
    <s v="F.10017.02.02.03"/>
    <s v="W_F.10017.02.02.03: Annual Data Center Tech Refresh 2022-26"/>
    <x v="0"/>
    <x v="0"/>
    <x v="0"/>
    <x v="0"/>
    <x v="1"/>
    <n v="35140.990000000005"/>
    <n v="0"/>
    <n v="35140.990000000005"/>
  </r>
  <r>
    <s v="F.10017.03.05.02"/>
    <s v="W_F.10017.03.05.02: Annual End User PC Refresh 2022-2026"/>
    <x v="0"/>
    <x v="0"/>
    <x v="0"/>
    <x v="0"/>
    <x v="1"/>
    <n v="-5155266.5999999996"/>
    <n v="0"/>
    <n v="-5155266.5999999996"/>
  </r>
  <r>
    <s v="F.10017.05.03.02"/>
    <s v="W_F.10017.05.03.02: Annual MS Enterprise Agreement Growth"/>
    <x v="0"/>
    <x v="0"/>
    <x v="0"/>
    <x v="0"/>
    <x v="1"/>
    <n v="-215501.25"/>
    <n v="0"/>
    <n v="-215501.25"/>
  </r>
  <r>
    <s v="F.10017.05.07.01"/>
    <s v="W_F.10017.05.07.01: DC Battery Management"/>
    <x v="0"/>
    <x v="0"/>
    <x v="0"/>
    <x v="0"/>
    <x v="1"/>
    <n v="-2505.86"/>
    <n v="0"/>
    <n v="-2505.86"/>
  </r>
  <r>
    <s v="F.10017.07.01.03"/>
    <s v="W_F.10017.07.01.03: IPP SharePoint Upgrade NERC"/>
    <x v="0"/>
    <x v="0"/>
    <x v="0"/>
    <x v="0"/>
    <x v="1"/>
    <n v="32784.700000000004"/>
    <n v="0"/>
    <n v="32784.700000000004"/>
  </r>
  <r>
    <s v="F.10017.08.02.03"/>
    <s v="W_F.10017.08.02.03: Annual Telecom SCADA Refresh 2022-26"/>
    <x v="1"/>
    <x v="0"/>
    <x v="0"/>
    <x v="0"/>
    <x v="1"/>
    <n v="-92479"/>
    <n v="0"/>
    <n v="-92479"/>
  </r>
  <r>
    <s v="F.10017.08.03.01"/>
    <s v="W_F.10017.08.03.01: Enhanced Substation Communications"/>
    <x v="1"/>
    <x v="0"/>
    <x v="0"/>
    <x v="0"/>
    <x v="1"/>
    <n v="-2659583.0299999998"/>
    <n v="0"/>
    <n v="-2659583.0299999998"/>
  </r>
  <r>
    <s v="F.10017.08.07.01"/>
    <s v="W_F.10017.08.07.01: 700MHz Spectrum"/>
    <x v="1"/>
    <x v="0"/>
    <x v="0"/>
    <x v="0"/>
    <x v="1"/>
    <n v="-10201.11"/>
    <n v="0"/>
    <n v="-10201.11"/>
  </r>
  <r>
    <s v="F.10017.08.08.01"/>
    <s v="W_F.10017.08.08.01: ASAT to RTAC Replacement"/>
    <x v="1"/>
    <x v="0"/>
    <x v="0"/>
    <x v="0"/>
    <x v="1"/>
    <n v="-294545.07"/>
    <n v="0"/>
    <n v="-294545.07"/>
  </r>
  <r>
    <s v="F.10017.10.06.04"/>
    <s v="W_F.10017.10.06.04: Annual Server Growth 2022-2026"/>
    <x v="0"/>
    <x v="0"/>
    <x v="0"/>
    <x v="0"/>
    <x v="1"/>
    <n v="-205120.47000000003"/>
    <n v="0"/>
    <n v="-205120.47000000003"/>
  </r>
  <r>
    <s v="F.10017.10.09.02"/>
    <s v="W_F.10017.10.09.02: Hyper Converged Infra Refresh"/>
    <x v="0"/>
    <x v="0"/>
    <x v="0"/>
    <x v="0"/>
    <x v="1"/>
    <n v="-1560297.85"/>
    <n v="0"/>
    <n v="-1560297.85"/>
  </r>
  <r>
    <s v="F.10017.10.18.01"/>
    <s v="W_F.10017.10.18.01: Directory Services Optimization"/>
    <x v="0"/>
    <x v="0"/>
    <x v="0"/>
    <x v="0"/>
    <x v="1"/>
    <n v="-115491.54000000001"/>
    <n v="0"/>
    <n v="-115491.54000000001"/>
  </r>
  <r>
    <s v="F.10017.11.01.04"/>
    <s v="W_F.10017.11.01.04: Annual Storage Growth 2022-2026"/>
    <x v="0"/>
    <x v="0"/>
    <x v="0"/>
    <x v="0"/>
    <x v="1"/>
    <n v="-121.9"/>
    <n v="0"/>
    <n v="-121.9"/>
  </r>
  <r>
    <s v="F.10017.12.01.03"/>
    <s v="W_F.10017.12.01.03: Annual Fiber Refresh Repair 2022-26"/>
    <x v="1"/>
    <x v="0"/>
    <x v="0"/>
    <x v="0"/>
    <x v="1"/>
    <n v="-489415.45"/>
    <n v="0"/>
    <n v="-489415.45"/>
  </r>
  <r>
    <s v="F.10017.12.05.03"/>
    <s v="W_F.10017.12.05.03: Annual Telecom RF Refresh 2022-26"/>
    <x v="1"/>
    <x v="0"/>
    <x v="0"/>
    <x v="0"/>
    <x v="1"/>
    <n v="-222361.19999999998"/>
    <n v="0"/>
    <n v="-222361.19999999998"/>
  </r>
  <r>
    <s v="F.10017.12.06.03"/>
    <s v="W_F.10017.12.06.03: Annual Telecom Equip Growth Tool 2022-26"/>
    <x v="1"/>
    <x v="0"/>
    <x v="0"/>
    <x v="0"/>
    <x v="1"/>
    <n v="-148786.75"/>
    <n v="0"/>
    <n v="-148786.75"/>
  </r>
  <r>
    <s v="F.10017.12.08.04"/>
    <s v="W_F.10017.12.08.04: Annual Telecom Network Refresh 2022-2026"/>
    <x v="1"/>
    <x v="0"/>
    <x v="0"/>
    <x v="0"/>
    <x v="1"/>
    <n v="-411865.72"/>
    <n v="0"/>
    <n v="-411865.72"/>
  </r>
  <r>
    <s v="F.10017.12.23.04"/>
    <s v="W_F.10017.12.23.04: Annual Network Tech Refresh 2022-2026"/>
    <x v="0"/>
    <x v="0"/>
    <x v="0"/>
    <x v="0"/>
    <x v="1"/>
    <n v="-460673.31"/>
    <n v="0"/>
    <n v="-460673.31"/>
  </r>
  <r>
    <s v="F.10017.12.25.02"/>
    <s v="W_F.10017.12.25.02: Annual Audio Visual Tech Refresh 2022-26"/>
    <x v="0"/>
    <x v="0"/>
    <x v="0"/>
    <x v="0"/>
    <x v="1"/>
    <n v="-2073.23"/>
    <n v="0"/>
    <n v="-2073.23"/>
  </r>
  <r>
    <s v="F.10017.12.26.01"/>
    <s v="W_F.10017.12.26.01: Generation Sites"/>
    <x v="1"/>
    <x v="0"/>
    <x v="0"/>
    <x v="0"/>
    <x v="1"/>
    <n v="-447.47"/>
    <n v="0"/>
    <n v="-447.47"/>
  </r>
  <r>
    <s v="F.10017.12.26.02"/>
    <s v="W_F.10017.12.26.02: Generation Infrastructure Prgrm 2022-26"/>
    <x v="1"/>
    <x v="0"/>
    <x v="0"/>
    <x v="0"/>
    <x v="1"/>
    <n v="-2356558.71"/>
    <n v="0"/>
    <n v="-2356558.71"/>
  </r>
  <r>
    <s v="F.10017.13.01.03"/>
    <s v="W_F.10017.13.01.03: CLSD Annual Voice Equipment Refresh New"/>
    <x v="0"/>
    <x v="0"/>
    <x v="0"/>
    <x v="0"/>
    <x v="1"/>
    <n v="-11682.27"/>
    <n v="0"/>
    <n v="-11682.27"/>
  </r>
  <r>
    <s v="F.10017.13.05.01"/>
    <s v="W_F.10017.13.05.01: ACTR 2021"/>
    <x v="0"/>
    <x v="0"/>
    <x v="0"/>
    <x v="0"/>
    <x v="1"/>
    <n v="-1036876.43"/>
    <n v="0"/>
    <n v="-1036876.43"/>
  </r>
  <r>
    <s v="F.10017.13.06.01"/>
    <s v="W_F.10017.13.06.01: Voice Recording Tech Refresh"/>
    <x v="0"/>
    <x v="0"/>
    <x v="0"/>
    <x v="0"/>
    <x v="1"/>
    <n v="-580285.51"/>
    <n v="0"/>
    <n v="-580285.51"/>
  </r>
  <r>
    <s v="F.10017.15.01.04"/>
    <s v="W_F.10017.15.01.04: Cloud Cost Optimization Tooling Refresh"/>
    <x v="0"/>
    <x v="0"/>
    <x v="0"/>
    <x v="0"/>
    <x v="1"/>
    <n v="-46884.63"/>
    <n v="0"/>
    <n v="-46884.63"/>
  </r>
  <r>
    <s v="F.10018.02.03.02"/>
    <s v="W_F.10018.02.03.02: Opex to Capital Maint 2022-2026"/>
    <x v="0"/>
    <x v="0"/>
    <x v="0"/>
    <x v="0"/>
    <x v="1"/>
    <n v="-23098678.969999999"/>
    <n v="0"/>
    <n v="-23098678.969999999"/>
  </r>
  <r>
    <s v="F.10018.02.04.01"/>
    <s v="W_F.10018.02.04.01: Annual Enterprise App Growth 2022-2026"/>
    <x v="0"/>
    <x v="0"/>
    <x v="0"/>
    <x v="0"/>
    <x v="1"/>
    <n v="-453856.88999999996"/>
    <n v="0"/>
    <n v="-453856.88999999996"/>
  </r>
  <r>
    <s v="F.10025.01.04.01"/>
    <s v="W_F.10025.01.04.01: Physical Security Roadmap"/>
    <x v="1"/>
    <x v="0"/>
    <x v="0"/>
    <x v="0"/>
    <x v="1"/>
    <n v="-3162412.83"/>
    <n v="0"/>
    <n v="-3162412.83"/>
  </r>
  <r>
    <s v="F.10025.01.04.02"/>
    <s v="W_F.10025.01.04.02: Cyber Audit Web Server Upgrade"/>
    <x v="0"/>
    <x v="0"/>
    <x v="0"/>
    <x v="0"/>
    <x v="1"/>
    <n v="-2.1599999999999682"/>
    <n v="0"/>
    <n v="-2.1599999999999682"/>
  </r>
  <r>
    <s v="F.10025.02.01.07"/>
    <s v="W_F.10025.02.01.07: Transportation Security Admin TSA"/>
    <x v="0"/>
    <x v="0"/>
    <x v="0"/>
    <x v="0"/>
    <x v="1"/>
    <n v="-243997.36000000002"/>
    <n v="0"/>
    <n v="-243997.36000000002"/>
  </r>
  <r>
    <s v="F.10025.02.01.08"/>
    <s v="W_F.10025.02.01.08: Cyber Security Roadmap"/>
    <x v="0"/>
    <x v="0"/>
    <x v="0"/>
    <x v="0"/>
    <x v="1"/>
    <n v="-875253.88000000012"/>
    <n v="-2006158.0000000044"/>
    <n v="1130904.1200000043"/>
  </r>
  <r>
    <s v="F.10026.01.01.01"/>
    <s v="W_F.10026.01.01.01: Robotic Process Automation"/>
    <x v="0"/>
    <x v="0"/>
    <x v="0"/>
    <x v="0"/>
    <x v="1"/>
    <n v="-32828.839999999982"/>
    <n v="-1002452.9929552966"/>
    <n v="969624.15295529668"/>
  </r>
  <r>
    <s v="K.10001.01.01.01"/>
    <s v="W_K.10001.01.01.01: LBK Hydro Plant Work"/>
    <x v="1"/>
    <x v="0"/>
    <x v="0"/>
    <x v="0"/>
    <x v="5"/>
    <n v="-333967.66000000003"/>
    <n v="0"/>
    <n v="-333967.66000000003"/>
  </r>
  <r>
    <s v="K.10001.01.01.02"/>
    <s v="W_K.10001.01.01.02: LBK Small Tools"/>
    <x v="1"/>
    <x v="0"/>
    <x v="0"/>
    <x v="0"/>
    <x v="5"/>
    <n v="-28404.17"/>
    <n v="-519.3025718322632"/>
    <n v="-27884.867428167734"/>
  </r>
  <r>
    <s v="K.10001.01.02.01"/>
    <s v="W_K.10001.01.02.01: UBK Hydro Plant Work"/>
    <x v="1"/>
    <x v="0"/>
    <x v="0"/>
    <x v="0"/>
    <x v="5"/>
    <n v="-692849.32000000007"/>
    <n v="-520556.19948164519"/>
    <n v="-172293.12051835487"/>
  </r>
  <r>
    <s v="K.10001.01.02.02"/>
    <s v="W_K.10001.01.02.02: UBK Small Tools"/>
    <x v="1"/>
    <x v="0"/>
    <x v="0"/>
    <x v="0"/>
    <x v="5"/>
    <n v="-38015.090000000004"/>
    <n v="0"/>
    <n v="-38015.090000000004"/>
  </r>
  <r>
    <s v="K.10002.01.02.06"/>
    <s v="W_K.10002.01.02.06: UBK U2 Runner Replacement"/>
    <x v="1"/>
    <x v="0"/>
    <x v="0"/>
    <x v="0"/>
    <x v="5"/>
    <n v="-8661.9599999999991"/>
    <n v="0"/>
    <n v="-8661.9599999999991"/>
  </r>
  <r>
    <s v="K.10003.01.01.01"/>
    <s v="W_K.10003.01.01.01: LBK Crest Improvement and Floodwall"/>
    <x v="1"/>
    <x v="0"/>
    <x v="0"/>
    <x v="0"/>
    <x v="5"/>
    <n v="-12166.64"/>
    <n v="0"/>
    <n v="-12166.64"/>
  </r>
  <r>
    <s v="K.10003.01.01.03"/>
    <s v="W_K.10003.01.01.03: LBK Hatchery Raceway Project"/>
    <x v="1"/>
    <x v="0"/>
    <x v="0"/>
    <x v="0"/>
    <x v="5"/>
    <n v="-10290041.15"/>
    <n v="-9245928.526850177"/>
    <n v="-1044112.6231498234"/>
  </r>
  <r>
    <s v="K.10003.02.01.01"/>
    <s v="W_K.10003.02.01.01: UBK Phase II Spillway Stabilization"/>
    <x v="1"/>
    <x v="0"/>
    <x v="0"/>
    <x v="0"/>
    <x v="5"/>
    <n v="-5144336.99"/>
    <n v="-4501342.2193697849"/>
    <n v="-642994.77063021529"/>
  </r>
  <r>
    <s v="K.10004.01.01.01"/>
    <s v="W_K.10004.01.01.01: COL 500Kv Trans Line"/>
    <x v="1"/>
    <x v="0"/>
    <x v="0"/>
    <x v="0"/>
    <x v="5"/>
    <n v="-334796.18000000005"/>
    <n v="-966780"/>
    <n v="631983.81999999995"/>
  </r>
  <r>
    <s v="K.10006.01.01.02"/>
    <s v="W_K.10006.01.01.02: ENC Thermal Plant Work"/>
    <x v="1"/>
    <x v="0"/>
    <x v="0"/>
    <x v="0"/>
    <x v="5"/>
    <n v="-1456724.73"/>
    <n v="-195278.32699202772"/>
    <n v="-1261446.4030079723"/>
  </r>
  <r>
    <s v="K.10007.01.01.02"/>
    <s v="W_K.10007.01.01.02: FERN Thermal Plant Work"/>
    <x v="1"/>
    <x v="0"/>
    <x v="0"/>
    <x v="0"/>
    <x v="5"/>
    <n v="-4161827.87"/>
    <n v="-315571.14894611394"/>
    <n v="-3846256.7210538862"/>
  </r>
  <r>
    <s v="K.10007.01.01.03"/>
    <s v="W_K.10007.01.01.03: FERN Major Maintenance Activity"/>
    <x v="1"/>
    <x v="0"/>
    <x v="0"/>
    <x v="0"/>
    <x v="5"/>
    <n v="-26306575.300000001"/>
    <n v="0"/>
    <n v="-26306575.300000001"/>
  </r>
  <r>
    <s v="K.10008.01.01.03"/>
    <s v="W_K.10008.01.01.03: FREDDY 1 Thermal Plant Work"/>
    <x v="1"/>
    <x v="0"/>
    <x v="0"/>
    <x v="0"/>
    <x v="5"/>
    <n v="-766151.29"/>
    <n v="-4455701.3619814906"/>
    <n v="3689550.0719814906"/>
  </r>
  <r>
    <s v="K.10009.01.01.03"/>
    <s v="W_K.10009.01.01.03: FRA Small Tools"/>
    <x v="1"/>
    <x v="0"/>
    <x v="0"/>
    <x v="0"/>
    <x v="5"/>
    <n v="-1423.3899999999999"/>
    <n v="-27.994684835583648"/>
    <n v="-1395.3953151644162"/>
  </r>
  <r>
    <s v="K.10009.01.01.04"/>
    <s v="W_K.10009.01.01.04: FRA Thermal Plant Work"/>
    <x v="1"/>
    <x v="0"/>
    <x v="0"/>
    <x v="0"/>
    <x v="5"/>
    <n v="-4466532.1399999997"/>
    <n v="0"/>
    <n v="-4466532.1399999997"/>
  </r>
  <r>
    <s v="K.10010.01.01.04"/>
    <s v="W_K.10010.01.01.04: FRE Thermal Plant Work"/>
    <x v="1"/>
    <x v="0"/>
    <x v="0"/>
    <x v="0"/>
    <x v="5"/>
    <n v="-481105.61"/>
    <n v="0"/>
    <n v="-481105.61"/>
  </r>
  <r>
    <s v="K.10013.01.01.01"/>
    <s v="W_K.10013.01.01.01: GLD Small Tools"/>
    <x v="1"/>
    <x v="0"/>
    <x v="0"/>
    <x v="0"/>
    <x v="5"/>
    <n v="-75472.11"/>
    <n v="0"/>
    <n v="-75472.11"/>
  </r>
  <r>
    <s v="K.10013.01.01.02"/>
    <s v="W_K.10013.01.01.02: GLD Thermal Plant Work"/>
    <x v="1"/>
    <x v="0"/>
    <x v="0"/>
    <x v="0"/>
    <x v="5"/>
    <n v="-619258.31000000006"/>
    <n v="0"/>
    <n v="-619258.31000000006"/>
  </r>
  <r>
    <s v="K.10015.01.01.01"/>
    <s v="W_K.10015.01.01.01: HPK Ongoing UOP Replacements"/>
    <x v="1"/>
    <x v="0"/>
    <x v="0"/>
    <x v="0"/>
    <x v="5"/>
    <n v="-2194459.17"/>
    <n v="-2039804.7649654183"/>
    <n v="-154654.40503458166"/>
  </r>
  <r>
    <s v="K.10015.01.01.02"/>
    <s v="W_K.10015.01.01.02: HPK Small Tools"/>
    <x v="1"/>
    <x v="0"/>
    <x v="0"/>
    <x v="0"/>
    <x v="5"/>
    <n v="-27766.219999999998"/>
    <n v="-47.150131837136961"/>
    <n v="-27719.06986816286"/>
  </r>
  <r>
    <s v="K.10015.01.01.03"/>
    <s v="W_K.10015.01.01.03: HPK Wind Plant Work"/>
    <x v="1"/>
    <x v="0"/>
    <x v="0"/>
    <x v="0"/>
    <x v="5"/>
    <n v="-2406.3499999999995"/>
    <n v="-8.220930000000001"/>
    <n v="-2398.1290699999995"/>
  </r>
  <r>
    <s v="K.10016.01.01.01"/>
    <s v="W_K.10016.01.01.01: JP Operational Capital"/>
    <x v="2"/>
    <x v="0"/>
    <x v="0"/>
    <x v="0"/>
    <x v="5"/>
    <n v="-1462705.48"/>
    <n v="-2612889.5491013769"/>
    <n v="1150184.0691013769"/>
  </r>
  <r>
    <s v="K.10017.01.01.01"/>
    <s v="W_K.10017.01.01.01: BKR Aquatic Riparian Habitat"/>
    <x v="1"/>
    <x v="0"/>
    <x v="0"/>
    <x v="0"/>
    <x v="5"/>
    <n v="-76346.58"/>
    <n v="0"/>
    <n v="-76346.58"/>
  </r>
  <r>
    <s v="K.10018.01.01.01"/>
    <s v="W_K.10018.01.01.01: LSR1 Ongoing Uop Replacements"/>
    <x v="1"/>
    <x v="0"/>
    <x v="0"/>
    <x v="0"/>
    <x v="5"/>
    <n v="-9827167.8300000019"/>
    <n v="-4646610.824600324"/>
    <n v="-5180557.0053996779"/>
  </r>
  <r>
    <s v="K.10018.01.01.02"/>
    <s v="W_K.10018.01.01.02: LSR1 Small Tools"/>
    <x v="1"/>
    <x v="0"/>
    <x v="0"/>
    <x v="0"/>
    <x v="5"/>
    <n v="-12479.72"/>
    <n v="0"/>
    <n v="-12479.72"/>
  </r>
  <r>
    <s v="K.10018.01.01.03"/>
    <s v="W_K.10018.01.01.03: LSR1 Wind Plant Work"/>
    <x v="1"/>
    <x v="0"/>
    <x v="0"/>
    <x v="0"/>
    <x v="5"/>
    <n v="-84891.27"/>
    <n v="0"/>
    <n v="-84891.27"/>
  </r>
  <r>
    <s v="K.10019.01.01.01"/>
    <s v="W_K.10019.01.01.01: MTF Small Tools"/>
    <x v="1"/>
    <x v="0"/>
    <x v="0"/>
    <x v="0"/>
    <x v="5"/>
    <n v="-108514.34"/>
    <n v="-361.50202961105344"/>
    <n v="-108152.83797038894"/>
  </r>
  <r>
    <s v="K.10019.01.01.02"/>
    <s v="W_K.10019.01.01.02: MTF Thermal Plant Work"/>
    <x v="1"/>
    <x v="0"/>
    <x v="0"/>
    <x v="0"/>
    <x v="5"/>
    <n v="-2603299.02"/>
    <n v="-1306704.4822524022"/>
    <n v="-1296594.5377475978"/>
  </r>
  <r>
    <s v="K.10021.01.01.01"/>
    <s v="W_K.10021.01.01.01: SNO Hydro Plant Work"/>
    <x v="1"/>
    <x v="0"/>
    <x v="0"/>
    <x v="0"/>
    <x v="5"/>
    <n v="-272266.40000000002"/>
    <n v="0"/>
    <n v="-272266.40000000002"/>
  </r>
  <r>
    <s v="K.10021.01.01.02"/>
    <s v="W_K.10021.01.01.02: SNO Small Tools"/>
    <x v="1"/>
    <x v="0"/>
    <x v="0"/>
    <x v="0"/>
    <x v="5"/>
    <n v="-7085.23"/>
    <n v="0"/>
    <n v="-7085.23"/>
  </r>
  <r>
    <s v="K.10023.01.01.02"/>
    <s v="W_K.10023.01.01.02: SMS Thermal Plant Work"/>
    <x v="1"/>
    <x v="0"/>
    <x v="0"/>
    <x v="0"/>
    <x v="5"/>
    <n v="-1555245.8742493314"/>
    <n v="0"/>
    <n v="-1555245.8742493314"/>
  </r>
  <r>
    <s v="K.10025.01.02.01"/>
    <s v="W_K.10025.01.02.01: LNG 1 Mile Pipe Connector"/>
    <x v="2"/>
    <x v="0"/>
    <x v="0"/>
    <x v="0"/>
    <x v="5"/>
    <n v="-480.01"/>
    <n v="0"/>
    <n v="-480.01"/>
  </r>
  <r>
    <s v="K.10025.01.02.02"/>
    <s v="W_K.10025.01.02.02: LNG 4 Mile Pipe To Plant"/>
    <x v="2"/>
    <x v="0"/>
    <x v="0"/>
    <x v="0"/>
    <x v="5"/>
    <n v="-267.82999999999947"/>
    <n v="0"/>
    <n v="-267.82999999999947"/>
  </r>
  <r>
    <s v="K.10025.02.01.01"/>
    <s v="W_K.10025.02.01.01: TLNG Operational Plant"/>
    <x v="2"/>
    <x v="0"/>
    <x v="0"/>
    <x v="0"/>
    <x v="5"/>
    <n v="-440382.14999999997"/>
    <n v="0"/>
    <n v="-440382.14999999997"/>
  </r>
  <r>
    <s v="K.10026.01.01.03"/>
    <s v="W_K.10026.01.01.03: WHH Small Tools"/>
    <x v="1"/>
    <x v="0"/>
    <x v="0"/>
    <x v="0"/>
    <x v="5"/>
    <n v="-28240.09"/>
    <n v="-291.34078131383092"/>
    <n v="-27948.749218686171"/>
  </r>
  <r>
    <s v="K.10026.01.01.04"/>
    <s v="W_K.10026.01.01.04: WHH Thermal Plant Work"/>
    <x v="1"/>
    <x v="0"/>
    <x v="0"/>
    <x v="0"/>
    <x v="5"/>
    <n v="-226808.65"/>
    <n v="0"/>
    <n v="-226808.65"/>
  </r>
  <r>
    <s v="K.10028.01.01.01"/>
    <s v="W_K.10028.01.01.01: WLD Small Tools"/>
    <x v="1"/>
    <x v="0"/>
    <x v="0"/>
    <x v="0"/>
    <x v="5"/>
    <n v="-1386.4999999999998"/>
    <n v="-12794.258073584531"/>
    <n v="11407.758073584531"/>
  </r>
  <r>
    <s v="K.10028.01.01.03"/>
    <s v="W_K.10028.01.01.03: WLD Wind Plant Work"/>
    <x v="1"/>
    <x v="0"/>
    <x v="0"/>
    <x v="0"/>
    <x v="5"/>
    <n v="-36492.78"/>
    <n v="0"/>
    <n v="-36492.78"/>
  </r>
  <r>
    <s v="K.10028.01.01.04"/>
    <s v="W_K.10028.01.01.04: WLD Ongoing UOP Replacements"/>
    <x v="1"/>
    <x v="0"/>
    <x v="0"/>
    <x v="0"/>
    <x v="5"/>
    <n v="-3485416.2700000009"/>
    <n v="-3095100.5623999964"/>
    <n v="-390315.70760000451"/>
  </r>
  <r>
    <s v="R.10005.01.01.01"/>
    <s v="W_R.10005.01.01.01: E Eastside 230Kv Subs Richards Creek"/>
    <x v="1"/>
    <x v="3"/>
    <x v="3"/>
    <x v="0"/>
    <x v="4"/>
    <m/>
    <m/>
    <n v="0"/>
  </r>
  <r>
    <s v="R.10005.01.01.02"/>
    <s v="W_R.10005.01.01.02: E Eastside 230Kv Subs Talbot Hill"/>
    <x v="1"/>
    <x v="2"/>
    <x v="2"/>
    <x v="1"/>
    <x v="4"/>
    <n v="-423.68"/>
    <n v="-1007314.4742219325"/>
    <n v="1006890.7942219324"/>
  </r>
  <r>
    <s v="R.10005.01.01.07"/>
    <s v="W_R.10005.01.01.07: E Eastside 230Kv Tlines"/>
    <x v="1"/>
    <x v="3"/>
    <x v="3"/>
    <x v="0"/>
    <x v="4"/>
    <m/>
    <m/>
    <n v="0"/>
  </r>
  <r>
    <s v="R.10006.01.01.03"/>
    <s v="W_R.10006.01.01.03: E Substation SCADA CEIP"/>
    <x v="1"/>
    <x v="4"/>
    <x v="4"/>
    <x v="2"/>
    <x v="4"/>
    <n v="-5194074.5275619645"/>
    <n v="-10122925.179183614"/>
    <n v="4928850.651621649"/>
  </r>
  <r>
    <s v="R.10006.01.01.04"/>
    <s v="W_R.10006.01.01.04: E Trans Automation"/>
    <x v="1"/>
    <x v="4"/>
    <x v="4"/>
    <x v="2"/>
    <x v="4"/>
    <n v="-499538.91000000003"/>
    <n v="-1434359.9340381329"/>
    <n v="934821.02403813286"/>
  </r>
  <r>
    <s v="R.10006.01.01.07"/>
    <s v="W_R.10006.01.01.07: E Electric System Modeling"/>
    <x v="1"/>
    <x v="4"/>
    <x v="4"/>
    <x v="2"/>
    <x v="4"/>
    <n v="-155913.93"/>
    <n v="0"/>
    <n v="-155913.93"/>
  </r>
  <r>
    <s v="R.10007.06.01.01"/>
    <s v="W_R.10007.06.01.01: E 5 Yr Electric Refundable CIAC"/>
    <x v="1"/>
    <x v="5"/>
    <x v="5"/>
    <x v="3"/>
    <x v="4"/>
    <n v="14562652.299999999"/>
    <n v="6382400.0000000037"/>
    <n v="8180252.2999999952"/>
  </r>
  <r>
    <s v="R.10007.07.01.01"/>
    <s v="W_R.10007.07.01.01: E Customer Reimbursed"/>
    <x v="1"/>
    <x v="6"/>
    <x v="5"/>
    <x v="3"/>
    <x v="4"/>
    <n v="-8041.6500000000005"/>
    <n v="-3258429.238160836"/>
    <n v="3250387.5881608361"/>
  </r>
  <r>
    <s v="R.10007.08.01.01"/>
    <s v="W_R.10007.08.01.01: E OH UG Commercial Services"/>
    <x v="1"/>
    <x v="6"/>
    <x v="5"/>
    <x v="3"/>
    <x v="4"/>
    <n v="-5512507.0853848783"/>
    <n v="-3452.753015949349"/>
    <n v="-5509054.3323689289"/>
  </r>
  <r>
    <s v="R.10007.08.02.01"/>
    <s v="W_R.10007.08.02.01: E OH UG Residential Services"/>
    <x v="1"/>
    <x v="6"/>
    <x v="5"/>
    <x v="3"/>
    <x v="4"/>
    <n v="-7582881.0731643969"/>
    <n v="-17543.818873808475"/>
    <n v="-7565337.2542905882"/>
  </r>
  <r>
    <s v="R.10007.08.02.02"/>
    <s v="W_R.10007.08.02.02: E UG Residential Services In Plats"/>
    <x v="1"/>
    <x v="6"/>
    <x v="5"/>
    <x v="3"/>
    <x v="4"/>
    <n v="-646283.88695918606"/>
    <n v="0"/>
    <n v="-646283.88695918606"/>
  </r>
  <r>
    <s v="R.10007.09.01.01"/>
    <s v="W_R.10007.09.01.01: E Commercial Line Extension"/>
    <x v="1"/>
    <x v="6"/>
    <x v="5"/>
    <x v="3"/>
    <x v="4"/>
    <n v="-30083911.437621254"/>
    <n v="-328048.10019989865"/>
    <n v="-29755863.337421358"/>
  </r>
  <r>
    <s v="R.10007.09.02.01"/>
    <s v="W_R.10007.09.02.01: E Multi Family Line Extension"/>
    <x v="1"/>
    <x v="6"/>
    <x v="5"/>
    <x v="3"/>
    <x v="4"/>
    <n v="-7266526.9215241875"/>
    <n v="-449542.03568699415"/>
    <n v="-6816984.8858371936"/>
  </r>
  <r>
    <s v="R.10007.09.03.02"/>
    <s v="W_R.10007.09.03.02: E Plats Line Extension"/>
    <x v="1"/>
    <x v="6"/>
    <x v="5"/>
    <x v="3"/>
    <x v="4"/>
    <n v="-16922789.327885289"/>
    <n v="-251838.00168329367"/>
    <n v="-16670951.326201996"/>
  </r>
  <r>
    <s v="R.10007.09.04.01"/>
    <s v="W_R.10007.09.04.01: E Single Family Line Extension"/>
    <x v="1"/>
    <x v="6"/>
    <x v="5"/>
    <x v="3"/>
    <x v="4"/>
    <n v="-15356014.49040377"/>
    <n v="-194567.04748128986"/>
    <n v="-15161447.44292248"/>
  </r>
  <r>
    <s v="R.10007.12.01.01"/>
    <s v="W_R.10007.12.01.01: E Microsoft Campus Rebuild"/>
    <x v="1"/>
    <x v="2"/>
    <x v="2"/>
    <x v="1"/>
    <x v="4"/>
    <n v="779464.2824756623"/>
    <n v="0"/>
    <n v="779464.2824756623"/>
  </r>
  <r>
    <s v="R.10007.12.03.01"/>
    <s v="W_R.10007.12.03.01: E Customer Reimbursed Major Projects"/>
    <x v="1"/>
    <x v="7"/>
    <x v="4"/>
    <x v="4"/>
    <x v="4"/>
    <n v="734743.39999999991"/>
    <n v="0"/>
    <n v="734743.39999999991"/>
  </r>
  <r>
    <s v="R.10008.01.01.01"/>
    <s v="W_R.10008.01.01.01: E Conversions Sched 73 Cust Driven"/>
    <x v="1"/>
    <x v="8"/>
    <x v="5"/>
    <x v="3"/>
    <x v="4"/>
    <n v="-810990.75939100282"/>
    <n v="-1757174.0094785567"/>
    <n v="946183.25008755387"/>
  </r>
  <r>
    <s v="R.10008.01.01.02"/>
    <s v="W_R.10008.01.01.02: E OH UG Reloc - Removal Cust Driven Dist"/>
    <x v="1"/>
    <x v="8"/>
    <x v="5"/>
    <x v="3"/>
    <x v="4"/>
    <n v="-1131792.849469675"/>
    <n v="-2096.7850320589341"/>
    <n v="-1129696.0644376162"/>
  </r>
  <r>
    <s v="R.10008.03.01.01"/>
    <s v="W_R.10008.03.01.01: E Conversions Sched 74 PI Driven"/>
    <x v="1"/>
    <x v="8"/>
    <x v="5"/>
    <x v="3"/>
    <x v="4"/>
    <n v="-3259646.2076432169"/>
    <n v="-129512.63623745092"/>
    <n v="-3130133.5714057661"/>
  </r>
  <r>
    <s v="R.10008.03.01.03"/>
    <s v="W_R.10008.03.01.03: E OH UG Rel PI Driven NonReimb Dist"/>
    <x v="1"/>
    <x v="8"/>
    <x v="5"/>
    <x v="3"/>
    <x v="4"/>
    <n v="-13148591.727722567"/>
    <n v="-939758.49658805644"/>
    <n v="-12208833.23113451"/>
  </r>
  <r>
    <s v="R.10008.03.01.04"/>
    <s v="W_R.10008.03.01.04: E OH UG Rel PI Driven Reimburse Dist"/>
    <x v="1"/>
    <x v="8"/>
    <x v="5"/>
    <x v="3"/>
    <x v="4"/>
    <n v="-2124295.2299937215"/>
    <n v="-1273712.1873202061"/>
    <n v="-850583.04267351539"/>
  </r>
  <r>
    <s v="R.10008.03.01.05"/>
    <s v="W_R.10008.03.01.05: E PI Driven Relocations Trans"/>
    <x v="1"/>
    <x v="8"/>
    <x v="5"/>
    <x v="3"/>
    <x v="4"/>
    <n v="-1637663"/>
    <n v="-42777.416438186134"/>
    <n v="-1594885.5835618139"/>
  </r>
  <r>
    <s v="R.10008.03.01.14"/>
    <s v="W_R.10008.03.01.14: E Sound Transit Reimburse"/>
    <x v="1"/>
    <x v="2"/>
    <x v="2"/>
    <x v="1"/>
    <x v="4"/>
    <n v="-757576.12361765897"/>
    <n v="-197094.4790335955"/>
    <n v="-560481.64458406344"/>
  </r>
  <r>
    <s v="R.10008.03.01.18"/>
    <s v="W_R.10008.03.01.18: E WSDOT Fish Passage Relocation"/>
    <x v="1"/>
    <x v="2"/>
    <x v="2"/>
    <x v="1"/>
    <x v="4"/>
    <n v="-1292404.7968045236"/>
    <n v="0"/>
    <n v="-1292404.7968045236"/>
  </r>
  <r>
    <s v="R.10008.05.01.01"/>
    <s v="W_R.10008.05.01.01: E Sound Transit Dist"/>
    <x v="1"/>
    <x v="2"/>
    <x v="2"/>
    <x v="1"/>
    <x v="4"/>
    <n v="-472148.33"/>
    <n v="0"/>
    <n v="-472148.33"/>
  </r>
  <r>
    <s v="R.10008.05.01.02"/>
    <s v="W_R.10008.05.01.02: E Sound Transit East Link Dist"/>
    <x v="1"/>
    <x v="2"/>
    <x v="2"/>
    <x v="1"/>
    <x v="4"/>
    <n v="-7722.8900000000012"/>
    <n v="0"/>
    <n v="-7722.8900000000012"/>
  </r>
  <r>
    <s v="R.10008.07.01.01"/>
    <s v="W_R.10008.07.01.01: E WSDOT Clr Zone Pole Prog Dist"/>
    <x v="1"/>
    <x v="8"/>
    <x v="5"/>
    <x v="3"/>
    <x v="4"/>
    <n v="-54192.090000000004"/>
    <n v="-2601507.427617657"/>
    <n v="2547315.3376176571"/>
  </r>
  <r>
    <s v="R.10009.01.01.01"/>
    <s v="W_R.10009.01.01.01: E BPA 3rd AC Transmission Intertie Work"/>
    <x v="1"/>
    <x v="2"/>
    <x v="2"/>
    <x v="1"/>
    <x v="4"/>
    <n v="-5735.3399999999983"/>
    <n v="-1303933.4285756261"/>
    <n v="1298198.088575626"/>
  </r>
  <r>
    <s v="R.10009.02.01.03"/>
    <s v="W_R.10009.02.01.03: E Central Bellevue Dist Rel Feeder"/>
    <x v="1"/>
    <x v="4"/>
    <x v="4"/>
    <x v="2"/>
    <x v="4"/>
    <n v="-267380.51999999996"/>
    <n v="-2498008.7604297181"/>
    <n v="2230628.240429718"/>
  </r>
  <r>
    <s v="R.10009.04.01.02"/>
    <s v="W_R.10009.04.01.02: E Damage Claims Cap Writeoff"/>
    <x v="1"/>
    <x v="0"/>
    <x v="0"/>
    <x v="0"/>
    <x v="2"/>
    <n v="-2517619.42"/>
    <n v="0"/>
    <n v="-2517619.42"/>
  </r>
  <r>
    <s v="R.10009.05.01.01"/>
    <s v="W_R.10009.05.01.01: E Emergency NonOutage OH Repl Dist"/>
    <x v="1"/>
    <x v="9"/>
    <x v="4"/>
    <x v="5"/>
    <x v="4"/>
    <n v="-2406256.4755644454"/>
    <n v="-3642840.7176343375"/>
    <n v="1236584.2420698921"/>
  </r>
  <r>
    <s v="R.10009.05.01.02"/>
    <s v="W_R.10009.05.01.02: E Emergency NonOutage OH Repl Trans"/>
    <x v="1"/>
    <x v="9"/>
    <x v="4"/>
    <x v="5"/>
    <x v="4"/>
    <n v="-2372040.1500000004"/>
    <n v="-1756507.0783757369"/>
    <n v="-615533.07162426342"/>
  </r>
  <r>
    <s v="R.10009.05.01.03"/>
    <s v="W_R.10009.05.01.03: E Emergency NonOutage UG Repl Dist"/>
    <x v="1"/>
    <x v="9"/>
    <x v="4"/>
    <x v="5"/>
    <x v="4"/>
    <n v="-2139720.5425188881"/>
    <n v="-1606939.8124574216"/>
    <n v="-532780.73006146657"/>
  </r>
  <r>
    <s v="R.10009.05.02.01"/>
    <s v="W_R.10009.05.02.01: E Emergency OH Replacement Trans"/>
    <x v="1"/>
    <x v="9"/>
    <x v="4"/>
    <x v="5"/>
    <x v="4"/>
    <n v="-6318232.3241704041"/>
    <n v="-1189417.440160949"/>
    <n v="-5128814.8840094553"/>
  </r>
  <r>
    <s v="R.10009.05.02.02"/>
    <s v="W_R.10009.05.02.02: E Emergency Outage OH Replacement Dist"/>
    <x v="1"/>
    <x v="9"/>
    <x v="4"/>
    <x v="5"/>
    <x v="4"/>
    <n v="-25478963.849993762"/>
    <n v="-16869284.057530042"/>
    <n v="-8609679.7924637198"/>
  </r>
  <r>
    <s v="R.10009.05.02.03"/>
    <s v="W_R.10009.05.02.03: E Emergency Outage UG Replacement Dist"/>
    <x v="1"/>
    <x v="9"/>
    <x v="4"/>
    <x v="5"/>
    <x v="4"/>
    <n v="-30365295.775305152"/>
    <n v="-18644248.913706027"/>
    <n v="-11721046.861599125"/>
  </r>
  <r>
    <s v="R.10009.05.02.04"/>
    <s v="W_R.10009.05.02.04: E Unplanned OH Distribution Abnormals"/>
    <x v="1"/>
    <x v="9"/>
    <x v="4"/>
    <x v="5"/>
    <x v="4"/>
    <n v="-4177086.3413060443"/>
    <n v="-5064605.6706447974"/>
    <n v="887519.32933875313"/>
  </r>
  <r>
    <s v="R.10009.05.02.05"/>
    <s v="W_R.10009.05.02.05: E Unplanned UG Distribution Abnormals"/>
    <x v="1"/>
    <x v="9"/>
    <x v="4"/>
    <x v="5"/>
    <x v="4"/>
    <n v="-6532201.7105618957"/>
    <n v="-77270.408691708741"/>
    <n v="-6454931.3018701868"/>
  </r>
  <r>
    <s v="R.10009.07.01.01"/>
    <s v="W_R.10009.07.01.01: E OH System Capacity New Dist"/>
    <x v="1"/>
    <x v="10"/>
    <x v="4"/>
    <x v="0"/>
    <x v="4"/>
    <n v="5362.9899999999989"/>
    <n v="0"/>
    <n v="5362.9899999999989"/>
  </r>
  <r>
    <s v="R.10009.07.01.03"/>
    <s v="W_R.10009.07.01.03: E UG System Capacity New Dist"/>
    <x v="1"/>
    <x v="10"/>
    <x v="4"/>
    <x v="0"/>
    <x v="4"/>
    <n v="-2746811.24"/>
    <n v="-534307.19782597886"/>
    <n v="-2212504.0421740212"/>
  </r>
  <r>
    <s v="R.10009.07.01.07"/>
    <s v="W_R.10009.07.01.07: E System Planning Software"/>
    <x v="1"/>
    <x v="2"/>
    <x v="2"/>
    <x v="1"/>
    <x v="4"/>
    <n v="-43840.73"/>
    <n v="0"/>
    <n v="-43840.73"/>
  </r>
  <r>
    <s v="R.10009.07.03.01"/>
    <s v="W_R.10009.07.03.01: E OH UG System Improv Opport New Dist"/>
    <x v="1"/>
    <x v="8"/>
    <x v="5"/>
    <x v="3"/>
    <x v="4"/>
    <n v="-289356.60653857101"/>
    <n v="-23122.496188339908"/>
    <n v="-266234.11035023112"/>
  </r>
  <r>
    <s v="R.10009.08.01.02"/>
    <s v="W_R.10009.08.01.02: E UG Cable Remediation Dist"/>
    <x v="1"/>
    <x v="4"/>
    <x v="4"/>
    <x v="2"/>
    <x v="4"/>
    <n v="-13184031.87364202"/>
    <n v="-13489572.617585285"/>
    <n v="305540.74394326471"/>
  </r>
  <r>
    <s v="R.10009.08.01.07"/>
    <s v="W_R.10009.08.01.07: E UG Cable Remediation Progr IPM"/>
    <x v="1"/>
    <x v="4"/>
    <x v="4"/>
    <x v="2"/>
    <x v="4"/>
    <n v="-26591228.166296277"/>
    <n v="0"/>
    <n v="-26591228.166296277"/>
  </r>
  <r>
    <s v="R.10009.08.02.05"/>
    <s v="W_R.10009.08.02.05: E OH Clearance Alley Syst Dist"/>
    <x v="1"/>
    <x v="4"/>
    <x v="4"/>
    <x v="2"/>
    <x v="4"/>
    <n v="-8130037.159317242"/>
    <n v="-46177442.508803926"/>
    <n v="38047405.349486686"/>
  </r>
  <r>
    <s v="R.10009.08.02.07"/>
    <s v="W_R.10009.08.02.07: E OH Sys Rel Upgrades Outage Dist"/>
    <x v="1"/>
    <x v="4"/>
    <x v="4"/>
    <x v="2"/>
    <x v="4"/>
    <n v="-1991093.3701229529"/>
    <n v="-12358911.537837982"/>
    <n v="10367818.16771503"/>
  </r>
  <r>
    <s v="R.10009.08.02.09"/>
    <s v="W_R.10009.08.02.09: E OH Syst Rel Upgrades Rebuild Dist"/>
    <x v="1"/>
    <x v="4"/>
    <x v="4"/>
    <x v="2"/>
    <x v="4"/>
    <n v="-4644157.8318888973"/>
    <n v="-3468753.4409467499"/>
    <n v="-1175404.3909421475"/>
  </r>
  <r>
    <s v="R.10009.08.02.10"/>
    <s v="W_R.10009.08.02.10: E OH Syst Rel Upgrades UG Convers Dist"/>
    <x v="1"/>
    <x v="4"/>
    <x v="4"/>
    <x v="2"/>
    <x v="4"/>
    <n v="-13874827.599354368"/>
    <n v="-2743343.3116766242"/>
    <n v="-11131484.287677743"/>
  </r>
  <r>
    <s v="R.10009.08.02.11"/>
    <s v="W_R.10009.08.02.11: E OH Syst Rel Upgr Gang OP Switches Dist"/>
    <x v="1"/>
    <x v="2"/>
    <x v="2"/>
    <x v="1"/>
    <x v="4"/>
    <n v="-135145.16999999998"/>
    <n v="0"/>
    <n v="-135145.16999999998"/>
  </r>
  <r>
    <s v="R.10009.08.02.12"/>
    <s v="W_R.10009.08.02.12: E OH Syst Rel Upgr Reclosers Dist"/>
    <x v="1"/>
    <x v="2"/>
    <x v="2"/>
    <x v="1"/>
    <x v="4"/>
    <n v="-3089040.7899999996"/>
    <n v="-2883351.1757637528"/>
    <n v="-205689.61423624679"/>
  </r>
  <r>
    <s v="R.10009.08.02.14"/>
    <s v="W_R.10009.08.02.14: E OH Syst Rel Upgr Tree WirE Dist"/>
    <x v="1"/>
    <x v="4"/>
    <x v="4"/>
    <x v="2"/>
    <x v="4"/>
    <n v="-19054204.977935247"/>
    <n v="-11728176.84713937"/>
    <n v="-7326028.1307958774"/>
  </r>
  <r>
    <s v="R.10009.08.02.15"/>
    <s v="W_R.10009.08.02.15: E OH Syst Rel Upgr Fusesaver Dist"/>
    <x v="1"/>
    <x v="4"/>
    <x v="4"/>
    <x v="2"/>
    <x v="4"/>
    <n v="-1311998.2014965296"/>
    <n v="-2842255.0083662439"/>
    <n v="1530256.8068697143"/>
  </r>
  <r>
    <s v="R.10009.08.02.17"/>
    <s v="W_R.10009.08.02.17: E OH System Capacity Upgrade Dist"/>
    <x v="1"/>
    <x v="4"/>
    <x v="4"/>
    <x v="2"/>
    <x v="4"/>
    <n v="-11013199.759829553"/>
    <n v="-598051.27450237027"/>
    <n v="-10415148.485327182"/>
  </r>
  <r>
    <s v="R.10009.08.02.19"/>
    <s v="W_R.10009.08.02.19: E OH System Reliability Upgrades Trans"/>
    <x v="1"/>
    <x v="2"/>
    <x v="2"/>
    <x v="1"/>
    <x v="4"/>
    <n v="-140467.14000000001"/>
    <n v="-343.58994116342234"/>
    <n v="-140123.55005883658"/>
  </r>
  <r>
    <s v="R.10009.08.02.22"/>
    <s v="W_R.10009.08.02.22: E 6 Copper Open Wire 2nd Repl Dist"/>
    <x v="1"/>
    <x v="4"/>
    <x v="4"/>
    <x v="2"/>
    <x v="4"/>
    <n v="-963883.77984976454"/>
    <n v="0"/>
    <n v="-963883.77984976454"/>
  </r>
  <r>
    <s v="R.10009.08.02.24"/>
    <s v="W_R.10009.08.02.24: E Sedro Mar Pt 230 Remediate Underbuild"/>
    <x v="1"/>
    <x v="2"/>
    <x v="2"/>
    <x v="1"/>
    <x v="4"/>
    <n v="-20759.32"/>
    <n v="0"/>
    <n v="-20759.32"/>
  </r>
  <r>
    <s v="R.10009.08.02.25"/>
    <s v="W_R.10009.08.02.25: E UG Syst Rel Upgrades Dist"/>
    <x v="1"/>
    <x v="4"/>
    <x v="4"/>
    <x v="2"/>
    <x v="4"/>
    <n v="-15526234.392010286"/>
    <n v="-161747.64343363733"/>
    <n v="-15364486.748576649"/>
  </r>
  <r>
    <s v="R.10009.08.02.28"/>
    <s v="W_R.10009.08.02.28: E UG System Capacity Upgrade Dist"/>
    <x v="1"/>
    <x v="2"/>
    <x v="2"/>
    <x v="1"/>
    <x v="4"/>
    <n v="-944312.64973241067"/>
    <n v="-2439.4244755307986"/>
    <n v="-941873.22525687993"/>
  </r>
  <r>
    <s v="R.10009.08.03.01"/>
    <s v="W_R.10009.08.03.01: E Fish And Wildlife Program Dist"/>
    <x v="1"/>
    <x v="0"/>
    <x v="0"/>
    <x v="0"/>
    <x v="2"/>
    <n v="-277293.58741736418"/>
    <n v="0"/>
    <n v="-277293.58741736418"/>
  </r>
  <r>
    <s v="R.10009.08.05.02"/>
    <s v="W_R.10009.08.05.02: E Emergent Pole Replacement Dist"/>
    <x v="1"/>
    <x v="9"/>
    <x v="4"/>
    <x v="5"/>
    <x v="4"/>
    <n v="-4360134.8086507739"/>
    <n v="-1208886.284194574"/>
    <n v="-3151248.5244562002"/>
  </r>
  <r>
    <s v="R.10009.08.05.03"/>
    <s v="W_R.10009.08.05.03: E Emergent Pole Replacement Trans"/>
    <x v="1"/>
    <x v="9"/>
    <x v="4"/>
    <x v="5"/>
    <x v="4"/>
    <n v="-38573.47"/>
    <n v="-219797.88139630793"/>
    <n v="181224.41139630793"/>
  </r>
  <r>
    <s v="R.10009.08.05.05"/>
    <s v="W_R.10009.08.05.05: E Pole Replacement Plan Dist"/>
    <x v="1"/>
    <x v="4"/>
    <x v="4"/>
    <x v="2"/>
    <x v="4"/>
    <n v="-6867195.1160102468"/>
    <n v="-27730275.612953339"/>
    <n v="20863080.496943094"/>
  </r>
  <r>
    <s v="R.10009.08.05.07"/>
    <s v="W_R.10009.08.05.07: E Pole Replacement Plan Trans"/>
    <x v="1"/>
    <x v="4"/>
    <x v="4"/>
    <x v="2"/>
    <x v="4"/>
    <n v="-11986074.226060275"/>
    <n v="-5896473.0104704974"/>
    <n v="-6089601.2155897776"/>
  </r>
  <r>
    <s v="R.10009.08.05.16"/>
    <s v="W_R.10009.08.05.16: E Pole Inspection and Restoration Dist"/>
    <x v="1"/>
    <x v="4"/>
    <x v="4"/>
    <x v="2"/>
    <x v="4"/>
    <n v="-1037790.98"/>
    <n v="-132602.58469901333"/>
    <n v="-905188.39530098671"/>
  </r>
  <r>
    <s v="R.10009.08.05.17"/>
    <s v="W_R.10009.08.05.17: E Pole Inspection and Restoration Trans"/>
    <x v="1"/>
    <x v="4"/>
    <x v="4"/>
    <x v="2"/>
    <x v="4"/>
    <n v="-115430.08000000002"/>
    <n v="-8484.2528510976499"/>
    <n v="-106945.82714890236"/>
  </r>
  <r>
    <s v="R.10009.12.01.01"/>
    <s v="W_R.10009.12.01.01: C AMI Network Installations Gen Plant"/>
    <x v="0"/>
    <x v="11"/>
    <x v="4"/>
    <x v="6"/>
    <x v="6"/>
    <n v="-80813.69"/>
    <n v="0"/>
    <n v="-80813.69"/>
  </r>
  <r>
    <s v="R.10009.12.01.03"/>
    <s v="W_R.10009.12.01.03: E AMI Netwrk Installtion TransDist"/>
    <x v="1"/>
    <x v="11"/>
    <x v="4"/>
    <x v="6"/>
    <x v="6"/>
    <n v="-100838.31000000001"/>
    <n v="0"/>
    <n v="-100838.31000000001"/>
  </r>
  <r>
    <s v="R.10009.12.01.04"/>
    <s v="W_R.10009.12.01.04: E AMI Electric Meter Deployment"/>
    <x v="1"/>
    <x v="11"/>
    <x v="4"/>
    <x v="6"/>
    <x v="6"/>
    <n v="-27840619.771862037"/>
    <n v="-104544526.2964678"/>
    <n v="76703906.524605751"/>
  </r>
  <r>
    <s v="R.10009.12.01.05"/>
    <s v="W_R.10009.12.01.05: G AMI Gas Module Deployment"/>
    <x v="2"/>
    <x v="11"/>
    <x v="4"/>
    <x v="6"/>
    <x v="6"/>
    <n v="-6439970.9736460894"/>
    <n v="-62537804.720619835"/>
    <n v="56097833.746973746"/>
  </r>
  <r>
    <s v="R.10009.12.01.08"/>
    <s v="W_R.10009.12.01.08: E Opt Out AMR to NCM Capital Exch"/>
    <x v="1"/>
    <x v="2"/>
    <x v="2"/>
    <x v="1"/>
    <x v="4"/>
    <n v="-7171.4800000000005"/>
    <n v="61120.296803631776"/>
    <n v="-68291.776803631772"/>
  </r>
  <r>
    <s v="R.10009.12.01.09"/>
    <s v="W_R.10009.12.01.09: G Opt Out AMI to NCM Capital Exch"/>
    <x v="2"/>
    <x v="2"/>
    <x v="2"/>
    <x v="1"/>
    <x v="4"/>
    <n v="-270.436445034256"/>
    <n v="-2399.9999999999973"/>
    <n v="2129.5635549657413"/>
  </r>
  <r>
    <s v="R.10009.12.03.01"/>
    <s v="W_R.10009.12.03.01: E Distribution Automation Dist"/>
    <x v="1"/>
    <x v="4"/>
    <x v="4"/>
    <x v="2"/>
    <x v="4"/>
    <n v="-4055737.6486428548"/>
    <n v="-9717623.2223387007"/>
    <n v="5661885.5736958459"/>
  </r>
  <r>
    <s v="R.10009.14.04.01"/>
    <s v="W_R.10009.14.04.01: E Substation Replacement SpcC Dist"/>
    <x v="1"/>
    <x v="4"/>
    <x v="4"/>
    <x v="2"/>
    <x v="4"/>
    <n v="-23434.89"/>
    <n v="0"/>
    <n v="-23434.89"/>
  </r>
  <r>
    <s v="R.10009.14.05.02"/>
    <s v="W_R.10009.14.05.02: E Emergent Substation Replacement Dist"/>
    <x v="1"/>
    <x v="9"/>
    <x v="4"/>
    <x v="5"/>
    <x v="4"/>
    <n v="-6192262.1800000006"/>
    <n v="-6277278.1563269272"/>
    <n v="85015.976326926611"/>
  </r>
  <r>
    <s v="R.10009.14.05.03"/>
    <s v="W_R.10009.14.05.03: E Emergent Substation Replacement Trans"/>
    <x v="1"/>
    <x v="9"/>
    <x v="4"/>
    <x v="5"/>
    <x v="4"/>
    <n v="-2189643.1"/>
    <n v="-2472772.7424335591"/>
    <n v="283129.64243355906"/>
  </r>
  <r>
    <s v="R.10009.14.05.06"/>
    <s v="W_R.10009.14.05.06: E Substation Reliability Dist"/>
    <x v="1"/>
    <x v="4"/>
    <x v="4"/>
    <x v="2"/>
    <x v="4"/>
    <n v="-10412305.507208887"/>
    <n v="-14286949.097328121"/>
    <n v="3874643.5901192334"/>
  </r>
  <r>
    <s v="R.10009.14.05.07"/>
    <s v="W_R.10009.14.05.07: E Subs Replacement Fuses Dist"/>
    <x v="1"/>
    <x v="4"/>
    <x v="4"/>
    <x v="2"/>
    <x v="4"/>
    <n v="-15464.249154319601"/>
    <n v="-12557.455440509662"/>
    <n v="-2906.7937138099387"/>
  </r>
  <r>
    <s v="R.10009.14.05.09"/>
    <s v="W_R.10009.14.05.09: E Substation Reliability Trans"/>
    <x v="1"/>
    <x v="2"/>
    <x v="2"/>
    <x v="1"/>
    <x v="4"/>
    <n v="-1854282.2609922818"/>
    <n v="0"/>
    <n v="-1854282.2609922818"/>
  </r>
  <r>
    <s v="R.10009.14.07.01"/>
    <s v="W_R.10009.14.07.01: E Subs Replacement Breaker Replcmt Trans"/>
    <x v="1"/>
    <x v="4"/>
    <x v="4"/>
    <x v="2"/>
    <x v="4"/>
    <n v="-8155.2199999999993"/>
    <n v="-282885.45113292593"/>
    <n v="274730.23113292595"/>
  </r>
  <r>
    <s v="R.10009.17.01.01"/>
    <s v="W_R.10009.17.01.01: E Mazama Pcket Gopher Habitat Mitigation"/>
    <x v="1"/>
    <x v="2"/>
    <x v="2"/>
    <x v="1"/>
    <x v="4"/>
    <n v="-106259.76000000001"/>
    <n v="-350000.00000000041"/>
    <n v="243740.2400000004"/>
  </r>
  <r>
    <s v="R.10011.01.01.03"/>
    <s v="W_R.10011.01.01.03: G Gas System Monitoring Equip Replc"/>
    <x v="2"/>
    <x v="12"/>
    <x v="4"/>
    <x v="7"/>
    <x v="4"/>
    <n v="-453596.06000000006"/>
    <n v="-1187215.4833934451"/>
    <n v="733619.42339344509"/>
  </r>
  <r>
    <s v="R.10011.01.01.04"/>
    <s v="W_R.10011.01.01.04: G Gauges Sems Dist"/>
    <x v="2"/>
    <x v="12"/>
    <x v="4"/>
    <x v="7"/>
    <x v="4"/>
    <n v="-142381.01"/>
    <n v="-188614.82987705726"/>
    <n v="46233.819877057249"/>
  </r>
  <r>
    <s v="R.10011.01.01.06"/>
    <s v="W_R.10011.01.01.06: G Remote Telemetry Units Dist"/>
    <x v="2"/>
    <x v="2"/>
    <x v="2"/>
    <x v="1"/>
    <x v="4"/>
    <n v="-122749.41"/>
    <n v="0"/>
    <n v="-122749.41"/>
  </r>
  <r>
    <s v="R.10011.01.01.07"/>
    <s v="W_R.10011.01.01.07: G Williams Pipeline Equipment Upgrades"/>
    <x v="2"/>
    <x v="13"/>
    <x v="4"/>
    <x v="8"/>
    <x v="4"/>
    <n v="-320771.7"/>
    <n v="-576037.5544989194"/>
    <n v="255265.85449891939"/>
  </r>
  <r>
    <s v="R.10012.01.01.01"/>
    <s v="W_R.10012.01.01.01: G Altered Modified Comm Ind Mains"/>
    <x v="2"/>
    <x v="14"/>
    <x v="5"/>
    <x v="9"/>
    <x v="4"/>
    <n v="-1472992.01"/>
    <n v="0"/>
    <n v="-1472992.01"/>
  </r>
  <r>
    <s v="R.10012.01.01.02"/>
    <s v="W_R.10012.01.01.02: G Altered Modified Comm Ind Service"/>
    <x v="2"/>
    <x v="14"/>
    <x v="5"/>
    <x v="9"/>
    <x v="4"/>
    <n v="-2093679.8505118317"/>
    <n v="-19817.837709763291"/>
    <n v="-2073862.0128020684"/>
  </r>
  <r>
    <s v="R.10012.01.02.01"/>
    <s v="W_R.10012.01.02.01: G Altered Modified Residential Mains"/>
    <x v="2"/>
    <x v="14"/>
    <x v="5"/>
    <x v="9"/>
    <x v="4"/>
    <n v="-322903.42423175828"/>
    <n v="-34389.036907058799"/>
    <n v="-288514.38732469949"/>
  </r>
  <r>
    <s v="R.10012.01.02.02"/>
    <s v="W_R.10012.01.02.02: G Altered Modified Residential Services"/>
    <x v="2"/>
    <x v="14"/>
    <x v="5"/>
    <x v="9"/>
    <x v="4"/>
    <n v="-11895177.780253317"/>
    <n v="-17159.511265195943"/>
    <n v="-11878018.268988121"/>
  </r>
  <r>
    <s v="R.10012.02.01.01"/>
    <s v="W_R.10012.02.01.01: G 5 Yr Gas Refundable CIAC"/>
    <x v="2"/>
    <x v="15"/>
    <x v="5"/>
    <x v="9"/>
    <x v="4"/>
    <n v="198563.8"/>
    <n v="3005100"/>
    <n v="-2806536.2"/>
  </r>
  <r>
    <s v="R.10012.03.01.01"/>
    <s v="W_R.10012.03.01.01: G Commercial Industrial Mains"/>
    <x v="2"/>
    <x v="14"/>
    <x v="5"/>
    <x v="9"/>
    <x v="4"/>
    <n v="-10504158.727816181"/>
    <n v="-177108.11498440625"/>
    <n v="-10327050.612831775"/>
  </r>
  <r>
    <s v="R.10012.03.02.01"/>
    <s v="W_R.10012.03.02.01: G Multi Family Mains"/>
    <x v="2"/>
    <x v="14"/>
    <x v="5"/>
    <x v="9"/>
    <x v="4"/>
    <n v="-2768771.462433415"/>
    <n v="-35940.955616185987"/>
    <n v="-2732830.5068172291"/>
  </r>
  <r>
    <s v="R.10012.03.03.01"/>
    <s v="W_R.10012.03.03.01: G Plats Mains"/>
    <x v="2"/>
    <x v="14"/>
    <x v="5"/>
    <x v="9"/>
    <x v="4"/>
    <n v="-8307148.0599999996"/>
    <n v="-337792.25247504498"/>
    <n v="-7969355.8075249549"/>
  </r>
  <r>
    <s v="R.10012.03.03.02"/>
    <s v="W_R.10012.03.03.02: G Residential Mains"/>
    <x v="2"/>
    <x v="14"/>
    <x v="5"/>
    <x v="9"/>
    <x v="4"/>
    <n v="-3109124.8301923983"/>
    <n v="-26571.915949503546"/>
    <n v="-3082552.9142428949"/>
  </r>
  <r>
    <s v="R.10012.04.01.01"/>
    <s v="W_R.10012.04.01.01: G Commercial Industrial Service"/>
    <x v="2"/>
    <x v="14"/>
    <x v="5"/>
    <x v="9"/>
    <x v="4"/>
    <n v="-7672221.6546261068"/>
    <n v="-7135.7059427120903"/>
    <n v="-7665085.9486833951"/>
  </r>
  <r>
    <s v="R.10012.04.02.01"/>
    <s v="W_R.10012.04.02.01: G Multi Family Service"/>
    <x v="2"/>
    <x v="14"/>
    <x v="5"/>
    <x v="9"/>
    <x v="4"/>
    <n v="-3195490.0480205156"/>
    <n v="-497.08362264671564"/>
    <n v="-3194992.9643978691"/>
  </r>
  <r>
    <s v="R.10012.04.03.02"/>
    <s v="W_R.10012.04.03.02: G Residential Services"/>
    <x v="2"/>
    <x v="14"/>
    <x v="5"/>
    <x v="9"/>
    <x v="4"/>
    <n v="-23735597.699419755"/>
    <n v="-335.97149033117768"/>
    <n v="-23735261.727929424"/>
  </r>
  <r>
    <s v="R.10012.04.03.03"/>
    <s v="W_R.10012.04.03.03: G Residential Services In Plat Dev"/>
    <x v="2"/>
    <x v="14"/>
    <x v="5"/>
    <x v="9"/>
    <x v="4"/>
    <n v="-7990777.4568597265"/>
    <n v="0"/>
    <n v="-7990777.4568597265"/>
  </r>
  <r>
    <s v="R.10012.06.01.01"/>
    <s v="W_R.10012.06.01.01: G Gas Retire Only No Additions"/>
    <x v="2"/>
    <x v="14"/>
    <x v="5"/>
    <x v="9"/>
    <x v="4"/>
    <n v="-1650613.8911316695"/>
    <n v="0"/>
    <n v="-1650613.8911316695"/>
  </r>
  <r>
    <s v="R.10013.01.01.01"/>
    <s v="W_R.10013.01.01.01: G Cust Driven Relocate Reimburse Dist"/>
    <x v="2"/>
    <x v="14"/>
    <x v="5"/>
    <x v="9"/>
    <x v="4"/>
    <n v="-121043.48999999999"/>
    <n v="-15613608.879516477"/>
    <n v="15492565.389516477"/>
  </r>
  <r>
    <s v="R.10013.04.01.01"/>
    <s v="W_R.10013.04.01.01: G PI Driven Relocate NonReimb Dist"/>
    <x v="2"/>
    <x v="16"/>
    <x v="5"/>
    <x v="9"/>
    <x v="4"/>
    <n v="-35901727.902302429"/>
    <n v="-111550.10453963163"/>
    <n v="-35790177.797762796"/>
  </r>
  <r>
    <s v="R.10013.04.01.02"/>
    <s v="W_R.10013.04.01.02: G PI Driven Relocate Reimb Dist"/>
    <x v="2"/>
    <x v="16"/>
    <x v="5"/>
    <x v="9"/>
    <x v="4"/>
    <n v="-1060031.0369270334"/>
    <n v="-22867.544331385841"/>
    <n v="-1037163.4925956476"/>
  </r>
  <r>
    <s v="R.10013.04.01.04"/>
    <s v="W_R.10013.04.01.04: G Sound Transit Reimburse"/>
    <x v="2"/>
    <x v="2"/>
    <x v="2"/>
    <x v="1"/>
    <x v="4"/>
    <n v="-1333382.6600000001"/>
    <n v="0"/>
    <n v="-1333382.6600000001"/>
  </r>
  <r>
    <s v="R.10013.04.01.06"/>
    <s v="W_R.10013.04.01.06: G WSDOT Fish Passage Relocation"/>
    <x v="2"/>
    <x v="2"/>
    <x v="2"/>
    <x v="1"/>
    <x v="4"/>
    <n v="-619359.33000000007"/>
    <n v="0"/>
    <n v="-619359.33000000007"/>
  </r>
  <r>
    <s v="R.10013.05.01.01"/>
    <s v="W_R.10013.05.01.01: G Seattle Core Alaskan Way Viaduct"/>
    <x v="2"/>
    <x v="16"/>
    <x v="5"/>
    <x v="9"/>
    <x v="4"/>
    <n v="9426.8999999999942"/>
    <n v="0"/>
    <n v="9426.8999999999942"/>
  </r>
  <r>
    <s v="R.10013.05.01.02"/>
    <s v="W_R.10013.05.01.02: G Seattle Core IP Main"/>
    <x v="2"/>
    <x v="2"/>
    <x v="2"/>
    <x v="1"/>
    <x v="4"/>
    <n v="-794.06"/>
    <n v="0"/>
    <n v="-794.06"/>
  </r>
  <r>
    <s v="R.10013.06.01.01"/>
    <s v="W_R.10013.06.01.01: G Sound Transit Dist"/>
    <x v="2"/>
    <x v="2"/>
    <x v="2"/>
    <x v="1"/>
    <x v="4"/>
    <n v="-336.5"/>
    <n v="0"/>
    <n v="-336.5"/>
  </r>
  <r>
    <s v="R.10013.07.01.01"/>
    <s v="W_R.10013.07.01.01: G Relocate Bulk Dist Like Kind Dist"/>
    <x v="2"/>
    <x v="16"/>
    <x v="5"/>
    <x v="9"/>
    <x v="4"/>
    <n v="-391890.36423175829"/>
    <n v="-6744.3420826951178"/>
    <n v="-385146.02214906318"/>
  </r>
  <r>
    <s v="R.10013.07.01.02"/>
    <s v="W_R.10013.07.01.02: G System Improv Opport Dist"/>
    <x v="2"/>
    <x v="16"/>
    <x v="5"/>
    <x v="9"/>
    <x v="4"/>
    <n v="-69817.070000000007"/>
    <n v="-2770.3443842876318"/>
    <n v="-67046.725615712377"/>
  </r>
  <r>
    <s v="R.10014.01.01.01"/>
    <s v="W_R.10014.01.01.01: G Swarr Propane Air Plant Upgrades"/>
    <x v="2"/>
    <x v="13"/>
    <x v="4"/>
    <x v="8"/>
    <x v="4"/>
    <n v="-2876519.4599999995"/>
    <n v="0"/>
    <n v="-2876519.4599999995"/>
  </r>
  <r>
    <s v="R.10015.01.01.01"/>
    <s v="W_R.10015.01.01.01: G CP System Improv Main With Serv Dist"/>
    <x v="2"/>
    <x v="17"/>
    <x v="4"/>
    <x v="5"/>
    <x v="4"/>
    <n v="-184180.97000000003"/>
    <n v="-429333.65074284392"/>
    <n v="245152.68074284389"/>
  </r>
  <r>
    <s v="R.10015.01.01.02"/>
    <s v="W_R.10015.01.01.02: G CP System Improv Service Dist"/>
    <x v="2"/>
    <x v="17"/>
    <x v="4"/>
    <x v="5"/>
    <x v="4"/>
    <n v="-2767569.4869907317"/>
    <n v="-3578145.4171307739"/>
    <n v="810575.93014004221"/>
  </r>
  <r>
    <s v="R.10015.01.01.03"/>
    <s v="W_R.10015.01.01.03: G CP System Improv Dist"/>
    <x v="2"/>
    <x v="17"/>
    <x v="4"/>
    <x v="5"/>
    <x v="4"/>
    <n v="-924204.17000000016"/>
    <n v="-1307244.2242086243"/>
    <n v="383040.05420862418"/>
  </r>
  <r>
    <s v="R.10015.01.01.05"/>
    <s v="W_R.10015.01.01.05: G Emergent CP System Improv Dist"/>
    <x v="2"/>
    <x v="17"/>
    <x v="4"/>
    <x v="5"/>
    <x v="4"/>
    <n v="-2180001.2442317582"/>
    <n v="-1506973.3174859753"/>
    <n v="-673027.92674578284"/>
  </r>
  <r>
    <s v="R.10015.02.01.02"/>
    <s v="W_R.10015.02.01.02: G Damage Claims Cap Writeoff"/>
    <x v="2"/>
    <x v="0"/>
    <x v="0"/>
    <x v="0"/>
    <x v="2"/>
    <n v="-123834.78999999998"/>
    <n v="0"/>
    <n v="-123834.78999999998"/>
  </r>
  <r>
    <s v="R.10015.03.01.01"/>
    <s v="W_R.10015.03.01.01: G DIMP Brdg Sld Dist Unmaintain Facil"/>
    <x v="2"/>
    <x v="12"/>
    <x v="4"/>
    <x v="7"/>
    <x v="4"/>
    <n v="-352107.17289311904"/>
    <n v="-625050.26624476083"/>
    <n v="272943.09335164179"/>
  </r>
  <r>
    <s v="R.10015.03.02.01"/>
    <s v="W_R.10015.03.02.01: G DIMP Mobile Home Encroachment Program"/>
    <x v="2"/>
    <x v="12"/>
    <x v="4"/>
    <x v="7"/>
    <x v="4"/>
    <n v="-752419.54020554142"/>
    <n v="-624510.63401803852"/>
    <n v="-127908.9061875029"/>
  </r>
  <r>
    <s v="R.10015.03.04.01"/>
    <s v="W_R.10015.03.04.01: G DIMP Dupont Pipe Repl Main With Serv"/>
    <x v="2"/>
    <x v="18"/>
    <x v="4"/>
    <x v="10"/>
    <x v="4"/>
    <n v="-49271824.509905539"/>
    <n v="-44009686.222595572"/>
    <n v="-5262138.287309967"/>
  </r>
  <r>
    <s v="R.10015.03.04.02"/>
    <s v="W_R.10015.03.04.02: G DIMP Older Stw Repl Main With Service"/>
    <x v="2"/>
    <x v="12"/>
    <x v="4"/>
    <x v="7"/>
    <x v="4"/>
    <n v="-1430500.6300000004"/>
    <n v="-3749768.5819981149"/>
    <n v="2319267.9519981146"/>
  </r>
  <r>
    <s v="R.10015.03.04.03"/>
    <s v="W_R.10015.03.04.03: G DIMP Older Stw Repl Service Only"/>
    <x v="2"/>
    <x v="12"/>
    <x v="4"/>
    <x v="7"/>
    <x v="4"/>
    <n v="-651433.83091583464"/>
    <n v="-1449293.4231263725"/>
    <n v="797859.59221053787"/>
  </r>
  <r>
    <s v="R.10015.03.06.01"/>
    <s v="W_R.10015.03.06.01: G DIMP Legacy Cross Bore Inspection Dist"/>
    <x v="2"/>
    <x v="18"/>
    <x v="4"/>
    <x v="10"/>
    <x v="4"/>
    <n v="-95795.199999999997"/>
    <n v="0"/>
    <n v="-95795.199999999997"/>
  </r>
  <r>
    <s v="R.10015.03.07.01"/>
    <s v="W_R.10015.03.07.01: G DIMP Continuing Surveillance Other"/>
    <x v="2"/>
    <x v="12"/>
    <x v="4"/>
    <x v="7"/>
    <x v="4"/>
    <n v="-62919.437061768433"/>
    <n v="-531422.58285930974"/>
    <n v="468503.14579754131"/>
  </r>
  <r>
    <s v="R.10015.03.07.03"/>
    <s v="W_R.10015.03.07.03: G DIMP Shallow Serv and Main Repl"/>
    <x v="2"/>
    <x v="12"/>
    <x v="4"/>
    <x v="7"/>
    <x v="4"/>
    <n v="-2695663.9240990998"/>
    <n v="-2702523.9300158662"/>
    <n v="6860.0059167663567"/>
  </r>
  <r>
    <s v="R.10015.03.08.01"/>
    <s v="W_R.10015.03.08.01: G DIMP Buried MSA Serv Or Riser Repl Opp"/>
    <x v="2"/>
    <x v="12"/>
    <x v="4"/>
    <x v="7"/>
    <x v="4"/>
    <n v="-824.92000000000007"/>
    <n v="-2025.39265001081"/>
    <n v="1200.47265001081"/>
  </r>
  <r>
    <s v="R.10015.03.09.01"/>
    <s v="W_R.10015.03.09.01: G DIMP Preventative Maint Facilities"/>
    <x v="2"/>
    <x v="12"/>
    <x v="4"/>
    <x v="7"/>
    <x v="4"/>
    <n v="-1967967.6142317585"/>
    <n v="-3267068.2414549603"/>
    <n v="1299100.6272232018"/>
  </r>
  <r>
    <s v="R.10015.03.09.03"/>
    <s v="W_R.10015.03.09.03: G DIMP Preventive Maint Dist Reg Dist"/>
    <x v="2"/>
    <x v="12"/>
    <x v="4"/>
    <x v="7"/>
    <x v="4"/>
    <n v="-3935224.7000000007"/>
    <n v="-3683508.9904270922"/>
    <n v="-251715.70957290847"/>
  </r>
  <r>
    <s v="R.10015.03.09.07"/>
    <s v="W_R.10015.03.09.07: G DIMP Preventive Maint Farm Taps Dist"/>
    <x v="2"/>
    <x v="12"/>
    <x v="4"/>
    <x v="7"/>
    <x v="4"/>
    <n v="-201883.58"/>
    <n v="-429745.23016552208"/>
    <n v="227861.65016552209"/>
  </r>
  <r>
    <s v="R.10015.03.09.14"/>
    <s v="W_R.10015.03.09.14: G Idle Riser Remediation"/>
    <x v="2"/>
    <x v="12"/>
    <x v="4"/>
    <x v="7"/>
    <x v="4"/>
    <n v="-712659.35018657148"/>
    <n v="-4103148.8046456487"/>
    <n v="3390489.4544590772"/>
  </r>
  <r>
    <s v="R.10015.03.09.15"/>
    <s v="W_R.10015.03.09.15: G Buried Meter Riser Replacement"/>
    <x v="2"/>
    <x v="18"/>
    <x v="4"/>
    <x v="10"/>
    <x v="4"/>
    <n v="-6038892.223055413"/>
    <n v="-5653600.1325064488"/>
    <n v="-385292.09054896422"/>
  </r>
  <r>
    <s v="R.10015.03.10.02"/>
    <s v="W_R.10015.03.10.02: G-DIMP Unmaintainable STW Main in Casing"/>
    <x v="2"/>
    <x v="2"/>
    <x v="2"/>
    <x v="1"/>
    <x v="4"/>
    <n v="-148211.1511587915"/>
    <n v="0"/>
    <n v="-148211.1511587915"/>
  </r>
  <r>
    <s v="R.10015.03.11.01"/>
    <s v="W_R.10015.03.11.01: G DIMP Guard Posts"/>
    <x v="2"/>
    <x v="12"/>
    <x v="4"/>
    <x v="7"/>
    <x v="4"/>
    <n v="-42149.364231758293"/>
    <n v="-180175.30185413003"/>
    <n v="138025.93762237174"/>
  </r>
  <r>
    <s v="R.10015.04.01.02"/>
    <s v="W_R.10015.04.01.02: G Leak Repair Main"/>
    <x v="2"/>
    <x v="2"/>
    <x v="2"/>
    <x v="1"/>
    <x v="4"/>
    <n v="-2315739.2355960906"/>
    <n v="-3754567.2705454882"/>
    <n v="1438828.0349493977"/>
  </r>
  <r>
    <s v="R.10015.04.01.03"/>
    <s v="W_R.10015.04.01.03: G Leak Repair Service"/>
    <x v="2"/>
    <x v="17"/>
    <x v="4"/>
    <x v="5"/>
    <x v="4"/>
    <n v="-352751.58934313926"/>
    <n v="-1026506.7600291376"/>
    <n v="673755.1706859984"/>
  </r>
  <r>
    <s v="R.10015.04.01.04"/>
    <s v="W_R.10015.04.01.04: G Scattered Short Main Rehab"/>
    <x v="2"/>
    <x v="17"/>
    <x v="4"/>
    <x v="5"/>
    <x v="4"/>
    <n v="-1279814.0942317583"/>
    <n v="-2029436.6604549391"/>
    <n v="749622.56622318085"/>
  </r>
  <r>
    <s v="R.10015.04.01.05"/>
    <s v="W_R.10015.04.01.05: G Service Replacement Misc"/>
    <x v="2"/>
    <x v="17"/>
    <x v="4"/>
    <x v="5"/>
    <x v="4"/>
    <n v="-10043107.29948145"/>
    <n v="-9056163.8387702424"/>
    <n v="-986943.46071120724"/>
  </r>
  <r>
    <s v="R.10015.04.01.06"/>
    <s v="W_R.10015.04.01.06: G Sewer Cross Bore Repair Main"/>
    <x v="2"/>
    <x v="17"/>
    <x v="4"/>
    <x v="5"/>
    <x v="4"/>
    <n v="-240389.55"/>
    <n v="-297924.5009148001"/>
    <n v="57534.950914800109"/>
  </r>
  <r>
    <s v="R.10015.04.01.07"/>
    <s v="W_R.10015.04.01.07: G Sewer Cross Bore Repair Service"/>
    <x v="2"/>
    <x v="17"/>
    <x v="4"/>
    <x v="5"/>
    <x v="4"/>
    <n v="-4787.1899999999996"/>
    <n v="-148439.5139193655"/>
    <n v="143652.3239193655"/>
  </r>
  <r>
    <s v="R.10015.04.01.09"/>
    <s v="W_R.10015.04.01.09: G Gas Work Release Service"/>
    <x v="2"/>
    <x v="17"/>
    <x v="4"/>
    <x v="5"/>
    <x v="4"/>
    <n v="-248141.69423175833"/>
    <n v="-1205412.4114736328"/>
    <n v="957270.71724187443"/>
  </r>
  <r>
    <s v="R.10015.04.01.12"/>
    <s v="W_R.10015.04.01.12: G Nonhaz Main Repair Methane PRP"/>
    <x v="2"/>
    <x v="18"/>
    <x v="4"/>
    <x v="10"/>
    <x v="4"/>
    <n v="-3825169.7299999995"/>
    <n v="0"/>
    <n v="-3825169.7299999995"/>
  </r>
  <r>
    <s v="R.10015.04.01.13"/>
    <s v="W_R.10015.04.01.13: G Nonhaz Service Repair Methane PRP"/>
    <x v="2"/>
    <x v="18"/>
    <x v="4"/>
    <x v="10"/>
    <x v="4"/>
    <n v="-661462.49559882458"/>
    <n v="0"/>
    <n v="-661462.49559882458"/>
  </r>
  <r>
    <s v="R.10015.05.01.01"/>
    <s v="W_R.10015.05.01.01: G System Capacity New Dist"/>
    <x v="2"/>
    <x v="2"/>
    <x v="2"/>
    <x v="1"/>
    <x v="4"/>
    <n v="-1530.8"/>
    <n v="-1176.1589987058437"/>
    <n v="-354.64100129415624"/>
  </r>
  <r>
    <s v="R.10015.06.01.02"/>
    <s v="W_R.10015.06.01.02: G Odorizer Componant Repl Bulk Dist"/>
    <x v="2"/>
    <x v="12"/>
    <x v="4"/>
    <x v="7"/>
    <x v="4"/>
    <n v="-30357.300000000003"/>
    <n v="-192004.56225498812"/>
    <n v="161647.26225498813"/>
  </r>
  <r>
    <s v="R.10015.06.01.04"/>
    <s v="W_R.10015.06.01.04: G System Capacity Upgrade Bulk Dist"/>
    <x v="2"/>
    <x v="19"/>
    <x v="4"/>
    <x v="0"/>
    <x v="4"/>
    <n v="-2580429.9736258262"/>
    <n v="-8824690.6817541234"/>
    <n v="6244260.7081282977"/>
  </r>
  <r>
    <s v="R.10015.06.01.05"/>
    <s v="W_R.10015.06.01.05: G System Capacity Upgrade Dist"/>
    <x v="2"/>
    <x v="19"/>
    <x v="4"/>
    <x v="0"/>
    <x v="4"/>
    <n v="-3239929.69"/>
    <n v="-4989828.6341764741"/>
    <n v="1749898.9441764741"/>
  </r>
  <r>
    <s v="R.10015.07.01.01"/>
    <s v="W_R.10015.07.01.01: G Gas Lightups Clearing"/>
    <x v="2"/>
    <x v="2"/>
    <x v="2"/>
    <x v="1"/>
    <x v="4"/>
    <n v="-346.02644804097525"/>
    <n v="0"/>
    <n v="-346.02644804097525"/>
  </r>
  <r>
    <s v="R.10015.08.02.02"/>
    <s v="W_R.10015.08.02.02: G Alternative Fuels"/>
    <x v="2"/>
    <x v="2"/>
    <x v="2"/>
    <x v="1"/>
    <x v="4"/>
    <n v="-161561.24"/>
    <n v="-6458825.6809999952"/>
    <n v="6297264.440999995"/>
  </r>
  <r>
    <s v="R.10019.01.01.01"/>
    <s v="W_R.10019.01.01.01: E Port Madison Subs"/>
    <x v="1"/>
    <x v="2"/>
    <x v="2"/>
    <x v="1"/>
    <x v="4"/>
    <n v="-380747.7737545399"/>
    <n v="0"/>
    <n v="-380747.7737545399"/>
  </r>
  <r>
    <s v="R.10019.01.01.02"/>
    <s v="W_R.10019.01.01.02: Bainbridge Trans WIN-MUR Loop"/>
    <x v="1"/>
    <x v="20"/>
    <x v="3"/>
    <x v="11"/>
    <x v="4"/>
    <n v="-617924.75170522952"/>
    <n v="-1131175.8880827052"/>
    <n v="513251.13637747569"/>
  </r>
  <r>
    <s v="R.10024.01.01.04"/>
    <s v="W_R.10024.01.01.04: G AMR Operations"/>
    <x v="2"/>
    <x v="2"/>
    <x v="2"/>
    <x v="1"/>
    <x v="4"/>
    <n v="-17769.763644497842"/>
    <n v="-1504618.5"/>
    <n v="1486848.7363555022"/>
  </r>
  <r>
    <s v="R.10024.01.01.05"/>
    <s v="W_R.10024.01.01.05: E AMR Operations"/>
    <x v="1"/>
    <x v="2"/>
    <x v="2"/>
    <x v="1"/>
    <x v="4"/>
    <n v="-62851.043824734457"/>
    <n v="0"/>
    <n v="-62851.043824734457"/>
  </r>
  <r>
    <s v="R.10024.01.01.07"/>
    <s v="W_R.10024.01.01.07: E Opt Out AMR to NCM Capital Exch"/>
    <x v="1"/>
    <x v="2"/>
    <x v="2"/>
    <x v="1"/>
    <x v="4"/>
    <n v="-323491.58117287129"/>
    <n v="-5483.3921518843536"/>
    <n v="-318008.18902098696"/>
  </r>
  <r>
    <s v="R.10024.01.01.09"/>
    <s v="W_R.10024.01.01.09: G AMI Operations"/>
    <x v="2"/>
    <x v="2"/>
    <x v="2"/>
    <x v="1"/>
    <x v="4"/>
    <n v="-453634.87382154108"/>
    <n v="-974194.62083176814"/>
    <n v="520559.74701022706"/>
  </r>
  <r>
    <s v="R.10024.02.01.01"/>
    <s v="W_R.10024.02.01.01: G NonRegistering Meters Dist"/>
    <x v="2"/>
    <x v="17"/>
    <x v="4"/>
    <x v="5"/>
    <x v="4"/>
    <n v="-453746.58106083988"/>
    <n v="-189383.4311452531"/>
    <n v="-264363.14991558681"/>
  </r>
  <r>
    <s v="R.10024.02.01.03"/>
    <s v="W_R.10024.02.01.03: G Periodic Meter Changeout IMO Dist"/>
    <x v="2"/>
    <x v="12"/>
    <x v="4"/>
    <x v="7"/>
    <x v="4"/>
    <n v="-848270.26872199017"/>
    <n v="-1331904.7345001313"/>
    <n v="483634.46577814117"/>
  </r>
  <r>
    <s v="R.10031.01.01.02"/>
    <s v="W_R.10031.01.01.02: E Lake Hills Phantom Lake 115Kv Tline"/>
    <x v="1"/>
    <x v="7"/>
    <x v="4"/>
    <x v="4"/>
    <x v="4"/>
    <n v="-624116.57000000007"/>
    <n v="0"/>
    <n v="-624116.57000000007"/>
  </r>
  <r>
    <s v="R.10031.03.01.01"/>
    <s v="W_R.10031.03.01.01: E Sammamish Juanita 115Kv Tline"/>
    <x v="1"/>
    <x v="21"/>
    <x v="3"/>
    <x v="12"/>
    <x v="4"/>
    <n v="-44028432.891698539"/>
    <n v="-9047247.2370254043"/>
    <n v="-34981185.654673137"/>
  </r>
  <r>
    <s v="R.10033.01.01.03"/>
    <s v="W_R.10033.01.01.03: E Small Tool Electric Operations Tool"/>
    <x v="1"/>
    <x v="2"/>
    <x v="2"/>
    <x v="1"/>
    <x v="4"/>
    <n v="-4173800.6999999997"/>
    <n v="-2044206.999999996"/>
    <n v="-2129593.7000000039"/>
  </r>
  <r>
    <s v="R.10033.01.01.09"/>
    <s v="W_R.10033.01.01.09: G Small Tool Gas Operations Tool"/>
    <x v="2"/>
    <x v="2"/>
    <x v="2"/>
    <x v="1"/>
    <x v="4"/>
    <n v="-1748850.5200000003"/>
    <n v="-1370745.999999996"/>
    <n v="-378104.52000000421"/>
  </r>
  <r>
    <s v="R.10033.02.01.01"/>
    <s v="W_R.10033.02.01.01: C Operational Training ISR Program"/>
    <x v="0"/>
    <x v="2"/>
    <x v="2"/>
    <x v="1"/>
    <x v="4"/>
    <n v="-2278.79"/>
    <n v="-500000.00000000041"/>
    <n v="497721.21000000043"/>
  </r>
  <r>
    <s v="R.10036.02.01.01"/>
    <s v="W_R.10036.02.01.01: C Capitalization of Real Estate Permits"/>
    <x v="1"/>
    <x v="2"/>
    <x v="2"/>
    <x v="1"/>
    <x v="4"/>
    <n v="-413845.27999999997"/>
    <n v="-800000.00000000081"/>
    <n v="386154.72000000085"/>
  </r>
  <r>
    <s v="R.10036.03.01.01"/>
    <s v="W_R.10036.03.01.01: C Transient Deterrent"/>
    <x v="0"/>
    <x v="2"/>
    <x v="2"/>
    <x v="1"/>
    <x v="4"/>
    <n v="-14588.580000000002"/>
    <n v="-600000"/>
    <n v="585411.42000000004"/>
  </r>
  <r>
    <s v="R.10039.02.01.01"/>
    <s v="W_R.10039.02.01.01: E Buckley Substation Feeder"/>
    <x v="1"/>
    <x v="7"/>
    <x v="4"/>
    <x v="4"/>
    <x v="4"/>
    <n v="-8740.1426829300908"/>
    <n v="-33464.042713734896"/>
    <n v="24723.900030804805"/>
  </r>
  <r>
    <s v="R.10039.02.01.02"/>
    <s v="W_R.10039.02.01.02: E Buckley Substation Sub"/>
    <x v="1"/>
    <x v="7"/>
    <x v="4"/>
    <x v="4"/>
    <x v="4"/>
    <n v="-589047.8020893184"/>
    <n v="-348759.9182160495"/>
    <n v="-240287.8838732689"/>
  </r>
  <r>
    <s v="R.10039.02.01.06"/>
    <s v="W_R.10039.02.01.06: E Electr Enum 55Kv To 115Kv Fiber"/>
    <x v="1"/>
    <x v="7"/>
    <x v="4"/>
    <x v="4"/>
    <x v="4"/>
    <n v="-332803.5"/>
    <n v="0"/>
    <n v="-332803.5"/>
  </r>
  <r>
    <s v="R.10045.01.01.01"/>
    <s v="W_R.10045.01.01.01: E Talbot Asbury Ug 115Kv Repl Tline"/>
    <x v="1"/>
    <x v="7"/>
    <x v="4"/>
    <x v="4"/>
    <x v="4"/>
    <n v="-2275718.2799999998"/>
    <n v="0"/>
    <n v="-2275718.2799999998"/>
  </r>
  <r>
    <s v="R.10051.02.01.01"/>
    <s v="W_R.10051.02.01.01: E Thurston Transmission Capacity"/>
    <x v="1"/>
    <x v="22"/>
    <x v="3"/>
    <x v="13"/>
    <x v="4"/>
    <n v="-19661839.260000002"/>
    <n v="-10173066.606914049"/>
    <n v="-9488772.6530859526"/>
  </r>
  <r>
    <s v="R.10054.01.01.01"/>
    <s v="W_R.10054.01.01.01: E Bellingham Sedro 4 115Kv Recond Tline"/>
    <x v="1"/>
    <x v="7"/>
    <x v="4"/>
    <x v="4"/>
    <x v="4"/>
    <n v="-4427.7899999999991"/>
    <n v="-1243996.6522279081"/>
    <n v="1239568.8622279081"/>
  </r>
  <r>
    <s v="R.10059.02.01.02"/>
    <s v="W_R.10059.02.01.02: E Circuit Enablement EV"/>
    <x v="1"/>
    <x v="23"/>
    <x v="4"/>
    <x v="0"/>
    <x v="4"/>
    <n v="-1442703.39398975"/>
    <n v="-7165996.3759999918"/>
    <n v="5723292.9820102416"/>
  </r>
  <r>
    <s v="R.10059.03.01.01"/>
    <s v="W_R.10059.03.01.01: E Resilience Enhancement Substation"/>
    <x v="1"/>
    <x v="24"/>
    <x v="4"/>
    <x v="0"/>
    <x v="4"/>
    <n v="-1258562.3289936027"/>
    <n v="-4266596.526499996"/>
    <n v="3008034.1975063933"/>
  </r>
  <r>
    <s v="R.10059.04.01.01"/>
    <s v="W_R.10059.04.01.01: E Wildfire Resilience"/>
    <x v="1"/>
    <x v="2"/>
    <x v="2"/>
    <x v="1"/>
    <x v="4"/>
    <n v="-3266.9763681120999"/>
    <n v="-1885788.5200000035"/>
    <n v="1882521.5436318915"/>
  </r>
  <r>
    <s v="R.10060.01.01.01"/>
    <s v="W_R.10060.01.01.01: G Vashon Marine Crossing"/>
    <x v="2"/>
    <x v="2"/>
    <x v="2"/>
    <x v="1"/>
    <x v="4"/>
    <n v="-1024585.86"/>
    <n v="0"/>
    <n v="-1024585.86"/>
  </r>
  <r>
    <s v="R.10060.01.01.02"/>
    <s v="W_R.10060.01.01.02: G Vashon Interim Supply at Gig Harbor"/>
    <x v="2"/>
    <x v="25"/>
    <x v="3"/>
    <x v="0"/>
    <x v="4"/>
    <n v="-110540.0559775251"/>
    <n v="0"/>
    <n v="-110540.0559775251"/>
  </r>
  <r>
    <s v="X.10003.01.01.01"/>
    <s v="W_X.10003.01.01.01: Street and Area Lighting Services"/>
    <x v="1"/>
    <x v="0"/>
    <x v="0"/>
    <x v="0"/>
    <x v="7"/>
    <n v="-2774952.2051824466"/>
    <n v="-4757737.4334327346"/>
    <n v="1982785.2282502879"/>
  </r>
  <r>
    <s v="X.10003.01.03.01"/>
    <s v="W_X.10003.01.03.01: Street Light Replacement"/>
    <x v="1"/>
    <x v="0"/>
    <x v="0"/>
    <x v="0"/>
    <x v="7"/>
    <n v="-1813298.1"/>
    <n v="-1610902.4702044392"/>
    <n v="-202395.62979556085"/>
  </r>
  <r>
    <s v="X.10003.01.03.02"/>
    <s v="W_X.10003.01.03.02: Smart Street Lighting"/>
    <x v="1"/>
    <x v="0"/>
    <x v="0"/>
    <x v="0"/>
    <x v="7"/>
    <n v="-2995082.71"/>
    <n v="-229013.27651958822"/>
    <n v="-2766069.4334804118"/>
  </r>
  <r>
    <s v="X.10005.01.01.01"/>
    <s v="W_X.10005.01.01.01: Wireless and Wireline Construction"/>
    <x v="1"/>
    <x v="0"/>
    <x v="0"/>
    <x v="0"/>
    <x v="7"/>
    <n v="-1026939.6350094073"/>
    <n v="-945078.68989740359"/>
    <n v="-81860.945112003712"/>
  </r>
  <r>
    <s v="X.10006.01.01.01"/>
    <s v="W_X.10006.01.01.01: Customer Sited Energy Storage Pilot"/>
    <x v="1"/>
    <x v="0"/>
    <x v="0"/>
    <x v="0"/>
    <x v="7"/>
    <n v="140154.20000000001"/>
    <n v="0"/>
    <n v="140154.20000000001"/>
  </r>
  <r>
    <s v="X.10006.02.02.02"/>
    <s v="W_X.10006.02.02.02: EV Charging Program Infrastructure"/>
    <x v="1"/>
    <x v="0"/>
    <x v="0"/>
    <x v="0"/>
    <x v="7"/>
    <n v="-2297632.6732302085"/>
    <n v="-6022703.3382038157"/>
    <n v="3725070.6649736073"/>
  </r>
  <r>
    <s v="X.10006.03.01.05"/>
    <s v="W_X.10006.03.01.05: Community Solar Program 2022-25"/>
    <x v="1"/>
    <x v="0"/>
    <x v="0"/>
    <x v="0"/>
    <x v="7"/>
    <n v="-1829357.0899999996"/>
    <n v="0"/>
    <n v="-1829357.0899999996"/>
  </r>
  <r>
    <s v="X.10007.01.01.01"/>
    <s v="W_X.10007.01.01.01: Covid 19 Work for WUTC Order"/>
    <x v="0"/>
    <x v="0"/>
    <x v="0"/>
    <x v="0"/>
    <x v="7"/>
    <n v="-744122.07000000007"/>
    <n v="0"/>
    <n v="-744122.07000000007"/>
  </r>
  <r>
    <s v="F.10002.01.16.01"/>
    <s v="Placeholder WBS 53b: DER Circuit Enablemnt Virtual Power Plan"/>
    <x v="1"/>
    <x v="0"/>
    <x v="0"/>
    <x v="0"/>
    <x v="1"/>
    <m/>
    <n v="-12011.948750007665"/>
    <n v="12011.948750007665"/>
  </r>
  <r>
    <s v="X.10006.05.01.01"/>
    <s v="W_K.10038.02.01.01: Rooftop Solar Program:DER Solar Project and Programs CEIP"/>
    <x v="1"/>
    <x v="0"/>
    <x v="0"/>
    <x v="0"/>
    <x v="7"/>
    <m/>
    <n v="-3379999.9999999907"/>
    <n v="3379999.9999999907"/>
  </r>
  <r>
    <s v="R.10059.02.01.03"/>
    <s v="PLACEHOLDER WBS 38b: E Volt/Var Optimization"/>
    <x v="1"/>
    <x v="0"/>
    <x v="0"/>
    <x v="0"/>
    <x v="4"/>
    <m/>
    <n v="-779493.89760000783"/>
    <n v="779493.89760000783"/>
  </r>
  <r>
    <s v="F.10002.01.30.01"/>
    <s v="PLACEHOLDER WBS 31b: Hosting Capacity and Customer Portal"/>
    <x v="1"/>
    <x v="0"/>
    <x v="0"/>
    <x v="0"/>
    <x v="1"/>
    <m/>
    <n v="-194225.09758083988"/>
    <n v="194225.09758083988"/>
  </r>
  <r>
    <s v="PLACEHOLDER WBS 24"/>
    <s v="PLACEHOLDER WBS 7b: Demand Response transferred to Placeholder WBS 24"/>
    <x v="1"/>
    <x v="0"/>
    <x v="0"/>
    <x v="0"/>
    <x v="7"/>
    <m/>
    <n v="-321149.78495599958"/>
    <n v="321149.78495599958"/>
  </r>
  <r>
    <s v="F.10002.01.28.01"/>
    <s v="PLACEHOLDER WBS 88b: DER Innovation Process CEIP"/>
    <x v="1"/>
    <x v="0"/>
    <x v="0"/>
    <x v="0"/>
    <x v="7"/>
    <m/>
    <n v="-409618.9999999993"/>
    <n v="409618.9999999993"/>
  </r>
  <r>
    <s v="K.10038.01.01.01"/>
    <s v="W_K.10038.01.01.01: Cust Sited Energy Storage Demos CEIP"/>
    <x v="1"/>
    <x v="0"/>
    <x v="0"/>
    <x v="0"/>
    <x v="7"/>
    <m/>
    <n v="-1039999.9999999983"/>
    <n v="1039999.9999999983"/>
  </r>
  <r>
    <s v="C.10002.12.01.01"/>
    <s v="W_C.10002.12.01.01: Hybrid Working Transition to 50 Percent"/>
    <x v="0"/>
    <x v="0"/>
    <x v="0"/>
    <x v="0"/>
    <x v="0"/>
    <n v="-1045825.5800000001"/>
    <n v="0"/>
    <n v="-1045825.5800000001"/>
  </r>
  <r>
    <s v="C.10003.01.01.03"/>
    <s v="W_C.10003.01.01.03: Furniture Fixtures HVAC Refresh"/>
    <x v="0"/>
    <x v="0"/>
    <x v="0"/>
    <x v="0"/>
    <x v="0"/>
    <n v="-3014945.66"/>
    <n v="0"/>
    <n v="-3014945.66"/>
  </r>
  <r>
    <s v="C.10006.01.01.04"/>
    <s v="W_C.10006.01.01.04: EEI Fleet Electrical Commitment"/>
    <x v="1"/>
    <x v="0"/>
    <x v="0"/>
    <x v="0"/>
    <x v="0"/>
    <n v="-348942.11"/>
    <n v="0"/>
    <n v="-348942.11"/>
  </r>
  <r>
    <s v="F.10002.01.20.01"/>
    <s v="W_F.10002.01.20.01: Front Office Enhancements"/>
    <x v="1"/>
    <x v="0"/>
    <x v="0"/>
    <x v="0"/>
    <x v="1"/>
    <n v="-2216233.5699999998"/>
    <n v="0"/>
    <n v="-2216233.5699999998"/>
  </r>
  <r>
    <s v="F.10002.01.26.01"/>
    <s v="W_F.10002.01.26.01: Urbint Enhancement"/>
    <x v="2"/>
    <x v="0"/>
    <x v="0"/>
    <x v="0"/>
    <x v="1"/>
    <n v="-259777.62"/>
    <n v="-1556639.0985517884"/>
    <n v="1296861.4785517883"/>
  </r>
  <r>
    <s v="F.10002.01.31.01"/>
    <s v="W_F.10002.01.31.01: Sendout Replacement"/>
    <x v="2"/>
    <x v="0"/>
    <x v="0"/>
    <x v="0"/>
    <x v="1"/>
    <n v="-211064.18"/>
    <n v="0"/>
    <n v="-211064.18"/>
  </r>
  <r>
    <s v="F.10002.06.05.02"/>
    <s v="W_F.10002.06.05.02: PSE 2030 Digital Experience Non CEIP"/>
    <x v="0"/>
    <x v="0"/>
    <x v="0"/>
    <x v="0"/>
    <x v="1"/>
    <n v="-278769.55"/>
    <n v="-2075710.4702499928"/>
    <n v="1796940.9202499927"/>
  </r>
  <r>
    <s v="F.10002.06.08.04"/>
    <s v="W_F.10002.06.08.04: Billing Correction Automation"/>
    <x v="0"/>
    <x v="0"/>
    <x v="0"/>
    <x v="0"/>
    <x v="1"/>
    <n v="-3229430.16"/>
    <n v="0"/>
    <n v="-3229430.16"/>
  </r>
  <r>
    <s v="F.10002.07.03.01"/>
    <s v="W_F.10002.07.03.01: GIS Upgrade Smallworld"/>
    <x v="0"/>
    <x v="0"/>
    <x v="0"/>
    <x v="0"/>
    <x v="1"/>
    <n v="-1534151.84"/>
    <n v="0"/>
    <n v="-1534151.84"/>
  </r>
  <r>
    <s v="F.10002.07.04.01"/>
    <s v="W_F.10002.07.04.01: Streetlight New Business DB SAP Conversn"/>
    <x v="1"/>
    <x v="0"/>
    <x v="0"/>
    <x v="0"/>
    <x v="1"/>
    <n v="-143896.11000000002"/>
    <n v="0"/>
    <n v="-143896.11000000002"/>
  </r>
  <r>
    <s v="F.10002.07.08.01"/>
    <s v="W_F.10002.07.08.01: eGRC Archer"/>
    <x v="0"/>
    <x v="0"/>
    <x v="0"/>
    <x v="0"/>
    <x v="1"/>
    <n v="-944878.86"/>
    <n v="0"/>
    <n v="-944878.86"/>
  </r>
  <r>
    <s v="F.10003.04.01.01"/>
    <s v="W_F.10003.04.01.01: Digital Workplace Transformation"/>
    <x v="0"/>
    <x v="0"/>
    <x v="0"/>
    <x v="0"/>
    <x v="1"/>
    <n v="-957357.45"/>
    <n v="0"/>
    <n v="-957357.45"/>
  </r>
  <r>
    <s v="F.10015.01.03.02"/>
    <s v="W_F.10015.01.03.02: Oracle Upgrades 2023"/>
    <x v="0"/>
    <x v="0"/>
    <x v="0"/>
    <x v="0"/>
    <x v="1"/>
    <n v="-53665.39"/>
    <n v="0"/>
    <n v="-53665.39"/>
  </r>
  <r>
    <s v="F.10015.02.24.01"/>
    <s v="W_F.10015.02.24.01: PI Vision Suite Migration"/>
    <x v="0"/>
    <x v="0"/>
    <x v="0"/>
    <x v="0"/>
    <x v="1"/>
    <n v="-647845.66"/>
    <n v="0"/>
    <n v="-647845.66"/>
  </r>
  <r>
    <s v="F.10015.04.07.01"/>
    <s v="W_F.10015.04.07.01: LoadSEER Non-production Environmnt Purch"/>
    <x v="1"/>
    <x v="0"/>
    <x v="0"/>
    <x v="0"/>
    <x v="1"/>
    <n v="-175823.08"/>
    <n v="0"/>
    <n v="-175823.08"/>
  </r>
  <r>
    <s v="F.10015.05.04.02"/>
    <s v="W_F.10015.05.04.02: Annual Quality Framework Enhancemnt 2023"/>
    <x v="0"/>
    <x v="0"/>
    <x v="0"/>
    <x v="0"/>
    <x v="1"/>
    <n v="-175716.3"/>
    <n v="0"/>
    <n v="-175716.3"/>
  </r>
  <r>
    <s v="F.10015.05.10.01"/>
    <s v="W_F.10015.05.10.01: Work Manager Upgrade"/>
    <x v="0"/>
    <x v="0"/>
    <x v="0"/>
    <x v="0"/>
    <x v="1"/>
    <n v="-270244.25"/>
    <n v="0"/>
    <n v="-270244.25"/>
  </r>
  <r>
    <s v="F.10015.06.24.03"/>
    <s v="W_F.10015.06.24.03: POI - HANA DR Enablement"/>
    <x v="0"/>
    <x v="0"/>
    <x v="0"/>
    <x v="0"/>
    <x v="1"/>
    <n v="-156400.57"/>
    <n v="0"/>
    <n v="-156400.57"/>
  </r>
  <r>
    <s v="F.10015.06.26.02"/>
    <s v="W_F.10015.06.26.02: SAP Business Process Monitoring"/>
    <x v="0"/>
    <x v="0"/>
    <x v="0"/>
    <x v="0"/>
    <x v="1"/>
    <n v="-49287.6"/>
    <n v="0"/>
    <n v="-49287.6"/>
  </r>
  <r>
    <s v="F.10015.06.28.01"/>
    <s v="W_F.10015.06.28.01: Annual SQL Server Patches"/>
    <x v="0"/>
    <x v="0"/>
    <x v="0"/>
    <x v="0"/>
    <x v="1"/>
    <n v="-137262.07999999999"/>
    <n v="0"/>
    <n v="-137262.07999999999"/>
  </r>
  <r>
    <s v="F.10015.08.11.07"/>
    <s v="W_F.10015.08.11.07: Annual ServiceNow Platform Upgrades"/>
    <x v="0"/>
    <x v="0"/>
    <x v="0"/>
    <x v="0"/>
    <x v="1"/>
    <n v="-35417.21"/>
    <n v="0"/>
    <n v="-35417.21"/>
  </r>
  <r>
    <s v="F.10015.08.14.04"/>
    <s v="W_F.10015.08.14.04: Sitecore Autoscaling 2023"/>
    <x v="0"/>
    <x v="0"/>
    <x v="0"/>
    <x v="0"/>
    <x v="1"/>
    <n v="-485772.88"/>
    <n v="0"/>
    <n v="-485772.88"/>
  </r>
  <r>
    <s v="F.10015.08.14.05"/>
    <s v="W_F.10015.08.14.05: Consolidate Web Platforms"/>
    <x v="0"/>
    <x v="0"/>
    <x v="0"/>
    <x v="0"/>
    <x v="1"/>
    <n v="-482646.76"/>
    <n v="0"/>
    <n v="-482646.76"/>
  </r>
  <r>
    <s v="F.10015.08.18.02"/>
    <s v="W_F.10015.08.18.02: Microservices Refactoring with Cassandra"/>
    <x v="0"/>
    <x v="0"/>
    <x v="0"/>
    <x v="0"/>
    <x v="1"/>
    <n v="-390708.47999999998"/>
    <n v="0"/>
    <n v="-390708.47999999998"/>
  </r>
  <r>
    <s v="F.10015.08.20.01"/>
    <s v="W_F.10015.08.20.01: Annual Splunk Growth (2023-27)"/>
    <x v="0"/>
    <x v="0"/>
    <x v="0"/>
    <x v="0"/>
    <x v="1"/>
    <n v="-84038.26"/>
    <n v="0"/>
    <n v="-84038.26"/>
  </r>
  <r>
    <s v="F.10015.08.20.02"/>
    <s v="W_F.10015.08.20.02: Splunk Version Upgrades 2023"/>
    <x v="0"/>
    <x v="0"/>
    <x v="0"/>
    <x v="0"/>
    <x v="1"/>
    <n v="-175404.75"/>
    <n v="0"/>
    <n v="-175404.75"/>
  </r>
  <r>
    <s v="F.10015.08.20.03"/>
    <s v="W_F.10015.08.20.03: Annual Splunk Security Improvements"/>
    <x v="0"/>
    <x v="0"/>
    <x v="0"/>
    <x v="0"/>
    <x v="1"/>
    <n v="-68963.759999999995"/>
    <n v="0"/>
    <n v="-68963.759999999995"/>
  </r>
  <r>
    <s v="F.10015.08.21.01"/>
    <s v="W_F.10015.08.21.01: DataStax Astra Migration"/>
    <x v="0"/>
    <x v="0"/>
    <x v="0"/>
    <x v="0"/>
    <x v="1"/>
    <n v="-471605"/>
    <n v="0"/>
    <n v="-471605"/>
  </r>
  <r>
    <s v="F.10015.08.24.01"/>
    <s v="W_F.10015.08.24.01: Twilio/SendGrid Replacement"/>
    <x v="0"/>
    <x v="0"/>
    <x v="0"/>
    <x v="0"/>
    <x v="1"/>
    <n v="-772496.25000000012"/>
    <n v="0"/>
    <n v="-772496.25000000012"/>
  </r>
  <r>
    <s v="F.10016.01.01.04"/>
    <s v="W_F.10016.01.01.04: IT Enterprise Architecture 2023-27"/>
    <x v="0"/>
    <x v="0"/>
    <x v="0"/>
    <x v="0"/>
    <x v="1"/>
    <n v="-184143.81"/>
    <n v="0"/>
    <n v="-184143.81"/>
  </r>
  <r>
    <s v="F.10017.02.02.04"/>
    <s v="W_F.10017.02.02.04: Annual Data Center Tech Refresh (2023+)"/>
    <x v="0"/>
    <x v="0"/>
    <x v="0"/>
    <x v="0"/>
    <x v="1"/>
    <n v="-428200.25"/>
    <n v="0"/>
    <n v="-428200.25"/>
  </r>
  <r>
    <s v="F.10017.03.08.01"/>
    <s v="W_F.10017.03.08.01: Annual  AV/Conf Room Tech Refresh"/>
    <x v="0"/>
    <x v="0"/>
    <x v="0"/>
    <x v="0"/>
    <x v="1"/>
    <n v="-139126.70000000001"/>
    <n v="0"/>
    <n v="-139126.70000000001"/>
  </r>
  <r>
    <s v="F.10017.05.07.02"/>
    <s v="W_F.10017.05.07.02: DC Battery Management 2022-26"/>
    <x v="0"/>
    <x v="0"/>
    <x v="0"/>
    <x v="0"/>
    <x v="1"/>
    <n v="-186899.47999999998"/>
    <n v="0"/>
    <n v="-186899.47999999998"/>
  </r>
  <r>
    <s v="F.10017.07.01.04"/>
    <s v="W_F.10017.07.01.04: OpenText ECM Upgrade"/>
    <x v="0"/>
    <x v="0"/>
    <x v="0"/>
    <x v="0"/>
    <x v="1"/>
    <n v="-522840.7"/>
    <n v="0"/>
    <n v="-522840.7"/>
  </r>
  <r>
    <s v="F.10017.09.11.01"/>
    <s v="W_F.10017.09.11.01: Annual Network&amp;Voice Tech Refresh/Growth"/>
    <x v="0"/>
    <x v="0"/>
    <x v="0"/>
    <x v="0"/>
    <x v="1"/>
    <n v="-799360.76"/>
    <n v="0"/>
    <n v="-799360.76"/>
  </r>
  <r>
    <s v="F.10017.10.20.01"/>
    <s v="W_F.10017.10.20.01: Annual Corporate Comm Room Tech Refresh"/>
    <x v="0"/>
    <x v="0"/>
    <x v="0"/>
    <x v="0"/>
    <x v="1"/>
    <n v="-129316.09"/>
    <n v="0"/>
    <n v="-129316.09"/>
  </r>
  <r>
    <s v="F.10017.10.21.01"/>
    <s v="W_F.10017.10.21.01: Purch &amp; Implmnt Syst Orchestration Tool"/>
    <x v="0"/>
    <x v="0"/>
    <x v="0"/>
    <x v="0"/>
    <x v="1"/>
    <n v="-126827.98"/>
    <n v="0"/>
    <n v="-126827.98"/>
  </r>
  <r>
    <s v="F.10017.12.29.01"/>
    <s v="W_F.10017.12.29.01: Annual Telecom Comm Sites Tech Refresh"/>
    <x v="0"/>
    <x v="0"/>
    <x v="0"/>
    <x v="0"/>
    <x v="1"/>
    <n v="-335795.19"/>
    <n v="0"/>
    <n v="-335795.19"/>
  </r>
  <r>
    <s v="F.10025.01.04.05"/>
    <s v="W_F.10025.01.04.05: Reconeyez Wireless Video"/>
    <x v="0"/>
    <x v="0"/>
    <x v="0"/>
    <x v="0"/>
    <x v="1"/>
    <n v="-616432.77"/>
    <n v="0"/>
    <n v="-616432.77"/>
  </r>
  <r>
    <s v="F.10025.01.05.01"/>
    <s v="W_F.10025.01.05.01: Zero Trust Strategy for TSA Gas Pipeline"/>
    <x v="2"/>
    <x v="0"/>
    <x v="0"/>
    <x v="0"/>
    <x v="1"/>
    <n v="-1372689.31"/>
    <n v="0"/>
    <n v="-1372689.31"/>
  </r>
  <r>
    <s v="F.10025.01.05.03"/>
    <s v="W_F.10025.01.05.03: Jackson Prairie IT Infrastructure"/>
    <x v="2"/>
    <x v="0"/>
    <x v="0"/>
    <x v="0"/>
    <x v="1"/>
    <n v="-213097.9"/>
    <n v="0"/>
    <n v="-213097.9"/>
  </r>
  <r>
    <s v="F.10026.01.01.03"/>
    <s v="W_F.10026.01.01.03: Robotic Process Automation (2023-27)"/>
    <x v="0"/>
    <x v="0"/>
    <x v="0"/>
    <x v="0"/>
    <x v="1"/>
    <n v="-415822.3"/>
    <n v="0"/>
    <n v="-415822.3"/>
  </r>
  <r>
    <s v="K.10008.01.01.05"/>
    <s v="W_K.10008.01.01.05: FREDDY 1 Major Maintenance Activity"/>
    <x v="1"/>
    <x v="0"/>
    <x v="0"/>
    <x v="0"/>
    <x v="5"/>
    <n v="-3892596.55"/>
    <n v="0"/>
    <n v="-3892596.55"/>
  </r>
  <r>
    <s v="K.10011.01.03.01"/>
    <s v="W_K.10011.01.03.01: FRE Major Maintenance Activity"/>
    <x v="1"/>
    <x v="0"/>
    <x v="0"/>
    <x v="0"/>
    <x v="5"/>
    <n v="-3436991.0099999993"/>
    <n v="0"/>
    <n v="-3436991.0099999993"/>
  </r>
  <r>
    <s v="K.10020.01.01.07"/>
    <s v="W_K.10020.01.01.07: MTF Major Maintenance"/>
    <x v="1"/>
    <x v="0"/>
    <x v="0"/>
    <x v="0"/>
    <x v="5"/>
    <n v="-24497000.530000001"/>
    <n v="0"/>
    <n v="-24497000.530000001"/>
  </r>
  <r>
    <s v="R.10006.01.01.08"/>
    <s v="W_R.10006.01.01.08: E Substation SCADA (Non-CEIP)"/>
    <x v="1"/>
    <x v="4"/>
    <x v="4"/>
    <x v="2"/>
    <x v="4"/>
    <n v="-1735036.521348729"/>
    <n v="0"/>
    <n v="-1735036.521348729"/>
  </r>
  <r>
    <s v="R.10009.08.07.01"/>
    <s v="W_R.10009.08.07.01: E Fault Location"/>
    <x v="1"/>
    <x v="2"/>
    <x v="2"/>
    <x v="1"/>
    <x v="4"/>
    <n v="-45509.87"/>
    <n v="0"/>
    <n v="-45509.87"/>
  </r>
  <r>
    <s v="R.10015.03.09.16"/>
    <s v="W_R.10015.03.09.16: G NRF Retirement Program"/>
    <x v="2"/>
    <x v="2"/>
    <x v="2"/>
    <x v="1"/>
    <x v="4"/>
    <n v="-17267.640000000003"/>
    <n v="0"/>
    <n v="-17267.640000000003"/>
  </r>
  <r>
    <s v="R.10015.08.01.02"/>
    <s v="W_R.10015.08.01.02: G Enhanced Methane Emissions Reduction"/>
    <x v="2"/>
    <x v="18"/>
    <x v="4"/>
    <x v="10"/>
    <x v="4"/>
    <n v="-3890525.25"/>
    <n v="0"/>
    <n v="-3890525.25"/>
  </r>
  <r>
    <s v="R.10034.01.01.03"/>
    <s v="W_R.10034.01.01.03: E Pierce Co 230Kv Alderton Tline"/>
    <x v="1"/>
    <x v="2"/>
    <x v="2"/>
    <x v="1"/>
    <x v="4"/>
    <n v="-16426.059999999998"/>
    <n v="0"/>
    <n v="-16426.059999999998"/>
  </r>
  <r>
    <s v="R.10035.01.01.01"/>
    <s v="W_R.10035.01.01.01: E Alderton Electron Hgts 115Kv Ph2 Tline"/>
    <x v="1"/>
    <x v="2"/>
    <x v="3"/>
    <x v="0"/>
    <x v="4"/>
    <n v="-1635.29"/>
    <n v="0"/>
    <n v="-1635.29"/>
  </r>
  <r>
    <s v="R.10059.06.01.01"/>
    <s v="W_R.10059.06.01.01: E Conservation Voltage Reduction"/>
    <x v="1"/>
    <x v="4"/>
    <x v="4"/>
    <x v="2"/>
    <x v="4"/>
    <n v="-10674.04"/>
    <n v="0"/>
    <n v="-10674.04"/>
  </r>
  <r>
    <s v="X.10006.02.03.02"/>
    <s v="W_X.10006.02.03.02: Transprtatn Electrificatn Plan General"/>
    <x v="1"/>
    <x v="0"/>
    <x v="0"/>
    <x v="0"/>
    <x v="7"/>
    <n v="-396715.91"/>
    <n v="0"/>
    <n v="-396715.91"/>
  </r>
  <r>
    <s v="C.10002.02.02.01"/>
    <s v="W_C.10002.02.02.01: CLSD East Building Retirement"/>
    <x v="0"/>
    <x v="0"/>
    <x v="0"/>
    <x v="0"/>
    <x v="0"/>
    <n v="0"/>
    <n v="-12462842.578559984"/>
    <n v="12462842.578559984"/>
  </r>
  <r>
    <s v="C.10002.04.03.01"/>
    <s v="W_C.10002.04.03.01: CLSD New Headquarters TI"/>
    <x v="0"/>
    <x v="0"/>
    <x v="0"/>
    <x v="0"/>
    <x v="0"/>
    <n v="0"/>
    <n v="-14472.17"/>
    <n v="14472.17"/>
  </r>
  <r>
    <s v="C.10002.09.01.01"/>
    <s v="W_C.10002.09.01.01: CLSD BUCC relocation"/>
    <x v="0"/>
    <x v="0"/>
    <x v="0"/>
    <x v="0"/>
    <x v="0"/>
    <n v="0"/>
    <n v="-707.89717266828973"/>
    <n v="707.89717266828973"/>
  </r>
  <r>
    <s v="PLACEHOLDER WBS 34"/>
    <s v="PLACEHOLDER WBS 34: Crystal Mountain "/>
    <x v="1"/>
    <x v="0"/>
    <x v="0"/>
    <x v="0"/>
    <x v="5"/>
    <n v="0"/>
    <n v="-13040.026999999964"/>
    <n v="13040.026999999964"/>
  </r>
  <r>
    <s v="F.10002.01.34.01"/>
    <s v="W_F.10002.01.34.01: IWM Enhancements"/>
    <x v="0"/>
    <x v="0"/>
    <x v="0"/>
    <x v="0"/>
    <x v="1"/>
    <n v="0"/>
    <n v="-752309.25"/>
    <n v="752309.25"/>
  </r>
  <r>
    <s v="K.10012.01.01.10"/>
    <s v="W_K.10012.01.01.10: BPCC Faster Pmt Posting"/>
    <x v="0"/>
    <x v="0"/>
    <x v="0"/>
    <x v="0"/>
    <x v="1"/>
    <n v="0"/>
    <n v="-4834241.3076954903"/>
    <n v="4834241.3076954903"/>
  </r>
  <r>
    <s v="R.10059.02.01.09"/>
    <s v="W_R.10059.02.01.09: E Property Acquisition Cir Enablement"/>
    <x v="1"/>
    <x v="4"/>
    <x v="4"/>
    <x v="2"/>
    <x v="4"/>
    <n v="0"/>
    <n v="-5600000.0000000037"/>
    <n v="5600000.0000000037"/>
  </r>
  <r>
    <s v="C.10002.02.03.01"/>
    <s v="W_C.10002.02.03.01: RedWest Vacate and SKC Buildout"/>
    <x v="0"/>
    <x v="0"/>
    <x v="0"/>
    <x v="0"/>
    <x v="0"/>
    <n v="0"/>
    <n v="-5000000.0000000037"/>
    <n v="5000000.0000000037"/>
  </r>
  <r>
    <s v="C.20001.01.01.01"/>
    <s v="W_C.20001.01.01.01: Transformer Retirement and Disposal"/>
    <x v="1"/>
    <x v="0"/>
    <x v="0"/>
    <x v="0"/>
    <x v="2"/>
    <n v="0"/>
    <n v="-1658458.9199999992"/>
    <n v="1658458.9199999992"/>
  </r>
  <r>
    <s v="C.20001.02.01.01"/>
    <s v="W_C.20001.02.01.01: Treated Wood Disposal"/>
    <x v="1"/>
    <x v="0"/>
    <x v="0"/>
    <x v="0"/>
    <x v="2"/>
    <n v="0"/>
    <n v="-431725.07999999978"/>
    <n v="431725.07999999978"/>
  </r>
  <r>
    <s v="F.10015.04.04.01"/>
    <s v="W_F.10015.04.04.01: GIS SmallWorld Upgrade"/>
    <x v="0"/>
    <x v="0"/>
    <x v="0"/>
    <x v="0"/>
    <x v="1"/>
    <n v="0"/>
    <n v="-2000000.000000004"/>
    <n v="2000000.000000004"/>
  </r>
  <r>
    <s v="F.10017.05.04.02"/>
    <s v="W_F.10017.05.04.02: AV Updates"/>
    <x v="0"/>
    <x v="0"/>
    <x v="0"/>
    <x v="0"/>
    <x v="1"/>
    <n v="0"/>
    <n v="-1003078.9999999995"/>
    <n v="1003078.9999999995"/>
  </r>
  <r>
    <s v="F.10017.07.01.02"/>
    <s v="W_F.10017.07.01.02: OpenText Migrations"/>
    <x v="0"/>
    <x v="0"/>
    <x v="0"/>
    <x v="0"/>
    <x v="1"/>
    <n v="0"/>
    <n v="-852336.81811125285"/>
    <n v="852336.81811125285"/>
  </r>
  <r>
    <s v="F.10017.13.02.02"/>
    <s v="W_F.10017.13.02.02: Annual VOIP Deployment and Refresh"/>
    <x v="0"/>
    <x v="0"/>
    <x v="0"/>
    <x v="0"/>
    <x v="1"/>
    <n v="0"/>
    <n v="-4.3576999492663603E-2"/>
    <n v="4.3576999492663603E-2"/>
  </r>
  <r>
    <s v="K.10035.01.01.02"/>
    <s v="W_K.10035.01.01.02: FRA Unit 2 to 4 Hot Gas Path"/>
    <x v="1"/>
    <x v="0"/>
    <x v="0"/>
    <x v="0"/>
    <x v="5"/>
    <n v="0"/>
    <n v="-1447.5462448451858"/>
    <n v="1447.5462448451858"/>
  </r>
  <r>
    <s v="R.10009.12.04.01"/>
    <s v="W_R.10009.12.04.01: E Trans Automation Placeholder"/>
    <x v="1"/>
    <x v="2"/>
    <x v="2"/>
    <x v="1"/>
    <x v="4"/>
    <n v="0"/>
    <n v="-524.70298175999994"/>
    <n v="524.70298175999994"/>
  </r>
  <r>
    <s v="R.10009.14.05.15"/>
    <s v="W_R.10009.14.05.15: E Subs CAP Transient Security Issues Dis"/>
    <x v="1"/>
    <x v="2"/>
    <x v="2"/>
    <x v="1"/>
    <x v="4"/>
    <n v="0"/>
    <n v="-25677.839382580027"/>
    <n v="25677.839382580027"/>
  </r>
  <r>
    <s v="R.10037.01.01.07"/>
    <s v="W_R.10037.01.01.07: G Scrap Sale Plt Meters Dist"/>
    <x v="2"/>
    <x v="0"/>
    <x v="0"/>
    <x v="0"/>
    <x v="2"/>
    <n v="0"/>
    <n v="-1920.0000000000036"/>
    <n v="1920.0000000000036"/>
  </r>
  <r>
    <s v="R.10044.01.01.03"/>
    <s v="W_R.10044.01.01.03: E Lake Holm Substation Subs"/>
    <x v="1"/>
    <x v="2"/>
    <x v="2"/>
    <x v="1"/>
    <x v="4"/>
    <n v="0"/>
    <n v="-385505.82864000025"/>
    <n v="385505.82864000025"/>
  </r>
  <r>
    <s v="R.10009.07.03.02"/>
    <s v="W_R.10009.07.03.02: E OH UG System Improv Opport New Trans"/>
    <x v="1"/>
    <x v="8"/>
    <x v="5"/>
    <x v="3"/>
    <x v="4"/>
    <n v="0"/>
    <n v="-366.15172416000001"/>
    <n v="366.15172416000001"/>
  </r>
  <r>
    <s v="R.10039.03.01.01"/>
    <s v="W_R.10039.03.01.01: E White River Krain Substation"/>
    <x v="1"/>
    <x v="7"/>
    <x v="4"/>
    <x v="4"/>
    <x v="4"/>
    <n v="0"/>
    <n v="-9072.57"/>
    <n v="9072.57"/>
  </r>
  <r>
    <s v="F.10007.02.01.02"/>
    <s v="W_F.10007.02.01.02: IT Operational Funding"/>
    <x v="0"/>
    <x v="0"/>
    <x v="0"/>
    <x v="0"/>
    <x v="1"/>
    <n v="0"/>
    <n v="-31095448.999999966"/>
    <n v="31095448.999999966"/>
  </r>
  <r>
    <s v="R.10003.01.01.01"/>
    <s v="W_R.10003.01.01.01: E Lake Tradition 230Kv Development"/>
    <x v="1"/>
    <x v="2"/>
    <x v="2"/>
    <x v="1"/>
    <x v="4"/>
    <n v="0"/>
    <n v="-27570.89"/>
    <n v="27570.89"/>
  </r>
  <r>
    <s v="R.10037.01.01.06"/>
    <s v="W_R.10037.01.01.06: G Removal Cost Meters"/>
    <x v="2"/>
    <x v="0"/>
    <x v="0"/>
    <x v="0"/>
    <x v="2"/>
    <n v="0"/>
    <n v="-127819.20000000042"/>
    <n v="127819.20000000042"/>
  </r>
  <r>
    <s v="R.10037.01.01.01"/>
    <s v="W_R.10037.01.01.01: E Removal Cost Meters"/>
    <x v="1"/>
    <x v="0"/>
    <x v="0"/>
    <x v="0"/>
    <x v="2"/>
    <n v="0"/>
    <n v="-456998.8599999994"/>
    <n v="456998.8599999994"/>
  </r>
  <r>
    <s v="R.10015.06.01.11"/>
    <s v="W_R.10015.06.01.11: G Project Initiation"/>
    <x v="2"/>
    <x v="19"/>
    <x v="4"/>
    <x v="0"/>
    <x v="4"/>
    <n v="0"/>
    <n v="-2830389.3665578598"/>
    <n v="2830389.3665578598"/>
  </r>
  <r>
    <s v="R.10009.08.02.23"/>
    <s v="W_R.10009.08.02.23: E Project Initiation"/>
    <x v="1"/>
    <x v="10"/>
    <x v="4"/>
    <x v="0"/>
    <x v="4"/>
    <n v="0"/>
    <n v="-31978133.108033676"/>
    <n v="31978133.108033676"/>
  </r>
  <r>
    <s v="R.99999.99.99.99"/>
    <s v="W_R.99999.99.99.99: General Transmission Project (Offest to Energize Eastside)"/>
    <x v="1"/>
    <x v="2"/>
    <x v="2"/>
    <x v="1"/>
    <x v="4"/>
    <n v="0"/>
    <n v="40119811.454329111"/>
    <n v="-40119811.454329111"/>
  </r>
  <r>
    <s v="C.10004.01.01.02"/>
    <s v="W_C.10004.01.01.02: Wireless PCS Construction"/>
    <x v="1"/>
    <x v="2"/>
    <x v="2"/>
    <x v="1"/>
    <x v="4"/>
    <n v="0"/>
    <n v="-59235.828801300908"/>
    <n v="59235.828801300908"/>
  </r>
  <r>
    <s v="F.10002.01.22.01"/>
    <s v="W_F.10002.01.22.01: Click Schedule Replacement"/>
    <x v="0"/>
    <x v="0"/>
    <x v="0"/>
    <x v="0"/>
    <x v="1"/>
    <n v="0"/>
    <n v="-7264315.7932416741"/>
    <n v="7264315.7932416741"/>
  </r>
  <r>
    <s v="F.10002.01.25.01"/>
    <s v="W_F.10002.01.25.01: Transmission &amp; Generation Facilities DB"/>
    <x v="1"/>
    <x v="0"/>
    <x v="0"/>
    <x v="0"/>
    <x v="1"/>
    <n v="0"/>
    <n v="-3293534.9291970716"/>
    <n v="3293534.9291970716"/>
  </r>
  <r>
    <s v="F.10015.02.17.01"/>
    <s v="W_F.10015.02.17.01: Distribution Management System"/>
    <x v="1"/>
    <x v="0"/>
    <x v="0"/>
    <x v="0"/>
    <x v="1"/>
    <n v="0"/>
    <n v="-13682163.113017503"/>
    <n v="13682163.113017503"/>
  </r>
  <r>
    <s v="F.10015.08.13.03"/>
    <s v="W_F.10015.08.13.03: UI Enhancements Phase 3"/>
    <x v="0"/>
    <x v="0"/>
    <x v="0"/>
    <x v="0"/>
    <x v="1"/>
    <n v="0"/>
    <n v="-951662.06136646483"/>
    <n v="951662.06136646483"/>
  </r>
  <r>
    <s v="F.10017.05.04.01"/>
    <s v="W_F.10017.05.04.01: Workplace Mobility Program"/>
    <x v="0"/>
    <x v="0"/>
    <x v="0"/>
    <x v="0"/>
    <x v="1"/>
    <n v="0"/>
    <n v="-1002546.142512465"/>
    <n v="1002546.142512465"/>
  </r>
  <r>
    <s v="F.10017.13.03.02"/>
    <s v="W_F.10017.13.03.02: VOIP Deployment and Refresh"/>
    <x v="1"/>
    <x v="0"/>
    <x v="0"/>
    <x v="0"/>
    <x v="1"/>
    <n v="0"/>
    <n v="-421.66687436472955"/>
    <n v="421.66687436472955"/>
  </r>
  <r>
    <s v="K.10006.01.01.01"/>
    <s v="W_K.10006.01.01.01: ENC Small Tools"/>
    <x v="1"/>
    <x v="0"/>
    <x v="0"/>
    <x v="0"/>
    <x v="5"/>
    <n v="0"/>
    <n v="-247.00998259545034"/>
    <n v="247.00998259545034"/>
  </r>
  <r>
    <s v="K.10010.01.01.03"/>
    <s v="W_K.10010.01.01.03: FRE Small Tools"/>
    <x v="1"/>
    <x v="0"/>
    <x v="0"/>
    <x v="0"/>
    <x v="5"/>
    <n v="0"/>
    <n v="-1030.8043452929946"/>
    <n v="1030.8043452929946"/>
  </r>
  <r>
    <s v="K.10020.01.01.03"/>
    <s v="W_K.10020.01.01.03: MTF CT Major Maintenance"/>
    <x v="1"/>
    <x v="0"/>
    <x v="0"/>
    <x v="0"/>
    <x v="5"/>
    <n v="0"/>
    <n v="4193238.3499930049"/>
    <n v="-4193238.3499930049"/>
  </r>
  <r>
    <s v="K.10023.01.01.01"/>
    <s v="W_K.10023.01.01.01: SMS Small Tools"/>
    <x v="1"/>
    <x v="0"/>
    <x v="0"/>
    <x v="0"/>
    <x v="5"/>
    <n v="0"/>
    <n v="-1057.8890008416356"/>
    <n v="1057.8890008416356"/>
  </r>
  <r>
    <s v="R.10004.01.01.01"/>
    <s v="W_R.10004.01.01.01: C Franchises"/>
    <x v="0"/>
    <x v="2"/>
    <x v="2"/>
    <x v="1"/>
    <x v="4"/>
    <n v="0"/>
    <n v="-146624.00000000041"/>
    <n v="146624.00000000041"/>
  </r>
  <r>
    <s v="R.10005.01.01.04"/>
    <s v="W_R.10005.01.01.04: E Eastside 230Kv Subs Rose Hill"/>
    <x v="1"/>
    <x v="2"/>
    <x v="2"/>
    <x v="1"/>
    <x v="4"/>
    <n v="0"/>
    <n v="-8529285.6655276697"/>
    <n v="8529285.6655276697"/>
  </r>
  <r>
    <s v="R.10008.02.01.01"/>
    <s v="W_R.10008.02.01.01: E Franchises"/>
    <x v="1"/>
    <x v="2"/>
    <x v="2"/>
    <x v="1"/>
    <x v="4"/>
    <n v="0"/>
    <n v="-2433475.0000000047"/>
    <n v="2433475.0000000047"/>
  </r>
  <r>
    <s v="R.10008.07.02.01"/>
    <s v="W_R.10008.07.02.01: E King County Clr Zone Pole Prog Dist"/>
    <x v="1"/>
    <x v="8"/>
    <x v="5"/>
    <x v="3"/>
    <x v="4"/>
    <n v="0"/>
    <n v="-3027511.3667107685"/>
    <n v="3027511.3667107685"/>
  </r>
  <r>
    <s v="R.10009.03.01.01"/>
    <s v="W_R.10009.03.01.01: E Clyde Hill Switching Station"/>
    <x v="1"/>
    <x v="7"/>
    <x v="4"/>
    <x v="4"/>
    <x v="4"/>
    <n v="0"/>
    <n v="-293524.86"/>
    <n v="293524.86"/>
  </r>
  <r>
    <s v="R.10009.08.02.18"/>
    <s v="W_R.10009.08.02.18: E OH Sys Capacity Upgrades Uprates Trans"/>
    <x v="1"/>
    <x v="2"/>
    <x v="2"/>
    <x v="1"/>
    <x v="4"/>
    <n v="0"/>
    <n v="-809.57372929571864"/>
    <n v="809.57372929571864"/>
  </r>
  <r>
    <s v="R.10009.08.02.20"/>
    <s v="W_R.10009.08.02.20: E OH Transformer PCB Remediation"/>
    <x v="1"/>
    <x v="2"/>
    <x v="2"/>
    <x v="1"/>
    <x v="4"/>
    <n v="0"/>
    <n v="-3019.2287270564416"/>
    <n v="3019.2287270564416"/>
  </r>
  <r>
    <s v="R.10009.08.05.04"/>
    <s v="W_R.10009.08.05.04: E Pole Replacement Due To Joint Use"/>
    <x v="1"/>
    <x v="0"/>
    <x v="0"/>
    <x v="0"/>
    <x v="7"/>
    <n v="0"/>
    <n v="-1548118.7639594919"/>
    <n v="1548118.7639594919"/>
  </r>
  <r>
    <s v="R.10009.08.06.01"/>
    <s v="W_R.10009.08.06.01: E Root Cause Analysis"/>
    <x v="1"/>
    <x v="7"/>
    <x v="4"/>
    <x v="4"/>
    <x v="4"/>
    <n v="0"/>
    <n v="-896569.74399518361"/>
    <n v="896569.74399518361"/>
  </r>
  <r>
    <s v="R.10009.09.01.02"/>
    <s v="W_R.10009.09.01.02: E Emergent Major Projects Trans"/>
    <x v="1"/>
    <x v="2"/>
    <x v="2"/>
    <x v="1"/>
    <x v="4"/>
    <n v="0"/>
    <n v="-1168.2136096328079"/>
    <n v="1168.2136096328079"/>
  </r>
  <r>
    <s v="R.10009.10.01.01"/>
    <s v="W_R.10009.10.01.01: E Issaquah Highland Substation"/>
    <x v="1"/>
    <x v="7"/>
    <x v="4"/>
    <x v="4"/>
    <x v="4"/>
    <n v="0"/>
    <n v="-131192.39999999997"/>
    <n v="131192.39999999997"/>
  </r>
  <r>
    <s v="R.10009.12.02.04"/>
    <s v="W_R.10009.12.02.04: E Conservation Voltage Reduction"/>
    <x v="1"/>
    <x v="4"/>
    <x v="4"/>
    <x v="2"/>
    <x v="4"/>
    <n v="0"/>
    <n v="-19619.743762079994"/>
    <n v="19619.743762079994"/>
  </r>
  <r>
    <s v="R.10009.12.03.04"/>
    <s v="W_R.10009.12.03.04: E Network and Automate Grid"/>
    <x v="1"/>
    <x v="4"/>
    <x v="4"/>
    <x v="2"/>
    <x v="4"/>
    <n v="0"/>
    <n v="-235723.56499999951"/>
    <n v="235723.56499999951"/>
  </r>
  <r>
    <s v="R.10009.14.05.01"/>
    <s v="W_R.10009.14.05.01: E Digital Fault Recorders Replacement"/>
    <x v="1"/>
    <x v="2"/>
    <x v="2"/>
    <x v="1"/>
    <x v="4"/>
    <n v="0"/>
    <n v="-27319.3194416431"/>
    <n v="27319.3194416431"/>
  </r>
  <r>
    <s v="R.10009.14.05.05"/>
    <s v="W_R.10009.14.05.05: E Subs Replacement Circuit Switcher Dist"/>
    <x v="1"/>
    <x v="4"/>
    <x v="4"/>
    <x v="2"/>
    <x v="4"/>
    <n v="0"/>
    <n v="-11481.873981504688"/>
    <n v="11481.873981504688"/>
  </r>
  <r>
    <s v="R.10009.14.05.11"/>
    <s v="W_R.10009.14.05.11: E Subs Replacement Vegetation Management"/>
    <x v="1"/>
    <x v="2"/>
    <x v="2"/>
    <x v="1"/>
    <x v="4"/>
    <n v="0"/>
    <n v="-197744.84222017261"/>
    <n v="197744.84222017261"/>
  </r>
  <r>
    <s v="R.10009.14.06.01"/>
    <s v="W_R.10009.14.06.01: E Subs Replacement Transformers Dist"/>
    <x v="1"/>
    <x v="4"/>
    <x v="4"/>
    <x v="2"/>
    <x v="4"/>
    <n v="0"/>
    <n v="-27477.059530902337"/>
    <n v="27477.059530902337"/>
  </r>
  <r>
    <s v="R.10011.01.01.10"/>
    <s v="W_R.10011.01.01.10: G Service Replacements CBP"/>
    <x v="2"/>
    <x v="2"/>
    <x v="2"/>
    <x v="1"/>
    <x v="4"/>
    <n v="0"/>
    <n v="-59.562392879999997"/>
    <n v="59.562392879999997"/>
  </r>
  <r>
    <s v="R.10013.02.01.01"/>
    <s v="W_R.10013.02.01.01: G Franchises"/>
    <x v="2"/>
    <x v="2"/>
    <x v="2"/>
    <x v="1"/>
    <x v="4"/>
    <n v="0"/>
    <n v="-1810156.0000000042"/>
    <n v="1810156.0000000042"/>
  </r>
  <r>
    <s v="R.10015.03.05.04"/>
    <s v="W_R.10015.03.05.04: G DIMP Regulator Station Sidewalk Regs"/>
    <x v="2"/>
    <x v="2"/>
    <x v="2"/>
    <x v="1"/>
    <x v="4"/>
    <n v="0"/>
    <n v="-49.703927520000008"/>
    <n v="49.703927520000008"/>
  </r>
  <r>
    <s v="R.10015.03.06.02"/>
    <s v="W_R.10015.03.06.02: G DIMP Legacy Crss Bore Replacement Dist"/>
    <x v="2"/>
    <x v="18"/>
    <x v="4"/>
    <x v="10"/>
    <x v="4"/>
    <n v="0"/>
    <n v="-1085.1389019671803"/>
    <n v="1085.1389019671803"/>
  </r>
  <r>
    <s v="R.10015.03.09.05"/>
    <s v="W_R.10015.03.09.05: G DIMP Preventive Maintenance MSA Dist"/>
    <x v="2"/>
    <x v="12"/>
    <x v="4"/>
    <x v="7"/>
    <x v="4"/>
    <n v="0"/>
    <n v="-227997.05396916272"/>
    <n v="227997.05396916272"/>
  </r>
  <r>
    <s v="R.10015.04.01.08"/>
    <s v="W_R.10015.04.01.08: G Gas Work Release Main"/>
    <x v="2"/>
    <x v="17"/>
    <x v="4"/>
    <x v="5"/>
    <x v="4"/>
    <n v="0"/>
    <n v="-148843.13564760002"/>
    <n v="148843.13564760002"/>
  </r>
  <r>
    <s v="R.10015.06.01.01"/>
    <s v="W_R.10015.06.01.01: G Cold Weather Action Reinforcement"/>
    <x v="2"/>
    <x v="19"/>
    <x v="4"/>
    <x v="0"/>
    <x v="4"/>
    <n v="0"/>
    <n v="-28888.675200000012"/>
    <n v="28888.675200000012"/>
  </r>
  <r>
    <s v="R.10018.01.01.01"/>
    <s v="W_R.10018.01.01.01: E Covington Area Capacity Project"/>
    <x v="1"/>
    <x v="2"/>
    <x v="2"/>
    <x v="1"/>
    <x v="4"/>
    <n v="0"/>
    <n v="-680074.44000000029"/>
    <n v="680074.44000000029"/>
  </r>
  <r>
    <s v="R.10019.01.01.03"/>
    <s v="W_R.10019.01.01.03: E Rebuild Winslow Tap"/>
    <x v="1"/>
    <x v="2"/>
    <x v="2"/>
    <x v="1"/>
    <x v="4"/>
    <n v="0"/>
    <n v="-11263990.043497428"/>
    <n v="11263990.043497428"/>
  </r>
  <r>
    <s v="R.10019.01.01.04"/>
    <s v="W_R.10019.01.01.04: E Murden Cove Subs"/>
    <x v="1"/>
    <x v="20"/>
    <x v="3"/>
    <x v="11"/>
    <x v="4"/>
    <n v="0"/>
    <n v="-11427708.012799999"/>
    <n v="11427708.012799999"/>
  </r>
  <r>
    <s v="R.10019.03.01.01"/>
    <s v="W_R.10019.03.01.01: E So Brm Bngr 115Kv 230Kv Prprty Purch"/>
    <x v="1"/>
    <x v="2"/>
    <x v="2"/>
    <x v="1"/>
    <x v="4"/>
    <n v="0"/>
    <n v="-1457506.97"/>
    <n v="1457506.97"/>
  </r>
  <r>
    <s v="R.10020.02.01.01"/>
    <s v="W_R.10020.02.01.01: E Wind RidgE Kittitas 115Kv Tline"/>
    <x v="1"/>
    <x v="7"/>
    <x v="4"/>
    <x v="4"/>
    <x v="4"/>
    <n v="0"/>
    <n v="-336742.25999999995"/>
    <n v="336742.25999999995"/>
  </r>
  <r>
    <s v="R.10039.02.01.03"/>
    <s v="W_R.10039.02.01.03: E Electr Enum 55Kv 115Kv Sub Electr Hght"/>
    <x v="1"/>
    <x v="7"/>
    <x v="4"/>
    <x v="4"/>
    <x v="4"/>
    <n v="0"/>
    <n v="-32985.933926084843"/>
    <n v="32985.933926084843"/>
  </r>
  <r>
    <s v="R.10039.02.01.05"/>
    <s v="W_R.10039.02.01.05: E Electr Enum 55Kv To 115Kv Sub Enum"/>
    <x v="1"/>
    <x v="7"/>
    <x v="4"/>
    <x v="4"/>
    <x v="4"/>
    <n v="0"/>
    <n v="-23091.114418321577"/>
    <n v="23091.114418321577"/>
  </r>
  <r>
    <s v="R.10052.01.01.01"/>
    <s v="W_R.10052.01.01.01: E Kent-Tukwila Area Capacity Project"/>
    <x v="1"/>
    <x v="7"/>
    <x v="4"/>
    <x v="4"/>
    <x v="4"/>
    <n v="0"/>
    <n v="-725216.84904763056"/>
    <n v="725216.84904763056"/>
  </r>
  <r>
    <s v="R.10052.01.01.02"/>
    <s v="W_R.10052.01.01.02: E Briscoe Park Substation Tline"/>
    <x v="1"/>
    <x v="7"/>
    <x v="4"/>
    <x v="4"/>
    <x v="4"/>
    <n v="0"/>
    <n v="-24582.460000000003"/>
    <n v="24582.460000000003"/>
  </r>
  <r>
    <s v="R.10054.03.01.01"/>
    <s v="W_R.10054.03.01.01: E Lynden Substation Expansion"/>
    <x v="1"/>
    <x v="7"/>
    <x v="4"/>
    <x v="4"/>
    <x v="4"/>
    <n v="0"/>
    <n v="-7233886.9230798203"/>
    <n v="7233886.9230798203"/>
  </r>
  <r>
    <s v="R.10056.01.01.01"/>
    <s v="W_R.10056.01.01.01: E Wilkeson Substation Sub"/>
    <x v="1"/>
    <x v="7"/>
    <x v="4"/>
    <x v="4"/>
    <x v="4"/>
    <n v="0"/>
    <n v="-1883740.9732457648"/>
    <n v="1883740.9732457648"/>
  </r>
  <r>
    <s v="R.10059.01.01.01"/>
    <s v="W_R.10059.01.01.01: E Smart Grid Living Lab"/>
    <x v="1"/>
    <x v="4"/>
    <x v="4"/>
    <x v="2"/>
    <x v="4"/>
    <n v="0"/>
    <n v="-900000"/>
    <n v="900000"/>
  </r>
  <r>
    <s v="R.10059.02.01.01"/>
    <s v="W_R.10059.02.01.01: E ADMS Circuit Enablement"/>
    <x v="1"/>
    <x v="4"/>
    <x v="4"/>
    <x v="2"/>
    <x v="4"/>
    <n v="0"/>
    <n v="-1154777.0333071921"/>
    <n v="1154777.0333071921"/>
  </r>
  <r>
    <s v="R.10059.05.01.01"/>
    <s v="W_R.10059.05.01.01: E Submarine Cable - Mercer Island"/>
    <x v="1"/>
    <x v="4"/>
    <x v="4"/>
    <x v="2"/>
    <x v="4"/>
    <n v="0"/>
    <n v="-3771577.0399999958"/>
    <n v="3771577.0399999958"/>
  </r>
  <r>
    <s v="X.10006.03.01.02"/>
    <s v="W_X.10006.03.01.02: Community Solar Program"/>
    <x v="1"/>
    <x v="0"/>
    <x v="0"/>
    <x v="0"/>
    <x v="7"/>
    <n v="0"/>
    <n v="-9453083.7009711824"/>
    <n v="9453083.7009711824"/>
  </r>
  <r>
    <s v="F.10002.01.27.01"/>
    <s v="W_F.10002.01.27.01: Asset Change Work Management"/>
    <x v="1"/>
    <x v="0"/>
    <x v="0"/>
    <x v="0"/>
    <x v="1"/>
    <n v="0"/>
    <n v="-1504618.5"/>
    <n v="1504618.5"/>
  </r>
  <r>
    <s v="F.10002.05.03.01"/>
    <s v="W_F.10002.05.03.01: EA and Magic Access DB Replacement"/>
    <x v="1"/>
    <x v="0"/>
    <x v="0"/>
    <x v="0"/>
    <x v="1"/>
    <n v="0"/>
    <n v="-2849402.9636734715"/>
    <n v="2849402.9636734715"/>
  </r>
  <r>
    <s v="R.10006.01.01.02"/>
    <s v="PLACEHOLDER WBS 21: IP Scada"/>
    <x v="1"/>
    <x v="0"/>
    <x v="0"/>
    <x v="0"/>
    <x v="1"/>
    <n v="0"/>
    <n v="-2250000.0000000005"/>
    <n v="2250000.0000000005"/>
  </r>
  <r>
    <s v="F.10002.06.04.01"/>
    <s v="W_F.10002.06.04.01: Arrearage Management Plan"/>
    <x v="0"/>
    <x v="0"/>
    <x v="0"/>
    <x v="0"/>
    <x v="1"/>
    <n v="0"/>
    <n v="-3113278.1971035767"/>
    <n v="3113278.1971035767"/>
  </r>
  <r>
    <s v="F.10002.06.07.01"/>
    <s v="W_F.10002.06.07.01: Cust Usage Disaggregation and Presentmnt"/>
    <x v="1"/>
    <x v="0"/>
    <x v="0"/>
    <x v="0"/>
    <x v="1"/>
    <n v="0"/>
    <n v="-2000000.000000004"/>
    <n v="2000000.000000004"/>
  </r>
  <r>
    <s v="F.10002.07.05.01"/>
    <s v="W_F.10002.07.05.01: Third Party Risk"/>
    <x v="0"/>
    <x v="0"/>
    <x v="0"/>
    <x v="0"/>
    <x v="1"/>
    <n v="0"/>
    <n v="-3009237"/>
    <n v="3009237"/>
  </r>
  <r>
    <s v="F.10002.07.07.01"/>
    <s v="W_F.10002.07.07.01: Multi-Family Solar"/>
    <x v="1"/>
    <x v="0"/>
    <x v="0"/>
    <x v="0"/>
    <x v="1"/>
    <n v="0"/>
    <n v="-942894.25999999931"/>
    <n v="942894.25999999931"/>
  </r>
  <r>
    <s v="F.10002.07.09.01"/>
    <s v="W_F.10002.07.09.01: Supply Chain Stabilization Phase 3"/>
    <x v="0"/>
    <x v="0"/>
    <x v="0"/>
    <x v="0"/>
    <x v="1"/>
    <n v="0"/>
    <n v="-539634.88749795302"/>
    <n v="539634.887497953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9">
  <r>
    <s v="C.10002.02.02.02"/>
    <x v="0"/>
    <s v="Common"/>
    <m/>
    <m/>
    <m/>
    <x v="0"/>
    <n v="-1136.8900000000001"/>
    <n v="0"/>
    <n v="-1136.8900000000001"/>
    <m/>
  </r>
  <r>
    <s v="C.10002.02.02.04"/>
    <x v="1"/>
    <s v="Common"/>
    <m/>
    <m/>
    <m/>
    <x v="0"/>
    <n v="-3137460.19"/>
    <n v="0"/>
    <n v="-3137460.19"/>
    <m/>
  </r>
  <r>
    <s v="C.10002.02.04.01"/>
    <x v="2"/>
    <s v="Common"/>
    <m/>
    <m/>
    <m/>
    <x v="0"/>
    <n v="-1454822.02"/>
    <n v="0"/>
    <n v="-1454822.02"/>
    <m/>
  </r>
  <r>
    <s v="C.10002.07.01.01"/>
    <x v="3"/>
    <s v="Common"/>
    <m/>
    <m/>
    <m/>
    <x v="0"/>
    <n v="-3163.1400000000003"/>
    <n v="0"/>
    <n v="-3163.1400000000003"/>
    <m/>
  </r>
  <r>
    <s v="C.10002.08.02.01"/>
    <x v="4"/>
    <s v="Common"/>
    <m/>
    <m/>
    <m/>
    <x v="0"/>
    <n v="-957996.1100000001"/>
    <n v="0"/>
    <n v="-957996.1100000001"/>
    <m/>
  </r>
  <r>
    <s v="C.10003.01.01.01"/>
    <x v="5"/>
    <s v="Common"/>
    <m/>
    <m/>
    <m/>
    <x v="0"/>
    <n v="-299505.27"/>
    <n v="-3000000.0000000005"/>
    <n v="2700494.7300000004"/>
    <m/>
  </r>
  <r>
    <s v="C.10003.01.03.01"/>
    <x v="6"/>
    <s v="Electric"/>
    <m/>
    <m/>
    <m/>
    <x v="0"/>
    <n v="-22263.42"/>
    <n v="0"/>
    <n v="-22263.42"/>
    <m/>
  </r>
  <r>
    <s v="C.10005.01.02.01"/>
    <x v="7"/>
    <s v="Electric"/>
    <m/>
    <m/>
    <m/>
    <x v="1"/>
    <n v="-28851.060000000009"/>
    <n v="-4150542.9239990781"/>
    <n v="4121691.8639990781"/>
    <m/>
  </r>
  <r>
    <s v="C.10005.01.02.02"/>
    <x v="8"/>
    <s v="Electric"/>
    <m/>
    <m/>
    <m/>
    <x v="1"/>
    <n v="-14028826.310000001"/>
    <n v="-7015753.7989489995"/>
    <n v="-7013072.511051001"/>
    <m/>
  </r>
  <r>
    <s v="C.10006.01.01.01"/>
    <x v="9"/>
    <s v="Electric"/>
    <m/>
    <m/>
    <m/>
    <x v="2"/>
    <n v="-1679811.81"/>
    <n v="-999999.99999999942"/>
    <n v="-679811.81000000064"/>
    <m/>
  </r>
  <r>
    <s v="C.10006.01.01.03"/>
    <x v="10"/>
    <s v="Common"/>
    <m/>
    <m/>
    <m/>
    <x v="2"/>
    <n v="-213317.6"/>
    <n v="-299999.99999999994"/>
    <n v="86682.399999999936"/>
    <m/>
  </r>
  <r>
    <s v="C.10009.01.01.01"/>
    <x v="11"/>
    <s v="Electric"/>
    <s v="Not Ops"/>
    <s v="Not Ops"/>
    <m/>
    <x v="3"/>
    <n v="-3338732.2712695785"/>
    <n v="-2712513.0791971558"/>
    <n v="-626219.19207242271"/>
    <m/>
  </r>
  <r>
    <s v="C.10009.01.01.02"/>
    <x v="12"/>
    <s v="Electric"/>
    <s v="Not Ops"/>
    <s v="Not Ops"/>
    <m/>
    <x v="3"/>
    <n v="-1038901.7100000001"/>
    <n v="-1056886.4310916138"/>
    <n v="17984.721091613756"/>
    <m/>
  </r>
  <r>
    <s v="C.10010.02.01.01"/>
    <x v="13"/>
    <s v="Common"/>
    <m/>
    <m/>
    <m/>
    <x v="0"/>
    <n v="-730.16000000000008"/>
    <n v="0"/>
    <n v="-730.16000000000008"/>
    <m/>
  </r>
  <r>
    <s v="C.40001.01.01.01"/>
    <x v="14"/>
    <s v="Common"/>
    <m/>
    <m/>
    <m/>
    <x v="1"/>
    <n v="-31187.46"/>
    <n v="0"/>
    <n v="-31187.46"/>
    <m/>
  </r>
  <r>
    <s v="F.10002.01.14.01"/>
    <x v="15"/>
    <s v="Common"/>
    <m/>
    <m/>
    <m/>
    <x v="1"/>
    <n v="-2813318.35"/>
    <n v="-3510776.5000000033"/>
    <n v="697458.15000000317"/>
    <m/>
  </r>
  <r>
    <s v="F.10002.01.17.01"/>
    <x v="16"/>
    <s v="Common"/>
    <m/>
    <m/>
    <m/>
    <x v="1"/>
    <n v="2178.6799999999998"/>
    <n v="0"/>
    <n v="2178.6799999999998"/>
    <m/>
  </r>
  <r>
    <s v="F.10002.01.18.01"/>
    <x v="17"/>
    <s v="Common"/>
    <m/>
    <m/>
    <m/>
    <x v="1"/>
    <n v="-3262565.93"/>
    <n v="0"/>
    <n v="-3262565.93"/>
    <m/>
  </r>
  <r>
    <s v="F.10002.01.23.01"/>
    <x v="18"/>
    <s v="Common"/>
    <m/>
    <m/>
    <m/>
    <x v="1"/>
    <n v="-1906500.52"/>
    <n v="-975493.83509245317"/>
    <n v="-931006.68490754685"/>
    <m/>
  </r>
  <r>
    <s v="F.10002.03.02.01"/>
    <x v="19"/>
    <s v="Electric"/>
    <m/>
    <m/>
    <m/>
    <x v="1"/>
    <n v="8597.42"/>
    <n v="0"/>
    <n v="8597.42"/>
    <m/>
  </r>
  <r>
    <s v="F.10002.03.03.01"/>
    <x v="20"/>
    <s v="Common"/>
    <m/>
    <m/>
    <m/>
    <x v="1"/>
    <n v="-1269752.1399999999"/>
    <n v="-4469507.2760326117"/>
    <n v="3199755.1360326121"/>
    <m/>
  </r>
  <r>
    <s v="F.10002.04.01.01"/>
    <x v="21"/>
    <s v="Common"/>
    <m/>
    <m/>
    <m/>
    <x v="1"/>
    <n v="-1281.01"/>
    <n v="0"/>
    <n v="-1281.01"/>
    <m/>
  </r>
  <r>
    <s v="F.10002.05.02.01"/>
    <x v="22"/>
    <s v="Common"/>
    <m/>
    <m/>
    <m/>
    <x v="1"/>
    <n v="-1294.48"/>
    <n v="0"/>
    <n v="-1294.48"/>
    <m/>
  </r>
  <r>
    <s v="F.10002.06.01.01"/>
    <x v="23"/>
    <s v="Common"/>
    <m/>
    <m/>
    <m/>
    <x v="1"/>
    <n v="478.33"/>
    <n v="0"/>
    <n v="478.33"/>
    <m/>
  </r>
  <r>
    <s v="F.10002.06.02.01"/>
    <x v="24"/>
    <s v="Common"/>
    <m/>
    <m/>
    <m/>
    <x v="1"/>
    <n v="-2149992.8199999998"/>
    <n v="0"/>
    <n v="-2149992.8199999998"/>
    <m/>
  </r>
  <r>
    <s v="F.10002.06.06.01"/>
    <x v="25"/>
    <s v="Common"/>
    <m/>
    <m/>
    <m/>
    <x v="1"/>
    <n v="-2714622"/>
    <n v="0"/>
    <n v="-2714622"/>
    <m/>
  </r>
  <r>
    <s v="F.10002.07.06.01"/>
    <x v="26"/>
    <s v="Electric"/>
    <m/>
    <m/>
    <m/>
    <x v="1"/>
    <n v="-4294742.08"/>
    <n v="-6226556.3942071535"/>
    <n v="1931814.3142071534"/>
    <m/>
  </r>
  <r>
    <s v="F.10002.09.02.01"/>
    <x v="27"/>
    <s v="Common"/>
    <m/>
    <m/>
    <m/>
    <x v="1"/>
    <n v="-3016387.9300000006"/>
    <n v="-2130526.2727742712"/>
    <n v="-885861.65722572943"/>
    <m/>
  </r>
  <r>
    <s v="F.10003.02.01.07"/>
    <x v="28"/>
    <s v="Common"/>
    <m/>
    <m/>
    <m/>
    <x v="1"/>
    <n v="-11719941.200000001"/>
    <n v="-19898747.474077597"/>
    <n v="8178806.2740775961"/>
    <m/>
  </r>
  <r>
    <s v="F.10003.03.02.01"/>
    <x v="29"/>
    <s v="Common"/>
    <m/>
    <m/>
    <m/>
    <x v="1"/>
    <n v="-768647.57"/>
    <n v="0"/>
    <n v="-768647.57"/>
    <m/>
  </r>
  <r>
    <s v="F.10013.09.01.03"/>
    <x v="30"/>
    <s v="Common"/>
    <m/>
    <m/>
    <m/>
    <x v="1"/>
    <n v="-1662783.6699999997"/>
    <n v="-2004756.4599013247"/>
    <n v="341972.78990132501"/>
    <m/>
  </r>
  <r>
    <s v="F.10015.02.06.02"/>
    <x v="31"/>
    <s v="Gas"/>
    <m/>
    <m/>
    <m/>
    <x v="1"/>
    <n v="-6651845"/>
    <n v="-3510776.5000000033"/>
    <n v="-3141068.4999999967"/>
    <m/>
  </r>
  <r>
    <s v="F.10015.02.14.02"/>
    <x v="32"/>
    <s v="Electric"/>
    <m/>
    <m/>
    <m/>
    <x v="1"/>
    <n v="-142.27000000000001"/>
    <n v="0"/>
    <n v="-142.27000000000001"/>
    <m/>
  </r>
  <r>
    <s v="F.10015.02.17.03"/>
    <x v="33"/>
    <s v="Electric"/>
    <s v="Projected"/>
    <s v="Projected"/>
    <s v="9 - Projected"/>
    <x v="4"/>
    <n v="-32603.37"/>
    <n v="0"/>
    <n v="-32603.37"/>
    <m/>
  </r>
  <r>
    <s v="F.10015.02.20.01"/>
    <x v="34"/>
    <s v="Common"/>
    <m/>
    <m/>
    <m/>
    <x v="1"/>
    <n v="-78559.510000000009"/>
    <n v="0"/>
    <n v="-78559.510000000009"/>
    <m/>
  </r>
  <r>
    <s v="F.10015.02.23.01"/>
    <x v="35"/>
    <s v="Common"/>
    <s v="Projected"/>
    <s v="Projected"/>
    <s v="9 - Projected"/>
    <x v="4"/>
    <n v="-86238.400000000009"/>
    <n v="0"/>
    <n v="-86238.400000000009"/>
    <m/>
  </r>
  <r>
    <s v="F.10015.04.02.04"/>
    <x v="36"/>
    <s v="Common"/>
    <m/>
    <m/>
    <m/>
    <x v="1"/>
    <n v="-215968.57"/>
    <n v="0"/>
    <n v="-215968.57"/>
    <m/>
  </r>
  <r>
    <s v="F.10015.05.04.01"/>
    <x v="37"/>
    <s v="Common"/>
    <m/>
    <m/>
    <m/>
    <x v="1"/>
    <n v="-26817.3"/>
    <n v="0"/>
    <n v="-26817.3"/>
    <m/>
  </r>
  <r>
    <s v="F.10015.06.05.02"/>
    <x v="38"/>
    <s v="Common"/>
    <m/>
    <m/>
    <m/>
    <x v="1"/>
    <n v="-328596.65999999997"/>
    <n v="0"/>
    <n v="-328596.65999999997"/>
    <m/>
  </r>
  <r>
    <s v="F.10015.06.23.02"/>
    <x v="39"/>
    <s v="Common"/>
    <m/>
    <m/>
    <m/>
    <x v="1"/>
    <n v="-16812.05"/>
    <n v="0"/>
    <n v="-16812.05"/>
    <m/>
  </r>
  <r>
    <s v="F.10015.06.25.01"/>
    <x v="40"/>
    <s v="Common"/>
    <m/>
    <m/>
    <m/>
    <x v="1"/>
    <n v="-501758.06999999995"/>
    <n v="0"/>
    <n v="-501758.06999999995"/>
    <m/>
  </r>
  <r>
    <s v="F.10015.06.26.01"/>
    <x v="41"/>
    <s v="Common"/>
    <m/>
    <m/>
    <m/>
    <x v="1"/>
    <n v="-752.48000000000013"/>
    <n v="0"/>
    <n v="-752.48000000000013"/>
    <m/>
  </r>
  <r>
    <s v="F.10015.06.27.01"/>
    <x v="42"/>
    <s v="Common"/>
    <m/>
    <m/>
    <m/>
    <x v="1"/>
    <n v="-212438.2"/>
    <n v="0"/>
    <n v="-212438.2"/>
    <m/>
  </r>
  <r>
    <s v="F.10015.08.11.06"/>
    <x v="43"/>
    <s v="Common"/>
    <m/>
    <m/>
    <m/>
    <x v="1"/>
    <n v="-1687241.67"/>
    <n v="0"/>
    <n v="-1687241.67"/>
    <m/>
  </r>
  <r>
    <s v="F.10015.08.14.03"/>
    <x v="44"/>
    <s v="Common"/>
    <m/>
    <m/>
    <m/>
    <x v="1"/>
    <n v="-1356429.5599999998"/>
    <n v="0"/>
    <n v="-1356429.5599999998"/>
    <m/>
  </r>
  <r>
    <s v="F.10015.08.18.01"/>
    <x v="45"/>
    <s v="Common"/>
    <m/>
    <m/>
    <m/>
    <x v="1"/>
    <n v="176.26"/>
    <n v="0"/>
    <n v="176.26"/>
    <m/>
  </r>
  <r>
    <s v="F.10015.08.19.01"/>
    <x v="46"/>
    <s v="Common"/>
    <m/>
    <m/>
    <m/>
    <x v="1"/>
    <n v="7583.27"/>
    <n v="0"/>
    <n v="7583.27"/>
    <m/>
  </r>
  <r>
    <s v="F.10015.08.23.01"/>
    <x v="47"/>
    <s v="Common"/>
    <m/>
    <m/>
    <m/>
    <x v="1"/>
    <n v="-748465.54"/>
    <n v="0"/>
    <n v="-748465.54"/>
    <m/>
  </r>
  <r>
    <s v="F.10015.11.04.01"/>
    <x v="48"/>
    <s v="Common"/>
    <m/>
    <m/>
    <m/>
    <x v="1"/>
    <n v="-3579613.96"/>
    <n v="0"/>
    <n v="-3579613.96"/>
    <m/>
  </r>
  <r>
    <s v="F.10015.11.06.01"/>
    <x v="49"/>
    <s v="Common"/>
    <m/>
    <m/>
    <m/>
    <x v="1"/>
    <n v="-2868.41"/>
    <n v="0"/>
    <n v="-2868.41"/>
    <m/>
  </r>
  <r>
    <s v="F.10016.01.01.03"/>
    <x v="50"/>
    <s v="Common"/>
    <m/>
    <m/>
    <m/>
    <x v="1"/>
    <n v="-162419.6"/>
    <n v="0"/>
    <n v="-162419.6"/>
    <m/>
  </r>
  <r>
    <s v="F.10017.02.01.03"/>
    <x v="51"/>
    <s v="Common"/>
    <m/>
    <m/>
    <m/>
    <x v="1"/>
    <n v="1371.58"/>
    <n v="0"/>
    <n v="1371.58"/>
    <m/>
  </r>
  <r>
    <s v="F.10017.02.02.03"/>
    <x v="52"/>
    <s v="Common"/>
    <m/>
    <m/>
    <m/>
    <x v="1"/>
    <n v="35140.990000000005"/>
    <n v="0"/>
    <n v="35140.990000000005"/>
    <m/>
  </r>
  <r>
    <s v="F.10017.03.05.02"/>
    <x v="53"/>
    <s v="Common"/>
    <m/>
    <m/>
    <m/>
    <x v="1"/>
    <n v="-5155266.5999999996"/>
    <n v="0"/>
    <n v="-5155266.5999999996"/>
    <m/>
  </r>
  <r>
    <s v="F.10017.05.03.02"/>
    <x v="54"/>
    <s v="Common"/>
    <m/>
    <m/>
    <m/>
    <x v="1"/>
    <n v="-215501.25"/>
    <n v="0"/>
    <n v="-215501.25"/>
    <m/>
  </r>
  <r>
    <s v="F.10017.05.07.01"/>
    <x v="55"/>
    <s v="Common"/>
    <m/>
    <m/>
    <m/>
    <x v="1"/>
    <n v="-2505.86"/>
    <n v="0"/>
    <n v="-2505.86"/>
    <m/>
  </r>
  <r>
    <s v="F.10017.07.01.03"/>
    <x v="56"/>
    <s v="Common"/>
    <m/>
    <m/>
    <m/>
    <x v="1"/>
    <n v="32784.700000000004"/>
    <n v="0"/>
    <n v="32784.700000000004"/>
    <m/>
  </r>
  <r>
    <s v="F.10017.08.02.03"/>
    <x v="57"/>
    <s v="Electric"/>
    <m/>
    <m/>
    <m/>
    <x v="1"/>
    <n v="-92479"/>
    <n v="0"/>
    <n v="-92479"/>
    <m/>
  </r>
  <r>
    <s v="F.10017.08.03.01"/>
    <x v="58"/>
    <s v="Electric"/>
    <m/>
    <m/>
    <m/>
    <x v="1"/>
    <n v="-2659583.0299999998"/>
    <n v="0"/>
    <n v="-2659583.0299999998"/>
    <m/>
  </r>
  <r>
    <s v="F.10017.08.07.01"/>
    <x v="59"/>
    <s v="Electric"/>
    <m/>
    <m/>
    <m/>
    <x v="1"/>
    <n v="-10201.11"/>
    <n v="0"/>
    <n v="-10201.11"/>
    <m/>
  </r>
  <r>
    <s v="F.10017.08.08.01"/>
    <x v="60"/>
    <s v="Electric"/>
    <m/>
    <m/>
    <m/>
    <x v="1"/>
    <n v="-294545.07"/>
    <n v="0"/>
    <n v="-294545.07"/>
    <m/>
  </r>
  <r>
    <s v="F.10017.10.06.04"/>
    <x v="61"/>
    <s v="Common"/>
    <m/>
    <m/>
    <m/>
    <x v="1"/>
    <n v="-205120.47000000003"/>
    <n v="0"/>
    <n v="-205120.47000000003"/>
    <m/>
  </r>
  <r>
    <s v="F.10017.10.09.02"/>
    <x v="62"/>
    <s v="Common"/>
    <m/>
    <m/>
    <m/>
    <x v="1"/>
    <n v="-1560297.85"/>
    <n v="0"/>
    <n v="-1560297.85"/>
    <m/>
  </r>
  <r>
    <s v="F.10017.10.18.01"/>
    <x v="63"/>
    <s v="Common"/>
    <m/>
    <m/>
    <m/>
    <x v="1"/>
    <n v="-115491.54000000001"/>
    <n v="0"/>
    <n v="-115491.54000000001"/>
    <m/>
  </r>
  <r>
    <s v="F.10017.11.01.04"/>
    <x v="64"/>
    <s v="Common"/>
    <m/>
    <m/>
    <m/>
    <x v="1"/>
    <n v="-121.9"/>
    <n v="0"/>
    <n v="-121.9"/>
    <m/>
  </r>
  <r>
    <s v="F.10017.12.01.03"/>
    <x v="65"/>
    <s v="Electric"/>
    <m/>
    <m/>
    <m/>
    <x v="1"/>
    <n v="-489415.45"/>
    <n v="0"/>
    <n v="-489415.45"/>
    <m/>
  </r>
  <r>
    <s v="F.10017.12.05.03"/>
    <x v="66"/>
    <s v="Electric"/>
    <m/>
    <m/>
    <m/>
    <x v="1"/>
    <n v="-222361.19999999998"/>
    <n v="0"/>
    <n v="-222361.19999999998"/>
    <m/>
  </r>
  <r>
    <s v="F.10017.12.06.03"/>
    <x v="67"/>
    <s v="Electric"/>
    <m/>
    <m/>
    <m/>
    <x v="1"/>
    <n v="-148786.75"/>
    <n v="0"/>
    <n v="-148786.75"/>
    <m/>
  </r>
  <r>
    <s v="F.10017.12.08.04"/>
    <x v="68"/>
    <s v="Electric"/>
    <m/>
    <m/>
    <m/>
    <x v="1"/>
    <n v="-411865.72"/>
    <n v="0"/>
    <n v="-411865.72"/>
    <m/>
  </r>
  <r>
    <s v="F.10017.12.23.04"/>
    <x v="69"/>
    <s v="Common"/>
    <m/>
    <m/>
    <m/>
    <x v="1"/>
    <n v="-460673.31"/>
    <n v="0"/>
    <n v="-460673.31"/>
    <m/>
  </r>
  <r>
    <s v="F.10017.12.25.02"/>
    <x v="70"/>
    <s v="Common"/>
    <m/>
    <m/>
    <m/>
    <x v="1"/>
    <n v="-2073.23"/>
    <n v="0"/>
    <n v="-2073.23"/>
    <m/>
  </r>
  <r>
    <s v="F.10017.12.26.01"/>
    <x v="71"/>
    <s v="Electric"/>
    <m/>
    <m/>
    <m/>
    <x v="1"/>
    <n v="-447.47"/>
    <n v="0"/>
    <n v="-447.47"/>
    <m/>
  </r>
  <r>
    <s v="F.10017.12.26.02"/>
    <x v="72"/>
    <s v="Electric"/>
    <m/>
    <m/>
    <m/>
    <x v="1"/>
    <n v="-2356558.71"/>
    <n v="0"/>
    <n v="-2356558.71"/>
    <m/>
  </r>
  <r>
    <s v="F.10017.13.01.03"/>
    <x v="73"/>
    <s v="Common"/>
    <m/>
    <m/>
    <m/>
    <x v="1"/>
    <n v="-11682.27"/>
    <n v="0"/>
    <n v="-11682.27"/>
    <m/>
  </r>
  <r>
    <s v="F.10017.13.05.01"/>
    <x v="74"/>
    <s v="Common"/>
    <m/>
    <m/>
    <m/>
    <x v="1"/>
    <n v="-1036876.43"/>
    <n v="0"/>
    <n v="-1036876.43"/>
    <m/>
  </r>
  <r>
    <s v="F.10017.13.06.01"/>
    <x v="75"/>
    <s v="Common"/>
    <m/>
    <m/>
    <m/>
    <x v="1"/>
    <n v="-580285.51"/>
    <n v="0"/>
    <n v="-580285.51"/>
    <m/>
  </r>
  <r>
    <s v="F.10017.15.01.04"/>
    <x v="76"/>
    <s v="Common"/>
    <m/>
    <m/>
    <m/>
    <x v="1"/>
    <n v="-46884.63"/>
    <n v="0"/>
    <n v="-46884.63"/>
    <m/>
  </r>
  <r>
    <s v="F.10018.02.03.02"/>
    <x v="77"/>
    <s v="Common"/>
    <m/>
    <m/>
    <m/>
    <x v="1"/>
    <n v="-23098678.969999999"/>
    <n v="0"/>
    <n v="-23098678.969999999"/>
    <m/>
  </r>
  <r>
    <s v="F.10018.02.04.01"/>
    <x v="78"/>
    <s v="Common"/>
    <m/>
    <m/>
    <m/>
    <x v="1"/>
    <n v="-453856.88999999996"/>
    <n v="0"/>
    <n v="-453856.88999999996"/>
    <m/>
  </r>
  <r>
    <s v="F.10025.01.04.01"/>
    <x v="79"/>
    <s v="Electric"/>
    <m/>
    <m/>
    <m/>
    <x v="1"/>
    <n v="-3162412.83"/>
    <n v="0"/>
    <n v="-3162412.83"/>
    <m/>
  </r>
  <r>
    <s v="F.10025.01.04.02"/>
    <x v="80"/>
    <s v="Common"/>
    <m/>
    <m/>
    <m/>
    <x v="1"/>
    <n v="-2.1599999999999682"/>
    <n v="0"/>
    <n v="-2.1599999999999682"/>
    <m/>
  </r>
  <r>
    <s v="F.10025.02.01.07"/>
    <x v="81"/>
    <s v="Common"/>
    <m/>
    <m/>
    <m/>
    <x v="1"/>
    <n v="-243997.36000000002"/>
    <n v="0"/>
    <n v="-243997.36000000002"/>
    <s v="Part of W_F.10007.02.01.02: IT Operational Program in the GRC"/>
  </r>
  <r>
    <s v="F.10025.02.01.08"/>
    <x v="82"/>
    <s v="Common"/>
    <m/>
    <m/>
    <m/>
    <x v="1"/>
    <n v="-875253.88000000012"/>
    <n v="-2006158.0000000044"/>
    <n v="1130904.1200000043"/>
    <m/>
  </r>
  <r>
    <s v="F.10026.01.01.01"/>
    <x v="83"/>
    <s v="Common"/>
    <m/>
    <m/>
    <m/>
    <x v="1"/>
    <n v="-32828.839999999982"/>
    <n v="-1002452.9929552966"/>
    <n v="969624.15295529668"/>
    <m/>
  </r>
  <r>
    <s v="K.10001.01.01.01"/>
    <x v="84"/>
    <s v="Electric"/>
    <m/>
    <m/>
    <m/>
    <x v="5"/>
    <n v="-333967.66000000003"/>
    <n v="0"/>
    <n v="-333967.66000000003"/>
    <m/>
  </r>
  <r>
    <s v="K.10001.01.01.02"/>
    <x v="85"/>
    <s v="Electric"/>
    <m/>
    <m/>
    <m/>
    <x v="5"/>
    <n v="-28404.17"/>
    <n v="-519.3025718322632"/>
    <n v="-27884.867428167734"/>
    <m/>
  </r>
  <r>
    <s v="K.10001.01.02.01"/>
    <x v="86"/>
    <s v="Electric"/>
    <m/>
    <m/>
    <m/>
    <x v="5"/>
    <n v="-692849.32000000007"/>
    <n v="-520556.19948164519"/>
    <n v="-172293.12051835487"/>
    <m/>
  </r>
  <r>
    <s v="K.10001.01.02.02"/>
    <x v="87"/>
    <s v="Electric"/>
    <m/>
    <m/>
    <m/>
    <x v="5"/>
    <n v="-38015.090000000004"/>
    <n v="0"/>
    <n v="-38015.090000000004"/>
    <m/>
  </r>
  <r>
    <s v="K.10002.01.02.06"/>
    <x v="88"/>
    <s v="Electric"/>
    <m/>
    <m/>
    <m/>
    <x v="5"/>
    <n v="-8661.9599999999991"/>
    <n v="0"/>
    <n v="-8661.9599999999991"/>
    <m/>
  </r>
  <r>
    <s v="K.10003.01.01.01"/>
    <x v="89"/>
    <s v="Electric"/>
    <m/>
    <m/>
    <m/>
    <x v="5"/>
    <n v="-12166.64"/>
    <n v="0"/>
    <n v="-12166.64"/>
    <m/>
  </r>
  <r>
    <s v="K.10003.01.01.03"/>
    <x v="90"/>
    <s v="Electric"/>
    <m/>
    <m/>
    <m/>
    <x v="5"/>
    <n v="-10290041.15"/>
    <n v="-9245928.526850177"/>
    <n v="-1044112.6231498234"/>
    <m/>
  </r>
  <r>
    <s v="K.10003.02.01.01"/>
    <x v="91"/>
    <s v="Electric"/>
    <m/>
    <m/>
    <m/>
    <x v="5"/>
    <n v="-5144336.99"/>
    <n v="-4501342.2193697849"/>
    <n v="-642994.77063021529"/>
    <m/>
  </r>
  <r>
    <s v="K.10004.01.01.01"/>
    <x v="92"/>
    <s v="Electric"/>
    <m/>
    <m/>
    <m/>
    <x v="5"/>
    <n v="-334796.18000000005"/>
    <n v="-966780"/>
    <n v="631983.81999999995"/>
    <m/>
  </r>
  <r>
    <s v="K.10006.01.01.02"/>
    <x v="93"/>
    <s v="Electric"/>
    <m/>
    <m/>
    <m/>
    <x v="5"/>
    <n v="-1456724.73"/>
    <n v="-195278.32699202772"/>
    <n v="-1261446.4030079723"/>
    <m/>
  </r>
  <r>
    <s v="K.10007.01.01.02"/>
    <x v="94"/>
    <s v="Electric"/>
    <m/>
    <m/>
    <m/>
    <x v="5"/>
    <n v="-4161827.87"/>
    <n v="-315571.14894611394"/>
    <n v="-3846256.7210538862"/>
    <m/>
  </r>
  <r>
    <s v="K.10007.01.01.03"/>
    <x v="95"/>
    <s v="Electric"/>
    <m/>
    <m/>
    <m/>
    <x v="5"/>
    <n v="-26306575.300000001"/>
    <n v="0"/>
    <n v="-26306575.300000001"/>
    <m/>
  </r>
  <r>
    <s v="K.10008.01.01.03"/>
    <x v="96"/>
    <s v="Electric"/>
    <m/>
    <m/>
    <m/>
    <x v="5"/>
    <n v="-766151.29"/>
    <n v="-4455701.3619814906"/>
    <n v="3689550.0719814906"/>
    <m/>
  </r>
  <r>
    <s v="K.10009.01.01.03"/>
    <x v="97"/>
    <s v="Electric"/>
    <m/>
    <m/>
    <m/>
    <x v="5"/>
    <n v="-1423.3899999999999"/>
    <n v="-27.994684835583648"/>
    <n v="-1395.3953151644162"/>
    <m/>
  </r>
  <r>
    <s v="K.10009.01.01.04"/>
    <x v="98"/>
    <s v="Electric"/>
    <m/>
    <m/>
    <m/>
    <x v="5"/>
    <n v="-4466532.1399999997"/>
    <n v="0"/>
    <n v="-4466532.1399999997"/>
    <m/>
  </r>
  <r>
    <s v="K.10010.01.01.04"/>
    <x v="99"/>
    <s v="Electric"/>
    <m/>
    <m/>
    <m/>
    <x v="5"/>
    <n v="-481105.61"/>
    <n v="0"/>
    <n v="-481105.61"/>
    <m/>
  </r>
  <r>
    <s v="K.10013.01.01.01"/>
    <x v="100"/>
    <s v="Electric"/>
    <m/>
    <m/>
    <m/>
    <x v="5"/>
    <n v="-75472.11"/>
    <n v="0"/>
    <n v="-75472.11"/>
    <m/>
  </r>
  <r>
    <s v="K.10013.01.01.02"/>
    <x v="101"/>
    <s v="Electric"/>
    <m/>
    <m/>
    <m/>
    <x v="5"/>
    <n v="-619258.31000000006"/>
    <n v="0"/>
    <n v="-619258.31000000006"/>
    <m/>
  </r>
  <r>
    <s v="K.10015.01.01.01"/>
    <x v="102"/>
    <s v="Electric"/>
    <m/>
    <m/>
    <m/>
    <x v="5"/>
    <n v="-2194459.17"/>
    <n v="-2039804.7649654183"/>
    <n v="-154654.40503458166"/>
    <m/>
  </r>
  <r>
    <s v="K.10015.01.01.02"/>
    <x v="103"/>
    <s v="Electric"/>
    <m/>
    <m/>
    <m/>
    <x v="5"/>
    <n v="-27766.219999999998"/>
    <n v="-47.150131837136961"/>
    <n v="-27719.06986816286"/>
    <m/>
  </r>
  <r>
    <s v="K.10015.01.01.03"/>
    <x v="104"/>
    <s v="Electric"/>
    <m/>
    <m/>
    <m/>
    <x v="5"/>
    <n v="-2406.3499999999995"/>
    <n v="-8.220930000000001"/>
    <n v="-2398.1290699999995"/>
    <m/>
  </r>
  <r>
    <s v="K.10016.01.01.01"/>
    <x v="105"/>
    <s v="Gas"/>
    <m/>
    <m/>
    <m/>
    <x v="5"/>
    <n v="-1462705.48"/>
    <n v="-2612889.5491013769"/>
    <n v="1150184.0691013769"/>
    <m/>
  </r>
  <r>
    <s v="K.10017.01.01.01"/>
    <x v="106"/>
    <s v="Electric"/>
    <m/>
    <m/>
    <m/>
    <x v="5"/>
    <n v="-76346.58"/>
    <n v="0"/>
    <n v="-76346.58"/>
    <m/>
  </r>
  <r>
    <s v="K.10018.01.01.01"/>
    <x v="107"/>
    <s v="Electric"/>
    <m/>
    <m/>
    <m/>
    <x v="5"/>
    <n v="-9827167.8300000019"/>
    <n v="-4646610.824600324"/>
    <n v="-5180557.0053996779"/>
    <m/>
  </r>
  <r>
    <s v="K.10018.01.01.02"/>
    <x v="108"/>
    <s v="Electric"/>
    <m/>
    <m/>
    <m/>
    <x v="5"/>
    <n v="-12479.72"/>
    <n v="0"/>
    <n v="-12479.72"/>
    <m/>
  </r>
  <r>
    <s v="K.10018.01.01.03"/>
    <x v="109"/>
    <s v="Electric"/>
    <m/>
    <m/>
    <m/>
    <x v="5"/>
    <n v="-84891.27"/>
    <n v="0"/>
    <n v="-84891.27"/>
    <m/>
  </r>
  <r>
    <s v="K.10019.01.01.01"/>
    <x v="110"/>
    <s v="Electric"/>
    <m/>
    <m/>
    <m/>
    <x v="5"/>
    <n v="-108514.34"/>
    <n v="-361.50202961105344"/>
    <n v="-108152.83797038894"/>
    <m/>
  </r>
  <r>
    <s v="K.10019.01.01.02"/>
    <x v="111"/>
    <s v="Electric"/>
    <m/>
    <m/>
    <m/>
    <x v="5"/>
    <n v="-2603299.02"/>
    <n v="-1306704.4822524022"/>
    <n v="-1296594.5377475978"/>
    <m/>
  </r>
  <r>
    <s v="K.10021.01.01.01"/>
    <x v="112"/>
    <s v="Electric"/>
    <m/>
    <m/>
    <m/>
    <x v="5"/>
    <n v="-272266.40000000002"/>
    <n v="0"/>
    <n v="-272266.40000000002"/>
    <m/>
  </r>
  <r>
    <s v="K.10021.01.01.02"/>
    <x v="113"/>
    <s v="Electric"/>
    <m/>
    <m/>
    <m/>
    <x v="5"/>
    <n v="-7085.23"/>
    <n v="0"/>
    <n v="-7085.23"/>
    <m/>
  </r>
  <r>
    <s v="K.10023.01.01.02"/>
    <x v="114"/>
    <s v="Electric"/>
    <m/>
    <m/>
    <m/>
    <x v="5"/>
    <n v="-1555245.8742493314"/>
    <n v="0"/>
    <n v="-1555245.8742493314"/>
    <m/>
  </r>
  <r>
    <s v="K.10025.01.02.01"/>
    <x v="115"/>
    <s v="Gas"/>
    <m/>
    <m/>
    <m/>
    <x v="5"/>
    <n v="-480.01"/>
    <n v="0"/>
    <n v="-480.01"/>
    <m/>
  </r>
  <r>
    <s v="K.10025.01.02.02"/>
    <x v="116"/>
    <s v="Gas"/>
    <m/>
    <m/>
    <m/>
    <x v="5"/>
    <n v="-267.82999999999947"/>
    <n v="0"/>
    <n v="-267.82999999999947"/>
    <m/>
  </r>
  <r>
    <s v="K.10025.02.01.01"/>
    <x v="117"/>
    <s v="Gas"/>
    <m/>
    <m/>
    <m/>
    <x v="5"/>
    <n v="-440382.14999999997"/>
    <n v="0"/>
    <n v="-440382.14999999997"/>
    <m/>
  </r>
  <r>
    <s v="K.10026.01.01.03"/>
    <x v="118"/>
    <s v="Electric"/>
    <m/>
    <m/>
    <m/>
    <x v="5"/>
    <n v="-28240.09"/>
    <n v="-291.34078131383092"/>
    <n v="-27948.749218686171"/>
    <m/>
  </r>
  <r>
    <s v="K.10026.01.01.04"/>
    <x v="119"/>
    <s v="Electric"/>
    <m/>
    <m/>
    <m/>
    <x v="5"/>
    <n v="-226808.65"/>
    <n v="0"/>
    <n v="-226808.65"/>
    <m/>
  </r>
  <r>
    <s v="K.10028.01.01.01"/>
    <x v="120"/>
    <s v="Electric"/>
    <m/>
    <m/>
    <m/>
    <x v="5"/>
    <n v="-1386.4999999999998"/>
    <n v="-12794.258073584531"/>
    <n v="11407.758073584531"/>
    <m/>
  </r>
  <r>
    <s v="K.10028.01.01.03"/>
    <x v="121"/>
    <s v="Electric"/>
    <m/>
    <m/>
    <m/>
    <x v="5"/>
    <n v="-36492.78"/>
    <n v="0"/>
    <n v="-36492.78"/>
    <s v="Part of W_F.10007.02.01.02: IT Operational Program in the GRC"/>
  </r>
  <r>
    <s v="K.10028.01.01.04"/>
    <x v="122"/>
    <s v="Electric"/>
    <m/>
    <m/>
    <m/>
    <x v="5"/>
    <n v="-3485416.2700000009"/>
    <n v="-3095100.5623999964"/>
    <n v="-390315.70760000451"/>
    <m/>
  </r>
  <r>
    <s v="R.10005.01.01.01"/>
    <x v="123"/>
    <s v="Electric"/>
    <s v="Energize Eastside"/>
    <s v="Specific: Specific"/>
    <m/>
    <x v="4"/>
    <m/>
    <m/>
    <n v="0"/>
    <s v="Remove Energize Eastside - See Row 461. Final review of all EE costs will be conducted in final review in 2025 or later proceeding."/>
  </r>
  <r>
    <s v="R.10005.01.01.02"/>
    <x v="124"/>
    <s v="Electric"/>
    <s v="Projected"/>
    <s v="Projected"/>
    <s v="9 - Projected"/>
    <x v="4"/>
    <n v="-423.68"/>
    <n v="-1007314.4742219325"/>
    <n v="1006890.7942219324"/>
    <m/>
  </r>
  <r>
    <s v="R.10005.01.01.07"/>
    <x v="125"/>
    <s v="Electric"/>
    <s v="Energize Eastside"/>
    <s v="Specific: Specific"/>
    <m/>
    <x v="4"/>
    <m/>
    <m/>
    <n v="0"/>
    <s v="Remove Energize Eastside - See row 462. Final review of all EE costs will be conducted in final review in 2025 or later proceeding."/>
  </r>
  <r>
    <s v="R.10006.01.01.03"/>
    <x v="126"/>
    <s v="Electric"/>
    <s v="Grid Modernization"/>
    <s v="Programmatic: Programmatic"/>
    <s v="6E - Grid Mod"/>
    <x v="4"/>
    <n v="-5194074.5275619645"/>
    <n v="-10122925.179183614"/>
    <n v="4928850.651621649"/>
    <m/>
  </r>
  <r>
    <s v="R.10006.01.01.04"/>
    <x v="127"/>
    <s v="Electric"/>
    <s v="Grid Modernization"/>
    <s v="Programmatic: Programmatic"/>
    <s v="6E - Grid Mod"/>
    <x v="4"/>
    <n v="-499538.91000000003"/>
    <n v="-1434359.9340381329"/>
    <n v="934821.02403813286"/>
    <m/>
  </r>
  <r>
    <s v="R.10006.01.01.07"/>
    <x v="128"/>
    <s v="Electric"/>
    <s v="Grid Modernization"/>
    <s v="Programmatic: Programmatic"/>
    <s v="6E - Grid Mod"/>
    <x v="4"/>
    <n v="-155913.93"/>
    <n v="0"/>
    <n v="-155913.93"/>
    <m/>
  </r>
  <r>
    <s v="R.10007.06.01.01"/>
    <x v="129"/>
    <s v="Electric"/>
    <s v="CIAC - Electric"/>
    <s v="Programmatic Customer Driven"/>
    <s v="3E - CIAC, NCC, PI"/>
    <x v="4"/>
    <n v="14562652.299999999"/>
    <n v="6382400.0000000037"/>
    <n v="8180252.2999999952"/>
    <m/>
  </r>
  <r>
    <s v="R.10007.07.01.01"/>
    <x v="130"/>
    <s v="Electric"/>
    <s v="Customer Construction Electric"/>
    <s v="Programmatic Customer Driven"/>
    <s v="3E - CIAC, NCC, PI"/>
    <x v="4"/>
    <n v="-8041.6500000000005"/>
    <n v="-3258429.238160836"/>
    <n v="3250387.5881608361"/>
    <m/>
  </r>
  <r>
    <s v="R.10007.08.01.01"/>
    <x v="131"/>
    <s v="Electric"/>
    <s v="Customer Construction Electric"/>
    <s v="Programmatic Customer Driven"/>
    <s v="3E - CIAC, NCC, PI"/>
    <x v="4"/>
    <n v="-5512507.0853848783"/>
    <n v="-3452.753015949349"/>
    <n v="-5509054.3323689289"/>
    <m/>
  </r>
  <r>
    <s v="R.10007.08.02.01"/>
    <x v="132"/>
    <s v="Electric"/>
    <s v="Customer Construction Electric"/>
    <s v="Programmatic Customer Driven"/>
    <s v="3E - CIAC, NCC, PI"/>
    <x v="4"/>
    <n v="-7582881.0731643969"/>
    <n v="-17543.818873808475"/>
    <n v="-7565337.2542905882"/>
    <m/>
  </r>
  <r>
    <s v="R.10007.08.02.02"/>
    <x v="133"/>
    <s v="Electric"/>
    <s v="Customer Construction Electric"/>
    <s v="Programmatic Customer Driven"/>
    <s v="3E - CIAC, NCC, PI"/>
    <x v="4"/>
    <n v="-646283.88695918606"/>
    <n v="0"/>
    <n v="-646283.88695918606"/>
    <m/>
  </r>
  <r>
    <s v="R.10007.09.01.01"/>
    <x v="134"/>
    <s v="Electric"/>
    <s v="Customer Construction Electric"/>
    <s v="Programmatic Customer Driven"/>
    <s v="3E - CIAC, NCC, PI"/>
    <x v="4"/>
    <n v="-30083911.437621254"/>
    <n v="-328048.10019989865"/>
    <n v="-29755863.337421358"/>
    <m/>
  </r>
  <r>
    <s v="R.10007.09.02.01"/>
    <x v="135"/>
    <s v="Electric"/>
    <s v="Customer Construction Electric"/>
    <s v="Programmatic Customer Driven"/>
    <s v="3E - CIAC, NCC, PI"/>
    <x v="4"/>
    <n v="-7266526.9215241875"/>
    <n v="-449542.03568699415"/>
    <n v="-6816984.8858371936"/>
    <m/>
  </r>
  <r>
    <s v="R.10007.09.03.02"/>
    <x v="136"/>
    <s v="Electric"/>
    <s v="Customer Construction Electric"/>
    <s v="Programmatic Customer Driven"/>
    <s v="3E - CIAC, NCC, PI"/>
    <x v="4"/>
    <n v="-16922789.327885289"/>
    <n v="-251838.00168329367"/>
    <n v="-16670951.326201996"/>
    <m/>
  </r>
  <r>
    <s v="R.10007.09.04.01"/>
    <x v="137"/>
    <s v="Electric"/>
    <s v="Customer Construction Electric"/>
    <s v="Programmatic Customer Driven"/>
    <s v="3E - CIAC, NCC, PI"/>
    <x v="4"/>
    <n v="-15356014.49040377"/>
    <n v="-194567.04748128986"/>
    <n v="-15161447.44292248"/>
    <m/>
  </r>
  <r>
    <s v="R.10007.12.01.01"/>
    <x v="138"/>
    <s v="Electric"/>
    <s v="Projected"/>
    <s v="Projected"/>
    <s v="9 - Projected"/>
    <x v="4"/>
    <n v="779464.2824756623"/>
    <n v="0"/>
    <n v="779464.2824756623"/>
    <m/>
  </r>
  <r>
    <s v="R.10007.12.03.01"/>
    <x v="139"/>
    <s v="Electric"/>
    <s v="Major Projects Electric"/>
    <s v="Programmatic: Programmatic"/>
    <s v="7E - Maj Proj"/>
    <x v="4"/>
    <n v="734743.39999999991"/>
    <n v="0"/>
    <n v="734743.39999999991"/>
    <m/>
  </r>
  <r>
    <s v="R.10008.01.01.01"/>
    <x v="140"/>
    <s v="Electric"/>
    <s v="PI Electric"/>
    <s v="Programmatic Customer Driven"/>
    <s v="3E - CIAC, NCC, PI"/>
    <x v="4"/>
    <n v="-810990.75939100282"/>
    <n v="-1757174.0094785567"/>
    <n v="946183.25008755387"/>
    <m/>
  </r>
  <r>
    <s v="R.10008.01.01.02"/>
    <x v="141"/>
    <s v="Electric"/>
    <s v="PI Electric"/>
    <s v="Programmatic Customer Driven"/>
    <s v="3E - CIAC, NCC, PI"/>
    <x v="4"/>
    <n v="-1131792.849469675"/>
    <n v="-2096.7850320589341"/>
    <n v="-1129696.0644376162"/>
    <m/>
  </r>
  <r>
    <s v="R.10008.03.01.01"/>
    <x v="142"/>
    <s v="Electric"/>
    <s v="PI Electric"/>
    <s v="Programmatic Customer Driven"/>
    <s v="3E - CIAC, NCC, PI"/>
    <x v="4"/>
    <n v="-3259646.2076432169"/>
    <n v="-129512.63623745092"/>
    <n v="-3130133.5714057661"/>
    <m/>
  </r>
  <r>
    <s v="R.10008.03.01.03"/>
    <x v="143"/>
    <s v="Electric"/>
    <s v="PI Electric"/>
    <s v="Programmatic Customer Driven"/>
    <s v="3E - CIAC, NCC, PI"/>
    <x v="4"/>
    <n v="-13148591.727722567"/>
    <n v="-939758.49658805644"/>
    <n v="-12208833.23113451"/>
    <m/>
  </r>
  <r>
    <s v="R.10008.03.01.04"/>
    <x v="144"/>
    <s v="Electric"/>
    <s v="PI Electric"/>
    <s v="Programmatic Customer Driven"/>
    <s v="3E - CIAC, NCC, PI"/>
    <x v="4"/>
    <n v="-2124295.2299937215"/>
    <n v="-1273712.1873202061"/>
    <n v="-850583.04267351539"/>
    <m/>
  </r>
  <r>
    <s v="R.10008.03.01.05"/>
    <x v="145"/>
    <s v="Electric"/>
    <s v="PI Electric"/>
    <s v="Programmatic Customer Driven"/>
    <s v="3E - CIAC, NCC, PI"/>
    <x v="4"/>
    <n v="-1637663"/>
    <n v="-42777.416438186134"/>
    <n v="-1594885.5835618139"/>
    <m/>
  </r>
  <r>
    <s v="R.10008.03.01.14"/>
    <x v="146"/>
    <s v="Electric"/>
    <s v="Projected"/>
    <s v="Projected"/>
    <s v="9 - Projected"/>
    <x v="4"/>
    <n v="-757576.12361765897"/>
    <n v="-197094.4790335955"/>
    <n v="-560481.64458406344"/>
    <m/>
  </r>
  <r>
    <s v="R.10008.03.01.18"/>
    <x v="147"/>
    <s v="Electric"/>
    <s v="Projected"/>
    <s v="Projected"/>
    <s v="9 - Projected"/>
    <x v="4"/>
    <n v="-1292404.7968045236"/>
    <n v="0"/>
    <n v="-1292404.7968045236"/>
    <m/>
  </r>
  <r>
    <s v="R.10008.05.01.01"/>
    <x v="148"/>
    <s v="Electric"/>
    <s v="Projected"/>
    <s v="Projected"/>
    <s v="9 - Projected"/>
    <x v="4"/>
    <n v="-472148.33"/>
    <n v="0"/>
    <n v="-472148.33"/>
    <m/>
  </r>
  <r>
    <s v="R.10008.05.01.02"/>
    <x v="149"/>
    <s v="Electric"/>
    <s v="Projected"/>
    <s v="Projected"/>
    <s v="9 - Projected"/>
    <x v="4"/>
    <n v="-7722.8900000000012"/>
    <n v="0"/>
    <n v="-7722.8900000000012"/>
    <m/>
  </r>
  <r>
    <s v="R.10008.07.01.01"/>
    <x v="150"/>
    <s v="Electric"/>
    <s v="PI Electric"/>
    <s v="Programmatic Customer Driven"/>
    <s v="3E - CIAC, NCC, PI"/>
    <x v="4"/>
    <n v="-54192.090000000004"/>
    <n v="-2601507.427617657"/>
    <n v="2547315.3376176571"/>
    <m/>
  </r>
  <r>
    <s v="R.10009.01.01.01"/>
    <x v="151"/>
    <s v="Electric"/>
    <s v="Projected"/>
    <s v="Projected"/>
    <s v="9 - Projected"/>
    <x v="4"/>
    <n v="-5735.3399999999983"/>
    <n v="-1303933.4285756261"/>
    <n v="1298198.088575626"/>
    <m/>
  </r>
  <r>
    <s v="R.10009.02.01.03"/>
    <x v="152"/>
    <s v="Electric"/>
    <s v="Grid Modernization"/>
    <s v="Programmatic: Programmatic"/>
    <s v="6E - Grid Mod"/>
    <x v="4"/>
    <n v="-267380.51999999996"/>
    <n v="-2498008.7604297181"/>
    <n v="2230628.240429718"/>
    <m/>
  </r>
  <r>
    <s v="R.10009.04.01.02"/>
    <x v="153"/>
    <s v="Electric"/>
    <m/>
    <m/>
    <m/>
    <x v="2"/>
    <n v="-2517619.42"/>
    <n v="0"/>
    <n v="-2517619.42"/>
    <m/>
  </r>
  <r>
    <s v="R.10009.05.01.01"/>
    <x v="154"/>
    <s v="Electric"/>
    <s v="Emergent Electric"/>
    <s v="Programmatic: Programmatic"/>
    <s v="4 - Emergent Work"/>
    <x v="4"/>
    <n v="-2406256.4755644454"/>
    <n v="-3642840.7176343375"/>
    <n v="1236584.2420698921"/>
    <m/>
  </r>
  <r>
    <s v="R.10009.05.01.02"/>
    <x v="155"/>
    <s v="Electric"/>
    <s v="Emergent Electric"/>
    <s v="Programmatic: Programmatic"/>
    <s v="4 - Emergent Work"/>
    <x v="4"/>
    <n v="-2372040.1500000004"/>
    <n v="-1756507.0783757369"/>
    <n v="-615533.07162426342"/>
    <m/>
  </r>
  <r>
    <s v="R.10009.05.01.03"/>
    <x v="156"/>
    <s v="Electric"/>
    <s v="Emergent Electric"/>
    <s v="Programmatic: Programmatic"/>
    <s v="4 - Emergent Work"/>
    <x v="4"/>
    <n v="-2139720.5425188881"/>
    <n v="-1606939.8124574216"/>
    <n v="-532780.73006146657"/>
    <m/>
  </r>
  <r>
    <s v="R.10009.05.02.01"/>
    <x v="157"/>
    <s v="Electric"/>
    <s v="Emergent Electric"/>
    <s v="Programmatic: Programmatic"/>
    <s v="4 - Emergent Work"/>
    <x v="4"/>
    <n v="-6318232.3241704041"/>
    <n v="-1189417.440160949"/>
    <n v="-5128814.8840094553"/>
    <m/>
  </r>
  <r>
    <s v="R.10009.05.02.02"/>
    <x v="158"/>
    <s v="Electric"/>
    <s v="Emergent Electric"/>
    <s v="Programmatic: Programmatic"/>
    <s v="4 - Emergent Work"/>
    <x v="4"/>
    <n v="-25478963.849993762"/>
    <n v="-16869284.057530042"/>
    <n v="-8609679.7924637198"/>
    <m/>
  </r>
  <r>
    <s v="R.10009.05.02.03"/>
    <x v="159"/>
    <s v="Electric"/>
    <s v="Emergent Electric"/>
    <s v="Programmatic: Programmatic"/>
    <s v="4 - Emergent Work"/>
    <x v="4"/>
    <n v="-30365295.775305152"/>
    <n v="-18644248.913706027"/>
    <n v="-11721046.861599125"/>
    <m/>
  </r>
  <r>
    <s v="R.10009.05.02.04"/>
    <x v="160"/>
    <s v="Electric"/>
    <s v="Emergent Electric"/>
    <s v="Programmatic: Programmatic"/>
    <s v="4 - Emergent Work"/>
    <x v="4"/>
    <n v="-4177086.3413060443"/>
    <n v="-5064605.6706447974"/>
    <n v="887519.32933875313"/>
    <m/>
  </r>
  <r>
    <s v="R.10009.05.02.05"/>
    <x v="161"/>
    <s v="Electric"/>
    <s v="Emergent Electric"/>
    <s v="Programmatic: Programmatic"/>
    <s v="4 - Emergent Work"/>
    <x v="4"/>
    <n v="-6532201.7105618957"/>
    <n v="-77270.408691708741"/>
    <n v="-6454931.3018701868"/>
    <m/>
  </r>
  <r>
    <s v="R.10009.07.01.01"/>
    <x v="162"/>
    <s v="Electric"/>
    <s v="Capacity Electric"/>
    <s v="Programmatic: Programmatic"/>
    <m/>
    <x v="4"/>
    <n v="5362.9899999999989"/>
    <n v="0"/>
    <n v="5362.9899999999989"/>
    <m/>
  </r>
  <r>
    <s v="R.10009.07.01.03"/>
    <x v="163"/>
    <s v="Electric"/>
    <s v="Capacity Electric"/>
    <s v="Programmatic: Programmatic"/>
    <m/>
    <x v="4"/>
    <n v="-2746811.24"/>
    <n v="-534307.19782597886"/>
    <n v="-2212504.0421740212"/>
    <m/>
  </r>
  <r>
    <s v="R.10009.07.01.07"/>
    <x v="164"/>
    <s v="Electric"/>
    <s v="Projected"/>
    <s v="Projected"/>
    <s v="9 - Projected"/>
    <x v="4"/>
    <n v="-43840.73"/>
    <n v="0"/>
    <n v="-43840.73"/>
    <m/>
  </r>
  <r>
    <s v="R.10009.07.03.01"/>
    <x v="165"/>
    <s v="Electric"/>
    <s v="PI Electric"/>
    <s v="Programmatic Customer Driven"/>
    <s v="3E - CIAC, NCC, PI"/>
    <x v="4"/>
    <n v="-289356.60653857101"/>
    <n v="-23122.496188339908"/>
    <n v="-266234.11035023112"/>
    <m/>
  </r>
  <r>
    <s v="R.10009.08.01.02"/>
    <x v="166"/>
    <s v="Electric"/>
    <s v="Grid Modernization"/>
    <s v="Programmatic: Programmatic"/>
    <s v="6E - Grid Mod"/>
    <x v="4"/>
    <n v="-13184031.87364202"/>
    <n v="-13489572.617585285"/>
    <n v="305540.74394326471"/>
    <m/>
  </r>
  <r>
    <s v="R.10009.08.01.07"/>
    <x v="167"/>
    <s v="Electric"/>
    <s v="Grid Modernization"/>
    <s v="Programmatic: Programmatic"/>
    <s v="6E - Grid Mod"/>
    <x v="4"/>
    <n v="-26591228.166296277"/>
    <n v="0"/>
    <n v="-26591228.166296277"/>
    <m/>
  </r>
  <r>
    <s v="R.10009.08.02.05"/>
    <x v="168"/>
    <s v="Electric"/>
    <s v="Grid Modernization"/>
    <s v="Programmatic: Programmatic"/>
    <s v="6E - Grid Mod"/>
    <x v="4"/>
    <n v="-8130037.159317242"/>
    <n v="-46177442.508803926"/>
    <n v="38047405.349486686"/>
    <m/>
  </r>
  <r>
    <s v="R.10009.08.02.07"/>
    <x v="169"/>
    <s v="Electric"/>
    <s v="Grid Modernization"/>
    <s v="Programmatic: Programmatic"/>
    <s v="6E - Grid Mod"/>
    <x v="4"/>
    <n v="-1991093.3701229529"/>
    <n v="-12358911.537837982"/>
    <n v="10367818.16771503"/>
    <m/>
  </r>
  <r>
    <s v="R.10009.08.02.09"/>
    <x v="170"/>
    <s v="Electric"/>
    <s v="Grid Modernization"/>
    <s v="Programmatic: Programmatic"/>
    <s v="6E - Grid Mod"/>
    <x v="4"/>
    <n v="-4644157.8318888973"/>
    <n v="-3468753.4409467499"/>
    <n v="-1175404.3909421475"/>
    <m/>
  </r>
  <r>
    <s v="R.10009.08.02.10"/>
    <x v="171"/>
    <s v="Electric"/>
    <s v="Grid Modernization"/>
    <s v="Programmatic: Programmatic"/>
    <s v="6E - Grid Mod"/>
    <x v="4"/>
    <n v="-13874827.599354368"/>
    <n v="-2743343.3116766242"/>
    <n v="-11131484.287677743"/>
    <m/>
  </r>
  <r>
    <s v="R.10009.08.02.11"/>
    <x v="172"/>
    <s v="Electric"/>
    <s v="Projected"/>
    <s v="Projected"/>
    <s v="9 - Projected"/>
    <x v="4"/>
    <n v="-135145.16999999998"/>
    <n v="0"/>
    <n v="-135145.16999999998"/>
    <m/>
  </r>
  <r>
    <s v="R.10009.08.02.12"/>
    <x v="173"/>
    <s v="Electric"/>
    <s v="Projected"/>
    <s v="Projected"/>
    <s v="9 - Projected"/>
    <x v="4"/>
    <n v="-3089040.7899999996"/>
    <n v="-2883351.1757637528"/>
    <n v="-205689.61423624679"/>
    <m/>
  </r>
  <r>
    <s v="R.10009.08.02.14"/>
    <x v="174"/>
    <s v="Electric"/>
    <s v="Grid Modernization"/>
    <s v="Programmatic: Programmatic"/>
    <s v="6E - Grid Mod"/>
    <x v="4"/>
    <n v="-19054204.977935247"/>
    <n v="-11728176.84713937"/>
    <n v="-7326028.1307958774"/>
    <m/>
  </r>
  <r>
    <s v="R.10009.08.02.15"/>
    <x v="175"/>
    <s v="Electric"/>
    <s v="Grid Modernization"/>
    <s v="Programmatic: Programmatic"/>
    <s v="6E - Grid Mod"/>
    <x v="4"/>
    <n v="-1311998.2014965296"/>
    <n v="-2842255.0083662439"/>
    <n v="1530256.8068697143"/>
    <m/>
  </r>
  <r>
    <s v="R.10009.08.02.17"/>
    <x v="176"/>
    <s v="Electric"/>
    <s v="Grid Modernization"/>
    <s v="Programmatic: Programmatic"/>
    <s v="6E - Grid Mod"/>
    <x v="4"/>
    <n v="-11013199.759829553"/>
    <n v="-598051.27450237027"/>
    <n v="-10415148.485327182"/>
    <m/>
  </r>
  <r>
    <s v="R.10009.08.02.19"/>
    <x v="177"/>
    <s v="Electric"/>
    <s v="Projected"/>
    <s v="Projected"/>
    <s v="9 - Projected"/>
    <x v="4"/>
    <n v="-140467.14000000001"/>
    <n v="-343.58994116342234"/>
    <n v="-140123.55005883658"/>
    <m/>
  </r>
  <r>
    <s v="R.10009.08.02.22"/>
    <x v="178"/>
    <s v="Electric"/>
    <s v="Grid Modernization"/>
    <s v="Programmatic: Programmatic"/>
    <s v="6E - Grid Mod"/>
    <x v="4"/>
    <n v="-963883.77984976454"/>
    <n v="0"/>
    <n v="-963883.77984976454"/>
    <m/>
  </r>
  <r>
    <s v="R.10009.08.02.24"/>
    <x v="179"/>
    <s v="Electric"/>
    <s v="Projected"/>
    <s v="Projected"/>
    <s v="9 - Projected"/>
    <x v="4"/>
    <n v="-20759.32"/>
    <n v="0"/>
    <n v="-20759.32"/>
    <m/>
  </r>
  <r>
    <s v="R.10009.08.02.25"/>
    <x v="180"/>
    <s v="Electric"/>
    <s v="Grid Modernization"/>
    <s v="Programmatic: Programmatic"/>
    <s v="6E - Grid Mod"/>
    <x v="4"/>
    <n v="-15526234.392010286"/>
    <n v="-161747.64343363733"/>
    <n v="-15364486.748576649"/>
    <m/>
  </r>
  <r>
    <s v="R.10009.08.02.28"/>
    <x v="181"/>
    <s v="Electric"/>
    <s v="Projected"/>
    <s v="Projected"/>
    <s v="9 - Projected"/>
    <x v="4"/>
    <n v="-944312.64973241067"/>
    <n v="-2439.4244755307986"/>
    <n v="-941873.22525687993"/>
    <m/>
  </r>
  <r>
    <s v="R.10009.08.03.01"/>
    <x v="182"/>
    <s v="Electric"/>
    <m/>
    <m/>
    <m/>
    <x v="2"/>
    <n v="-277293.58741736418"/>
    <n v="0"/>
    <n v="-277293.58741736418"/>
    <m/>
  </r>
  <r>
    <s v="R.10009.08.05.02"/>
    <x v="183"/>
    <s v="Electric"/>
    <s v="Emergent Electric"/>
    <s v="Programmatic: Programmatic"/>
    <s v="4 - Emergent Work"/>
    <x v="4"/>
    <n v="-4360134.8086507739"/>
    <n v="-1208886.284194574"/>
    <n v="-3151248.5244562002"/>
    <m/>
  </r>
  <r>
    <s v="R.10009.08.05.03"/>
    <x v="184"/>
    <s v="Electric"/>
    <s v="Emergent Electric"/>
    <s v="Programmatic: Programmatic"/>
    <s v="4 - Emergent Work"/>
    <x v="4"/>
    <n v="-38573.47"/>
    <n v="-219797.88139630793"/>
    <n v="181224.41139630793"/>
    <m/>
  </r>
  <r>
    <s v="R.10009.08.05.05"/>
    <x v="185"/>
    <s v="Electric"/>
    <s v="Grid Modernization"/>
    <s v="Programmatic: Programmatic"/>
    <s v="6E - Grid Mod"/>
    <x v="4"/>
    <n v="-6867195.1160102468"/>
    <n v="-27730275.612953339"/>
    <n v="20863080.496943094"/>
    <m/>
  </r>
  <r>
    <s v="R.10009.08.05.07"/>
    <x v="186"/>
    <s v="Electric"/>
    <s v="Grid Modernization"/>
    <s v="Programmatic: Programmatic"/>
    <s v="6E - Grid Mod"/>
    <x v="4"/>
    <n v="-11986074.226060275"/>
    <n v="-5896473.0104704974"/>
    <n v="-6089601.2155897776"/>
    <m/>
  </r>
  <r>
    <s v="R.10009.08.05.16"/>
    <x v="187"/>
    <s v="Electric"/>
    <s v="Grid Modernization"/>
    <s v="Programmatic: Programmatic"/>
    <s v="6E - Grid Mod"/>
    <x v="4"/>
    <n v="-1037790.98"/>
    <n v="-132602.58469901333"/>
    <n v="-905188.39530098671"/>
    <m/>
  </r>
  <r>
    <s v="R.10009.08.05.17"/>
    <x v="188"/>
    <s v="Electric"/>
    <s v="Grid Modernization"/>
    <s v="Programmatic: Programmatic"/>
    <s v="6E - Grid Mod"/>
    <x v="4"/>
    <n v="-115430.08000000002"/>
    <n v="-8484.2528510976499"/>
    <n v="-106945.82714890236"/>
    <m/>
  </r>
  <r>
    <s v="R.10009.12.01.01"/>
    <x v="189"/>
    <s v="Common"/>
    <s v="AMI Meters and Modules Deployment"/>
    <s v="Programmatic: Programmatic"/>
    <s v="1 - AMI"/>
    <x v="6"/>
    <n v="-80813.69"/>
    <n v="0"/>
    <n v="-80813.69"/>
    <m/>
  </r>
  <r>
    <s v="R.10009.12.01.03"/>
    <x v="190"/>
    <s v="Electric"/>
    <s v="AMI Meters and Modules Deployment"/>
    <s v="Programmatic: Programmatic"/>
    <s v="1 - AMI"/>
    <x v="6"/>
    <n v="-100838.31000000001"/>
    <n v="0"/>
    <n v="-100838.31000000001"/>
    <m/>
  </r>
  <r>
    <s v="R.10009.12.01.04"/>
    <x v="191"/>
    <s v="Electric"/>
    <s v="AMI Meters and Modules Deployment"/>
    <s v="Programmatic: Programmatic"/>
    <s v="1 - AMI"/>
    <x v="6"/>
    <n v="-27840619.771862037"/>
    <n v="-104544526.2964678"/>
    <n v="76703906.524605751"/>
    <m/>
  </r>
  <r>
    <s v="R.10009.12.01.05"/>
    <x v="192"/>
    <s v="Gas"/>
    <s v="AMI Meters and Modules Deployment"/>
    <s v="Programmatic: Programmatic"/>
    <s v="1 - AMI"/>
    <x v="6"/>
    <n v="-6439970.9736460894"/>
    <n v="-62537804.720619835"/>
    <n v="56097833.746973746"/>
    <m/>
  </r>
  <r>
    <s v="R.10009.12.01.08"/>
    <x v="193"/>
    <s v="Electric"/>
    <s v="Projected"/>
    <s v="Projected"/>
    <s v="9 - Projected"/>
    <x v="4"/>
    <n v="-7171.4800000000005"/>
    <n v="61120.296803631776"/>
    <n v="-68291.776803631772"/>
    <m/>
  </r>
  <r>
    <s v="R.10009.12.01.09"/>
    <x v="194"/>
    <s v="Gas"/>
    <s v="Projected"/>
    <s v="Projected"/>
    <s v="9 - Projected"/>
    <x v="4"/>
    <n v="-270.436445034256"/>
    <n v="-2399.9999999999973"/>
    <n v="2129.5635549657413"/>
    <m/>
  </r>
  <r>
    <s v="R.10009.12.03.01"/>
    <x v="195"/>
    <s v="Electric"/>
    <s v="Grid Modernization"/>
    <s v="Programmatic: Programmatic"/>
    <s v="6E - Grid Mod"/>
    <x v="4"/>
    <n v="-4055737.6486428548"/>
    <n v="-9717623.2223387007"/>
    <n v="5661885.5736958459"/>
    <m/>
  </r>
  <r>
    <s v="R.10009.14.04.01"/>
    <x v="196"/>
    <s v="Electric"/>
    <s v="Grid Modernization"/>
    <s v="Programmatic: Programmatic"/>
    <s v="6E - Grid Mod"/>
    <x v="4"/>
    <n v="-23434.89"/>
    <n v="0"/>
    <n v="-23434.89"/>
    <m/>
  </r>
  <r>
    <s v="R.10009.14.05.02"/>
    <x v="197"/>
    <s v="Electric"/>
    <s v="Emergent Electric"/>
    <s v="Programmatic: Programmatic"/>
    <s v="4 - Emergent Work"/>
    <x v="4"/>
    <n v="-6192262.1800000006"/>
    <n v="-6277278.1563269272"/>
    <n v="85015.976326926611"/>
    <m/>
  </r>
  <r>
    <s v="R.10009.14.05.03"/>
    <x v="198"/>
    <s v="Electric"/>
    <s v="Emergent Electric"/>
    <s v="Programmatic: Programmatic"/>
    <s v="4 - Emergent Work"/>
    <x v="4"/>
    <n v="-2189643.1"/>
    <n v="-2472772.7424335591"/>
    <n v="283129.64243355906"/>
    <m/>
  </r>
  <r>
    <s v="R.10009.14.05.06"/>
    <x v="199"/>
    <s v="Electric"/>
    <s v="Grid Modernization"/>
    <s v="Programmatic: Programmatic"/>
    <s v="6E - Grid Mod"/>
    <x v="4"/>
    <n v="-10412305.507208887"/>
    <n v="-14286949.097328121"/>
    <n v="3874643.5901192334"/>
    <m/>
  </r>
  <r>
    <s v="R.10009.14.05.07"/>
    <x v="200"/>
    <s v="Electric"/>
    <s v="Grid Modernization"/>
    <s v="Programmatic: Programmatic"/>
    <s v="6E - Grid Mod"/>
    <x v="4"/>
    <n v="-15464.249154319601"/>
    <n v="-12557.455440509662"/>
    <n v="-2906.7937138099387"/>
    <m/>
  </r>
  <r>
    <s v="R.10009.14.05.09"/>
    <x v="201"/>
    <s v="Electric"/>
    <s v="Projected"/>
    <s v="Projected"/>
    <s v="9 - Projected"/>
    <x v="4"/>
    <n v="-1854282.2609922818"/>
    <n v="0"/>
    <n v="-1854282.2609922818"/>
    <m/>
  </r>
  <r>
    <s v="R.10009.14.07.01"/>
    <x v="202"/>
    <s v="Electric"/>
    <s v="Grid Modernization"/>
    <s v="Programmatic: Programmatic"/>
    <s v="6E - Grid Mod"/>
    <x v="4"/>
    <n v="-8155.2199999999993"/>
    <n v="-282885.45113292593"/>
    <n v="274730.23113292595"/>
    <m/>
  </r>
  <r>
    <s v="R.10009.17.01.01"/>
    <x v="203"/>
    <s v="Electric"/>
    <s v="Projected"/>
    <s v="Projected"/>
    <s v="9 - Projected"/>
    <x v="4"/>
    <n v="-106259.76000000001"/>
    <n v="-350000.00000000041"/>
    <n v="243740.2400000004"/>
    <m/>
  </r>
  <r>
    <s v="R.10011.01.01.03"/>
    <x v="204"/>
    <s v="Gas"/>
    <s v="Gas Modernization"/>
    <s v="Programmatic: Programmatic"/>
    <s v="6G - Gas Mod"/>
    <x v="4"/>
    <n v="-453596.06000000006"/>
    <n v="-1187215.4833934451"/>
    <n v="733619.42339344509"/>
    <m/>
  </r>
  <r>
    <s v="R.10011.01.01.04"/>
    <x v="205"/>
    <s v="Gas"/>
    <s v="Gas Modernization"/>
    <s v="Programmatic: Programmatic"/>
    <s v="6G - Gas Mod"/>
    <x v="4"/>
    <n v="-142381.01"/>
    <n v="-188614.82987705726"/>
    <n v="46233.819877057249"/>
    <m/>
  </r>
  <r>
    <s v="R.10011.01.01.06"/>
    <x v="206"/>
    <s v="Gas"/>
    <s v="Projected"/>
    <s v="Projected"/>
    <s v="9 - Projected"/>
    <x v="4"/>
    <n v="-122749.41"/>
    <n v="0"/>
    <n v="-122749.41"/>
    <m/>
  </r>
  <r>
    <s v="R.10011.01.01.07"/>
    <x v="207"/>
    <s v="Gas"/>
    <s v="Major Projects Gas"/>
    <s v="Programmatic: Programmatic"/>
    <s v="7G - Maj Proj"/>
    <x v="4"/>
    <n v="-320771.7"/>
    <n v="-576037.5544989194"/>
    <n v="255265.85449891939"/>
    <m/>
  </r>
  <r>
    <s v="R.10012.01.01.01"/>
    <x v="208"/>
    <s v="Gas"/>
    <s v="Customer Construction Gas"/>
    <s v="Programmatic Customer Driven"/>
    <s v="3G - CIAC, NCC, PI"/>
    <x v="4"/>
    <n v="-1472992.01"/>
    <n v="0"/>
    <n v="-1472992.01"/>
    <m/>
  </r>
  <r>
    <s v="R.10012.01.01.02"/>
    <x v="209"/>
    <s v="Gas"/>
    <s v="Customer Construction Gas"/>
    <s v="Programmatic Customer Driven"/>
    <s v="3G - CIAC, NCC, PI"/>
    <x v="4"/>
    <n v="-2093679.8505118317"/>
    <n v="-19817.837709763291"/>
    <n v="-2073862.0128020684"/>
    <m/>
  </r>
  <r>
    <s v="R.10012.01.02.01"/>
    <x v="210"/>
    <s v="Gas"/>
    <s v="Customer Construction Gas"/>
    <s v="Programmatic Customer Driven"/>
    <s v="3G - CIAC, NCC, PI"/>
    <x v="4"/>
    <n v="-322903.42423175828"/>
    <n v="-34389.036907058799"/>
    <n v="-288514.38732469949"/>
    <m/>
  </r>
  <r>
    <s v="R.10012.01.02.02"/>
    <x v="211"/>
    <s v="Gas"/>
    <s v="Customer Construction Gas"/>
    <s v="Programmatic Customer Driven"/>
    <s v="3G - CIAC, NCC, PI"/>
    <x v="4"/>
    <n v="-11895177.780253317"/>
    <n v="-17159.511265195943"/>
    <n v="-11878018.268988121"/>
    <m/>
  </r>
  <r>
    <s v="R.10012.02.01.01"/>
    <x v="212"/>
    <s v="Gas"/>
    <s v="CIAC - Gas"/>
    <s v="Programmatic Customer Driven"/>
    <s v="3G - CIAC, NCC, PI"/>
    <x v="4"/>
    <n v="198563.8"/>
    <n v="3005100"/>
    <n v="-2806536.2"/>
    <m/>
  </r>
  <r>
    <s v="R.10012.03.01.01"/>
    <x v="213"/>
    <s v="Gas"/>
    <s v="Customer Construction Gas"/>
    <s v="Programmatic Customer Driven"/>
    <s v="3G - CIAC, NCC, PI"/>
    <x v="4"/>
    <n v="-10504158.727816181"/>
    <n v="-177108.11498440625"/>
    <n v="-10327050.612831775"/>
    <m/>
  </r>
  <r>
    <s v="R.10012.03.02.01"/>
    <x v="214"/>
    <s v="Gas"/>
    <s v="Customer Construction Gas"/>
    <s v="Programmatic Customer Driven"/>
    <s v="3G - CIAC, NCC, PI"/>
    <x v="4"/>
    <n v="-2768771.462433415"/>
    <n v="-35940.955616185987"/>
    <n v="-2732830.5068172291"/>
    <m/>
  </r>
  <r>
    <s v="R.10012.03.03.01"/>
    <x v="215"/>
    <s v="Gas"/>
    <s v="Customer Construction Gas"/>
    <s v="Programmatic Customer Driven"/>
    <s v="3G - CIAC, NCC, PI"/>
    <x v="4"/>
    <n v="-8307148.0599999996"/>
    <n v="-337792.25247504498"/>
    <n v="-7969355.8075249549"/>
    <m/>
  </r>
  <r>
    <s v="R.10012.03.03.02"/>
    <x v="216"/>
    <s v="Gas"/>
    <s v="Customer Construction Gas"/>
    <s v="Programmatic Customer Driven"/>
    <s v="3G - CIAC, NCC, PI"/>
    <x v="4"/>
    <n v="-3109124.8301923983"/>
    <n v="-26571.915949503546"/>
    <n v="-3082552.9142428949"/>
    <m/>
  </r>
  <r>
    <s v="R.10012.04.01.01"/>
    <x v="217"/>
    <s v="Gas"/>
    <s v="Customer Construction Gas"/>
    <s v="Programmatic Customer Driven"/>
    <s v="3G - CIAC, NCC, PI"/>
    <x v="4"/>
    <n v="-7672221.6546261068"/>
    <n v="-7135.7059427120903"/>
    <n v="-7665085.9486833951"/>
    <m/>
  </r>
  <r>
    <s v="R.10012.04.02.01"/>
    <x v="218"/>
    <s v="Gas"/>
    <s v="Customer Construction Gas"/>
    <s v="Programmatic Customer Driven"/>
    <s v="3G - CIAC, NCC, PI"/>
    <x v="4"/>
    <n v="-3195490.0480205156"/>
    <n v="-497.08362264671564"/>
    <n v="-3194992.9643978691"/>
    <m/>
  </r>
  <r>
    <s v="R.10012.04.03.02"/>
    <x v="219"/>
    <s v="Gas"/>
    <s v="Customer Construction Gas"/>
    <s v="Programmatic Customer Driven"/>
    <s v="3G - CIAC, NCC, PI"/>
    <x v="4"/>
    <n v="-23735597.699419755"/>
    <n v="-335.97149033117768"/>
    <n v="-23735261.727929424"/>
    <m/>
  </r>
  <r>
    <s v="R.10012.04.03.03"/>
    <x v="220"/>
    <s v="Gas"/>
    <s v="Customer Construction Gas"/>
    <s v="Programmatic Customer Driven"/>
    <s v="3G - CIAC, NCC, PI"/>
    <x v="4"/>
    <n v="-7990777.4568597265"/>
    <n v="0"/>
    <n v="-7990777.4568597265"/>
    <m/>
  </r>
  <r>
    <s v="R.10012.06.01.01"/>
    <x v="221"/>
    <s v="Gas"/>
    <s v="Customer Construction Gas"/>
    <s v="Programmatic Customer Driven"/>
    <s v="3G - CIAC, NCC, PI"/>
    <x v="4"/>
    <n v="-1650613.8911316695"/>
    <n v="0"/>
    <n v="-1650613.8911316695"/>
    <m/>
  </r>
  <r>
    <s v="R.10013.01.01.01"/>
    <x v="222"/>
    <s v="Gas"/>
    <s v="Customer Construction Gas"/>
    <s v="Programmatic Customer Driven"/>
    <s v="3G - CIAC, NCC, PI"/>
    <x v="4"/>
    <n v="-121043.48999999999"/>
    <n v="-15613608.879516477"/>
    <n v="15492565.389516477"/>
    <m/>
  </r>
  <r>
    <s v="R.10013.04.01.01"/>
    <x v="223"/>
    <s v="Gas"/>
    <s v="PI Gas"/>
    <s v="Programmatic Customer Driven"/>
    <s v="3G - CIAC, NCC, PI"/>
    <x v="4"/>
    <n v="-35901727.902302429"/>
    <n v="-111550.10453963163"/>
    <n v="-35790177.797762796"/>
    <m/>
  </r>
  <r>
    <s v="R.10013.04.01.02"/>
    <x v="224"/>
    <s v="Gas"/>
    <s v="PI Gas"/>
    <s v="Programmatic Customer Driven"/>
    <s v="3G - CIAC, NCC, PI"/>
    <x v="4"/>
    <n v="-1060031.0369270334"/>
    <n v="-22867.544331385841"/>
    <n v="-1037163.4925956476"/>
    <m/>
  </r>
  <r>
    <s v="R.10013.04.01.04"/>
    <x v="225"/>
    <s v="Gas"/>
    <s v="Projected"/>
    <s v="Projected"/>
    <s v="9 - Projected"/>
    <x v="4"/>
    <n v="-1333382.6600000001"/>
    <n v="0"/>
    <n v="-1333382.6600000001"/>
    <m/>
  </r>
  <r>
    <s v="R.10013.04.01.06"/>
    <x v="226"/>
    <s v="Gas"/>
    <s v="Projected"/>
    <s v="Projected"/>
    <s v="9 - Projected"/>
    <x v="4"/>
    <n v="-619359.33000000007"/>
    <n v="0"/>
    <n v="-619359.33000000007"/>
    <m/>
  </r>
  <r>
    <s v="R.10013.05.01.01"/>
    <x v="227"/>
    <s v="Gas"/>
    <s v="PI Gas"/>
    <s v="Programmatic Customer Driven"/>
    <s v="3G - CIAC, NCC, PI"/>
    <x v="4"/>
    <n v="9426.8999999999942"/>
    <n v="0"/>
    <n v="9426.8999999999942"/>
    <m/>
  </r>
  <r>
    <s v="R.10013.05.01.02"/>
    <x v="228"/>
    <s v="Gas"/>
    <s v="Projected"/>
    <s v="Projected"/>
    <s v="9 - Projected"/>
    <x v="4"/>
    <n v="-794.06"/>
    <n v="0"/>
    <n v="-794.06"/>
    <m/>
  </r>
  <r>
    <s v="R.10013.06.01.01"/>
    <x v="229"/>
    <s v="Gas"/>
    <s v="Projected"/>
    <s v="Projected"/>
    <s v="9 - Projected"/>
    <x v="4"/>
    <n v="-336.5"/>
    <n v="0"/>
    <n v="-336.5"/>
    <m/>
  </r>
  <r>
    <s v="R.10013.07.01.01"/>
    <x v="230"/>
    <s v="Gas"/>
    <s v="PI Gas"/>
    <s v="Programmatic Customer Driven"/>
    <s v="3G - CIAC, NCC, PI"/>
    <x v="4"/>
    <n v="-391890.36423175829"/>
    <n v="-6744.3420826951178"/>
    <n v="-385146.02214906318"/>
    <m/>
  </r>
  <r>
    <s v="R.10013.07.01.02"/>
    <x v="231"/>
    <s v="Gas"/>
    <s v="PI Gas"/>
    <s v="Programmatic Customer Driven"/>
    <s v="3G - CIAC, NCC, PI"/>
    <x v="4"/>
    <n v="-69817.070000000007"/>
    <n v="-2770.3443842876318"/>
    <n v="-67046.725615712377"/>
    <m/>
  </r>
  <r>
    <s v="R.10014.01.01.01"/>
    <x v="232"/>
    <s v="Gas"/>
    <s v="Major Projects Gas"/>
    <s v="Programmatic: Programmatic"/>
    <s v="7G - Maj Proj"/>
    <x v="4"/>
    <n v="-2876519.4599999995"/>
    <n v="0"/>
    <n v="-2876519.4599999995"/>
    <m/>
  </r>
  <r>
    <s v="R.10015.01.01.01"/>
    <x v="233"/>
    <s v="Gas"/>
    <s v="Emergent Gas"/>
    <s v="Programmatic: Programmatic"/>
    <s v="4 - Emergent Work"/>
    <x v="4"/>
    <n v="-184180.97000000003"/>
    <n v="-429333.65074284392"/>
    <n v="245152.68074284389"/>
    <m/>
  </r>
  <r>
    <s v="R.10015.01.01.02"/>
    <x v="234"/>
    <s v="Gas"/>
    <s v="Emergent Gas"/>
    <s v="Programmatic: Programmatic"/>
    <s v="4 - Emergent Work"/>
    <x v="4"/>
    <n v="-2767569.4869907317"/>
    <n v="-3578145.4171307739"/>
    <n v="810575.93014004221"/>
    <m/>
  </r>
  <r>
    <s v="R.10015.01.01.03"/>
    <x v="235"/>
    <s v="Gas"/>
    <s v="Emergent Gas"/>
    <s v="Programmatic: Programmatic"/>
    <s v="4 - Emergent Work"/>
    <x v="4"/>
    <n v="-924204.17000000016"/>
    <n v="-1307244.2242086243"/>
    <n v="383040.05420862418"/>
    <m/>
  </r>
  <r>
    <s v="R.10015.01.01.05"/>
    <x v="236"/>
    <s v="Gas"/>
    <s v="Emergent Gas"/>
    <s v="Programmatic: Programmatic"/>
    <s v="4 - Emergent Work"/>
    <x v="4"/>
    <n v="-2180001.2442317582"/>
    <n v="-1506973.3174859753"/>
    <n v="-673027.92674578284"/>
    <m/>
  </r>
  <r>
    <s v="R.10015.02.01.02"/>
    <x v="237"/>
    <s v="Gas"/>
    <m/>
    <m/>
    <m/>
    <x v="2"/>
    <n v="-123834.78999999998"/>
    <n v="0"/>
    <n v="-123834.78999999998"/>
    <m/>
  </r>
  <r>
    <s v="R.10015.03.01.01"/>
    <x v="238"/>
    <s v="Gas"/>
    <s v="Gas Modernization"/>
    <s v="Programmatic: Programmatic"/>
    <s v="6G - Gas Mod"/>
    <x v="4"/>
    <n v="-352107.17289311904"/>
    <n v="-625050.26624476083"/>
    <n v="272943.09335164179"/>
    <m/>
  </r>
  <r>
    <s v="R.10015.03.02.01"/>
    <x v="239"/>
    <s v="Gas"/>
    <s v="Gas Modernization"/>
    <s v="Programmatic: Programmatic"/>
    <s v="6G - Gas Mod"/>
    <x v="4"/>
    <n v="-752419.54020554142"/>
    <n v="-624510.63401803852"/>
    <n v="-127908.9061875029"/>
    <m/>
  </r>
  <r>
    <s v="R.10015.03.04.01"/>
    <x v="240"/>
    <s v="Gas"/>
    <s v="Pipe Replacement"/>
    <s v="Programmatic: Programmatic"/>
    <s v="8 - Pipe Replacement"/>
    <x v="4"/>
    <n v="-49271824.509905539"/>
    <n v="-44009686.222595572"/>
    <n v="-5262138.287309967"/>
    <m/>
  </r>
  <r>
    <s v="R.10015.03.04.02"/>
    <x v="241"/>
    <s v="Gas"/>
    <s v="Gas Modernization"/>
    <s v="Programmatic: Programmatic"/>
    <s v="6G - Gas Mod"/>
    <x v="4"/>
    <n v="-1430500.6300000004"/>
    <n v="-3749768.5819981149"/>
    <n v="2319267.9519981146"/>
    <m/>
  </r>
  <r>
    <s v="R.10015.03.04.03"/>
    <x v="242"/>
    <s v="Gas"/>
    <s v="Gas Modernization"/>
    <s v="Programmatic: Programmatic"/>
    <s v="6G - Gas Mod"/>
    <x v="4"/>
    <n v="-651433.83091583464"/>
    <n v="-1449293.4231263725"/>
    <n v="797859.59221053787"/>
    <m/>
  </r>
  <r>
    <s v="R.10015.03.06.01"/>
    <x v="243"/>
    <s v="Gas"/>
    <s v="Pipe Replacement"/>
    <s v="Programmatic: Programmatic"/>
    <s v="8 - Pipe Replacement"/>
    <x v="4"/>
    <n v="-95795.199999999997"/>
    <n v="0"/>
    <n v="-95795.199999999997"/>
    <m/>
  </r>
  <r>
    <s v="R.10015.03.07.01"/>
    <x v="244"/>
    <s v="Gas"/>
    <s v="Gas Modernization"/>
    <s v="Programmatic: Programmatic"/>
    <s v="6G - Gas Mod"/>
    <x v="4"/>
    <n v="-62919.437061768433"/>
    <n v="-531422.58285930974"/>
    <n v="468503.14579754131"/>
    <m/>
  </r>
  <r>
    <s v="R.10015.03.07.03"/>
    <x v="245"/>
    <s v="Gas"/>
    <s v="Gas Modernization"/>
    <s v="Programmatic: Programmatic"/>
    <s v="6G - Gas Mod"/>
    <x v="4"/>
    <n v="-2695663.9240990998"/>
    <n v="-2702523.9300158662"/>
    <n v="6860.0059167663567"/>
    <m/>
  </r>
  <r>
    <s v="R.10015.03.08.01"/>
    <x v="246"/>
    <s v="Gas"/>
    <s v="Gas Modernization"/>
    <s v="Programmatic: Programmatic"/>
    <s v="6G - Gas Mod"/>
    <x v="4"/>
    <n v="-824.92000000000007"/>
    <n v="-2025.39265001081"/>
    <n v="1200.47265001081"/>
    <m/>
  </r>
  <r>
    <s v="R.10015.03.09.01"/>
    <x v="247"/>
    <s v="Gas"/>
    <s v="Gas Modernization"/>
    <s v="Programmatic: Programmatic"/>
    <s v="6G - Gas Mod"/>
    <x v="4"/>
    <n v="-1967967.6142317585"/>
    <n v="-3267068.2414549603"/>
    <n v="1299100.6272232018"/>
    <m/>
  </r>
  <r>
    <s v="R.10015.03.09.03"/>
    <x v="248"/>
    <s v="Gas"/>
    <s v="Gas Modernization"/>
    <s v="Programmatic: Programmatic"/>
    <s v="6G - Gas Mod"/>
    <x v="4"/>
    <n v="-3935224.7000000007"/>
    <n v="-3683508.9904270922"/>
    <n v="-251715.70957290847"/>
    <m/>
  </r>
  <r>
    <s v="R.10015.03.09.07"/>
    <x v="249"/>
    <s v="Gas"/>
    <s v="Gas Modernization"/>
    <s v="Programmatic: Programmatic"/>
    <s v="6G - Gas Mod"/>
    <x v="4"/>
    <n v="-201883.58"/>
    <n v="-429745.23016552208"/>
    <n v="227861.65016552209"/>
    <m/>
  </r>
  <r>
    <s v="R.10015.03.09.14"/>
    <x v="250"/>
    <s v="Gas"/>
    <s v="Gas Modernization"/>
    <s v="Programmatic: Programmatic"/>
    <s v="6G - Gas Mod"/>
    <x v="4"/>
    <n v="-712659.35018657148"/>
    <n v="-4103148.8046456487"/>
    <n v="3390489.4544590772"/>
    <m/>
  </r>
  <r>
    <s v="R.10015.03.09.15"/>
    <x v="251"/>
    <s v="Gas"/>
    <s v="Pipe Replacement"/>
    <s v="Programmatic: Programmatic"/>
    <s v="8 - Pipe Replacement"/>
    <x v="4"/>
    <n v="-6038892.223055413"/>
    <n v="-5653600.1325064488"/>
    <n v="-385292.09054896422"/>
    <m/>
  </r>
  <r>
    <s v="R.10015.03.10.02"/>
    <x v="252"/>
    <s v="Gas"/>
    <s v="Projected"/>
    <s v="Projected"/>
    <s v="9 - Projected"/>
    <x v="4"/>
    <n v="-148211.1511587915"/>
    <n v="0"/>
    <n v="-148211.1511587915"/>
    <m/>
  </r>
  <r>
    <s v="R.10015.03.11.01"/>
    <x v="253"/>
    <s v="Gas"/>
    <s v="Gas Modernization"/>
    <s v="Programmatic: Programmatic"/>
    <s v="6G - Gas Mod"/>
    <x v="4"/>
    <n v="-42149.364231758293"/>
    <n v="-180175.30185413003"/>
    <n v="138025.93762237174"/>
    <m/>
  </r>
  <r>
    <s v="R.10015.04.01.02"/>
    <x v="254"/>
    <s v="Gas"/>
    <s v="Projected"/>
    <s v="Projected"/>
    <s v="9 - Projected"/>
    <x v="4"/>
    <n v="-2315739.2355960906"/>
    <n v="-3754567.2705454882"/>
    <n v="1438828.0349493977"/>
    <m/>
  </r>
  <r>
    <s v="R.10015.04.01.03"/>
    <x v="255"/>
    <s v="Gas"/>
    <s v="Emergent Gas"/>
    <s v="Programmatic: Programmatic"/>
    <s v="4 - Emergent Work"/>
    <x v="4"/>
    <n v="-352751.58934313926"/>
    <n v="-1026506.7600291376"/>
    <n v="673755.1706859984"/>
    <m/>
  </r>
  <r>
    <s v="R.10015.04.01.04"/>
    <x v="256"/>
    <s v="Gas"/>
    <s v="Emergent Gas"/>
    <s v="Programmatic: Programmatic"/>
    <s v="4 - Emergent Work"/>
    <x v="4"/>
    <n v="-1279814.0942317583"/>
    <n v="-2029436.6604549391"/>
    <n v="749622.56622318085"/>
    <m/>
  </r>
  <r>
    <s v="R.10015.04.01.05"/>
    <x v="257"/>
    <s v="Gas"/>
    <s v="Emergent Gas"/>
    <s v="Programmatic: Programmatic"/>
    <s v="4 - Emergent Work"/>
    <x v="4"/>
    <n v="-10043107.29948145"/>
    <n v="-9056163.8387702424"/>
    <n v="-986943.46071120724"/>
    <m/>
  </r>
  <r>
    <s v="R.10015.04.01.06"/>
    <x v="258"/>
    <s v="Gas"/>
    <s v="Emergent Gas"/>
    <s v="Programmatic: Programmatic"/>
    <s v="4 - Emergent Work"/>
    <x v="4"/>
    <n v="-240389.55"/>
    <n v="-297924.5009148001"/>
    <n v="57534.950914800109"/>
    <m/>
  </r>
  <r>
    <s v="R.10015.04.01.07"/>
    <x v="259"/>
    <s v="Gas"/>
    <s v="Emergent Gas"/>
    <s v="Programmatic: Programmatic"/>
    <s v="4 - Emergent Work"/>
    <x v="4"/>
    <n v="-4787.1899999999996"/>
    <n v="-148439.5139193655"/>
    <n v="143652.3239193655"/>
    <m/>
  </r>
  <r>
    <s v="R.10015.04.01.09"/>
    <x v="260"/>
    <s v="Gas"/>
    <s v="Emergent Gas"/>
    <s v="Programmatic: Programmatic"/>
    <s v="4 - Emergent Work"/>
    <x v="4"/>
    <n v="-248141.69423175833"/>
    <n v="-1205412.4114736328"/>
    <n v="957270.71724187443"/>
    <m/>
  </r>
  <r>
    <s v="R.10015.04.01.12"/>
    <x v="261"/>
    <s v="Gas"/>
    <s v="Pipe Replacement"/>
    <s v="Programmatic: Programmatic"/>
    <s v="8 - Pipe Replacement"/>
    <x v="4"/>
    <n v="-3825169.7299999995"/>
    <n v="0"/>
    <n v="-3825169.7299999995"/>
    <m/>
  </r>
  <r>
    <s v="R.10015.04.01.13"/>
    <x v="262"/>
    <s v="Gas"/>
    <s v="Pipe Replacement"/>
    <s v="Programmatic: Programmatic"/>
    <s v="8 - Pipe Replacement"/>
    <x v="4"/>
    <n v="-661462.49559882458"/>
    <n v="0"/>
    <n v="-661462.49559882458"/>
    <m/>
  </r>
  <r>
    <s v="R.10015.05.01.01"/>
    <x v="263"/>
    <s v="Gas"/>
    <s v="Projected"/>
    <s v="Projected"/>
    <s v="9 - Projected"/>
    <x v="4"/>
    <n v="-1530.8"/>
    <n v="-1176.1589987058437"/>
    <n v="-354.64100129415624"/>
    <m/>
  </r>
  <r>
    <s v="R.10015.06.01.02"/>
    <x v="264"/>
    <s v="Gas"/>
    <s v="Gas Modernization"/>
    <s v="Programmatic: Programmatic"/>
    <s v="6G - Gas Mod"/>
    <x v="4"/>
    <n v="-30357.300000000003"/>
    <n v="-192004.56225498812"/>
    <n v="161647.26225498813"/>
    <m/>
  </r>
  <r>
    <s v="R.10015.06.01.04"/>
    <x v="265"/>
    <s v="Gas"/>
    <s v="Capacity Gas"/>
    <s v="Programmatic: Programmatic"/>
    <m/>
    <x v="4"/>
    <n v="-2580429.9736258262"/>
    <n v="-8824690.6817541234"/>
    <n v="6244260.7081282977"/>
    <m/>
  </r>
  <r>
    <s v="R.10015.06.01.05"/>
    <x v="266"/>
    <s v="Gas"/>
    <s v="Capacity Gas"/>
    <s v="Programmatic: Programmatic"/>
    <m/>
    <x v="4"/>
    <n v="-3239929.69"/>
    <n v="-4989828.6341764741"/>
    <n v="1749898.9441764741"/>
    <m/>
  </r>
  <r>
    <s v="R.10015.07.01.01"/>
    <x v="267"/>
    <s v="Gas"/>
    <s v="Projected"/>
    <s v="Projected"/>
    <s v="9 - Projected"/>
    <x v="4"/>
    <n v="-346.02644804097525"/>
    <n v="0"/>
    <n v="-346.02644804097525"/>
    <m/>
  </r>
  <r>
    <s v="R.10015.08.02.02"/>
    <x v="268"/>
    <s v="Gas"/>
    <s v="Projected"/>
    <s v="Projected"/>
    <s v="9 - Projected"/>
    <x v="4"/>
    <n v="-161561.24"/>
    <n v="-6458825.6809999952"/>
    <n v="6297264.440999995"/>
    <m/>
  </r>
  <r>
    <s v="R.10019.01.01.01"/>
    <x v="269"/>
    <s v="Electric"/>
    <s v="Projected"/>
    <s v="Projected"/>
    <s v="9 - Projected"/>
    <x v="4"/>
    <n v="-380747.7737545399"/>
    <n v="0"/>
    <n v="-380747.7737545399"/>
    <m/>
  </r>
  <r>
    <s v="R.10019.01.01.02"/>
    <x v="270"/>
    <s v="Electric"/>
    <s v="Bainbridge Tlines Trans"/>
    <s v="Specific: Specific"/>
    <s v="2 - Bainbridge"/>
    <x v="4"/>
    <n v="-617924.75170522952"/>
    <n v="-1131175.8880827052"/>
    <n v="513251.13637747569"/>
    <m/>
  </r>
  <r>
    <s v="R.10024.01.01.04"/>
    <x v="271"/>
    <s v="Gas"/>
    <s v="Projected"/>
    <s v="Projected"/>
    <s v="9 - Projected"/>
    <x v="4"/>
    <n v="-17769.763644497842"/>
    <n v="-1504618.5"/>
    <n v="1486848.7363555022"/>
    <m/>
  </r>
  <r>
    <s v="R.10024.01.01.05"/>
    <x v="272"/>
    <s v="Electric"/>
    <s v="Projected"/>
    <s v="Projected"/>
    <s v="9 - Projected"/>
    <x v="4"/>
    <n v="-62851.043824734457"/>
    <n v="0"/>
    <n v="-62851.043824734457"/>
    <m/>
  </r>
  <r>
    <s v="R.10024.01.01.07"/>
    <x v="273"/>
    <s v="Electric"/>
    <s v="Projected"/>
    <s v="Projected"/>
    <s v="9 - Projected"/>
    <x v="4"/>
    <n v="-323491.58117287129"/>
    <n v="-5483.3921518843536"/>
    <n v="-318008.18902098696"/>
    <m/>
  </r>
  <r>
    <s v="R.10024.01.01.09"/>
    <x v="274"/>
    <s v="Gas"/>
    <s v="Projected"/>
    <s v="Projected"/>
    <s v="9 - Projected"/>
    <x v="4"/>
    <n v="-453634.87382154108"/>
    <n v="-974194.62083176814"/>
    <n v="520559.74701022706"/>
    <m/>
  </r>
  <r>
    <s v="R.10024.02.01.01"/>
    <x v="275"/>
    <s v="Gas"/>
    <s v="Emergent Gas"/>
    <s v="Programmatic: Programmatic"/>
    <s v="4 - Emergent Work"/>
    <x v="4"/>
    <n v="-453746.58106083988"/>
    <n v="-189383.4311452531"/>
    <n v="-264363.14991558681"/>
    <m/>
  </r>
  <r>
    <s v="R.10024.02.01.03"/>
    <x v="276"/>
    <s v="Gas"/>
    <s v="Gas Modernization"/>
    <s v="Programmatic: Programmatic"/>
    <s v="6G - Gas Mod"/>
    <x v="4"/>
    <n v="-848270.26872199017"/>
    <n v="-1331904.7345001313"/>
    <n v="483634.46577814117"/>
    <m/>
  </r>
  <r>
    <s v="R.10031.01.01.02"/>
    <x v="277"/>
    <s v="Electric"/>
    <s v="Major Projects Electric"/>
    <s v="Programmatic: Programmatic"/>
    <s v="7E - Maj Proj"/>
    <x v="4"/>
    <n v="-624116.57000000007"/>
    <n v="0"/>
    <n v="-624116.57000000007"/>
    <m/>
  </r>
  <r>
    <s v="R.10031.03.01.01"/>
    <x v="278"/>
    <s v="Electric"/>
    <s v="Sammamish Juanita 115Kv Tline"/>
    <s v="Specific: Specific"/>
    <s v="10 - Sammamish"/>
    <x v="4"/>
    <n v="-44028432.891698539"/>
    <n v="-9047247.2370254043"/>
    <n v="-34981185.654673137"/>
    <m/>
  </r>
  <r>
    <s v="R.10033.01.01.03"/>
    <x v="279"/>
    <s v="Electric"/>
    <s v="Projected"/>
    <s v="Projected"/>
    <s v="9 - Projected"/>
    <x v="4"/>
    <n v="-4173800.6999999997"/>
    <n v="-2044206.999999996"/>
    <n v="-2129593.7000000039"/>
    <m/>
  </r>
  <r>
    <s v="R.10033.01.01.09"/>
    <x v="280"/>
    <s v="Gas"/>
    <s v="Projected"/>
    <s v="Projected"/>
    <s v="9 - Projected"/>
    <x v="4"/>
    <n v="-1748850.5200000003"/>
    <n v="-1370745.999999996"/>
    <n v="-378104.52000000421"/>
    <m/>
  </r>
  <r>
    <s v="R.10033.02.01.01"/>
    <x v="281"/>
    <s v="Common"/>
    <s v="Projected"/>
    <s v="Projected"/>
    <s v="9 - Projected"/>
    <x v="4"/>
    <n v="-2278.79"/>
    <n v="-500000.00000000041"/>
    <n v="497721.21000000043"/>
    <m/>
  </r>
  <r>
    <s v="R.10036.02.01.01"/>
    <x v="282"/>
    <s v="Electric"/>
    <s v="Projected"/>
    <s v="Projected"/>
    <s v="9 - Projected"/>
    <x v="4"/>
    <n v="-413845.27999999997"/>
    <n v="-800000.00000000081"/>
    <n v="386154.72000000085"/>
    <m/>
  </r>
  <r>
    <s v="R.10036.03.01.01"/>
    <x v="283"/>
    <s v="Common"/>
    <s v="Projected"/>
    <s v="Projected"/>
    <s v="9 - Projected"/>
    <x v="4"/>
    <n v="-14588.580000000002"/>
    <n v="-600000"/>
    <n v="585411.42000000004"/>
    <m/>
  </r>
  <r>
    <s v="R.10039.02.01.01"/>
    <x v="284"/>
    <s v="Electric"/>
    <s v="Major Projects Electric"/>
    <s v="Programmatic: Programmatic"/>
    <s v="7E - Maj Proj"/>
    <x v="4"/>
    <n v="-8740.1426829300908"/>
    <n v="-33464.042713734896"/>
    <n v="24723.900030804805"/>
    <m/>
  </r>
  <r>
    <s v="R.10039.02.01.02"/>
    <x v="285"/>
    <s v="Electric"/>
    <s v="Major Projects Electric"/>
    <s v="Programmatic: Programmatic"/>
    <s v="7E - Maj Proj"/>
    <x v="4"/>
    <n v="-589047.8020893184"/>
    <n v="-348759.9182160495"/>
    <n v="-240287.8838732689"/>
    <m/>
  </r>
  <r>
    <s v="R.10039.02.01.06"/>
    <x v="286"/>
    <s v="Electric"/>
    <s v="Major Projects Electric"/>
    <s v="Programmatic: Programmatic"/>
    <s v="7E - Maj Proj"/>
    <x v="4"/>
    <n v="-332803.5"/>
    <n v="0"/>
    <n v="-332803.5"/>
    <m/>
  </r>
  <r>
    <s v="R.10045.01.01.01"/>
    <x v="287"/>
    <s v="Electric"/>
    <s v="Major Projects Electric"/>
    <s v="Programmatic: Programmatic"/>
    <s v="7E - Maj Proj"/>
    <x v="4"/>
    <n v="-2275718.2799999998"/>
    <n v="0"/>
    <n v="-2275718.2799999998"/>
    <m/>
  </r>
  <r>
    <s v="R.10051.02.01.01"/>
    <x v="288"/>
    <s v="Electric"/>
    <s v="Thurston Transmission Capacity"/>
    <s v="Specific: Specific"/>
    <s v="11 - Thurston"/>
    <x v="4"/>
    <n v="-19661839.260000002"/>
    <n v="-10173066.606914049"/>
    <n v="-9488772.6530859526"/>
    <m/>
  </r>
  <r>
    <s v="R.10054.01.01.01"/>
    <x v="289"/>
    <s v="Electric"/>
    <s v="Major Projects Electric"/>
    <s v="Programmatic: Programmatic"/>
    <s v="7E - Maj Proj"/>
    <x v="4"/>
    <n v="-4427.7899999999991"/>
    <n v="-1243996.6522279081"/>
    <n v="1239568.8622279081"/>
    <m/>
  </r>
  <r>
    <s v="R.10059.02.01.02"/>
    <x v="290"/>
    <s v="Electric"/>
    <s v="EV Circuit"/>
    <s v="Programmatic: Programmatic"/>
    <m/>
    <x v="4"/>
    <n v="-1442703.39398975"/>
    <n v="-7165996.3759999918"/>
    <n v="5723292.9820102416"/>
    <m/>
  </r>
  <r>
    <s v="R.10059.03.01.01"/>
    <x v="291"/>
    <s v="Electric"/>
    <s v="Resilience Enhancement"/>
    <s v="Programmatic: Programmatic"/>
    <m/>
    <x v="4"/>
    <n v="-1258562.3289936027"/>
    <n v="-4266596.526499996"/>
    <n v="3008034.1975063933"/>
    <m/>
  </r>
  <r>
    <s v="R.10059.04.01.01"/>
    <x v="292"/>
    <s v="Electric"/>
    <s v="Projected"/>
    <s v="Projected"/>
    <s v="9 - Projected"/>
    <x v="4"/>
    <n v="-3266.9763681120999"/>
    <n v="-1885788.5200000035"/>
    <n v="1882521.5436318915"/>
    <m/>
  </r>
  <r>
    <s v="R.10060.01.01.01"/>
    <x v="293"/>
    <s v="Gas"/>
    <s v="Projected"/>
    <s v="Projected"/>
    <s v="9 - Projected"/>
    <x v="4"/>
    <n v="-1024585.86"/>
    <n v="0"/>
    <n v="-1024585.86"/>
    <m/>
  </r>
  <r>
    <s v="R.10060.01.01.02"/>
    <x v="294"/>
    <s v="Gas"/>
    <s v="Marine Crossing"/>
    <s v="Specific: Specific"/>
    <m/>
    <x v="4"/>
    <n v="-110540.0559775251"/>
    <n v="0"/>
    <n v="-110540.0559775251"/>
    <m/>
  </r>
  <r>
    <s v="X.10003.01.01.01"/>
    <x v="295"/>
    <s v="Electric"/>
    <m/>
    <m/>
    <m/>
    <x v="7"/>
    <n v="-2774952.2051824466"/>
    <n v="-4757737.4334327346"/>
    <n v="1982785.2282502879"/>
    <m/>
  </r>
  <r>
    <s v="X.10003.01.03.01"/>
    <x v="296"/>
    <s v="Electric"/>
    <m/>
    <m/>
    <m/>
    <x v="7"/>
    <n v="-1813298.1"/>
    <n v="-1610902.4702044392"/>
    <n v="-202395.62979556085"/>
    <m/>
  </r>
  <r>
    <s v="X.10003.01.03.02"/>
    <x v="297"/>
    <s v="Electric"/>
    <m/>
    <m/>
    <m/>
    <x v="7"/>
    <n v="-2995082.71"/>
    <n v="-229013.27651958822"/>
    <n v="-2766069.4334804118"/>
    <m/>
  </r>
  <r>
    <s v="X.10005.01.01.01"/>
    <x v="298"/>
    <s v="Electric"/>
    <m/>
    <m/>
    <m/>
    <x v="7"/>
    <n v="-1026939.6350094073"/>
    <n v="-945078.68989740359"/>
    <n v="-81860.945112003712"/>
    <m/>
  </r>
  <r>
    <s v="X.10006.01.01.01"/>
    <x v="299"/>
    <s v="Electric"/>
    <m/>
    <m/>
    <m/>
    <x v="7"/>
    <n v="140154.20000000001"/>
    <n v="0"/>
    <n v="140154.20000000001"/>
    <m/>
  </r>
  <r>
    <s v="X.10006.02.02.02"/>
    <x v="300"/>
    <s v="Electric"/>
    <m/>
    <m/>
    <m/>
    <x v="7"/>
    <n v="-2297632.6732302085"/>
    <n v="-6022703.3382038157"/>
    <n v="3725070.6649736073"/>
    <m/>
  </r>
  <r>
    <s v="X.10006.03.01.05"/>
    <x v="301"/>
    <s v="Electric"/>
    <m/>
    <m/>
    <m/>
    <x v="7"/>
    <n v="-1829357.0899999996"/>
    <n v="0"/>
    <n v="-1829357.0899999996"/>
    <m/>
  </r>
  <r>
    <s v="X.10007.01.01.01"/>
    <x v="302"/>
    <s v="Common"/>
    <m/>
    <m/>
    <m/>
    <x v="7"/>
    <n v="-744122.07000000007"/>
    <n v="0"/>
    <n v="-744122.07000000007"/>
    <m/>
  </r>
  <r>
    <s v="F.10002.01.16.01"/>
    <x v="303"/>
    <s v="Electric"/>
    <m/>
    <m/>
    <m/>
    <x v="1"/>
    <m/>
    <n v="-12011.948750007665"/>
    <n v="12011.948750007665"/>
    <m/>
  </r>
  <r>
    <s v="X.10006.05.01.01"/>
    <x v="304"/>
    <s v="Electric"/>
    <m/>
    <m/>
    <m/>
    <x v="7"/>
    <m/>
    <n v="-3379999.9999999907"/>
    <n v="3379999.9999999907"/>
    <m/>
  </r>
  <r>
    <s v="R.10059.02.01.03"/>
    <x v="305"/>
    <s v="Electric"/>
    <m/>
    <m/>
    <m/>
    <x v="4"/>
    <m/>
    <n v="-779493.89760000783"/>
    <n v="779493.89760000783"/>
    <m/>
  </r>
  <r>
    <s v="F.10002.01.30.01"/>
    <x v="306"/>
    <s v="Electric"/>
    <m/>
    <m/>
    <m/>
    <x v="1"/>
    <m/>
    <n v="-194225.09758083988"/>
    <n v="194225.09758083988"/>
    <m/>
  </r>
  <r>
    <s v="PLACEHOLDER WBS 24"/>
    <x v="307"/>
    <s v="Electric"/>
    <m/>
    <m/>
    <m/>
    <x v="7"/>
    <m/>
    <n v="-321149.78495599958"/>
    <n v="321149.78495599958"/>
    <m/>
  </r>
  <r>
    <s v="F.10002.01.28.01"/>
    <x v="308"/>
    <s v="Electric"/>
    <m/>
    <m/>
    <m/>
    <x v="7"/>
    <m/>
    <n v="-409618.9999999993"/>
    <n v="409618.9999999993"/>
    <m/>
  </r>
  <r>
    <s v="K.10038.01.01.01"/>
    <x v="309"/>
    <s v="Electric"/>
    <m/>
    <m/>
    <m/>
    <x v="7"/>
    <m/>
    <n v="-1039999.9999999983"/>
    <n v="1039999.9999999983"/>
    <m/>
  </r>
  <r>
    <s v="C.10002.12.01.01"/>
    <x v="310"/>
    <s v="Common"/>
    <m/>
    <m/>
    <m/>
    <x v="0"/>
    <n v="-1045825.5800000001"/>
    <n v="0"/>
    <n v="-1045825.5800000001"/>
    <m/>
  </r>
  <r>
    <s v="C.10003.01.01.03"/>
    <x v="311"/>
    <s v="Common"/>
    <m/>
    <m/>
    <m/>
    <x v="0"/>
    <n v="-3014945.66"/>
    <n v="0"/>
    <n v="-3014945.66"/>
    <m/>
  </r>
  <r>
    <s v="C.10006.01.01.04"/>
    <x v="312"/>
    <s v="Electric"/>
    <m/>
    <m/>
    <m/>
    <x v="0"/>
    <n v="-348942.11"/>
    <n v="0"/>
    <n v="-348942.11"/>
    <m/>
  </r>
  <r>
    <s v="F.10002.01.20.01"/>
    <x v="313"/>
    <s v="Electric"/>
    <m/>
    <m/>
    <m/>
    <x v="1"/>
    <n v="-2216233.5699999998"/>
    <n v="0"/>
    <n v="-2216233.5699999998"/>
    <m/>
  </r>
  <r>
    <s v="F.10002.01.26.01"/>
    <x v="314"/>
    <s v="Gas"/>
    <m/>
    <m/>
    <m/>
    <x v="1"/>
    <n v="-259777.62"/>
    <n v="-1556639.0985517884"/>
    <n v="1296861.4785517883"/>
    <m/>
  </r>
  <r>
    <s v="F.10002.01.31.01"/>
    <x v="315"/>
    <s v="Gas"/>
    <m/>
    <m/>
    <m/>
    <x v="1"/>
    <n v="-211064.18"/>
    <n v="0"/>
    <n v="-211064.18"/>
    <m/>
  </r>
  <r>
    <s v="F.10002.06.05.02"/>
    <x v="316"/>
    <s v="Common"/>
    <m/>
    <m/>
    <m/>
    <x v="1"/>
    <n v="-278769.55"/>
    <n v="-2075710.4702499928"/>
    <n v="1796940.9202499927"/>
    <m/>
  </r>
  <r>
    <s v="F.10002.06.08.04"/>
    <x v="317"/>
    <s v="Common"/>
    <m/>
    <m/>
    <m/>
    <x v="1"/>
    <n v="-3229430.16"/>
    <n v="0"/>
    <n v="-3229430.16"/>
    <m/>
  </r>
  <r>
    <s v="F.10002.07.03.01"/>
    <x v="318"/>
    <s v="Common"/>
    <m/>
    <m/>
    <m/>
    <x v="1"/>
    <n v="-1534151.84"/>
    <n v="0"/>
    <n v="-1534151.84"/>
    <m/>
  </r>
  <r>
    <s v="F.10002.07.04.01"/>
    <x v="319"/>
    <s v="Electric"/>
    <m/>
    <m/>
    <m/>
    <x v="1"/>
    <n v="-143896.11000000002"/>
    <n v="0"/>
    <n v="-143896.11000000002"/>
    <m/>
  </r>
  <r>
    <s v="F.10002.07.08.01"/>
    <x v="320"/>
    <s v="Common"/>
    <m/>
    <m/>
    <m/>
    <x v="1"/>
    <n v="-944878.86"/>
    <n v="0"/>
    <n v="-944878.86"/>
    <m/>
  </r>
  <r>
    <s v="F.10003.04.01.01"/>
    <x v="321"/>
    <s v="Common"/>
    <m/>
    <m/>
    <m/>
    <x v="1"/>
    <n v="-957357.45"/>
    <n v="0"/>
    <n v="-957357.45"/>
    <m/>
  </r>
  <r>
    <s v="F.10015.01.03.02"/>
    <x v="322"/>
    <s v="Common"/>
    <m/>
    <m/>
    <m/>
    <x v="1"/>
    <n v="-53665.39"/>
    <n v="0"/>
    <n v="-53665.39"/>
    <m/>
  </r>
  <r>
    <s v="F.10015.02.24.01"/>
    <x v="323"/>
    <s v="Common"/>
    <m/>
    <m/>
    <m/>
    <x v="1"/>
    <n v="-647845.66"/>
    <n v="0"/>
    <n v="-647845.66"/>
    <m/>
  </r>
  <r>
    <s v="F.10015.04.07.01"/>
    <x v="324"/>
    <s v="Electric"/>
    <m/>
    <m/>
    <m/>
    <x v="1"/>
    <n v="-175823.08"/>
    <n v="0"/>
    <n v="-175823.08"/>
    <m/>
  </r>
  <r>
    <s v="F.10015.05.04.02"/>
    <x v="325"/>
    <s v="Common"/>
    <m/>
    <m/>
    <m/>
    <x v="1"/>
    <n v="-175716.3"/>
    <n v="0"/>
    <n v="-175716.3"/>
    <m/>
  </r>
  <r>
    <s v="F.10015.05.10.01"/>
    <x v="326"/>
    <s v="Common"/>
    <m/>
    <m/>
    <m/>
    <x v="1"/>
    <n v="-270244.25"/>
    <n v="0"/>
    <n v="-270244.25"/>
    <m/>
  </r>
  <r>
    <s v="F.10015.06.24.03"/>
    <x v="327"/>
    <s v="Common"/>
    <m/>
    <m/>
    <m/>
    <x v="1"/>
    <n v="-156400.57"/>
    <n v="0"/>
    <n v="-156400.57"/>
    <m/>
  </r>
  <r>
    <s v="F.10015.06.26.02"/>
    <x v="328"/>
    <s v="Common"/>
    <m/>
    <m/>
    <m/>
    <x v="1"/>
    <n v="-49287.6"/>
    <n v="0"/>
    <n v="-49287.6"/>
    <m/>
  </r>
  <r>
    <s v="F.10015.06.28.01"/>
    <x v="329"/>
    <s v="Common"/>
    <m/>
    <m/>
    <m/>
    <x v="1"/>
    <n v="-137262.07999999999"/>
    <n v="0"/>
    <n v="-137262.07999999999"/>
    <m/>
  </r>
  <r>
    <s v="F.10015.08.11.07"/>
    <x v="330"/>
    <s v="Common"/>
    <m/>
    <m/>
    <m/>
    <x v="1"/>
    <n v="-35417.21"/>
    <n v="0"/>
    <n v="-35417.21"/>
    <m/>
  </r>
  <r>
    <s v="F.10015.08.14.04"/>
    <x v="331"/>
    <s v="Common"/>
    <m/>
    <m/>
    <m/>
    <x v="1"/>
    <n v="-485772.88"/>
    <n v="0"/>
    <n v="-485772.88"/>
    <m/>
  </r>
  <r>
    <s v="F.10015.08.14.05"/>
    <x v="332"/>
    <s v="Common"/>
    <m/>
    <m/>
    <m/>
    <x v="1"/>
    <n v="-482646.76"/>
    <n v="0"/>
    <n v="-482646.76"/>
    <m/>
  </r>
  <r>
    <s v="F.10015.08.18.02"/>
    <x v="333"/>
    <s v="Common"/>
    <m/>
    <m/>
    <m/>
    <x v="1"/>
    <n v="-390708.47999999998"/>
    <n v="0"/>
    <n v="-390708.47999999998"/>
    <m/>
  </r>
  <r>
    <s v="F.10015.08.20.01"/>
    <x v="334"/>
    <s v="Common"/>
    <m/>
    <m/>
    <m/>
    <x v="1"/>
    <n v="-84038.26"/>
    <n v="0"/>
    <n v="-84038.26"/>
    <m/>
  </r>
  <r>
    <s v="F.10015.08.20.02"/>
    <x v="335"/>
    <s v="Common"/>
    <m/>
    <m/>
    <m/>
    <x v="1"/>
    <n v="-175404.75"/>
    <n v="0"/>
    <n v="-175404.75"/>
    <m/>
  </r>
  <r>
    <s v="F.10015.08.20.03"/>
    <x v="336"/>
    <s v="Common"/>
    <m/>
    <m/>
    <m/>
    <x v="1"/>
    <n v="-68963.759999999995"/>
    <n v="0"/>
    <n v="-68963.759999999995"/>
    <m/>
  </r>
  <r>
    <s v="F.10015.08.21.01"/>
    <x v="337"/>
    <s v="Common"/>
    <m/>
    <m/>
    <m/>
    <x v="1"/>
    <n v="-471605"/>
    <n v="0"/>
    <n v="-471605"/>
    <m/>
  </r>
  <r>
    <s v="F.10015.08.24.01"/>
    <x v="338"/>
    <s v="Common"/>
    <m/>
    <m/>
    <m/>
    <x v="1"/>
    <n v="-772496.25000000012"/>
    <n v="0"/>
    <n v="-772496.25000000012"/>
    <m/>
  </r>
  <r>
    <s v="F.10016.01.01.04"/>
    <x v="339"/>
    <s v="Common"/>
    <m/>
    <m/>
    <m/>
    <x v="1"/>
    <n v="-184143.81"/>
    <n v="0"/>
    <n v="-184143.81"/>
    <m/>
  </r>
  <r>
    <s v="F.10017.02.02.04"/>
    <x v="340"/>
    <s v="Common"/>
    <m/>
    <m/>
    <m/>
    <x v="1"/>
    <n v="-428200.25"/>
    <n v="0"/>
    <n v="-428200.25"/>
    <m/>
  </r>
  <r>
    <s v="F.10017.03.08.01"/>
    <x v="341"/>
    <s v="Common"/>
    <m/>
    <m/>
    <m/>
    <x v="1"/>
    <n v="-139126.70000000001"/>
    <n v="0"/>
    <n v="-139126.70000000001"/>
    <m/>
  </r>
  <r>
    <s v="F.10017.05.07.02"/>
    <x v="342"/>
    <s v="Common"/>
    <m/>
    <m/>
    <m/>
    <x v="1"/>
    <n v="-186899.47999999998"/>
    <n v="0"/>
    <n v="-186899.47999999998"/>
    <m/>
  </r>
  <r>
    <s v="F.10017.07.01.04"/>
    <x v="343"/>
    <s v="Common"/>
    <m/>
    <m/>
    <m/>
    <x v="1"/>
    <n v="-522840.7"/>
    <n v="0"/>
    <n v="-522840.7"/>
    <m/>
  </r>
  <r>
    <s v="F.10017.09.11.01"/>
    <x v="344"/>
    <s v="Common"/>
    <m/>
    <m/>
    <m/>
    <x v="1"/>
    <n v="-799360.76"/>
    <n v="0"/>
    <n v="-799360.76"/>
    <m/>
  </r>
  <r>
    <s v="F.10017.10.20.01"/>
    <x v="345"/>
    <s v="Common"/>
    <m/>
    <m/>
    <m/>
    <x v="1"/>
    <n v="-129316.09"/>
    <n v="0"/>
    <n v="-129316.09"/>
    <m/>
  </r>
  <r>
    <s v="F.10017.10.21.01"/>
    <x v="346"/>
    <s v="Common"/>
    <m/>
    <m/>
    <m/>
    <x v="1"/>
    <n v="-126827.98"/>
    <n v="0"/>
    <n v="-126827.98"/>
    <m/>
  </r>
  <r>
    <s v="F.10017.12.29.01"/>
    <x v="347"/>
    <s v="Common"/>
    <m/>
    <m/>
    <m/>
    <x v="1"/>
    <n v="-335795.19"/>
    <n v="0"/>
    <n v="-335795.19"/>
    <m/>
  </r>
  <r>
    <s v="F.10025.01.04.05"/>
    <x v="348"/>
    <s v="Common"/>
    <m/>
    <m/>
    <m/>
    <x v="1"/>
    <n v="-616432.77"/>
    <n v="0"/>
    <n v="-616432.77"/>
    <m/>
  </r>
  <r>
    <s v="F.10025.01.05.01"/>
    <x v="349"/>
    <s v="Gas"/>
    <m/>
    <m/>
    <m/>
    <x v="1"/>
    <n v="-1372689.31"/>
    <n v="0"/>
    <n v="-1372689.31"/>
    <m/>
  </r>
  <r>
    <s v="F.10025.01.05.03"/>
    <x v="350"/>
    <s v="Gas"/>
    <m/>
    <m/>
    <m/>
    <x v="1"/>
    <n v="-213097.9"/>
    <n v="0"/>
    <n v="-213097.9"/>
    <m/>
  </r>
  <r>
    <s v="F.10026.01.01.03"/>
    <x v="351"/>
    <s v="Common"/>
    <m/>
    <m/>
    <m/>
    <x v="1"/>
    <n v="-415822.3"/>
    <n v="0"/>
    <n v="-415822.3"/>
    <m/>
  </r>
  <r>
    <s v="K.10008.01.01.05"/>
    <x v="352"/>
    <s v="Electric"/>
    <m/>
    <m/>
    <m/>
    <x v="5"/>
    <n v="-3892596.55"/>
    <n v="0"/>
    <n v="-3892596.55"/>
    <m/>
  </r>
  <r>
    <s v="K.10011.01.03.01"/>
    <x v="353"/>
    <s v="Electric"/>
    <m/>
    <m/>
    <m/>
    <x v="5"/>
    <n v="-3436991.0099999993"/>
    <n v="0"/>
    <n v="-3436991.0099999993"/>
    <m/>
  </r>
  <r>
    <s v="K.10020.01.01.07"/>
    <x v="354"/>
    <s v="Electric"/>
    <m/>
    <m/>
    <m/>
    <x v="5"/>
    <n v="-24497000.530000001"/>
    <n v="0"/>
    <n v="-24497000.530000001"/>
    <m/>
  </r>
  <r>
    <s v="R.10006.01.01.08"/>
    <x v="355"/>
    <s v="Electric"/>
    <s v="Grid Modernization"/>
    <s v="Programmatic: Programmatic"/>
    <s v="6E - Grid Mod"/>
    <x v="4"/>
    <n v="-1735036.521348729"/>
    <n v="0"/>
    <n v="-1735036.521348729"/>
    <m/>
  </r>
  <r>
    <s v="R.10009.08.07.01"/>
    <x v="356"/>
    <s v="Electric"/>
    <s v="Projected"/>
    <s v="Projected"/>
    <s v="9 - Projected"/>
    <x v="4"/>
    <n v="-45509.87"/>
    <n v="0"/>
    <n v="-45509.87"/>
    <m/>
  </r>
  <r>
    <s v="R.10015.03.09.16"/>
    <x v="357"/>
    <s v="Gas"/>
    <s v="Projected"/>
    <s v="Projected"/>
    <s v="9 - Projected"/>
    <x v="4"/>
    <n v="-17267.640000000003"/>
    <n v="0"/>
    <n v="-17267.640000000003"/>
    <m/>
  </r>
  <r>
    <s v="R.10015.08.01.02"/>
    <x v="358"/>
    <s v="Gas"/>
    <s v="Pipe Replacement"/>
    <s v="Programmatic: Programmatic"/>
    <s v="8 - Pipe Replacement"/>
    <x v="4"/>
    <n v="-3890525.25"/>
    <n v="0"/>
    <n v="-3890525.25"/>
    <m/>
  </r>
  <r>
    <s v="R.10034.01.01.03"/>
    <x v="359"/>
    <s v="Electric"/>
    <s v="Projected"/>
    <s v="Projected"/>
    <s v="9 - Projected"/>
    <x v="4"/>
    <n v="-16426.059999999998"/>
    <n v="0"/>
    <n v="-16426.059999999998"/>
    <m/>
  </r>
  <r>
    <s v="R.10035.01.01.01"/>
    <x v="360"/>
    <s v="Electric"/>
    <s v="Projected"/>
    <s v="Specific: Specific"/>
    <m/>
    <x v="4"/>
    <n v="-1635.29"/>
    <n v="0"/>
    <n v="-1635.29"/>
    <m/>
  </r>
  <r>
    <s v="R.10059.06.01.01"/>
    <x v="361"/>
    <s v="Electric"/>
    <s v="Grid Modernization"/>
    <s v="Programmatic: Programmatic"/>
    <s v="6E - Grid Mod"/>
    <x v="4"/>
    <n v="-10674.04"/>
    <n v="0"/>
    <n v="-10674.04"/>
    <m/>
  </r>
  <r>
    <s v="X.10006.02.03.02"/>
    <x v="362"/>
    <s v="Electric"/>
    <m/>
    <m/>
    <m/>
    <x v="7"/>
    <n v="-396715.91"/>
    <n v="0"/>
    <n v="-396715.91"/>
    <m/>
  </r>
  <r>
    <s v="C.10002.02.02.01"/>
    <x v="363"/>
    <s v="Common"/>
    <m/>
    <m/>
    <m/>
    <x v="0"/>
    <n v="0"/>
    <n v="-12462842.578559984"/>
    <n v="12462842.578559984"/>
    <m/>
  </r>
  <r>
    <s v="C.10002.04.03.01"/>
    <x v="364"/>
    <s v="Common"/>
    <m/>
    <m/>
    <m/>
    <x v="0"/>
    <n v="0"/>
    <n v="-14472.17"/>
    <n v="14472.17"/>
    <m/>
  </r>
  <r>
    <s v="C.10002.09.01.01"/>
    <x v="365"/>
    <s v="Common"/>
    <m/>
    <m/>
    <m/>
    <x v="0"/>
    <n v="0"/>
    <n v="-707.89717266828973"/>
    <n v="707.89717266828973"/>
    <m/>
  </r>
  <r>
    <s v="PLACEHOLDER WBS 34"/>
    <x v="366"/>
    <s v="Electric"/>
    <m/>
    <m/>
    <m/>
    <x v="5"/>
    <n v="0"/>
    <n v="-13040.026999999964"/>
    <n v="13040.026999999964"/>
    <m/>
  </r>
  <r>
    <s v="F.10002.01.34.01"/>
    <x v="367"/>
    <s v="Common"/>
    <m/>
    <m/>
    <m/>
    <x v="1"/>
    <n v="0"/>
    <n v="-752309.25"/>
    <n v="752309.25"/>
    <m/>
  </r>
  <r>
    <s v="K.10012.01.01.10"/>
    <x v="368"/>
    <s v="Common"/>
    <m/>
    <m/>
    <m/>
    <x v="1"/>
    <n v="0"/>
    <n v="-4834241.3076954903"/>
    <n v="4834241.3076954903"/>
    <m/>
  </r>
  <r>
    <s v="R.10059.02.01.09"/>
    <x v="369"/>
    <s v="Electric"/>
    <s v="Grid Modernization"/>
    <s v="Programmatic: Programmatic"/>
    <s v="6E - Grid Mod"/>
    <x v="4"/>
    <n v="0"/>
    <n v="-5600000.0000000037"/>
    <n v="5600000.0000000037"/>
    <m/>
  </r>
  <r>
    <s v="C.10002.02.03.01"/>
    <x v="370"/>
    <s v="Common"/>
    <m/>
    <m/>
    <m/>
    <x v="0"/>
    <n v="0"/>
    <n v="-5000000.0000000037"/>
    <n v="5000000.0000000037"/>
    <m/>
  </r>
  <r>
    <s v="C.20001.01.01.01"/>
    <x v="371"/>
    <s v="Electric"/>
    <m/>
    <m/>
    <m/>
    <x v="2"/>
    <n v="0"/>
    <n v="-1658458.9199999992"/>
    <n v="1658458.9199999992"/>
    <m/>
  </r>
  <r>
    <s v="C.20001.02.01.01"/>
    <x v="372"/>
    <s v="Electric"/>
    <m/>
    <m/>
    <m/>
    <x v="2"/>
    <n v="0"/>
    <n v="-431725.07999999978"/>
    <n v="431725.07999999978"/>
    <m/>
  </r>
  <r>
    <s v="F.10015.04.04.01"/>
    <x v="373"/>
    <s v="Common"/>
    <m/>
    <m/>
    <m/>
    <x v="1"/>
    <n v="0"/>
    <n v="-2000000.000000004"/>
    <n v="2000000.000000004"/>
    <m/>
  </r>
  <r>
    <s v="F.10017.05.04.02"/>
    <x v="374"/>
    <s v="Common"/>
    <m/>
    <m/>
    <m/>
    <x v="1"/>
    <n v="0"/>
    <n v="-1003078.9999999995"/>
    <n v="1003078.9999999995"/>
    <m/>
  </r>
  <r>
    <s v="F.10017.07.01.02"/>
    <x v="375"/>
    <s v="Common"/>
    <m/>
    <m/>
    <m/>
    <x v="1"/>
    <n v="0"/>
    <n v="-852336.81811125285"/>
    <n v="852336.81811125285"/>
    <m/>
  </r>
  <r>
    <s v="F.10017.13.02.02"/>
    <x v="376"/>
    <s v="Common"/>
    <m/>
    <m/>
    <m/>
    <x v="1"/>
    <n v="0"/>
    <n v="-4.3576999492663603E-2"/>
    <n v="4.3576999492663603E-2"/>
    <m/>
  </r>
  <r>
    <s v="K.10035.01.01.02"/>
    <x v="377"/>
    <s v="Electric"/>
    <m/>
    <m/>
    <m/>
    <x v="5"/>
    <n v="0"/>
    <n v="-1447.5462448451858"/>
    <n v="1447.5462448451858"/>
    <m/>
  </r>
  <r>
    <s v="R.10009.12.04.01"/>
    <x v="378"/>
    <s v="Electric"/>
    <s v="Projected"/>
    <s v="Projected"/>
    <s v="9 - Projected"/>
    <x v="4"/>
    <n v="0"/>
    <n v="-524.70298175999994"/>
    <n v="524.70298175999994"/>
    <m/>
  </r>
  <r>
    <s v="R.10009.14.05.15"/>
    <x v="379"/>
    <s v="Electric"/>
    <s v="Projected"/>
    <s v="Projected"/>
    <s v="9 - Projected"/>
    <x v="4"/>
    <n v="0"/>
    <n v="-25677.839382580027"/>
    <n v="25677.839382580027"/>
    <m/>
  </r>
  <r>
    <s v="R.10037.01.01.07"/>
    <x v="380"/>
    <s v="Gas"/>
    <m/>
    <m/>
    <m/>
    <x v="2"/>
    <n v="0"/>
    <n v="-1920.0000000000036"/>
    <n v="1920.0000000000036"/>
    <m/>
  </r>
  <r>
    <s v="R.10044.01.01.03"/>
    <x v="381"/>
    <s v="Electric"/>
    <s v="Projected"/>
    <s v="Projected"/>
    <s v="9 - Projected"/>
    <x v="4"/>
    <n v="0"/>
    <n v="-385505.82864000025"/>
    <n v="385505.82864000025"/>
    <m/>
  </r>
  <r>
    <s v="R.10009.07.03.02"/>
    <x v="382"/>
    <s v="Electric"/>
    <s v="PI Electric"/>
    <s v="Programmatic Customer Driven"/>
    <s v="3E - CIAC, NCC, PI"/>
    <x v="4"/>
    <n v="0"/>
    <n v="-366.15172416000001"/>
    <n v="366.15172416000001"/>
    <m/>
  </r>
  <r>
    <s v="R.10039.03.01.01"/>
    <x v="383"/>
    <s v="Electric"/>
    <s v="Major Projects Electric"/>
    <s v="Programmatic: Programmatic"/>
    <s v="7E - Maj Proj"/>
    <x v="4"/>
    <n v="0"/>
    <n v="-9072.57"/>
    <n v="9072.57"/>
    <m/>
  </r>
  <r>
    <s v="F.10007.02.01.02"/>
    <x v="384"/>
    <s v="Common"/>
    <m/>
    <m/>
    <m/>
    <x v="1"/>
    <n v="0"/>
    <n v="-31095448.999999966"/>
    <n v="31095448.999999966"/>
    <m/>
  </r>
  <r>
    <s v="R.10003.01.01.01"/>
    <x v="385"/>
    <s v="Electric"/>
    <s v="Projected"/>
    <s v="Projected"/>
    <s v="9 - Projected"/>
    <x v="4"/>
    <n v="0"/>
    <n v="-27570.89"/>
    <n v="27570.89"/>
    <m/>
  </r>
  <r>
    <s v="R.10037.01.01.06"/>
    <x v="386"/>
    <s v="Gas"/>
    <m/>
    <m/>
    <m/>
    <x v="2"/>
    <n v="0"/>
    <n v="-127819.20000000042"/>
    <n v="127819.20000000042"/>
    <m/>
  </r>
  <r>
    <s v="R.10037.01.01.01"/>
    <x v="387"/>
    <s v="Electric"/>
    <m/>
    <m/>
    <m/>
    <x v="2"/>
    <n v="0"/>
    <n v="-456998.8599999994"/>
    <n v="456998.8599999994"/>
    <m/>
  </r>
  <r>
    <s v="R.10015.06.01.11"/>
    <x v="388"/>
    <s v="Gas"/>
    <s v="Capacity Gas"/>
    <s v="Programmatic: Programmatic"/>
    <m/>
    <x v="4"/>
    <n v="0"/>
    <n v="-2830389.3665578598"/>
    <n v="2830389.3665578598"/>
    <m/>
  </r>
  <r>
    <s v="R.10009.08.02.23"/>
    <x v="389"/>
    <s v="Electric"/>
    <s v="Capacity Electric"/>
    <s v="Programmatic: Programmatic"/>
    <m/>
    <x v="4"/>
    <n v="0"/>
    <n v="-31978133.108033676"/>
    <n v="31978133.108033676"/>
    <m/>
  </r>
  <r>
    <s v="R.99999.99.99.99"/>
    <x v="390"/>
    <s v="Electric"/>
    <s v="Projected"/>
    <s v="Projected"/>
    <s v="9 - Projected"/>
    <x v="4"/>
    <n v="0"/>
    <n v="40119811.454329111"/>
    <n v="-40119811.454329111"/>
    <m/>
  </r>
  <r>
    <s v="C.10004.01.01.02"/>
    <x v="391"/>
    <s v="Electric"/>
    <s v="Projected"/>
    <s v="Projected"/>
    <s v="9 - Projected"/>
    <x v="4"/>
    <n v="0"/>
    <n v="-59235.828801300908"/>
    <n v="59235.828801300908"/>
    <m/>
  </r>
  <r>
    <s v="F.10002.01.22.01"/>
    <x v="392"/>
    <s v="Common"/>
    <m/>
    <m/>
    <m/>
    <x v="1"/>
    <n v="0"/>
    <n v="-7264315.7932416741"/>
    <n v="7264315.7932416741"/>
    <m/>
  </r>
  <r>
    <s v="F.10002.01.25.01"/>
    <x v="393"/>
    <s v="Electric"/>
    <m/>
    <m/>
    <m/>
    <x v="1"/>
    <n v="0"/>
    <n v="-3293534.9291970716"/>
    <n v="3293534.9291970716"/>
    <m/>
  </r>
  <r>
    <s v="F.10015.02.17.01"/>
    <x v="394"/>
    <s v="Electric"/>
    <m/>
    <m/>
    <m/>
    <x v="1"/>
    <n v="0"/>
    <n v="-13682163.113017503"/>
    <n v="13682163.113017503"/>
    <m/>
  </r>
  <r>
    <s v="F.10015.08.13.03"/>
    <x v="395"/>
    <s v="Common"/>
    <m/>
    <m/>
    <m/>
    <x v="1"/>
    <n v="0"/>
    <n v="-951662.06136646483"/>
    <n v="951662.06136646483"/>
    <m/>
  </r>
  <r>
    <s v="F.10017.05.04.01"/>
    <x v="396"/>
    <s v="Common"/>
    <m/>
    <m/>
    <m/>
    <x v="1"/>
    <n v="0"/>
    <n v="-1002546.142512465"/>
    <n v="1002546.142512465"/>
    <m/>
  </r>
  <r>
    <s v="F.10017.13.03.02"/>
    <x v="397"/>
    <s v="Electric"/>
    <m/>
    <m/>
    <m/>
    <x v="1"/>
    <n v="0"/>
    <n v="-421.66687436472955"/>
    <n v="421.66687436472955"/>
    <m/>
  </r>
  <r>
    <s v="K.10006.01.01.01"/>
    <x v="398"/>
    <s v="Electric"/>
    <m/>
    <m/>
    <m/>
    <x v="5"/>
    <n v="0"/>
    <n v="-247.00998259545034"/>
    <n v="247.00998259545034"/>
    <m/>
  </r>
  <r>
    <s v="K.10010.01.01.03"/>
    <x v="399"/>
    <s v="Electric"/>
    <m/>
    <m/>
    <m/>
    <x v="5"/>
    <n v="0"/>
    <n v="-1030.8043452929946"/>
    <n v="1030.8043452929946"/>
    <m/>
  </r>
  <r>
    <s v="K.10020.01.01.03"/>
    <x v="400"/>
    <s v="Electric"/>
    <m/>
    <m/>
    <m/>
    <x v="5"/>
    <n v="0"/>
    <n v="4193238.3499930049"/>
    <n v="-4193238.3499930049"/>
    <m/>
  </r>
  <r>
    <s v="K.10023.01.01.01"/>
    <x v="401"/>
    <s v="Electric"/>
    <m/>
    <m/>
    <m/>
    <x v="5"/>
    <n v="0"/>
    <n v="-1057.8890008416356"/>
    <n v="1057.8890008416356"/>
    <m/>
  </r>
  <r>
    <s v="R.10004.01.01.01"/>
    <x v="402"/>
    <s v="Common"/>
    <s v="Projected"/>
    <s v="Projected"/>
    <s v="9 - Projected"/>
    <x v="4"/>
    <n v="0"/>
    <n v="-146624.00000000041"/>
    <n v="146624.00000000041"/>
    <m/>
  </r>
  <r>
    <s v="R.10005.01.01.04"/>
    <x v="403"/>
    <s v="Electric"/>
    <s v="Projected"/>
    <s v="Projected"/>
    <s v="9 - Projected"/>
    <x v="4"/>
    <n v="0"/>
    <n v="-8529285.6655276697"/>
    <n v="8529285.6655276697"/>
    <m/>
  </r>
  <r>
    <s v="R.10008.02.01.01"/>
    <x v="404"/>
    <s v="Electric"/>
    <s v="Projected"/>
    <s v="Projected"/>
    <s v="9 - Projected"/>
    <x v="4"/>
    <n v="0"/>
    <n v="-2433475.0000000047"/>
    <n v="2433475.0000000047"/>
    <m/>
  </r>
  <r>
    <s v="R.10008.07.02.01"/>
    <x v="405"/>
    <s v="Electric"/>
    <s v="PI Electric"/>
    <s v="Programmatic Customer Driven"/>
    <s v="3E - CIAC, NCC, PI"/>
    <x v="4"/>
    <n v="0"/>
    <n v="-3027511.3667107685"/>
    <n v="3027511.3667107685"/>
    <m/>
  </r>
  <r>
    <s v="R.10009.03.01.01"/>
    <x v="406"/>
    <s v="Electric"/>
    <s v="Major Projects Electric"/>
    <s v="Programmatic: Programmatic"/>
    <s v="7E - Maj Proj"/>
    <x v="4"/>
    <n v="0"/>
    <n v="-293524.86"/>
    <n v="293524.86"/>
    <m/>
  </r>
  <r>
    <s v="R.10009.08.02.18"/>
    <x v="407"/>
    <s v="Electric"/>
    <s v="Projected"/>
    <s v="Projected"/>
    <s v="9 - Projected"/>
    <x v="4"/>
    <n v="0"/>
    <n v="-809.57372929571864"/>
    <n v="809.57372929571864"/>
    <m/>
  </r>
  <r>
    <s v="R.10009.08.02.20"/>
    <x v="408"/>
    <s v="Electric"/>
    <s v="Projected"/>
    <s v="Projected"/>
    <s v="9 - Projected"/>
    <x v="4"/>
    <n v="0"/>
    <n v="-3019.2287270564416"/>
    <n v="3019.2287270564416"/>
    <m/>
  </r>
  <r>
    <s v="R.10009.08.05.04"/>
    <x v="409"/>
    <s v="Electric"/>
    <m/>
    <m/>
    <m/>
    <x v="7"/>
    <n v="0"/>
    <n v="-1548118.7639594919"/>
    <n v="1548118.7639594919"/>
    <m/>
  </r>
  <r>
    <s v="R.10009.08.06.01"/>
    <x v="410"/>
    <s v="Electric"/>
    <s v="Major Projects Electric"/>
    <s v="Programmatic: Programmatic"/>
    <s v="7E - Maj Proj"/>
    <x v="4"/>
    <n v="0"/>
    <n v="-896569.74399518361"/>
    <n v="896569.74399518361"/>
    <m/>
  </r>
  <r>
    <s v="R.10009.09.01.02"/>
    <x v="411"/>
    <s v="Electric"/>
    <s v="Projected"/>
    <s v="Projected"/>
    <s v="9 - Projected"/>
    <x v="4"/>
    <n v="0"/>
    <n v="-1168.2136096328079"/>
    <n v="1168.2136096328079"/>
    <m/>
  </r>
  <r>
    <s v="R.10009.10.01.01"/>
    <x v="412"/>
    <s v="Electric"/>
    <s v="Major Projects Electric"/>
    <s v="Programmatic: Programmatic"/>
    <s v="7E - Maj Proj"/>
    <x v="4"/>
    <n v="0"/>
    <n v="-131192.39999999997"/>
    <n v="131192.39999999997"/>
    <m/>
  </r>
  <r>
    <s v="R.10009.12.02.04"/>
    <x v="413"/>
    <s v="Electric"/>
    <s v="Grid Modernization"/>
    <s v="Programmatic: Programmatic"/>
    <s v="6E - Grid Mod"/>
    <x v="4"/>
    <n v="0"/>
    <n v="-19619.743762079994"/>
    <n v="19619.743762079994"/>
    <m/>
  </r>
  <r>
    <s v="R.10009.12.03.04"/>
    <x v="414"/>
    <s v="Electric"/>
    <s v="Grid Modernization"/>
    <s v="Programmatic: Programmatic"/>
    <s v="6E - Grid Mod"/>
    <x v="4"/>
    <n v="0"/>
    <n v="-235723.56499999951"/>
    <n v="235723.56499999951"/>
    <m/>
  </r>
  <r>
    <s v="R.10009.14.05.01"/>
    <x v="415"/>
    <s v="Electric"/>
    <s v="Projected"/>
    <s v="Projected"/>
    <s v="9 - Projected"/>
    <x v="4"/>
    <n v="0"/>
    <n v="-27319.3194416431"/>
    <n v="27319.3194416431"/>
    <m/>
  </r>
  <r>
    <s v="R.10009.14.05.05"/>
    <x v="416"/>
    <s v="Electric"/>
    <s v="Grid Modernization"/>
    <s v="Programmatic: Programmatic"/>
    <s v="6E - Grid Mod"/>
    <x v="4"/>
    <n v="0"/>
    <n v="-11481.873981504688"/>
    <n v="11481.873981504688"/>
    <m/>
  </r>
  <r>
    <s v="R.10009.14.05.11"/>
    <x v="417"/>
    <s v="Electric"/>
    <s v="Projected"/>
    <s v="Projected"/>
    <s v="9 - Projected"/>
    <x v="4"/>
    <n v="0"/>
    <n v="-197744.84222017261"/>
    <n v="197744.84222017261"/>
    <m/>
  </r>
  <r>
    <s v="R.10009.14.06.01"/>
    <x v="418"/>
    <s v="Electric"/>
    <s v="Grid Modernization"/>
    <s v="Programmatic: Programmatic"/>
    <s v="6E - Grid Mod"/>
    <x v="4"/>
    <n v="0"/>
    <n v="-27477.059530902337"/>
    <n v="27477.059530902337"/>
    <m/>
  </r>
  <r>
    <s v="R.10011.01.01.10"/>
    <x v="419"/>
    <s v="Gas"/>
    <s v="Projected"/>
    <s v="Projected"/>
    <s v="9 - Projected"/>
    <x v="4"/>
    <n v="0"/>
    <n v="-59.562392879999997"/>
    <n v="59.562392879999997"/>
    <m/>
  </r>
  <r>
    <s v="R.10013.02.01.01"/>
    <x v="420"/>
    <s v="Gas"/>
    <s v="Projected"/>
    <s v="Projected"/>
    <s v="9 - Projected"/>
    <x v="4"/>
    <n v="0"/>
    <n v="-1810156.0000000042"/>
    <n v="1810156.0000000042"/>
    <m/>
  </r>
  <r>
    <s v="R.10015.03.05.04"/>
    <x v="421"/>
    <s v="Gas"/>
    <s v="Projected"/>
    <s v="Projected"/>
    <s v="9 - Projected"/>
    <x v="4"/>
    <n v="0"/>
    <n v="-49.703927520000008"/>
    <n v="49.703927520000008"/>
    <m/>
  </r>
  <r>
    <s v="R.10015.03.06.02"/>
    <x v="422"/>
    <s v="Gas"/>
    <s v="Pipe Replacement"/>
    <s v="Programmatic: Programmatic"/>
    <s v="8 - Pipe Replacement"/>
    <x v="4"/>
    <n v="0"/>
    <n v="-1085.1389019671803"/>
    <n v="1085.1389019671803"/>
    <m/>
  </r>
  <r>
    <s v="R.10015.03.09.05"/>
    <x v="423"/>
    <s v="Gas"/>
    <s v="Gas Modernization"/>
    <s v="Programmatic: Programmatic"/>
    <s v="6G - Gas Mod"/>
    <x v="4"/>
    <n v="0"/>
    <n v="-227997.05396916272"/>
    <n v="227997.05396916272"/>
    <m/>
  </r>
  <r>
    <s v="R.10015.04.01.08"/>
    <x v="424"/>
    <s v="Gas"/>
    <s v="Emergent Gas"/>
    <s v="Programmatic: Programmatic"/>
    <s v="4 - Emergent Work"/>
    <x v="4"/>
    <n v="0"/>
    <n v="-148843.13564760002"/>
    <n v="148843.13564760002"/>
    <m/>
  </r>
  <r>
    <s v="R.10015.06.01.01"/>
    <x v="425"/>
    <s v="Gas"/>
    <s v="Capacity Gas"/>
    <s v="Programmatic: Programmatic"/>
    <m/>
    <x v="4"/>
    <n v="0"/>
    <n v="-28888.675200000012"/>
    <n v="28888.675200000012"/>
    <m/>
  </r>
  <r>
    <s v="R.10018.01.01.01"/>
    <x v="426"/>
    <s v="Electric"/>
    <s v="Projected"/>
    <s v="Projected"/>
    <s v="9 - Projected"/>
    <x v="4"/>
    <n v="0"/>
    <n v="-680074.44000000029"/>
    <n v="680074.44000000029"/>
    <m/>
  </r>
  <r>
    <s v="R.10019.01.01.03"/>
    <x v="427"/>
    <s v="Electric"/>
    <s v="Projected"/>
    <s v="Projected"/>
    <s v="9 - Projected"/>
    <x v="4"/>
    <n v="0"/>
    <n v="-11263990.043497428"/>
    <n v="11263990.043497428"/>
    <m/>
  </r>
  <r>
    <s v="R.10019.01.01.04"/>
    <x v="428"/>
    <s v="Electric"/>
    <s v="Bainbridge Tlines Trans"/>
    <s v="Specific: Specific"/>
    <s v="2 - Bainbridge"/>
    <x v="4"/>
    <n v="0"/>
    <n v="-11427708.012799999"/>
    <n v="11427708.012799999"/>
    <m/>
  </r>
  <r>
    <s v="R.10019.03.01.01"/>
    <x v="429"/>
    <s v="Electric"/>
    <s v="Projected"/>
    <s v="Projected"/>
    <s v="9 - Projected"/>
    <x v="4"/>
    <n v="0"/>
    <n v="-1457506.97"/>
    <n v="1457506.97"/>
    <m/>
  </r>
  <r>
    <s v="R.10020.02.01.01"/>
    <x v="430"/>
    <s v="Electric"/>
    <s v="Major Projects Electric"/>
    <s v="Programmatic: Programmatic"/>
    <s v="7E - Maj Proj"/>
    <x v="4"/>
    <n v="0"/>
    <n v="-336742.25999999995"/>
    <n v="336742.25999999995"/>
    <m/>
  </r>
  <r>
    <s v="R.10039.02.01.03"/>
    <x v="431"/>
    <s v="Electric"/>
    <s v="Major Projects Electric"/>
    <s v="Programmatic: Programmatic"/>
    <s v="7E - Maj Proj"/>
    <x v="4"/>
    <n v="0"/>
    <n v="-32985.933926084843"/>
    <n v="32985.933926084843"/>
    <m/>
  </r>
  <r>
    <s v="R.10039.02.01.05"/>
    <x v="432"/>
    <s v="Electric"/>
    <s v="Major Projects Electric"/>
    <s v="Programmatic: Programmatic"/>
    <s v="7E - Maj Proj"/>
    <x v="4"/>
    <n v="0"/>
    <n v="-23091.114418321577"/>
    <n v="23091.114418321577"/>
    <m/>
  </r>
  <r>
    <s v="R.10052.01.01.01"/>
    <x v="433"/>
    <s v="Electric"/>
    <s v="Major Projects Electric"/>
    <s v="Programmatic: Programmatic"/>
    <s v="7E - Maj Proj"/>
    <x v="4"/>
    <n v="0"/>
    <n v="-725216.84904763056"/>
    <n v="725216.84904763056"/>
    <m/>
  </r>
  <r>
    <s v="R.10052.01.01.02"/>
    <x v="434"/>
    <s v="Electric"/>
    <s v="Major Projects Electric"/>
    <s v="Programmatic: Programmatic"/>
    <s v="7E - Maj Proj"/>
    <x v="4"/>
    <n v="0"/>
    <n v="-24582.460000000003"/>
    <n v="24582.460000000003"/>
    <m/>
  </r>
  <r>
    <s v="R.10054.03.01.01"/>
    <x v="435"/>
    <s v="Electric"/>
    <s v="Major Projects Electric"/>
    <s v="Programmatic: Programmatic"/>
    <s v="7E - Maj Proj"/>
    <x v="4"/>
    <n v="0"/>
    <n v="-7233886.9230798203"/>
    <n v="7233886.9230798203"/>
    <m/>
  </r>
  <r>
    <s v="R.10056.01.01.01"/>
    <x v="436"/>
    <s v="Electric"/>
    <s v="Major Projects Electric"/>
    <s v="Programmatic: Programmatic"/>
    <s v="7E - Maj Proj"/>
    <x v="4"/>
    <n v="0"/>
    <n v="-1883740.9732457648"/>
    <n v="1883740.9732457648"/>
    <m/>
  </r>
  <r>
    <s v="R.10059.01.01.01"/>
    <x v="437"/>
    <s v="Electric"/>
    <s v="Grid Modernization"/>
    <s v="Programmatic: Programmatic"/>
    <s v="6E - Grid Mod"/>
    <x v="4"/>
    <n v="0"/>
    <n v="-900000"/>
    <n v="900000"/>
    <m/>
  </r>
  <r>
    <s v="R.10059.02.01.01"/>
    <x v="438"/>
    <s v="Electric"/>
    <s v="Grid Modernization"/>
    <s v="Programmatic: Programmatic"/>
    <s v="6E - Grid Mod"/>
    <x v="4"/>
    <n v="0"/>
    <n v="-1154777.0333071921"/>
    <n v="1154777.0333071921"/>
    <m/>
  </r>
  <r>
    <s v="R.10059.05.01.01"/>
    <x v="439"/>
    <s v="Electric"/>
    <s v="Grid Modernization"/>
    <s v="Programmatic: Programmatic"/>
    <s v="6E - Grid Mod"/>
    <x v="4"/>
    <n v="0"/>
    <n v="-3771577.0399999958"/>
    <n v="3771577.0399999958"/>
    <m/>
  </r>
  <r>
    <s v="X.10006.03.01.02"/>
    <x v="440"/>
    <s v="Electric"/>
    <m/>
    <m/>
    <m/>
    <x v="7"/>
    <n v="0"/>
    <n v="-9453083.7009711824"/>
    <n v="9453083.7009711824"/>
    <m/>
  </r>
  <r>
    <s v="F.10002.01.27.01"/>
    <x v="441"/>
    <s v="Electric"/>
    <m/>
    <m/>
    <m/>
    <x v="1"/>
    <n v="0"/>
    <n v="-1504618.5"/>
    <n v="1504618.5"/>
    <m/>
  </r>
  <r>
    <s v="F.10002.05.03.01"/>
    <x v="442"/>
    <s v="Electric"/>
    <m/>
    <m/>
    <m/>
    <x v="1"/>
    <n v="0"/>
    <n v="-2849402.9636734715"/>
    <n v="2849402.9636734715"/>
    <m/>
  </r>
  <r>
    <s v="R.10006.01.01.02"/>
    <x v="443"/>
    <s v="Electric"/>
    <m/>
    <m/>
    <m/>
    <x v="1"/>
    <n v="0"/>
    <n v="-2250000.0000000005"/>
    <n v="2250000.0000000005"/>
    <m/>
  </r>
  <r>
    <s v="F.10002.06.04.01"/>
    <x v="444"/>
    <s v="Common"/>
    <m/>
    <m/>
    <m/>
    <x v="1"/>
    <n v="0"/>
    <n v="-3113278.1971035767"/>
    <n v="3113278.1971035767"/>
    <m/>
  </r>
  <r>
    <s v="F.10002.06.07.01"/>
    <x v="445"/>
    <s v="Electric"/>
    <m/>
    <m/>
    <m/>
    <x v="1"/>
    <n v="0"/>
    <n v="-2000000.000000004"/>
    <n v="2000000.000000004"/>
    <m/>
  </r>
  <r>
    <s v="F.10002.07.05.01"/>
    <x v="446"/>
    <s v="Common"/>
    <m/>
    <m/>
    <m/>
    <x v="1"/>
    <n v="0"/>
    <n v="-3009237"/>
    <n v="3009237"/>
    <m/>
  </r>
  <r>
    <s v="F.10002.07.07.01"/>
    <x v="447"/>
    <s v="Electric"/>
    <m/>
    <m/>
    <m/>
    <x v="1"/>
    <n v="0"/>
    <n v="-942894.25999999931"/>
    <n v="942894.25999999931"/>
    <m/>
  </r>
  <r>
    <s v="F.10002.07.09.01"/>
    <x v="448"/>
    <s v="Common"/>
    <m/>
    <m/>
    <m/>
    <x v="1"/>
    <n v="0"/>
    <n v="-539634.88749795302"/>
    <n v="539634.887497953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:E254" firstHeaderRow="0" firstDataRow="1" firstDataCol="1"/>
  <pivotFields count="11">
    <pivotField showAll="0"/>
    <pivotField axis="axisRow" showAll="0">
      <items count="585">
        <item x="443"/>
        <item m="1" x="464"/>
        <item m="1" x="493"/>
        <item m="1" x="471"/>
        <item m="1" x="566"/>
        <item m="1" x="496"/>
        <item m="1" x="541"/>
        <item m="1" x="534"/>
        <item m="1" x="571"/>
        <item m="1" x="500"/>
        <item m="1" x="560"/>
        <item m="1" x="476"/>
        <item m="1" x="578"/>
        <item m="1" x="574"/>
        <item x="6"/>
        <item x="391"/>
        <item x="7"/>
        <item x="8"/>
        <item x="9"/>
        <item x="10"/>
        <item x="11"/>
        <item x="12"/>
        <item x="13"/>
        <item m="1" x="458"/>
        <item x="371"/>
        <item x="14"/>
        <item m="1" x="570"/>
        <item m="1" x="563"/>
        <item x="15"/>
        <item m="1" x="573"/>
        <item m="1" x="494"/>
        <item x="16"/>
        <item x="19"/>
        <item x="21"/>
        <item m="1" x="516"/>
        <item m="1" x="540"/>
        <item x="22"/>
        <item x="23"/>
        <item x="24"/>
        <item m="1" x="506"/>
        <item m="1" x="576"/>
        <item m="1" x="527"/>
        <item x="28"/>
        <item m="1" x="456"/>
        <item x="29"/>
        <item m="1" x="542"/>
        <item m="1" x="538"/>
        <item x="30"/>
        <item m="1" x="533"/>
        <item x="31"/>
        <item x="32"/>
        <item m="1" x="505"/>
        <item m="1" x="469"/>
        <item m="1" x="550"/>
        <item x="34"/>
        <item m="1" x="558"/>
        <item m="1" x="539"/>
        <item m="1" x="483"/>
        <item m="1" x="512"/>
        <item x="37"/>
        <item m="1" x="511"/>
        <item x="38"/>
        <item m="1" x="521"/>
        <item m="1" x="457"/>
        <item x="40"/>
        <item x="41"/>
        <item m="1" x="530"/>
        <item m="1" x="478"/>
        <item m="1" x="486"/>
        <item x="43"/>
        <item x="395"/>
        <item m="1" x="575"/>
        <item x="45"/>
        <item x="46"/>
        <item m="1" x="459"/>
        <item m="1" x="562"/>
        <item m="1" x="470"/>
        <item x="49"/>
        <item m="1" x="535"/>
        <item m="1" x="543"/>
        <item m="1" x="517"/>
        <item m="1" x="508"/>
        <item m="1" x="477"/>
        <item x="52"/>
        <item m="1" x="551"/>
        <item m="1" x="490"/>
        <item x="53"/>
        <item m="1" x="495"/>
        <item x="54"/>
        <item x="396"/>
        <item x="55"/>
        <item m="1" x="498"/>
        <item x="375"/>
        <item x="56"/>
        <item m="1" x="501"/>
        <item x="58"/>
        <item x="59"/>
        <item m="1" x="547"/>
        <item m="1" x="552"/>
        <item m="1" x="515"/>
        <item x="61"/>
        <item x="62"/>
        <item m="1" x="568"/>
        <item m="1" x="577"/>
        <item m="1" x="513"/>
        <item m="1" x="583"/>
        <item x="64"/>
        <item m="1" x="502"/>
        <item x="65"/>
        <item m="1" x="491"/>
        <item x="66"/>
        <item x="67"/>
        <item m="1" x="553"/>
        <item x="68"/>
        <item m="1" x="519"/>
        <item x="69"/>
        <item x="70"/>
        <item x="71"/>
        <item x="72"/>
        <item m="1" x="462"/>
        <item x="376"/>
        <item x="397"/>
        <item m="1" x="514"/>
        <item x="74"/>
        <item x="75"/>
        <item m="1" x="565"/>
        <item m="1" x="485"/>
        <item m="1" x="487"/>
        <item x="79"/>
        <item x="80"/>
        <item m="1" x="467"/>
        <item m="1" x="480"/>
        <item x="83"/>
        <item m="1" x="452"/>
        <item x="84"/>
        <item x="85"/>
        <item x="86"/>
        <item x="87"/>
        <item m="1" x="522"/>
        <item m="1" x="556"/>
        <item x="88"/>
        <item x="89"/>
        <item x="90"/>
        <item x="91"/>
        <item m="1" x="482"/>
        <item x="92"/>
        <item m="1" x="507"/>
        <item x="398"/>
        <item x="93"/>
        <item x="94"/>
        <item x="96"/>
        <item x="97"/>
        <item x="98"/>
        <item x="399"/>
        <item x="99"/>
        <item m="1" x="479"/>
        <item x="368"/>
        <item m="1" x="492"/>
        <item m="1" x="465"/>
        <item m="1" x="529"/>
        <item x="100"/>
        <item x="101"/>
        <item m="1" x="548"/>
        <item x="102"/>
        <item x="103"/>
        <item x="104"/>
        <item x="105"/>
        <item x="106"/>
        <item m="1" x="581"/>
        <item m="1" x="569"/>
        <item m="1" x="557"/>
        <item m="1" x="580"/>
        <item x="107"/>
        <item x="108"/>
        <item x="110"/>
        <item x="111"/>
        <item m="1" x="549"/>
        <item x="112"/>
        <item x="113"/>
        <item m="1" x="545"/>
        <item x="401"/>
        <item x="114"/>
        <item x="115"/>
        <item x="116"/>
        <item m="1" x="449"/>
        <item m="1" x="537"/>
        <item m="1" x="499"/>
        <item x="118"/>
        <item x="119"/>
        <item x="120"/>
        <item x="121"/>
        <item x="122"/>
        <item x="377"/>
        <item x="309"/>
        <item x="402"/>
        <item x="123"/>
        <item x="124"/>
        <item x="403"/>
        <item x="125"/>
        <item m="1" x="579"/>
        <item x="126"/>
        <item x="127"/>
        <item x="128"/>
        <item m="1" x="46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404"/>
        <item x="142"/>
        <item x="143"/>
        <item x="144"/>
        <item x="145"/>
        <item m="1" x="461"/>
        <item x="146"/>
        <item x="148"/>
        <item x="149"/>
        <item x="150"/>
        <item x="405"/>
        <item x="151"/>
        <item m="1" x="4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382"/>
        <item x="166"/>
        <item x="167"/>
        <item m="1" x="525"/>
        <item m="1" x="497"/>
        <item x="168"/>
        <item x="169"/>
        <item x="170"/>
        <item x="171"/>
        <item x="173"/>
        <item m="1" x="582"/>
        <item x="174"/>
        <item x="175"/>
        <item x="176"/>
        <item x="407"/>
        <item x="177"/>
        <item x="408"/>
        <item x="178"/>
        <item x="389"/>
        <item x="179"/>
        <item x="180"/>
        <item x="181"/>
        <item x="182"/>
        <item x="183"/>
        <item x="184"/>
        <item x="409"/>
        <item x="185"/>
        <item x="186"/>
        <item x="187"/>
        <item x="188"/>
        <item x="410"/>
        <item x="411"/>
        <item x="189"/>
        <item x="190"/>
        <item x="191"/>
        <item x="192"/>
        <item x="194"/>
        <item x="413"/>
        <item x="195"/>
        <item x="414"/>
        <item x="378"/>
        <item m="1" x="473"/>
        <item m="1" x="454"/>
        <item m="1" x="481"/>
        <item m="1" x="455"/>
        <item x="196"/>
        <item x="197"/>
        <item x="198"/>
        <item x="416"/>
        <item m="1" x="510"/>
        <item x="200"/>
        <item m="1" x="531"/>
        <item x="417"/>
        <item x="379"/>
        <item x="418"/>
        <item x="202"/>
        <item x="203"/>
        <item m="1" x="559"/>
        <item x="204"/>
        <item x="205"/>
        <item x="207"/>
        <item x="419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420"/>
        <item m="1" x="523"/>
        <item x="223"/>
        <item x="224"/>
        <item x="225"/>
        <item x="227"/>
        <item x="228"/>
        <item m="1" x="489"/>
        <item m="1" x="572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421"/>
        <item x="243"/>
        <item x="422"/>
        <item x="244"/>
        <item x="245"/>
        <item x="246"/>
        <item x="247"/>
        <item x="248"/>
        <item x="423"/>
        <item x="249"/>
        <item x="250"/>
        <item x="251"/>
        <item x="253"/>
        <item x="254"/>
        <item x="255"/>
        <item x="256"/>
        <item x="257"/>
        <item x="258"/>
        <item x="259"/>
        <item x="424"/>
        <item x="260"/>
        <item x="261"/>
        <item x="262"/>
        <item x="263"/>
        <item x="425"/>
        <item x="264"/>
        <item x="265"/>
        <item x="266"/>
        <item m="1" x="561"/>
        <item x="267"/>
        <item x="270"/>
        <item m="1" x="567"/>
        <item m="1" x="475"/>
        <item x="271"/>
        <item x="272"/>
        <item x="273"/>
        <item x="274"/>
        <item x="275"/>
        <item x="276"/>
        <item m="1" x="472"/>
        <item m="1" x="528"/>
        <item m="1" x="546"/>
        <item m="1" x="450"/>
        <item m="1" x="532"/>
        <item m="1" x="488"/>
        <item x="277"/>
        <item x="278"/>
        <item x="279"/>
        <item x="280"/>
        <item m="1" x="518"/>
        <item x="281"/>
        <item m="1" x="524"/>
        <item x="282"/>
        <item x="283"/>
        <item x="387"/>
        <item x="386"/>
        <item x="380"/>
        <item x="284"/>
        <item x="285"/>
        <item x="431"/>
        <item x="432"/>
        <item x="286"/>
        <item m="1" x="526"/>
        <item m="1" x="484"/>
        <item m="1" x="509"/>
        <item m="1" x="503"/>
        <item m="1" x="536"/>
        <item m="1" x="474"/>
        <item x="288"/>
        <item x="289"/>
        <item m="1" x="564"/>
        <item m="1" x="555"/>
        <item m="1" x="460"/>
        <item x="436"/>
        <item m="1" x="554"/>
        <item x="437"/>
        <item x="438"/>
        <item x="290"/>
        <item m="1" x="504"/>
        <item x="292"/>
        <item x="439"/>
        <item x="294"/>
        <item m="1" x="466"/>
        <item x="295"/>
        <item x="296"/>
        <item x="297"/>
        <item x="298"/>
        <item x="299"/>
        <item m="1" x="463"/>
        <item x="300"/>
        <item x="440"/>
        <item m="1" x="520"/>
        <item x="301"/>
        <item m="1" x="544"/>
        <item m="1" x="453"/>
        <item x="0"/>
        <item x="1"/>
        <item x="2"/>
        <item x="3"/>
        <item x="4"/>
        <item x="5"/>
        <item x="17"/>
        <item x="18"/>
        <item x="20"/>
        <item x="25"/>
        <item x="26"/>
        <item x="27"/>
        <item x="33"/>
        <item x="35"/>
        <item x="36"/>
        <item x="39"/>
        <item x="42"/>
        <item x="44"/>
        <item x="47"/>
        <item x="48"/>
        <item x="50"/>
        <item x="51"/>
        <item x="57"/>
        <item x="60"/>
        <item x="63"/>
        <item x="73"/>
        <item x="76"/>
        <item x="77"/>
        <item x="78"/>
        <item x="81"/>
        <item x="82"/>
        <item x="95"/>
        <item x="109"/>
        <item x="117"/>
        <item x="147"/>
        <item x="164"/>
        <item x="172"/>
        <item x="193"/>
        <item x="199"/>
        <item x="201"/>
        <item x="206"/>
        <item x="226"/>
        <item x="252"/>
        <item x="268"/>
        <item x="269"/>
        <item x="287"/>
        <item x="291"/>
        <item x="293"/>
        <item x="302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9"/>
        <item x="370"/>
        <item x="372"/>
        <item x="373"/>
        <item x="374"/>
        <item x="381"/>
        <item x="383"/>
        <item x="384"/>
        <item x="385"/>
        <item x="388"/>
        <item x="390"/>
        <item x="392"/>
        <item x="393"/>
        <item x="394"/>
        <item x="400"/>
        <item x="406"/>
        <item x="412"/>
        <item x="415"/>
        <item x="426"/>
        <item x="427"/>
        <item x="428"/>
        <item x="429"/>
        <item x="430"/>
        <item x="433"/>
        <item x="434"/>
        <item x="435"/>
        <item x="441"/>
        <item x="442"/>
        <item x="444"/>
        <item x="445"/>
        <item x="446"/>
        <item x="447"/>
        <item x="448"/>
        <item x="303"/>
        <item x="304"/>
        <item x="305"/>
        <item x="306"/>
        <item x="307"/>
        <item x="308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Row" showAll="0">
      <items count="10">
        <item sd="0" x="6"/>
        <item sd="0" x="0"/>
        <item sd="0" x="5"/>
        <item sd="0" x="1"/>
        <item x="7"/>
        <item x="4"/>
        <item sd="0" x="2"/>
        <item x="3"/>
        <item m="1" x="8"/>
        <item t="default"/>
      </items>
    </pivotField>
    <pivotField dataField="1" showAll="0" defaultSubtotal="0"/>
    <pivotField dataField="1" numFmtId="43" showAll="0"/>
    <pivotField dataField="1" showAll="0"/>
    <pivotField showAll="0" defaultSubtotal="0"/>
  </pivotFields>
  <rowFields count="2">
    <field x="6"/>
    <field x="1"/>
  </rowFields>
  <rowItems count="249">
    <i>
      <x/>
    </i>
    <i>
      <x v="1"/>
    </i>
    <i>
      <x v="2"/>
    </i>
    <i>
      <x v="3"/>
    </i>
    <i>
      <x v="4"/>
    </i>
    <i r="1">
      <x v="193"/>
    </i>
    <i r="1">
      <x v="268"/>
    </i>
    <i r="1">
      <x v="426"/>
    </i>
    <i r="1">
      <x v="427"/>
    </i>
    <i r="1">
      <x v="428"/>
    </i>
    <i r="1">
      <x v="429"/>
    </i>
    <i r="1">
      <x v="430"/>
    </i>
    <i r="1">
      <x v="432"/>
    </i>
    <i r="1">
      <x v="433"/>
    </i>
    <i r="1">
      <x v="435"/>
    </i>
    <i r="1">
      <x v="486"/>
    </i>
    <i r="1">
      <x v="539"/>
    </i>
    <i r="1">
      <x v="579"/>
    </i>
    <i r="1">
      <x v="582"/>
    </i>
    <i r="1">
      <x v="583"/>
    </i>
    <i>
      <x v="5"/>
    </i>
    <i r="1">
      <x v="15"/>
    </i>
    <i r="1">
      <x v="194"/>
    </i>
    <i r="1">
      <x v="195"/>
    </i>
    <i r="1">
      <x v="196"/>
    </i>
    <i r="1">
      <x v="197"/>
    </i>
    <i r="1">
      <x v="198"/>
    </i>
    <i r="1">
      <x v="200"/>
    </i>
    <i r="1">
      <x v="201"/>
    </i>
    <i r="1">
      <x v="202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0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6"/>
    </i>
    <i r="1">
      <x v="267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9"/>
    </i>
    <i r="1">
      <x v="280"/>
    </i>
    <i r="1">
      <x v="281"/>
    </i>
    <i r="1">
      <x v="282"/>
    </i>
    <i r="1">
      <x v="283"/>
    </i>
    <i r="1">
      <x v="288"/>
    </i>
    <i r="1">
      <x v="289"/>
    </i>
    <i r="1">
      <x v="290"/>
    </i>
    <i r="1">
      <x v="291"/>
    </i>
    <i r="1">
      <x v="293"/>
    </i>
    <i r="1">
      <x v="295"/>
    </i>
    <i r="1">
      <x v="296"/>
    </i>
    <i r="1">
      <x v="297"/>
    </i>
    <i r="1">
      <x v="298"/>
    </i>
    <i r="1">
      <x v="299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2"/>
    </i>
    <i r="1">
      <x v="323"/>
    </i>
    <i r="1">
      <x v="324"/>
    </i>
    <i r="1">
      <x v="325"/>
    </i>
    <i r="1">
      <x v="326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2"/>
    </i>
    <i r="1">
      <x v="373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8"/>
    </i>
    <i r="1">
      <x v="389"/>
    </i>
    <i r="1">
      <x v="390"/>
    </i>
    <i r="1">
      <x v="391"/>
    </i>
    <i r="1">
      <x v="393"/>
    </i>
    <i r="1">
      <x v="395"/>
    </i>
    <i r="1">
      <x v="396"/>
    </i>
    <i r="1">
      <x v="400"/>
    </i>
    <i r="1">
      <x v="401"/>
    </i>
    <i r="1">
      <x v="402"/>
    </i>
    <i r="1">
      <x v="403"/>
    </i>
    <i r="1">
      <x v="404"/>
    </i>
    <i r="1">
      <x v="411"/>
    </i>
    <i r="1">
      <x v="412"/>
    </i>
    <i r="1">
      <x v="416"/>
    </i>
    <i r="1">
      <x v="418"/>
    </i>
    <i r="1">
      <x v="419"/>
    </i>
    <i r="1">
      <x v="420"/>
    </i>
    <i r="1">
      <x v="422"/>
    </i>
    <i r="1">
      <x v="423"/>
    </i>
    <i r="1">
      <x v="424"/>
    </i>
    <i r="1">
      <x v="450"/>
    </i>
    <i r="1">
      <x v="45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45"/>
    </i>
    <i r="1">
      <x v="550"/>
    </i>
    <i r="1">
      <x v="551"/>
    </i>
    <i r="1">
      <x v="553"/>
    </i>
    <i r="1">
      <x v="554"/>
    </i>
    <i r="1">
      <x v="555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69"/>
    </i>
    <i r="1">
      <x v="570"/>
    </i>
    <i r="1">
      <x v="580"/>
    </i>
    <i>
      <x v="6"/>
    </i>
    <i>
      <x v="7"/>
    </i>
    <i r="1">
      <x v="20"/>
    </i>
    <i r="1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ctual CWIP Closings" fld="7" baseField="0" baseItem="0"/>
    <dataField name="Forecast CWIP Closings" fld="8" baseField="0" baseItem="0"/>
    <dataField name="Sum of Variance" fld="9" baseField="4" baseItem="0"/>
  </dataFields>
  <formats count="14">
    <format dxfId="281">
      <pivotArea outline="0" collapsedLevelsAreSubtotals="1" fieldPosition="0"/>
    </format>
    <format dxfId="28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79">
      <pivotArea collapsedLevelsAreSubtotals="1" fieldPosition="0">
        <references count="1">
          <reference field="6" count="1">
            <x v="0"/>
          </reference>
        </references>
      </pivotArea>
    </format>
    <format dxfId="278">
      <pivotArea grandRow="1" outline="0" collapsedLevelsAreSubtotals="1" fieldPosition="0"/>
    </format>
    <format dxfId="27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76">
      <pivotArea collapsedLevelsAreSubtotals="1" fieldPosition="0">
        <references count="1">
          <reference field="6" count="1">
            <x v="1"/>
          </reference>
        </references>
      </pivotArea>
    </format>
    <format dxfId="275">
      <pivotArea collapsedLevelsAreSubtotals="1" fieldPosition="0">
        <references count="1">
          <reference field="6" count="1">
            <x v="2"/>
          </reference>
        </references>
      </pivotArea>
    </format>
    <format dxfId="274">
      <pivotArea collapsedLevelsAreSubtotals="1" fieldPosition="0">
        <references count="1">
          <reference field="6" count="1">
            <x v="3"/>
          </reference>
        </references>
      </pivotArea>
    </format>
    <format dxfId="273">
      <pivotArea collapsedLevelsAreSubtotals="1" fieldPosition="0">
        <references count="1">
          <reference field="6" count="1">
            <x v="4"/>
          </reference>
        </references>
      </pivotArea>
    </format>
    <format dxfId="272">
      <pivotArea collapsedLevelsAreSubtotals="1" fieldPosition="0">
        <references count="1">
          <reference field="6" count="1">
            <x v="5"/>
          </reference>
        </references>
      </pivotArea>
    </format>
    <format dxfId="271">
      <pivotArea collapsedLevelsAreSubtotals="1" fieldPosition="0">
        <references count="1">
          <reference field="6" count="1">
            <x v="6"/>
          </reference>
        </references>
      </pivotArea>
    </format>
    <format dxfId="270">
      <pivotArea dataOnly="0" labelOnly="1" fieldPosition="0">
        <references count="1">
          <reference field="6" count="6">
            <x v="1"/>
            <x v="2"/>
            <x v="3"/>
            <x v="4"/>
            <x v="5"/>
            <x v="6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8" firstHeaderRow="0" firstDataRow="1" firstDataCol="1" rowPageCount="1" colPageCount="1"/>
  <pivotFields count="10">
    <pivotField showAll="0"/>
    <pivotField showAll="0"/>
    <pivotField showAll="0"/>
    <pivotField axis="axisRow" showAll="0" sortType="ascending" defaultSubtotal="0">
      <items count="40">
        <item m="1" x="26"/>
        <item m="1" x="30"/>
        <item m="1" x="29"/>
        <item x="11"/>
        <item x="20"/>
        <item m="1" x="35"/>
        <item m="1" x="27"/>
        <item x="10"/>
        <item x="19"/>
        <item x="5"/>
        <item x="15"/>
        <item x="6"/>
        <item x="14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x="8"/>
        <item x="16"/>
        <item x="18"/>
        <item m="1" x="38"/>
        <item m="1" x="39"/>
        <item x="2"/>
        <item m="1" x="37"/>
        <item m="1" x="36"/>
        <item x="24"/>
        <item m="1" x="32"/>
        <item x="21"/>
        <item x="22"/>
        <item m="1" x="34"/>
        <item h="1" x="0"/>
      </items>
    </pivotField>
    <pivotField showAll="0" defaultSubtotal="0"/>
    <pivotField showAll="0" defaultSubtotal="0"/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1">
    <field x="3"/>
  </rowFields>
  <rowItems count="25"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6"/>
    </i>
    <i>
      <x v="27"/>
    </i>
    <i>
      <x v="28"/>
    </i>
    <i>
      <x v="31"/>
    </i>
    <i>
      <x v="34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0" baseItem="0"/>
    <dataField name="Sum of JAK5 SEF16 Forecast CWIP Closings" fld="8" baseField="4" baseItem="0"/>
    <dataField name="Sum of Variance" fld="9" baseField="0" baseItem="0"/>
  </dataFields>
  <formats count="12">
    <format dxfId="267">
      <pivotArea grandRow="1" outline="0" collapsedLevelsAreSubtotals="1" fieldPosition="0"/>
    </format>
    <format dxfId="266">
      <pivotArea grandRow="1" outline="0" collapsedLevelsAreSubtotals="1" fieldPosition="0"/>
    </format>
    <format dxfId="265">
      <pivotArea grandRow="1" outline="0" collapsedLevelsAreSubtotals="1" fieldPosition="0"/>
    </format>
    <format dxfId="26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6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62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61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60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59">
      <pivotArea collapsedLevelsAreSubtotals="1" fieldPosition="0">
        <references count="1">
          <reference field="3" count="1">
            <x v="0"/>
          </reference>
        </references>
      </pivotArea>
    </format>
    <format dxfId="258">
      <pivotArea collapsedLevelsAreSubtotals="1" fieldPosition="0">
        <references count="1">
          <reference field="3" count="1">
            <x v="0"/>
          </reference>
        </references>
      </pivotArea>
    </format>
    <format dxfId="257">
      <pivotArea collapsedLevelsAreSubtotals="1" fieldPosition="0">
        <references count="1">
          <reference field="3" count="1">
            <x v="0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6" firstHeaderRow="0" firstDataRow="1" firstDataCol="1" rowPageCount="1" colPageCount="1"/>
  <pivotFields count="10">
    <pivotField showAll="0"/>
    <pivotField showAll="0"/>
    <pivotField axis="axisRow" showAll="0">
      <items count="7">
        <item m="1" x="5"/>
        <item m="1" x="4"/>
        <item m="1" x="3"/>
        <item x="0"/>
        <item x="1"/>
        <item x="2"/>
        <item t="default"/>
      </items>
    </pivotField>
    <pivotField axis="axisRow" showAll="0" defaultSubtotal="0">
      <items count="40">
        <item m="1" x="26"/>
        <item m="1" x="30"/>
        <item m="1" x="29"/>
        <item x="20"/>
        <item m="1" x="35"/>
        <item m="1" x="27"/>
        <item x="5"/>
        <item x="15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m="1" x="38"/>
        <item m="1" x="39"/>
        <item x="2"/>
        <item m="1" x="37"/>
        <item m="1" x="36"/>
        <item x="24"/>
        <item m="1" x="32"/>
        <item x="22"/>
        <item m="1" x="34"/>
        <item h="1" x="0"/>
        <item x="6"/>
        <item x="8"/>
        <item x="10"/>
        <item x="11"/>
        <item x="14"/>
        <item x="16"/>
        <item x="18"/>
        <item x="19"/>
        <item x="21"/>
      </items>
    </pivotField>
    <pivotField axis="axisRow" showAll="0" defaultSubtotal="0">
      <items count="9">
        <item x="1"/>
        <item x="5"/>
        <item m="1" x="6"/>
        <item x="2"/>
        <item m="1" x="8"/>
        <item m="1" x="7"/>
        <item x="0"/>
        <item x="3"/>
        <item x="4"/>
      </items>
    </pivotField>
    <pivotField showAll="0" defaultSubtotal="0"/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3">
    <field x="2"/>
    <field x="4"/>
    <field x="3"/>
  </rowFields>
  <rowItems count="43">
    <i>
      <x v="3"/>
    </i>
    <i r="1">
      <x v="3"/>
    </i>
    <i r="2">
      <x v="23"/>
    </i>
    <i r="1">
      <x v="8"/>
    </i>
    <i r="2">
      <x v="34"/>
    </i>
    <i>
      <x v="4"/>
    </i>
    <i r="1">
      <x v="1"/>
    </i>
    <i r="2">
      <x v="6"/>
    </i>
    <i r="2">
      <x v="31"/>
    </i>
    <i r="2">
      <x v="32"/>
    </i>
    <i r="1">
      <x v="3"/>
    </i>
    <i r="2">
      <x v="23"/>
    </i>
    <i r="1">
      <x v="7"/>
    </i>
    <i r="2">
      <x v="3"/>
    </i>
    <i r="2">
      <x v="12"/>
    </i>
    <i r="2">
      <x v="23"/>
    </i>
    <i r="2">
      <x v="28"/>
    </i>
    <i r="2">
      <x v="39"/>
    </i>
    <i r="1">
      <x v="8"/>
    </i>
    <i r="2">
      <x v="10"/>
    </i>
    <i r="2">
      <x v="13"/>
    </i>
    <i r="2">
      <x v="15"/>
    </i>
    <i r="2">
      <x v="16"/>
    </i>
    <i r="2">
      <x v="26"/>
    </i>
    <i r="2">
      <x v="33"/>
    </i>
    <i r="2">
      <x v="34"/>
    </i>
    <i>
      <x v="5"/>
    </i>
    <i r="1">
      <x v="1"/>
    </i>
    <i r="2">
      <x v="7"/>
    </i>
    <i r="2">
      <x v="35"/>
    </i>
    <i r="2">
      <x v="36"/>
    </i>
    <i r="1">
      <x v="3"/>
    </i>
    <i r="2">
      <x v="23"/>
    </i>
    <i r="1">
      <x v="7"/>
    </i>
    <i r="2">
      <x v="19"/>
    </i>
    <i r="1">
      <x v="8"/>
    </i>
    <i r="2">
      <x v="11"/>
    </i>
    <i r="2">
      <x v="14"/>
    </i>
    <i r="2">
      <x v="18"/>
    </i>
    <i r="2">
      <x v="34"/>
    </i>
    <i r="2">
      <x v="37"/>
    </i>
    <i r="2">
      <x v="3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2" baseItem="3" numFmtId="43"/>
    <dataField name="Sum of JAK5 SEF16 Forecast CWIP Closings" fld="8" baseField="3" baseItem="33" numFmtId="43"/>
    <dataField name="Sum of Variance" fld="9" baseField="3" baseItem="33" numFmtId="43"/>
  </dataFields>
  <formats count="82">
    <format dxfId="255">
      <pivotArea grandRow="1" outline="0" collapsedLevelsAreSubtotals="1" fieldPosition="0"/>
    </format>
    <format dxfId="254">
      <pivotArea grandRow="1" outline="0" collapsedLevelsAreSubtotals="1" fieldPosition="0"/>
    </format>
    <format dxfId="253">
      <pivotArea grandRow="1" outline="0" collapsedLevelsAreSubtotals="1" fieldPosition="0"/>
    </format>
    <format dxfId="25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5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50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249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248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247">
      <pivotArea collapsedLevelsAreSubtotals="1" fieldPosition="0">
        <references count="1">
          <reference field="3" count="1">
            <x v="0"/>
          </reference>
        </references>
      </pivotArea>
    </format>
    <format dxfId="246">
      <pivotArea collapsedLevelsAreSubtotals="1" fieldPosition="0">
        <references count="1">
          <reference field="3" count="1">
            <x v="0"/>
          </reference>
        </references>
      </pivotArea>
    </format>
    <format dxfId="245">
      <pivotArea collapsedLevelsAreSubtotals="1" fieldPosition="0">
        <references count="1">
          <reference field="3" count="1">
            <x v="0"/>
          </reference>
        </references>
      </pivotArea>
    </format>
    <format dxfId="244">
      <pivotArea collapsedLevelsAreSubtotals="1" fieldPosition="0">
        <references count="1">
          <reference field="2" count="1">
            <x v="3"/>
          </reference>
        </references>
      </pivotArea>
    </format>
    <format dxfId="243">
      <pivotArea collapsedLevelsAreSubtotals="1" fieldPosition="0">
        <references count="1">
          <reference field="2" count="1">
            <x v="3"/>
          </reference>
        </references>
      </pivotArea>
    </format>
    <format dxfId="242">
      <pivotArea collapsedLevelsAreSubtotals="1" fieldPosition="0">
        <references count="1">
          <reference field="2" count="1">
            <x v="3"/>
          </reference>
        </references>
      </pivotArea>
    </format>
    <format dxfId="241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240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239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238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237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236">
      <pivotArea collapsedLevelsAreSubtotals="1" fieldPosition="0">
        <references count="1">
          <reference field="2" count="1">
            <x v="4"/>
          </reference>
        </references>
      </pivotArea>
    </format>
    <format dxfId="235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234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233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232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231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230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229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228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227">
      <pivotArea collapsedLevelsAreSubtotals="1" fieldPosition="0">
        <references count="1">
          <reference field="2" count="1">
            <x v="5"/>
          </reference>
        </references>
      </pivotArea>
    </format>
    <format dxfId="226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225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224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223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222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221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220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219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218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217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216">
      <pivotArea collapsedLevelsAreSubtotals="1" fieldPosition="0">
        <references count="1">
          <reference field="2" count="1">
            <x v="4"/>
          </reference>
        </references>
      </pivotArea>
    </format>
    <format dxfId="215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214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213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212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211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210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209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208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207">
      <pivotArea collapsedLevelsAreSubtotals="1" fieldPosition="0">
        <references count="1">
          <reference field="2" count="1">
            <x v="5"/>
          </reference>
        </references>
      </pivotArea>
    </format>
    <format dxfId="206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205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204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203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202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201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200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99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98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97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96">
      <pivotArea collapsedLevelsAreSubtotals="1" fieldPosition="0">
        <references count="1">
          <reference field="2" count="1">
            <x v="4"/>
          </reference>
        </references>
      </pivotArea>
    </format>
    <format dxfId="195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94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93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92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91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90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89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88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87">
      <pivotArea collapsedLevelsAreSubtotals="1" fieldPosition="0">
        <references count="1">
          <reference field="2" count="1">
            <x v="5"/>
          </reference>
        </references>
      </pivotArea>
    </format>
    <format dxfId="186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85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84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83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82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81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80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79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7">
      <pivotArea outline="0" fieldPosition="0">
        <references count="1">
          <reference field="4294967294" count="1">
            <x v="0"/>
          </reference>
        </references>
      </pivotArea>
    </format>
    <format dxfId="176">
      <pivotArea outline="0" fieldPosition="0">
        <references count="1">
          <reference field="4294967294" count="1">
            <x v="1"/>
          </reference>
        </references>
      </pivotArea>
    </format>
    <format dxfId="175">
      <pivotArea outline="0" fieldPosition="0">
        <references count="1">
          <reference field="4294967294" count="1">
            <x v="2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4" firstHeaderRow="0" firstDataRow="1" firstDataCol="1" rowPageCount="1" colPageCount="1"/>
  <pivotFields count="10">
    <pivotField showAll="0"/>
    <pivotField showAll="0"/>
    <pivotField showAll="0"/>
    <pivotField axis="axisRow" showAll="0" sortType="ascending">
      <items count="41">
        <item m="1" x="26"/>
        <item m="1" x="30"/>
        <item m="1" x="29"/>
        <item x="11"/>
        <item x="20"/>
        <item m="1" x="35"/>
        <item m="1" x="27"/>
        <item x="10"/>
        <item x="19"/>
        <item x="5"/>
        <item x="15"/>
        <item x="6"/>
        <item x="14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x="8"/>
        <item x="16"/>
        <item x="18"/>
        <item m="1" x="38"/>
        <item m="1" x="39"/>
        <item x="2"/>
        <item m="1" x="37"/>
        <item m="1" x="36"/>
        <item x="24"/>
        <item m="1" x="32"/>
        <item x="21"/>
        <item x="22"/>
        <item m="1" x="34"/>
        <item x="0"/>
        <item t="default"/>
      </items>
    </pivotField>
    <pivotField showAll="0"/>
    <pivotField axis="axisRow" showAll="0">
      <items count="21">
        <item m="1" x="15"/>
        <item m="1" x="14"/>
        <item m="1" x="16"/>
        <item x="0"/>
        <item m="1" x="19"/>
        <item m="1" x="18"/>
        <item m="1" x="17"/>
        <item x="1"/>
        <item x="2"/>
        <item x="3"/>
        <item x="9"/>
        <item x="4"/>
        <item x="5"/>
        <item x="6"/>
        <item x="7"/>
        <item x="8"/>
        <item x="10"/>
        <item x="11"/>
        <item x="12"/>
        <item x="13"/>
        <item t="default"/>
      </items>
    </pivotField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2">
    <field x="5"/>
    <field x="3"/>
  </rowFields>
  <rowItems count="41">
    <i>
      <x v="3"/>
    </i>
    <i r="1">
      <x v="7"/>
    </i>
    <i r="1">
      <x v="8"/>
    </i>
    <i r="1">
      <x v="17"/>
    </i>
    <i r="1">
      <x v="18"/>
    </i>
    <i r="1">
      <x v="24"/>
    </i>
    <i r="1">
      <x v="31"/>
    </i>
    <i r="1">
      <x v="34"/>
    </i>
    <i r="1">
      <x v="39"/>
    </i>
    <i>
      <x v="7"/>
    </i>
    <i r="1">
      <x v="31"/>
    </i>
    <i>
      <x v="8"/>
    </i>
    <i r="1">
      <x v="20"/>
    </i>
    <i>
      <x v="9"/>
    </i>
    <i r="1">
      <x v="9"/>
    </i>
    <i r="1">
      <x v="11"/>
    </i>
    <i r="1">
      <x v="26"/>
    </i>
    <i>
      <x v="10"/>
    </i>
    <i r="1">
      <x v="10"/>
    </i>
    <i r="1">
      <x v="12"/>
    </i>
    <i r="1">
      <x v="27"/>
    </i>
    <i>
      <x v="11"/>
    </i>
    <i r="1">
      <x v="21"/>
    </i>
    <i>
      <x v="12"/>
    </i>
    <i r="1">
      <x v="15"/>
    </i>
    <i r="1">
      <x v="16"/>
    </i>
    <i>
      <x v="13"/>
    </i>
    <i r="1">
      <x v="3"/>
    </i>
    <i>
      <x v="14"/>
    </i>
    <i r="1">
      <x v="19"/>
    </i>
    <i>
      <x v="15"/>
    </i>
    <i r="1">
      <x v="23"/>
    </i>
    <i>
      <x v="16"/>
    </i>
    <i r="1">
      <x v="28"/>
    </i>
    <i>
      <x v="17"/>
    </i>
    <i r="1">
      <x v="4"/>
    </i>
    <i>
      <x v="18"/>
    </i>
    <i r="1">
      <x v="36"/>
    </i>
    <i>
      <x v="19"/>
    </i>
    <i r="1"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5" baseItem="3" numFmtId="43"/>
    <dataField name="Sum of JAK5 SEF16 Forecast CWIP Closings" fld="8" baseField="5" baseItem="3" numFmtId="43"/>
    <dataField name="Sum of Variance" fld="9" baseField="5" baseItem="3" numFmtId="43"/>
  </dataFields>
  <formats count="122">
    <format dxfId="17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7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71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70">
      <pivotArea collapsedLevelsAreSubtotals="1" fieldPosition="0">
        <references count="1">
          <reference field="5" count="1">
            <x v="1"/>
          </reference>
        </references>
      </pivotArea>
    </format>
    <format dxfId="169">
      <pivotArea collapsedLevelsAreSubtotals="1" fieldPosition="0">
        <references count="2">
          <reference field="3" count="1">
            <x v="4"/>
          </reference>
          <reference field="5" count="1" selected="0">
            <x v="1"/>
          </reference>
        </references>
      </pivotArea>
    </format>
    <format dxfId="168">
      <pivotArea collapsedLevelsAreSubtotals="1" fieldPosition="0">
        <references count="1">
          <reference field="5" count="1">
            <x v="2"/>
          </reference>
        </references>
      </pivotArea>
    </format>
    <format dxfId="167">
      <pivotArea collapsedLevelsAreSubtotals="1" fieldPosition="0">
        <references count="2">
          <reference field="3" count="6">
            <x v="9"/>
            <x v="10"/>
            <x v="13"/>
            <x v="14"/>
            <x v="32"/>
            <x v="33"/>
          </reference>
          <reference field="5" count="1" selected="0">
            <x v="2"/>
          </reference>
        </references>
      </pivotArea>
    </format>
    <format dxfId="166">
      <pivotArea collapsedLevelsAreSubtotals="1" fieldPosition="0">
        <references count="1">
          <reference field="5" count="1">
            <x v="3"/>
          </reference>
        </references>
      </pivotArea>
    </format>
    <format dxfId="165">
      <pivotArea collapsedLevelsAreSubtotals="1" fieldPosition="0">
        <references count="2">
          <reference field="3" count="19">
            <x v="5"/>
            <x v="6"/>
            <x v="15"/>
            <x v="16"/>
            <x v="17"/>
            <x v="18"/>
            <x v="19"/>
            <x v="20"/>
            <x v="21"/>
            <x v="23"/>
            <x v="24"/>
            <x v="25"/>
            <x v="29"/>
            <x v="31"/>
            <x v="34"/>
            <x v="35"/>
            <x v="37"/>
            <x v="38"/>
            <x v="39"/>
          </reference>
          <reference field="5" count="1" selected="0">
            <x v="3"/>
          </reference>
        </references>
      </pivotArea>
    </format>
    <format dxfId="164">
      <pivotArea grandRow="1" outline="0" collapsedLevelsAreSubtotals="1" fieldPosition="0"/>
    </format>
    <format dxfId="163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62">
      <pivotArea collapsedLevelsAreSubtotals="1" fieldPosition="0">
        <references count="1">
          <reference field="5" count="1">
            <x v="1"/>
          </reference>
        </references>
      </pivotArea>
    </format>
    <format dxfId="161">
      <pivotArea collapsedLevelsAreSubtotals="1" fieldPosition="0">
        <references count="2">
          <reference field="3" count="1">
            <x v="4"/>
          </reference>
          <reference field="5" count="1" selected="0">
            <x v="1"/>
          </reference>
        </references>
      </pivotArea>
    </format>
    <format dxfId="160">
      <pivotArea collapsedLevelsAreSubtotals="1" fieldPosition="0">
        <references count="1">
          <reference field="5" count="1">
            <x v="2"/>
          </reference>
        </references>
      </pivotArea>
    </format>
    <format dxfId="159">
      <pivotArea collapsedLevelsAreSubtotals="1" fieldPosition="0">
        <references count="2">
          <reference field="3" count="6">
            <x v="9"/>
            <x v="10"/>
            <x v="13"/>
            <x v="14"/>
            <x v="32"/>
            <x v="33"/>
          </reference>
          <reference field="5" count="1" selected="0">
            <x v="2"/>
          </reference>
        </references>
      </pivotArea>
    </format>
    <format dxfId="158">
      <pivotArea collapsedLevelsAreSubtotals="1" fieldPosition="0">
        <references count="1">
          <reference field="5" count="1">
            <x v="3"/>
          </reference>
        </references>
      </pivotArea>
    </format>
    <format dxfId="157">
      <pivotArea collapsedLevelsAreSubtotals="1" fieldPosition="0">
        <references count="2">
          <reference field="3" count="19">
            <x v="5"/>
            <x v="6"/>
            <x v="15"/>
            <x v="16"/>
            <x v="17"/>
            <x v="18"/>
            <x v="19"/>
            <x v="20"/>
            <x v="21"/>
            <x v="23"/>
            <x v="24"/>
            <x v="25"/>
            <x v="29"/>
            <x v="31"/>
            <x v="34"/>
            <x v="35"/>
            <x v="37"/>
            <x v="38"/>
            <x v="39"/>
          </reference>
          <reference field="5" count="1" selected="0">
            <x v="3"/>
          </reference>
        </references>
      </pivotArea>
    </format>
    <format dxfId="156">
      <pivotArea grandRow="1" outline="0" collapsedLevelsAreSubtotals="1" fieldPosition="0"/>
    </format>
    <format dxfId="155">
      <pivotArea collapsedLevelsAreSubtotals="1" fieldPosition="0">
        <references count="1">
          <reference field="5" count="1">
            <x v="0"/>
          </reference>
        </references>
      </pivotArea>
    </format>
    <format dxfId="154">
      <pivotArea collapsedLevelsAreSubtotals="1" fieldPosition="0">
        <references count="1">
          <reference field="5" count="1">
            <x v="0"/>
          </reference>
        </references>
      </pivotArea>
    </format>
    <format dxfId="153">
      <pivotArea collapsedLevelsAreSubtotals="1" fieldPosition="0">
        <references count="1">
          <reference field="5" count="1">
            <x v="0"/>
          </reference>
        </references>
      </pivotArea>
    </format>
    <format dxfId="152">
      <pivotArea collapsedLevelsAreSubtotals="1" fieldPosition="0">
        <references count="1">
          <reference field="5" count="1">
            <x v="4"/>
          </reference>
        </references>
      </pivotArea>
    </format>
    <format dxfId="151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150">
      <pivotArea collapsedLevelsAreSubtotals="1" fieldPosition="0">
        <references count="1">
          <reference field="5" count="1">
            <x v="4"/>
          </reference>
        </references>
      </pivotArea>
    </format>
    <format dxfId="149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148">
      <pivotArea collapsedLevelsAreSubtotals="1" fieldPosition="0">
        <references count="1">
          <reference field="5" count="1">
            <x v="4"/>
          </reference>
        </references>
      </pivotArea>
    </format>
    <format dxfId="147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146">
      <pivotArea collapsedLevelsAreSubtotals="1" fieldPosition="0">
        <references count="1">
          <reference field="5" count="1">
            <x v="5"/>
          </reference>
        </references>
      </pivotArea>
    </format>
    <format dxfId="145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144">
      <pivotArea collapsedLevelsAreSubtotals="1" fieldPosition="0">
        <references count="1">
          <reference field="5" count="1">
            <x v="6"/>
          </reference>
        </references>
      </pivotArea>
    </format>
    <format dxfId="143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142">
      <pivotArea collapsedLevelsAreSubtotals="1" fieldPosition="0">
        <references count="1">
          <reference field="5" count="1">
            <x v="5"/>
          </reference>
        </references>
      </pivotArea>
    </format>
    <format dxfId="141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140">
      <pivotArea collapsedLevelsAreSubtotals="1" fieldPosition="0">
        <references count="1">
          <reference field="5" count="1">
            <x v="6"/>
          </reference>
        </references>
      </pivotArea>
    </format>
    <format dxfId="139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138">
      <pivotArea collapsedLevelsAreSubtotals="1" fieldPosition="0">
        <references count="1">
          <reference field="5" count="1">
            <x v="5"/>
          </reference>
        </references>
      </pivotArea>
    </format>
    <format dxfId="137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136">
      <pivotArea collapsedLevelsAreSubtotals="1" fieldPosition="0">
        <references count="1">
          <reference field="5" count="1">
            <x v="6"/>
          </reference>
        </references>
      </pivotArea>
    </format>
    <format dxfId="135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134">
      <pivotArea collapsedLevelsAreSubtotals="1" fieldPosition="0">
        <references count="1">
          <reference field="5" count="1">
            <x v="7"/>
          </reference>
        </references>
      </pivotArea>
    </format>
    <format dxfId="133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132">
      <pivotArea collapsedLevelsAreSubtotals="1" fieldPosition="0">
        <references count="1">
          <reference field="5" count="1">
            <x v="8"/>
          </reference>
        </references>
      </pivotArea>
    </format>
    <format dxfId="131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130">
      <pivotArea collapsedLevelsAreSubtotals="1" fieldPosition="0">
        <references count="1">
          <reference field="5" count="1">
            <x v="9"/>
          </reference>
        </references>
      </pivotArea>
    </format>
    <format dxfId="129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128">
      <pivotArea collapsedLevelsAreSubtotals="1" fieldPosition="0">
        <references count="1">
          <reference field="5" count="1">
            <x v="10"/>
          </reference>
        </references>
      </pivotArea>
    </format>
    <format dxfId="127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126">
      <pivotArea collapsedLevelsAreSubtotals="1" fieldPosition="0">
        <references count="1">
          <reference field="5" count="1">
            <x v="11"/>
          </reference>
        </references>
      </pivotArea>
    </format>
    <format dxfId="125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124">
      <pivotArea collapsedLevelsAreSubtotals="1" fieldPosition="0">
        <references count="1">
          <reference field="5" count="1">
            <x v="12"/>
          </reference>
        </references>
      </pivotArea>
    </format>
    <format dxfId="123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122">
      <pivotArea collapsedLevelsAreSubtotals="1" fieldPosition="0">
        <references count="1">
          <reference field="5" count="1">
            <x v="13"/>
          </reference>
        </references>
      </pivotArea>
    </format>
    <format dxfId="121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120">
      <pivotArea collapsedLevelsAreSubtotals="1" fieldPosition="0">
        <references count="1">
          <reference field="5" count="1">
            <x v="14"/>
          </reference>
        </references>
      </pivotArea>
    </format>
    <format dxfId="119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118">
      <pivotArea collapsedLevelsAreSubtotals="1" fieldPosition="0">
        <references count="1">
          <reference field="5" count="1">
            <x v="15"/>
          </reference>
        </references>
      </pivotArea>
    </format>
    <format dxfId="117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116">
      <pivotArea collapsedLevelsAreSubtotals="1" fieldPosition="0">
        <references count="1">
          <reference field="5" count="1">
            <x v="16"/>
          </reference>
        </references>
      </pivotArea>
    </format>
    <format dxfId="115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114">
      <pivotArea collapsedLevelsAreSubtotals="1" fieldPosition="0">
        <references count="1">
          <reference field="5" count="1">
            <x v="17"/>
          </reference>
        </references>
      </pivotArea>
    </format>
    <format dxfId="113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112">
      <pivotArea collapsedLevelsAreSubtotals="1" fieldPosition="0">
        <references count="1">
          <reference field="5" count="1">
            <x v="7"/>
          </reference>
        </references>
      </pivotArea>
    </format>
    <format dxfId="111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110">
      <pivotArea collapsedLevelsAreSubtotals="1" fieldPosition="0">
        <references count="1">
          <reference field="5" count="1">
            <x v="8"/>
          </reference>
        </references>
      </pivotArea>
    </format>
    <format dxfId="109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108">
      <pivotArea collapsedLevelsAreSubtotals="1" fieldPosition="0">
        <references count="1">
          <reference field="5" count="1">
            <x v="9"/>
          </reference>
        </references>
      </pivotArea>
    </format>
    <format dxfId="107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106">
      <pivotArea collapsedLevelsAreSubtotals="1" fieldPosition="0">
        <references count="1">
          <reference field="5" count="1">
            <x v="10"/>
          </reference>
        </references>
      </pivotArea>
    </format>
    <format dxfId="105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104">
      <pivotArea collapsedLevelsAreSubtotals="1" fieldPosition="0">
        <references count="1">
          <reference field="5" count="1">
            <x v="11"/>
          </reference>
        </references>
      </pivotArea>
    </format>
    <format dxfId="103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102">
      <pivotArea collapsedLevelsAreSubtotals="1" fieldPosition="0">
        <references count="1">
          <reference field="5" count="1">
            <x v="12"/>
          </reference>
        </references>
      </pivotArea>
    </format>
    <format dxfId="101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100">
      <pivotArea collapsedLevelsAreSubtotals="1" fieldPosition="0">
        <references count="1">
          <reference field="5" count="1">
            <x v="13"/>
          </reference>
        </references>
      </pivotArea>
    </format>
    <format dxfId="99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98">
      <pivotArea collapsedLevelsAreSubtotals="1" fieldPosition="0">
        <references count="1">
          <reference field="5" count="1">
            <x v="14"/>
          </reference>
        </references>
      </pivotArea>
    </format>
    <format dxfId="97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96">
      <pivotArea collapsedLevelsAreSubtotals="1" fieldPosition="0">
        <references count="1">
          <reference field="5" count="1">
            <x v="15"/>
          </reference>
        </references>
      </pivotArea>
    </format>
    <format dxfId="95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94">
      <pivotArea collapsedLevelsAreSubtotals="1" fieldPosition="0">
        <references count="1">
          <reference field="5" count="1">
            <x v="16"/>
          </reference>
        </references>
      </pivotArea>
    </format>
    <format dxfId="93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92">
      <pivotArea collapsedLevelsAreSubtotals="1" fieldPosition="0">
        <references count="1">
          <reference field="5" count="1">
            <x v="17"/>
          </reference>
        </references>
      </pivotArea>
    </format>
    <format dxfId="91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90">
      <pivotArea collapsedLevelsAreSubtotals="1" fieldPosition="0">
        <references count="1">
          <reference field="5" count="1">
            <x v="7"/>
          </reference>
        </references>
      </pivotArea>
    </format>
    <format dxfId="89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88">
      <pivotArea collapsedLevelsAreSubtotals="1" fieldPosition="0">
        <references count="1">
          <reference field="5" count="1">
            <x v="8"/>
          </reference>
        </references>
      </pivotArea>
    </format>
    <format dxfId="87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86">
      <pivotArea collapsedLevelsAreSubtotals="1" fieldPosition="0">
        <references count="1">
          <reference field="5" count="1">
            <x v="9"/>
          </reference>
        </references>
      </pivotArea>
    </format>
    <format dxfId="85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84">
      <pivotArea collapsedLevelsAreSubtotals="1" fieldPosition="0">
        <references count="1">
          <reference field="5" count="1">
            <x v="10"/>
          </reference>
        </references>
      </pivotArea>
    </format>
    <format dxfId="83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82">
      <pivotArea collapsedLevelsAreSubtotals="1" fieldPosition="0">
        <references count="1">
          <reference field="5" count="1">
            <x v="11"/>
          </reference>
        </references>
      </pivotArea>
    </format>
    <format dxfId="81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80">
      <pivotArea collapsedLevelsAreSubtotals="1" fieldPosition="0">
        <references count="1">
          <reference field="5" count="1">
            <x v="12"/>
          </reference>
        </references>
      </pivotArea>
    </format>
    <format dxfId="79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78">
      <pivotArea collapsedLevelsAreSubtotals="1" fieldPosition="0">
        <references count="1">
          <reference field="5" count="1">
            <x v="13"/>
          </reference>
        </references>
      </pivotArea>
    </format>
    <format dxfId="77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76">
      <pivotArea collapsedLevelsAreSubtotals="1" fieldPosition="0">
        <references count="1">
          <reference field="5" count="1">
            <x v="14"/>
          </reference>
        </references>
      </pivotArea>
    </format>
    <format dxfId="75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74">
      <pivotArea collapsedLevelsAreSubtotals="1" fieldPosition="0">
        <references count="1">
          <reference field="5" count="1">
            <x v="15"/>
          </reference>
        </references>
      </pivotArea>
    </format>
    <format dxfId="73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72">
      <pivotArea collapsedLevelsAreSubtotals="1" fieldPosition="0">
        <references count="1">
          <reference field="5" count="1">
            <x v="16"/>
          </reference>
        </references>
      </pivotArea>
    </format>
    <format dxfId="71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70">
      <pivotArea collapsedLevelsAreSubtotals="1" fieldPosition="0">
        <references count="1">
          <reference field="5" count="1">
            <x v="17"/>
          </reference>
        </references>
      </pivotArea>
    </format>
    <format dxfId="69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68">
      <pivotArea collapsedLevelsAreSubtotals="1" fieldPosition="0">
        <references count="1">
          <reference field="5" count="1">
            <x v="18"/>
          </reference>
        </references>
      </pivotArea>
    </format>
    <format dxfId="67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66">
      <pivotArea collapsedLevelsAreSubtotals="1" fieldPosition="0">
        <references count="1">
          <reference field="5" count="1">
            <x v="19"/>
          </reference>
        </references>
      </pivotArea>
    </format>
    <format dxfId="65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64">
      <pivotArea collapsedLevelsAreSubtotals="1" fieldPosition="0">
        <references count="1">
          <reference field="5" count="1">
            <x v="18"/>
          </reference>
        </references>
      </pivotArea>
    </format>
    <format dxfId="63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62">
      <pivotArea collapsedLevelsAreSubtotals="1" fieldPosition="0">
        <references count="1">
          <reference field="5" count="1">
            <x v="19"/>
          </reference>
        </references>
      </pivotArea>
    </format>
    <format dxfId="61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60">
      <pivotArea collapsedLevelsAreSubtotals="1" fieldPosition="0">
        <references count="1">
          <reference field="5" count="1">
            <x v="18"/>
          </reference>
        </references>
      </pivotArea>
    </format>
    <format dxfId="59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58">
      <pivotArea collapsedLevelsAreSubtotals="1" fieldPosition="0">
        <references count="1">
          <reference field="5" count="1">
            <x v="19"/>
          </reference>
        </references>
      </pivotArea>
    </format>
    <format dxfId="57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outline="0" fieldPosition="0">
        <references count="1">
          <reference field="4294967294" count="1">
            <x v="0"/>
          </reference>
        </references>
      </pivotArea>
    </format>
    <format dxfId="54">
      <pivotArea outline="0" fieldPosition="0">
        <references count="1">
          <reference field="4294967294" count="1">
            <x v="1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ivotTable" Target="../pivotTables/pivotTable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G21" sqref="G21"/>
    </sheetView>
  </sheetViews>
  <sheetFormatPr defaultRowHeight="14.4" x14ac:dyDescent="0.3"/>
  <cols>
    <col min="1" max="1" width="4.44140625" customWidth="1"/>
    <col min="2" max="2" width="50.5546875" bestFit="1" customWidth="1"/>
    <col min="3" max="4" width="16" bestFit="1" customWidth="1"/>
    <col min="5" max="5" width="13.5546875" bestFit="1" customWidth="1"/>
    <col min="6" max="6" width="11.5546875" bestFit="1" customWidth="1"/>
  </cols>
  <sheetData>
    <row r="1" spans="1:6" x14ac:dyDescent="0.3">
      <c r="A1" s="469" t="s">
        <v>127</v>
      </c>
      <c r="B1" s="470"/>
      <c r="C1" s="470"/>
      <c r="D1" s="470"/>
      <c r="E1" s="470"/>
    </row>
    <row r="2" spans="1:6" x14ac:dyDescent="0.3">
      <c r="A2" s="469" t="s">
        <v>129</v>
      </c>
      <c r="B2" s="470"/>
      <c r="C2" s="470"/>
      <c r="D2" s="470"/>
      <c r="E2" s="470"/>
    </row>
    <row r="3" spans="1:6" x14ac:dyDescent="0.3">
      <c r="A3" s="469" t="s">
        <v>130</v>
      </c>
      <c r="B3" s="470"/>
      <c r="C3" s="470"/>
      <c r="D3" s="470"/>
      <c r="E3" s="470"/>
    </row>
    <row r="4" spans="1:6" x14ac:dyDescent="0.3">
      <c r="A4" s="469"/>
      <c r="B4" s="470"/>
      <c r="C4" s="470"/>
      <c r="D4" s="470"/>
      <c r="E4" s="470"/>
    </row>
    <row r="5" spans="1:6" x14ac:dyDescent="0.3">
      <c r="A5" s="471" t="s">
        <v>131</v>
      </c>
      <c r="B5" s="470"/>
      <c r="C5" s="470"/>
      <c r="D5" s="496" t="s">
        <v>1971</v>
      </c>
      <c r="E5" s="470"/>
    </row>
    <row r="6" spans="1:6" x14ac:dyDescent="0.3">
      <c r="A6" s="470"/>
      <c r="B6" s="470"/>
      <c r="C6" s="470"/>
      <c r="D6" s="496" t="s">
        <v>12</v>
      </c>
      <c r="E6" s="470"/>
    </row>
    <row r="7" spans="1:6" x14ac:dyDescent="0.3">
      <c r="A7" s="472" t="s">
        <v>132</v>
      </c>
      <c r="B7" s="472" t="s">
        <v>133</v>
      </c>
      <c r="C7" s="472">
        <v>2022</v>
      </c>
      <c r="D7" s="472">
        <v>2023</v>
      </c>
    </row>
    <row r="8" spans="1:6" x14ac:dyDescent="0.3">
      <c r="A8" s="470"/>
      <c r="B8" s="470"/>
      <c r="C8" s="470"/>
      <c r="D8" s="470"/>
    </row>
    <row r="9" spans="1:6" x14ac:dyDescent="0.3">
      <c r="A9" s="473">
        <v>9</v>
      </c>
      <c r="B9" s="470" t="s">
        <v>67</v>
      </c>
      <c r="C9" s="474">
        <v>2.6200000000000001E-2</v>
      </c>
      <c r="D9" s="474">
        <f>'Rev Req Comparison'!C31</f>
        <v>2.5499999999999998E-2</v>
      </c>
    </row>
    <row r="10" spans="1:6" x14ac:dyDescent="0.3">
      <c r="A10" s="473">
        <v>10</v>
      </c>
      <c r="B10" s="470" t="s">
        <v>68</v>
      </c>
      <c r="C10" s="474">
        <v>7.2300000000000003E-2</v>
      </c>
      <c r="D10" s="474">
        <f>'Rev Req Comparison'!C32</f>
        <v>7.1599999999999997E-2</v>
      </c>
    </row>
    <row r="11" spans="1:6" x14ac:dyDescent="0.3">
      <c r="A11" s="473">
        <v>11</v>
      </c>
      <c r="B11" s="470" t="s">
        <v>69</v>
      </c>
      <c r="C11" s="474">
        <v>0.21</v>
      </c>
      <c r="D11" s="474">
        <f>'Rev Req Comparison'!C33</f>
        <v>0.21</v>
      </c>
    </row>
    <row r="12" spans="1:6" x14ac:dyDescent="0.3">
      <c r="A12" s="473">
        <v>12</v>
      </c>
      <c r="B12" s="470" t="s">
        <v>70</v>
      </c>
      <c r="C12" s="474">
        <v>0.752355</v>
      </c>
      <c r="D12" s="474">
        <f>'Rev Req Comparison'!C34</f>
        <v>0.752355</v>
      </c>
    </row>
    <row r="13" spans="1:6" x14ac:dyDescent="0.3">
      <c r="A13" s="473">
        <v>13</v>
      </c>
      <c r="B13" s="470" t="s">
        <v>109</v>
      </c>
      <c r="C13" s="497">
        <v>466843558.72516948</v>
      </c>
      <c r="D13" s="497">
        <f>'Rev Req Comparison'!L14</f>
        <v>673825899.6063031</v>
      </c>
      <c r="E13" s="497"/>
      <c r="F13" s="255"/>
    </row>
    <row r="14" spans="1:6" x14ac:dyDescent="0.3">
      <c r="A14" s="473">
        <v>14</v>
      </c>
      <c r="B14" s="470"/>
      <c r="C14" s="475"/>
      <c r="D14" s="475"/>
    </row>
    <row r="15" spans="1:6" x14ac:dyDescent="0.3">
      <c r="A15" s="473">
        <v>15</v>
      </c>
      <c r="B15" s="470" t="s">
        <v>134</v>
      </c>
      <c r="C15" s="475">
        <v>-7056541.818855999</v>
      </c>
      <c r="D15" s="475">
        <f>'Rev Req Comparison'!L17+'Rev Req Comparison'!L19</f>
        <v>-29893757.666683979</v>
      </c>
    </row>
    <row r="16" spans="1:6" x14ac:dyDescent="0.3">
      <c r="A16" s="473">
        <v>16</v>
      </c>
      <c r="B16" s="470" t="s">
        <v>135</v>
      </c>
      <c r="C16" s="476">
        <v>1731154.2774910009</v>
      </c>
      <c r="D16" s="476">
        <f>'Rev Req Comparison'!L18+'Rev Req Comparison'!L20</f>
        <v>6178674.5094035594</v>
      </c>
    </row>
    <row r="17" spans="1:4" x14ac:dyDescent="0.3">
      <c r="A17" s="473">
        <v>17</v>
      </c>
      <c r="B17" s="470" t="s">
        <v>136</v>
      </c>
      <c r="C17" s="477">
        <f>SUM(C15:C16)</f>
        <v>-5325387.5413649976</v>
      </c>
      <c r="D17" s="477">
        <f t="shared" ref="D17" si="0">SUM(D15:D16)</f>
        <v>-23715083.157280419</v>
      </c>
    </row>
    <row r="18" spans="1:4" x14ac:dyDescent="0.3">
      <c r="A18" s="473">
        <v>18</v>
      </c>
      <c r="B18" s="470" t="s">
        <v>137</v>
      </c>
      <c r="C18" s="476">
        <f>C13*C9*C11</f>
        <v>2568573.2601058823</v>
      </c>
      <c r="D18" s="476">
        <f t="shared" ref="D18" si="1">D13*D9*D11</f>
        <v>3608337.6923917532</v>
      </c>
    </row>
    <row r="19" spans="1:4" x14ac:dyDescent="0.3">
      <c r="A19" s="473">
        <v>19</v>
      </c>
      <c r="B19" s="470" t="s">
        <v>138</v>
      </c>
      <c r="C19" s="477">
        <f>SUM(C17:C18)</f>
        <v>-2756814.2812591153</v>
      </c>
      <c r="D19" s="477">
        <f t="shared" ref="D19" si="2">SUM(D17:D18)</f>
        <v>-20106745.464888666</v>
      </c>
    </row>
    <row r="20" spans="1:4" x14ac:dyDescent="0.3">
      <c r="A20" s="473">
        <v>20</v>
      </c>
      <c r="B20" s="470" t="s">
        <v>139</v>
      </c>
      <c r="C20" s="476">
        <f>C13*C10</f>
        <v>33752789.295829758</v>
      </c>
      <c r="D20" s="476">
        <f t="shared" ref="D20" si="3">D13*D10</f>
        <v>48245934.4118113</v>
      </c>
    </row>
    <row r="21" spans="1:4" x14ac:dyDescent="0.3">
      <c r="A21" s="473">
        <v>21</v>
      </c>
      <c r="B21" s="470" t="s">
        <v>65</v>
      </c>
      <c r="C21" s="478">
        <f>C20-C19</f>
        <v>36509603.57708887</v>
      </c>
      <c r="D21" s="478">
        <f t="shared" ref="D21" si="4">D20-D19</f>
        <v>68352679.876699969</v>
      </c>
    </row>
    <row r="22" spans="1:4" ht="15" thickBot="1" x14ac:dyDescent="0.35">
      <c r="A22" s="473">
        <v>22</v>
      </c>
      <c r="B22" s="470" t="s">
        <v>140</v>
      </c>
      <c r="C22" s="479">
        <f>C21/C12</f>
        <v>48527096.353568286</v>
      </c>
      <c r="D22" s="479">
        <f t="shared" ref="D22" si="5">D21/D12</f>
        <v>90851632.376604095</v>
      </c>
    </row>
    <row r="23" spans="1:4" ht="15" thickTop="1" x14ac:dyDescent="0.3">
      <c r="A23" s="473">
        <v>23</v>
      </c>
      <c r="B23" s="470" t="s">
        <v>1959</v>
      </c>
      <c r="C23" s="475">
        <f>C22</f>
        <v>48527096.353568286</v>
      </c>
      <c r="D23" s="475">
        <f>C22</f>
        <v>48527096.353568286</v>
      </c>
    </row>
    <row r="24" spans="1:4" x14ac:dyDescent="0.3">
      <c r="A24" s="473">
        <v>24</v>
      </c>
      <c r="B24" s="470"/>
      <c r="C24" s="480"/>
      <c r="D24" s="480"/>
    </row>
    <row r="25" spans="1:4" ht="15" thickBot="1" x14ac:dyDescent="0.35">
      <c r="A25" s="473">
        <v>25</v>
      </c>
      <c r="B25" s="470" t="s">
        <v>1961</v>
      </c>
      <c r="C25" s="481">
        <f>C22-C23</f>
        <v>0</v>
      </c>
      <c r="D25" s="483">
        <f>D22-D23</f>
        <v>42324536.023035809</v>
      </c>
    </row>
    <row r="26" spans="1:4" ht="15" thickTop="1" x14ac:dyDescent="0.3">
      <c r="A26" s="473">
        <v>26</v>
      </c>
      <c r="B26" s="470" t="s">
        <v>1960</v>
      </c>
      <c r="D26" s="482">
        <f>'Rev Req Comparison'!C29-'Elec Rev Req for COS'!C23-'Elec Rev Req for COS'!D25-'Rev Req Comparison'!G29</f>
        <v>6.9849193096160889E-9</v>
      </c>
    </row>
    <row r="27" spans="1:4" x14ac:dyDescent="0.3">
      <c r="A27" s="473">
        <v>27</v>
      </c>
    </row>
    <row r="28" spans="1:4" x14ac:dyDescent="0.3">
      <c r="A28" s="473">
        <v>28</v>
      </c>
      <c r="B28" s="498" t="s">
        <v>1972</v>
      </c>
      <c r="C28" s="499"/>
      <c r="D28" s="499"/>
    </row>
    <row r="29" spans="1:4" x14ac:dyDescent="0.3">
      <c r="A29" s="473">
        <v>29</v>
      </c>
      <c r="B29" s="498" t="s">
        <v>1973</v>
      </c>
      <c r="C29" s="499"/>
      <c r="D29" s="500">
        <f>'SEF-23'!D28-D25</f>
        <v>858126.39986994863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5" sqref="B25"/>
    </sheetView>
  </sheetViews>
  <sheetFormatPr defaultRowHeight="14.4" x14ac:dyDescent="0.3"/>
  <cols>
    <col min="1" max="1" width="4.5546875" customWidth="1"/>
    <col min="2" max="2" width="50.5546875" bestFit="1" customWidth="1"/>
    <col min="3" max="4" width="13.109375" bestFit="1" customWidth="1"/>
  </cols>
  <sheetData>
    <row r="1" spans="1:4" x14ac:dyDescent="0.3">
      <c r="A1" s="469" t="s">
        <v>127</v>
      </c>
      <c r="B1" s="470"/>
      <c r="C1" s="470"/>
      <c r="D1" s="470"/>
    </row>
    <row r="2" spans="1:4" x14ac:dyDescent="0.3">
      <c r="A2" s="469" t="s">
        <v>129</v>
      </c>
      <c r="B2" s="470"/>
      <c r="C2" s="470"/>
      <c r="D2" s="470"/>
    </row>
    <row r="3" spans="1:4" x14ac:dyDescent="0.3">
      <c r="A3" s="469" t="s">
        <v>130</v>
      </c>
      <c r="B3" s="470"/>
      <c r="C3" s="470"/>
      <c r="D3" s="470"/>
    </row>
    <row r="4" spans="1:4" x14ac:dyDescent="0.3">
      <c r="A4" s="469"/>
      <c r="B4" s="470"/>
      <c r="C4" s="470"/>
      <c r="D4" s="470"/>
    </row>
    <row r="5" spans="1:4" x14ac:dyDescent="0.3">
      <c r="A5" s="471" t="s">
        <v>143</v>
      </c>
      <c r="B5" s="470"/>
      <c r="C5" s="470"/>
      <c r="D5" s="470"/>
    </row>
    <row r="6" spans="1:4" x14ac:dyDescent="0.3">
      <c r="A6" s="470"/>
      <c r="B6" s="470"/>
      <c r="C6" s="470"/>
      <c r="D6" s="470"/>
    </row>
    <row r="7" spans="1:4" x14ac:dyDescent="0.3">
      <c r="A7" s="472" t="s">
        <v>132</v>
      </c>
      <c r="B7" s="472" t="s">
        <v>133</v>
      </c>
      <c r="C7" s="472">
        <v>2022</v>
      </c>
      <c r="D7" s="472">
        <v>2023</v>
      </c>
    </row>
    <row r="8" spans="1:4" x14ac:dyDescent="0.3">
      <c r="A8" s="470"/>
      <c r="B8" s="470"/>
      <c r="C8" s="470"/>
      <c r="D8" s="470"/>
    </row>
    <row r="9" spans="1:4" x14ac:dyDescent="0.3">
      <c r="A9" s="473">
        <v>9</v>
      </c>
      <c r="B9" s="470" t="s">
        <v>67</v>
      </c>
      <c r="C9" s="484">
        <v>2.6200000000000001E-2</v>
      </c>
      <c r="D9" s="484">
        <f>'Rev Req Comparison'!R31</f>
        <v>2.5499999999999998E-2</v>
      </c>
    </row>
    <row r="10" spans="1:4" x14ac:dyDescent="0.3">
      <c r="A10" s="473">
        <v>10</v>
      </c>
      <c r="B10" s="470" t="s">
        <v>68</v>
      </c>
      <c r="C10" s="484">
        <v>7.2300000000000003E-2</v>
      </c>
      <c r="D10" s="484">
        <f>'Rev Req Comparison'!R32</f>
        <v>7.1599999999999997E-2</v>
      </c>
    </row>
    <row r="11" spans="1:4" x14ac:dyDescent="0.3">
      <c r="A11" s="473">
        <v>11</v>
      </c>
      <c r="B11" s="470" t="s">
        <v>69</v>
      </c>
      <c r="C11" s="484">
        <v>0.21</v>
      </c>
      <c r="D11" s="484">
        <f>'Rev Req Comparison'!R33</f>
        <v>0.21</v>
      </c>
    </row>
    <row r="12" spans="1:4" x14ac:dyDescent="0.3">
      <c r="A12" s="473">
        <v>12</v>
      </c>
      <c r="B12" s="470" t="s">
        <v>70</v>
      </c>
      <c r="C12" s="484">
        <v>0.75480100000000006</v>
      </c>
      <c r="D12" s="484">
        <f>'Rev Req Comparison'!R34</f>
        <v>0.75480100000000006</v>
      </c>
    </row>
    <row r="13" spans="1:4" x14ac:dyDescent="0.3">
      <c r="A13" s="473">
        <v>13</v>
      </c>
      <c r="B13" s="470" t="s">
        <v>109</v>
      </c>
      <c r="C13" s="485">
        <v>263916344.05486456</v>
      </c>
      <c r="D13" s="485">
        <f>'Rev Req Comparison'!R14</f>
        <v>334493403.3409487</v>
      </c>
    </row>
    <row r="14" spans="1:4" x14ac:dyDescent="0.3">
      <c r="A14" s="473">
        <v>14</v>
      </c>
      <c r="B14" s="470"/>
      <c r="C14" s="485"/>
      <c r="D14" s="486"/>
    </row>
    <row r="15" spans="1:4" x14ac:dyDescent="0.3">
      <c r="A15" s="473">
        <v>15</v>
      </c>
      <c r="B15" s="470" t="s">
        <v>134</v>
      </c>
      <c r="C15" s="485">
        <v>-4562846.2311439998</v>
      </c>
      <c r="D15" s="485">
        <f>'Rev Req Comparison'!R17+'Rev Req Comparison'!R19</f>
        <v>-15825245.001215998</v>
      </c>
    </row>
    <row r="16" spans="1:4" x14ac:dyDescent="0.3">
      <c r="A16" s="473">
        <v>16</v>
      </c>
      <c r="B16" s="470" t="s">
        <v>135</v>
      </c>
      <c r="C16" s="476">
        <v>1296670.5468090023</v>
      </c>
      <c r="D16" s="476">
        <f>'Rev Req Comparison'!R18+'Rev Req Comparison'!R20</f>
        <v>3645192.0389554403</v>
      </c>
    </row>
    <row r="17" spans="1:4" x14ac:dyDescent="0.3">
      <c r="A17" s="473">
        <v>17</v>
      </c>
      <c r="B17" s="470" t="s">
        <v>136</v>
      </c>
      <c r="C17" s="477">
        <f>SUM(C15:C16)</f>
        <v>-3266175.6843349976</v>
      </c>
      <c r="D17" s="477">
        <f t="shared" ref="D17" si="0">SUM(D15:D16)</f>
        <v>-12180052.962260557</v>
      </c>
    </row>
    <row r="18" spans="1:4" x14ac:dyDescent="0.3">
      <c r="A18" s="473">
        <v>18</v>
      </c>
      <c r="B18" s="470" t="s">
        <v>137</v>
      </c>
      <c r="C18" s="476">
        <f>C13*C9*C11</f>
        <v>1452067.7249898647</v>
      </c>
      <c r="D18" s="476">
        <f t="shared" ref="D18" si="1">D13*D9*D11</f>
        <v>1791212.1748907804</v>
      </c>
    </row>
    <row r="19" spans="1:4" x14ac:dyDescent="0.3">
      <c r="A19" s="473">
        <v>19</v>
      </c>
      <c r="B19" s="470" t="s">
        <v>138</v>
      </c>
      <c r="C19" s="477">
        <f>SUM(C17:C18)</f>
        <v>-1814107.9593451328</v>
      </c>
      <c r="D19" s="477">
        <f t="shared" ref="D19" si="2">SUM(D17:D18)</f>
        <v>-10388840.787369777</v>
      </c>
    </row>
    <row r="20" spans="1:4" x14ac:dyDescent="0.3">
      <c r="A20" s="473">
        <v>20</v>
      </c>
      <c r="B20" s="470" t="s">
        <v>139</v>
      </c>
      <c r="C20" s="476">
        <f>C13*C10</f>
        <v>19081151.675166707</v>
      </c>
      <c r="D20" s="476">
        <f t="shared" ref="D20" si="3">D13*D10</f>
        <v>23949727.679211926</v>
      </c>
    </row>
    <row r="21" spans="1:4" x14ac:dyDescent="0.3">
      <c r="A21" s="473">
        <v>21</v>
      </c>
      <c r="B21" s="470" t="s">
        <v>65</v>
      </c>
      <c r="C21" s="478">
        <f>C20-C19</f>
        <v>20895259.63451184</v>
      </c>
      <c r="D21" s="478">
        <f t="shared" ref="D21" si="4">D20-D19</f>
        <v>34338568.466581702</v>
      </c>
    </row>
    <row r="22" spans="1:4" x14ac:dyDescent="0.3">
      <c r="A22" s="473">
        <v>22</v>
      </c>
      <c r="B22" s="470" t="s">
        <v>140</v>
      </c>
      <c r="C22" s="487">
        <f>C21/C12</f>
        <v>27683137.190480456</v>
      </c>
      <c r="D22" s="487">
        <f t="shared" ref="D22" si="5">D21/D12</f>
        <v>45493538.650030538</v>
      </c>
    </row>
    <row r="23" spans="1:4" x14ac:dyDescent="0.3">
      <c r="A23" s="473">
        <v>23</v>
      </c>
      <c r="B23" s="470" t="s">
        <v>1959</v>
      </c>
      <c r="C23" s="475">
        <f>C22</f>
        <v>27683137.190480456</v>
      </c>
      <c r="D23" s="475">
        <f>C22</f>
        <v>27683137.190480456</v>
      </c>
    </row>
    <row r="24" spans="1:4" x14ac:dyDescent="0.3">
      <c r="A24" s="473">
        <v>24</v>
      </c>
      <c r="B24" s="470"/>
      <c r="C24" s="480"/>
      <c r="D24" s="480"/>
    </row>
    <row r="25" spans="1:4" ht="15" thickBot="1" x14ac:dyDescent="0.35">
      <c r="A25" s="473">
        <v>25</v>
      </c>
      <c r="B25" s="470" t="s">
        <v>1961</v>
      </c>
      <c r="C25" s="481">
        <f>C22-C23</f>
        <v>0</v>
      </c>
      <c r="D25" s="483">
        <f>D22-D23</f>
        <v>17810401.459550083</v>
      </c>
    </row>
    <row r="26" spans="1:4" ht="15" thickTop="1" x14ac:dyDescent="0.3">
      <c r="A26" s="473">
        <v>26</v>
      </c>
      <c r="B26" s="470" t="s">
        <v>1960</v>
      </c>
      <c r="D26" s="482">
        <f>'Rev Req Comparison'!C29-'Elec Rev Req for COS'!C23-'Elec Rev Req for COS'!D25-'Rev Req Comparison'!G29</f>
        <v>6.9849193096160889E-9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463" sqref="G463"/>
    </sheetView>
  </sheetViews>
  <sheetFormatPr defaultRowHeight="14.4" outlineLevelCol="1" x14ac:dyDescent="0.3"/>
  <cols>
    <col min="1" max="1" width="22.6640625" customWidth="1"/>
    <col min="2" max="2" width="57.44140625" bestFit="1" customWidth="1"/>
    <col min="3" max="3" width="11.5546875" bestFit="1" customWidth="1"/>
    <col min="4" max="4" width="33.33203125" customWidth="1" outlineLevel="1"/>
    <col min="5" max="5" width="29.109375" customWidth="1" outlineLevel="1"/>
    <col min="6" max="6" width="16" customWidth="1" outlineLevel="1"/>
    <col min="7" max="7" width="15.5546875" customWidth="1"/>
    <col min="8" max="8" width="20" bestFit="1" customWidth="1"/>
    <col min="9" max="10" width="20" customWidth="1"/>
    <col min="11" max="11" width="118" bestFit="1" customWidth="1"/>
    <col min="12" max="12" width="15.33203125" bestFit="1" customWidth="1"/>
    <col min="13" max="13" width="13.33203125" bestFit="1" customWidth="1"/>
    <col min="14" max="14" width="11.5546875" bestFit="1" customWidth="1"/>
  </cols>
  <sheetData>
    <row r="1" spans="1:11" ht="16.8" thickTop="1" thickBot="1" x14ac:dyDescent="0.35">
      <c r="A1" s="45" t="s">
        <v>177</v>
      </c>
      <c r="H1" s="261">
        <f>SUM(H5:H453)</f>
        <v>-971065030.87267447</v>
      </c>
      <c r="I1" s="261">
        <f>SUM(I5:I453)</f>
        <v>-870765290.61102188</v>
      </c>
      <c r="J1" s="261">
        <f>SUM(J5:J453)</f>
        <v>-100299740.26165281</v>
      </c>
    </row>
    <row r="2" spans="1:11" ht="16.2" thickTop="1" x14ac:dyDescent="0.3">
      <c r="A2" s="45" t="s">
        <v>1597</v>
      </c>
      <c r="H2" s="215"/>
      <c r="J2" s="218" t="s">
        <v>178</v>
      </c>
    </row>
    <row r="3" spans="1:11" x14ac:dyDescent="0.3">
      <c r="A3" s="493" t="s">
        <v>1970</v>
      </c>
      <c r="J3" s="218" t="s">
        <v>179</v>
      </c>
    </row>
    <row r="4" spans="1:11" ht="28.8" x14ac:dyDescent="0.3">
      <c r="A4" s="219" t="s">
        <v>180</v>
      </c>
      <c r="B4" s="219" t="s">
        <v>181</v>
      </c>
      <c r="C4" s="219" t="s">
        <v>804</v>
      </c>
      <c r="D4" s="219" t="s">
        <v>816</v>
      </c>
      <c r="E4" s="219" t="s">
        <v>39</v>
      </c>
      <c r="F4" s="219" t="s">
        <v>824</v>
      </c>
      <c r="G4" s="219" t="s">
        <v>182</v>
      </c>
      <c r="H4" s="220" t="s">
        <v>1141</v>
      </c>
      <c r="I4" s="220" t="s">
        <v>183</v>
      </c>
      <c r="J4" s="219" t="s">
        <v>184</v>
      </c>
      <c r="K4" s="219" t="s">
        <v>185</v>
      </c>
    </row>
    <row r="5" spans="1:11" x14ac:dyDescent="0.3">
      <c r="A5" s="2" t="s">
        <v>187</v>
      </c>
      <c r="B5" s="2" t="s">
        <v>874</v>
      </c>
      <c r="C5" s="2" t="s">
        <v>807</v>
      </c>
      <c r="D5" s="2"/>
      <c r="E5" s="2"/>
      <c r="F5" s="249"/>
      <c r="G5" s="2" t="s">
        <v>171</v>
      </c>
      <c r="H5" s="259">
        <v>-1136.8900000000001</v>
      </c>
      <c r="I5" s="260">
        <v>0</v>
      </c>
      <c r="J5" s="259">
        <f>H5-I5</f>
        <v>-1136.8900000000001</v>
      </c>
    </row>
    <row r="6" spans="1:11" x14ac:dyDescent="0.3">
      <c r="A6" s="2" t="s">
        <v>875</v>
      </c>
      <c r="B6" s="2" t="s">
        <v>876</v>
      </c>
      <c r="C6" s="2" t="s">
        <v>807</v>
      </c>
      <c r="D6" s="2"/>
      <c r="E6" s="2"/>
      <c r="F6" s="249"/>
      <c r="G6" s="248" t="s">
        <v>171</v>
      </c>
      <c r="H6" s="7">
        <v>-3137460.19</v>
      </c>
      <c r="I6" s="221">
        <v>0</v>
      </c>
      <c r="J6" s="3">
        <f t="shared" ref="J6:J69" si="0">H6-I6</f>
        <v>-3137460.19</v>
      </c>
    </row>
    <row r="7" spans="1:11" x14ac:dyDescent="0.3">
      <c r="A7" s="2" t="s">
        <v>877</v>
      </c>
      <c r="B7" s="2" t="s">
        <v>878</v>
      </c>
      <c r="C7" s="2" t="s">
        <v>807</v>
      </c>
      <c r="D7" s="2"/>
      <c r="E7" s="2"/>
      <c r="F7" s="249"/>
      <c r="G7" s="2" t="s">
        <v>171</v>
      </c>
      <c r="H7" s="7">
        <v>-1454822.02</v>
      </c>
      <c r="I7" s="221">
        <v>0</v>
      </c>
      <c r="J7" s="3">
        <f t="shared" si="0"/>
        <v>-1454822.02</v>
      </c>
    </row>
    <row r="8" spans="1:11" x14ac:dyDescent="0.3">
      <c r="A8" s="2" t="s">
        <v>189</v>
      </c>
      <c r="B8" s="2" t="s">
        <v>879</v>
      </c>
      <c r="C8" s="2" t="s">
        <v>807</v>
      </c>
      <c r="D8" s="2"/>
      <c r="E8" s="2"/>
      <c r="F8" s="249"/>
      <c r="G8" s="2" t="s">
        <v>171</v>
      </c>
      <c r="H8" s="7">
        <v>-3163.1400000000003</v>
      </c>
      <c r="I8" s="221">
        <v>0</v>
      </c>
      <c r="J8" s="3">
        <f t="shared" si="0"/>
        <v>-3163.1400000000003</v>
      </c>
    </row>
    <row r="9" spans="1:11" x14ac:dyDescent="0.3">
      <c r="A9" s="2" t="s">
        <v>190</v>
      </c>
      <c r="B9" s="2" t="s">
        <v>880</v>
      </c>
      <c r="C9" s="2" t="s">
        <v>807</v>
      </c>
      <c r="D9" s="2"/>
      <c r="E9" s="2"/>
      <c r="F9" s="249"/>
      <c r="G9" s="2" t="s">
        <v>171</v>
      </c>
      <c r="H9" s="7">
        <v>-957996.1100000001</v>
      </c>
      <c r="I9" s="221">
        <v>0</v>
      </c>
      <c r="J9" s="3">
        <f t="shared" si="0"/>
        <v>-957996.1100000001</v>
      </c>
    </row>
    <row r="10" spans="1:11" x14ac:dyDescent="0.3">
      <c r="A10" s="2" t="s">
        <v>192</v>
      </c>
      <c r="B10" s="2" t="s">
        <v>881</v>
      </c>
      <c r="C10" s="2" t="s">
        <v>807</v>
      </c>
      <c r="D10" s="2"/>
      <c r="E10" s="2"/>
      <c r="F10" s="249"/>
      <c r="G10" s="2" t="s">
        <v>171</v>
      </c>
      <c r="H10" s="7">
        <v>-299505.27</v>
      </c>
      <c r="I10" s="221">
        <v>-3000000.0000000005</v>
      </c>
      <c r="J10" s="3">
        <f t="shared" si="0"/>
        <v>2700494.7300000004</v>
      </c>
    </row>
    <row r="11" spans="1:11" x14ac:dyDescent="0.3">
      <c r="A11" s="2" t="s">
        <v>193</v>
      </c>
      <c r="B11" s="2" t="s">
        <v>194</v>
      </c>
      <c r="C11" s="2" t="s">
        <v>107</v>
      </c>
      <c r="D11" s="2"/>
      <c r="E11" s="2"/>
      <c r="F11" s="249"/>
      <c r="G11" s="2" t="s">
        <v>171</v>
      </c>
      <c r="H11" s="7">
        <v>-22263.42</v>
      </c>
      <c r="I11" s="221">
        <v>0</v>
      </c>
      <c r="J11" s="3">
        <f t="shared" si="0"/>
        <v>-22263.42</v>
      </c>
    </row>
    <row r="12" spans="1:11" x14ac:dyDescent="0.3">
      <c r="A12" s="2" t="s">
        <v>197</v>
      </c>
      <c r="B12" s="2" t="s">
        <v>198</v>
      </c>
      <c r="C12" s="2" t="s">
        <v>107</v>
      </c>
      <c r="D12" s="2"/>
      <c r="E12" s="2"/>
      <c r="F12" s="249"/>
      <c r="G12" s="2" t="s">
        <v>173</v>
      </c>
      <c r="H12" s="7">
        <v>-28851.060000000009</v>
      </c>
      <c r="I12" s="221">
        <v>-4150542.9239990781</v>
      </c>
      <c r="J12" s="3">
        <f t="shared" si="0"/>
        <v>4121691.8639990781</v>
      </c>
    </row>
    <row r="13" spans="1:11" x14ac:dyDescent="0.3">
      <c r="A13" s="2" t="s">
        <v>199</v>
      </c>
      <c r="B13" s="2" t="s">
        <v>200</v>
      </c>
      <c r="C13" s="2" t="s">
        <v>107</v>
      </c>
      <c r="D13" s="2"/>
      <c r="E13" s="2"/>
      <c r="F13" s="249"/>
      <c r="G13" s="2" t="s">
        <v>173</v>
      </c>
      <c r="H13" s="7">
        <v>-14028826.310000001</v>
      </c>
      <c r="I13" s="221">
        <v>-7015753.7989489995</v>
      </c>
      <c r="J13" s="3">
        <f t="shared" si="0"/>
        <v>-7013072.511051001</v>
      </c>
    </row>
    <row r="14" spans="1:11" x14ac:dyDescent="0.3">
      <c r="A14" s="2" t="s">
        <v>201</v>
      </c>
      <c r="B14" s="2" t="s">
        <v>202</v>
      </c>
      <c r="C14" s="2" t="s">
        <v>107</v>
      </c>
      <c r="D14" s="2"/>
      <c r="E14" s="2"/>
      <c r="F14" s="249"/>
      <c r="G14" s="2" t="s">
        <v>176</v>
      </c>
      <c r="H14" s="7">
        <v>-1679811.81</v>
      </c>
      <c r="I14" s="221">
        <v>-999999.99999999942</v>
      </c>
      <c r="J14" s="3">
        <f t="shared" si="0"/>
        <v>-679811.81000000064</v>
      </c>
    </row>
    <row r="15" spans="1:11" x14ac:dyDescent="0.3">
      <c r="A15" s="2" t="s">
        <v>203</v>
      </c>
      <c r="B15" s="2" t="s">
        <v>204</v>
      </c>
      <c r="C15" s="2" t="s">
        <v>807</v>
      </c>
      <c r="D15" s="2"/>
      <c r="E15" s="2"/>
      <c r="F15" s="249"/>
      <c r="G15" s="2" t="s">
        <v>176</v>
      </c>
      <c r="H15" s="7">
        <v>-213317.6</v>
      </c>
      <c r="I15" s="221">
        <v>-299999.99999999994</v>
      </c>
      <c r="J15" s="3">
        <f t="shared" si="0"/>
        <v>86682.399999999936</v>
      </c>
    </row>
    <row r="16" spans="1:11" x14ac:dyDescent="0.3">
      <c r="A16" s="2" t="s">
        <v>205</v>
      </c>
      <c r="B16" s="2" t="s">
        <v>206</v>
      </c>
      <c r="C16" s="2" t="s">
        <v>107</v>
      </c>
      <c r="D16" s="2" t="s">
        <v>817</v>
      </c>
      <c r="E16" s="2" t="s">
        <v>817</v>
      </c>
      <c r="F16" s="249"/>
      <c r="G16" s="2" t="s">
        <v>803</v>
      </c>
      <c r="H16" s="7">
        <v>-3338732.2712695785</v>
      </c>
      <c r="I16" s="221">
        <v>-2712513.0791971558</v>
      </c>
      <c r="J16" s="3">
        <f t="shared" si="0"/>
        <v>-626219.19207242271</v>
      </c>
    </row>
    <row r="17" spans="1:12" x14ac:dyDescent="0.3">
      <c r="A17" s="2" t="s">
        <v>207</v>
      </c>
      <c r="B17" s="2" t="s">
        <v>208</v>
      </c>
      <c r="C17" s="2" t="s">
        <v>107</v>
      </c>
      <c r="D17" s="2" t="s">
        <v>817</v>
      </c>
      <c r="E17" s="2" t="s">
        <v>817</v>
      </c>
      <c r="F17" s="249"/>
      <c r="G17" s="2" t="s">
        <v>803</v>
      </c>
      <c r="H17" s="7">
        <v>-1038901.7100000001</v>
      </c>
      <c r="I17" s="221">
        <v>-1056886.4310916138</v>
      </c>
      <c r="J17" s="3">
        <f t="shared" si="0"/>
        <v>17984.721091613756</v>
      </c>
    </row>
    <row r="18" spans="1:12" x14ac:dyDescent="0.3">
      <c r="A18" s="2" t="s">
        <v>209</v>
      </c>
      <c r="B18" s="2" t="s">
        <v>210</v>
      </c>
      <c r="C18" s="2" t="s">
        <v>807</v>
      </c>
      <c r="D18" s="2"/>
      <c r="E18" s="2"/>
      <c r="F18" s="249"/>
      <c r="G18" s="2" t="s">
        <v>171</v>
      </c>
      <c r="H18" s="7">
        <v>-730.16000000000008</v>
      </c>
      <c r="I18" s="221">
        <v>0</v>
      </c>
      <c r="J18" s="3">
        <f t="shared" si="0"/>
        <v>-730.16000000000008</v>
      </c>
    </row>
    <row r="19" spans="1:12" x14ac:dyDescent="0.3">
      <c r="A19" s="2" t="s">
        <v>213</v>
      </c>
      <c r="B19" s="2" t="s">
        <v>214</v>
      </c>
      <c r="C19" s="2" t="s">
        <v>807</v>
      </c>
      <c r="D19" s="2"/>
      <c r="E19" s="2"/>
      <c r="F19" s="249"/>
      <c r="G19" s="2" t="s">
        <v>173</v>
      </c>
      <c r="H19" s="7">
        <v>-31187.46</v>
      </c>
      <c r="I19" s="221">
        <v>0</v>
      </c>
      <c r="J19" s="3">
        <f t="shared" si="0"/>
        <v>-31187.46</v>
      </c>
    </row>
    <row r="20" spans="1:12" x14ac:dyDescent="0.3">
      <c r="A20" s="2" t="s">
        <v>215</v>
      </c>
      <c r="B20" s="2" t="s">
        <v>216</v>
      </c>
      <c r="C20" s="2" t="s">
        <v>807</v>
      </c>
      <c r="D20" s="2"/>
      <c r="E20" s="2"/>
      <c r="F20" s="249"/>
      <c r="G20" s="2" t="s">
        <v>173</v>
      </c>
      <c r="H20" s="7">
        <v>-2813318.35</v>
      </c>
      <c r="I20" s="221">
        <v>-3510776.5000000033</v>
      </c>
      <c r="J20" s="3">
        <f t="shared" si="0"/>
        <v>697458.15000000317</v>
      </c>
    </row>
    <row r="21" spans="1:12" x14ac:dyDescent="0.3">
      <c r="A21" s="2" t="s">
        <v>217</v>
      </c>
      <c r="B21" s="2" t="s">
        <v>218</v>
      </c>
      <c r="C21" s="2" t="s">
        <v>807</v>
      </c>
      <c r="D21" s="2"/>
      <c r="E21" s="2"/>
      <c r="F21" s="249"/>
      <c r="G21" s="2" t="s">
        <v>173</v>
      </c>
      <c r="H21" s="7">
        <v>2178.6799999999998</v>
      </c>
      <c r="I21" s="221">
        <v>0</v>
      </c>
      <c r="J21" s="3">
        <f t="shared" si="0"/>
        <v>2178.6799999999998</v>
      </c>
    </row>
    <row r="22" spans="1:12" x14ac:dyDescent="0.3">
      <c r="A22" s="2" t="s">
        <v>882</v>
      </c>
      <c r="B22" s="2" t="s">
        <v>883</v>
      </c>
      <c r="C22" s="2" t="s">
        <v>807</v>
      </c>
      <c r="D22" s="2"/>
      <c r="E22" s="2"/>
      <c r="F22" s="249"/>
      <c r="G22" s="2" t="s">
        <v>173</v>
      </c>
      <c r="H22" s="7">
        <v>-3262565.93</v>
      </c>
      <c r="I22" s="221">
        <v>0</v>
      </c>
      <c r="J22" s="3">
        <f t="shared" si="0"/>
        <v>-3262565.93</v>
      </c>
    </row>
    <row r="23" spans="1:12" x14ac:dyDescent="0.3">
      <c r="A23" s="2" t="s">
        <v>884</v>
      </c>
      <c r="B23" s="2" t="s">
        <v>885</v>
      </c>
      <c r="C23" s="2" t="s">
        <v>807</v>
      </c>
      <c r="D23" s="2"/>
      <c r="E23" s="2"/>
      <c r="F23" s="249"/>
      <c r="G23" s="2" t="s">
        <v>173</v>
      </c>
      <c r="H23" s="7">
        <v>-1906500.52</v>
      </c>
      <c r="I23" s="221">
        <v>-975493.83509245317</v>
      </c>
      <c r="J23" s="3">
        <f t="shared" si="0"/>
        <v>-931006.68490754685</v>
      </c>
    </row>
    <row r="24" spans="1:12" x14ac:dyDescent="0.3">
      <c r="A24" s="2" t="s">
        <v>219</v>
      </c>
      <c r="B24" s="2" t="s">
        <v>220</v>
      </c>
      <c r="C24" s="2" t="s">
        <v>107</v>
      </c>
      <c r="D24" s="2"/>
      <c r="E24" s="2"/>
      <c r="F24" s="249"/>
      <c r="G24" s="2" t="s">
        <v>173</v>
      </c>
      <c r="H24" s="7">
        <v>8597.42</v>
      </c>
      <c r="I24" s="221">
        <v>0</v>
      </c>
      <c r="J24" s="3">
        <f t="shared" si="0"/>
        <v>8597.42</v>
      </c>
    </row>
    <row r="25" spans="1:12" x14ac:dyDescent="0.3">
      <c r="A25" s="2" t="s">
        <v>886</v>
      </c>
      <c r="B25" s="2" t="s">
        <v>887</v>
      </c>
      <c r="C25" s="2" t="s">
        <v>807</v>
      </c>
      <c r="D25" s="2"/>
      <c r="E25" s="2"/>
      <c r="F25" s="249"/>
      <c r="G25" s="2" t="s">
        <v>173</v>
      </c>
      <c r="H25" s="7">
        <v>-1269752.1399999999</v>
      </c>
      <c r="I25" s="221">
        <v>-4469507.2760326117</v>
      </c>
      <c r="J25" s="3">
        <f t="shared" si="0"/>
        <v>3199755.1360326121</v>
      </c>
    </row>
    <row r="26" spans="1:12" x14ac:dyDescent="0.3">
      <c r="A26" s="2" t="s">
        <v>221</v>
      </c>
      <c r="B26" s="2" t="s">
        <v>222</v>
      </c>
      <c r="C26" s="2" t="s">
        <v>807</v>
      </c>
      <c r="D26" s="2"/>
      <c r="E26" s="2"/>
      <c r="F26" s="249"/>
      <c r="G26" s="2" t="s">
        <v>173</v>
      </c>
      <c r="H26" s="7">
        <v>-1281.01</v>
      </c>
      <c r="I26" s="221">
        <v>0</v>
      </c>
      <c r="J26" s="3">
        <f t="shared" si="0"/>
        <v>-1281.01</v>
      </c>
    </row>
    <row r="27" spans="1:12" x14ac:dyDescent="0.3">
      <c r="A27" s="2" t="s">
        <v>223</v>
      </c>
      <c r="B27" s="2" t="s">
        <v>224</v>
      </c>
      <c r="C27" s="2" t="s">
        <v>807</v>
      </c>
      <c r="D27" s="2"/>
      <c r="E27" s="2"/>
      <c r="F27" s="249"/>
      <c r="G27" s="2" t="s">
        <v>173</v>
      </c>
      <c r="H27" s="7">
        <v>-1294.48</v>
      </c>
      <c r="I27" s="221">
        <v>0</v>
      </c>
      <c r="J27" s="3">
        <f t="shared" si="0"/>
        <v>-1294.48</v>
      </c>
    </row>
    <row r="28" spans="1:12" x14ac:dyDescent="0.3">
      <c r="A28" s="2" t="s">
        <v>225</v>
      </c>
      <c r="B28" s="2" t="s">
        <v>226</v>
      </c>
      <c r="C28" s="2" t="s">
        <v>807</v>
      </c>
      <c r="D28" s="2"/>
      <c r="E28" s="2"/>
      <c r="F28" s="249"/>
      <c r="G28" s="2" t="s">
        <v>173</v>
      </c>
      <c r="H28" s="7">
        <v>478.33</v>
      </c>
      <c r="I28" s="221">
        <v>0</v>
      </c>
      <c r="J28" s="3">
        <f t="shared" si="0"/>
        <v>478.33</v>
      </c>
    </row>
    <row r="29" spans="1:12" x14ac:dyDescent="0.3">
      <c r="A29" s="2" t="s">
        <v>227</v>
      </c>
      <c r="B29" s="2" t="s">
        <v>228</v>
      </c>
      <c r="C29" s="2" t="s">
        <v>807</v>
      </c>
      <c r="D29" s="2"/>
      <c r="E29" s="2"/>
      <c r="F29" s="249"/>
      <c r="G29" s="2" t="s">
        <v>173</v>
      </c>
      <c r="H29" s="7">
        <v>-2149992.8199999998</v>
      </c>
      <c r="I29" s="221">
        <v>0</v>
      </c>
      <c r="J29" s="3">
        <f t="shared" si="0"/>
        <v>-2149992.8199999998</v>
      </c>
    </row>
    <row r="30" spans="1:12" x14ac:dyDescent="0.3">
      <c r="A30" s="2" t="s">
        <v>888</v>
      </c>
      <c r="B30" s="2" t="s">
        <v>889</v>
      </c>
      <c r="C30" s="2" t="s">
        <v>807</v>
      </c>
      <c r="D30" s="2"/>
      <c r="E30" s="2"/>
      <c r="F30" s="249"/>
      <c r="G30" s="2" t="s">
        <v>173</v>
      </c>
      <c r="H30" s="7">
        <v>-2714622</v>
      </c>
      <c r="I30" s="221">
        <v>0</v>
      </c>
      <c r="J30" s="3">
        <f t="shared" si="0"/>
        <v>-2714622</v>
      </c>
    </row>
    <row r="31" spans="1:12" x14ac:dyDescent="0.3">
      <c r="A31" s="241" t="s">
        <v>890</v>
      </c>
      <c r="B31" s="241" t="s">
        <v>891</v>
      </c>
      <c r="C31" s="241" t="s">
        <v>107</v>
      </c>
      <c r="D31" s="241"/>
      <c r="E31" s="241"/>
      <c r="F31" s="280"/>
      <c r="G31" s="241" t="s">
        <v>173</v>
      </c>
      <c r="H31" s="256">
        <v>-4294742.08</v>
      </c>
      <c r="I31" s="243">
        <v>-6226556.3942071535</v>
      </c>
      <c r="J31" s="242">
        <f t="shared" si="0"/>
        <v>1931814.3142071534</v>
      </c>
      <c r="K31" s="244"/>
      <c r="L31" s="7"/>
    </row>
    <row r="32" spans="1:12" x14ac:dyDescent="0.3">
      <c r="A32" s="2" t="s">
        <v>892</v>
      </c>
      <c r="B32" s="2" t="s">
        <v>893</v>
      </c>
      <c r="C32" s="2" t="s">
        <v>807</v>
      </c>
      <c r="D32" s="2"/>
      <c r="E32" s="2"/>
      <c r="F32" s="249"/>
      <c r="G32" s="2" t="s">
        <v>173</v>
      </c>
      <c r="H32" s="7">
        <v>-3016387.9300000006</v>
      </c>
      <c r="I32" s="221">
        <v>-2130526.2727742712</v>
      </c>
      <c r="J32" s="3">
        <f t="shared" si="0"/>
        <v>-885861.65722572943</v>
      </c>
    </row>
    <row r="33" spans="1:10" x14ac:dyDescent="0.3">
      <c r="A33" s="2" t="s">
        <v>229</v>
      </c>
      <c r="B33" s="2" t="s">
        <v>230</v>
      </c>
      <c r="C33" s="2" t="s">
        <v>807</v>
      </c>
      <c r="D33" s="2"/>
      <c r="E33" s="2"/>
      <c r="F33" s="249"/>
      <c r="G33" s="2" t="s">
        <v>173</v>
      </c>
      <c r="H33" s="7">
        <v>-11719941.200000001</v>
      </c>
      <c r="I33" s="221">
        <v>-19898747.474077597</v>
      </c>
      <c r="J33" s="3">
        <f t="shared" si="0"/>
        <v>8178806.2740775961</v>
      </c>
    </row>
    <row r="34" spans="1:10" x14ac:dyDescent="0.3">
      <c r="A34" s="2" t="s">
        <v>231</v>
      </c>
      <c r="B34" s="2" t="s">
        <v>232</v>
      </c>
      <c r="C34" s="2" t="s">
        <v>807</v>
      </c>
      <c r="D34" s="2"/>
      <c r="E34" s="2"/>
      <c r="F34" s="249"/>
      <c r="G34" s="2" t="s">
        <v>173</v>
      </c>
      <c r="H34" s="7">
        <v>-768647.57</v>
      </c>
      <c r="I34" s="221">
        <v>0</v>
      </c>
      <c r="J34" s="3">
        <f t="shared" si="0"/>
        <v>-768647.57</v>
      </c>
    </row>
    <row r="35" spans="1:10" x14ac:dyDescent="0.3">
      <c r="A35" s="2" t="s">
        <v>234</v>
      </c>
      <c r="B35" s="2" t="s">
        <v>235</v>
      </c>
      <c r="C35" s="2" t="s">
        <v>807</v>
      </c>
      <c r="D35" s="2"/>
      <c r="E35" s="2"/>
      <c r="F35" s="249"/>
      <c r="G35" s="2" t="s">
        <v>173</v>
      </c>
      <c r="H35" s="7">
        <v>-1662783.6699999997</v>
      </c>
      <c r="I35" s="221">
        <v>-2004756.4599013247</v>
      </c>
      <c r="J35" s="3">
        <f t="shared" si="0"/>
        <v>341972.78990132501</v>
      </c>
    </row>
    <row r="36" spans="1:10" x14ac:dyDescent="0.3">
      <c r="A36" s="2" t="s">
        <v>236</v>
      </c>
      <c r="B36" s="2" t="s">
        <v>237</v>
      </c>
      <c r="C36" s="2" t="s">
        <v>158</v>
      </c>
      <c r="D36" s="2"/>
      <c r="E36" s="2"/>
      <c r="F36" s="249"/>
      <c r="G36" s="2" t="s">
        <v>173</v>
      </c>
      <c r="H36" s="7">
        <v>-6651845</v>
      </c>
      <c r="I36" s="221">
        <v>-3510776.5000000033</v>
      </c>
      <c r="J36" s="3">
        <f t="shared" si="0"/>
        <v>-3141068.4999999967</v>
      </c>
    </row>
    <row r="37" spans="1:10" x14ac:dyDescent="0.3">
      <c r="A37" s="2" t="s">
        <v>238</v>
      </c>
      <c r="B37" s="2" t="s">
        <v>239</v>
      </c>
      <c r="C37" s="2" t="s">
        <v>107</v>
      </c>
      <c r="D37" s="2"/>
      <c r="E37" s="2"/>
      <c r="F37" s="249"/>
      <c r="G37" s="2" t="s">
        <v>173</v>
      </c>
      <c r="H37" s="7">
        <v>-142.27000000000001</v>
      </c>
      <c r="I37" s="221">
        <v>0</v>
      </c>
      <c r="J37" s="3">
        <f t="shared" si="0"/>
        <v>-142.27000000000001</v>
      </c>
    </row>
    <row r="38" spans="1:10" x14ac:dyDescent="0.3">
      <c r="A38" s="2" t="s">
        <v>894</v>
      </c>
      <c r="B38" s="2" t="s">
        <v>895</v>
      </c>
      <c r="C38" s="2" t="s">
        <v>107</v>
      </c>
      <c r="D38" s="2" t="s">
        <v>26</v>
      </c>
      <c r="E38" s="2" t="s">
        <v>26</v>
      </c>
      <c r="F38" s="249" t="s">
        <v>845</v>
      </c>
      <c r="G38" s="2" t="s">
        <v>175</v>
      </c>
      <c r="H38" s="7">
        <v>-32603.37</v>
      </c>
      <c r="I38" s="221">
        <v>0</v>
      </c>
      <c r="J38" s="3">
        <f t="shared" si="0"/>
        <v>-32603.37</v>
      </c>
    </row>
    <row r="39" spans="1:10" x14ac:dyDescent="0.3">
      <c r="A39" s="2" t="s">
        <v>240</v>
      </c>
      <c r="B39" s="2" t="s">
        <v>241</v>
      </c>
      <c r="C39" s="2" t="s">
        <v>807</v>
      </c>
      <c r="D39" s="2"/>
      <c r="E39" s="2"/>
      <c r="F39" s="249"/>
      <c r="G39" s="2" t="s">
        <v>173</v>
      </c>
      <c r="H39" s="7">
        <v>-78559.510000000009</v>
      </c>
      <c r="I39" s="221">
        <v>0</v>
      </c>
      <c r="J39" s="3">
        <f t="shared" si="0"/>
        <v>-78559.510000000009</v>
      </c>
    </row>
    <row r="40" spans="1:10" x14ac:dyDescent="0.3">
      <c r="A40" s="2" t="s">
        <v>896</v>
      </c>
      <c r="B40" s="2" t="s">
        <v>897</v>
      </c>
      <c r="C40" s="2" t="s">
        <v>807</v>
      </c>
      <c r="D40" s="2" t="s">
        <v>26</v>
      </c>
      <c r="E40" s="2" t="s">
        <v>26</v>
      </c>
      <c r="F40" s="249" t="s">
        <v>845</v>
      </c>
      <c r="G40" s="2" t="s">
        <v>175</v>
      </c>
      <c r="H40" s="7">
        <v>-86238.400000000009</v>
      </c>
      <c r="I40" s="221">
        <v>0</v>
      </c>
      <c r="J40" s="3">
        <f t="shared" si="0"/>
        <v>-86238.400000000009</v>
      </c>
    </row>
    <row r="41" spans="1:10" x14ac:dyDescent="0.3">
      <c r="A41" s="2" t="s">
        <v>898</v>
      </c>
      <c r="B41" s="2" t="s">
        <v>899</v>
      </c>
      <c r="C41" s="2" t="s">
        <v>807</v>
      </c>
      <c r="D41" s="2"/>
      <c r="E41" s="2"/>
      <c r="F41" s="249"/>
      <c r="G41" s="2" t="s">
        <v>173</v>
      </c>
      <c r="H41" s="7">
        <v>-215968.57</v>
      </c>
      <c r="I41" s="221">
        <v>0</v>
      </c>
      <c r="J41" s="3">
        <f t="shared" si="0"/>
        <v>-215968.57</v>
      </c>
    </row>
    <row r="42" spans="1:10" x14ac:dyDescent="0.3">
      <c r="A42" s="2" t="s">
        <v>242</v>
      </c>
      <c r="B42" s="2" t="s">
        <v>243</v>
      </c>
      <c r="C42" s="2" t="s">
        <v>807</v>
      </c>
      <c r="D42" s="2"/>
      <c r="E42" s="2"/>
      <c r="F42" s="249"/>
      <c r="G42" s="2" t="s">
        <v>173</v>
      </c>
      <c r="H42" s="7">
        <v>-26817.3</v>
      </c>
      <c r="I42" s="221">
        <v>0</v>
      </c>
      <c r="J42" s="3">
        <f t="shared" si="0"/>
        <v>-26817.3</v>
      </c>
    </row>
    <row r="43" spans="1:10" x14ac:dyDescent="0.3">
      <c r="A43" s="2" t="s">
        <v>244</v>
      </c>
      <c r="B43" s="2" t="s">
        <v>245</v>
      </c>
      <c r="C43" s="2" t="s">
        <v>807</v>
      </c>
      <c r="D43" s="2"/>
      <c r="E43" s="2"/>
      <c r="F43" s="249"/>
      <c r="G43" s="2" t="s">
        <v>173</v>
      </c>
      <c r="H43" s="7">
        <v>-328596.65999999997</v>
      </c>
      <c r="I43" s="221">
        <v>0</v>
      </c>
      <c r="J43" s="3">
        <f t="shared" si="0"/>
        <v>-328596.65999999997</v>
      </c>
    </row>
    <row r="44" spans="1:10" x14ac:dyDescent="0.3">
      <c r="A44" s="2" t="s">
        <v>900</v>
      </c>
      <c r="B44" s="2" t="s">
        <v>901</v>
      </c>
      <c r="C44" s="2" t="s">
        <v>807</v>
      </c>
      <c r="D44" s="2"/>
      <c r="E44" s="2"/>
      <c r="F44" s="249"/>
      <c r="G44" s="2" t="s">
        <v>173</v>
      </c>
      <c r="H44" s="7">
        <v>-16812.05</v>
      </c>
      <c r="I44" s="221">
        <v>0</v>
      </c>
      <c r="J44" s="3">
        <f t="shared" si="0"/>
        <v>-16812.05</v>
      </c>
    </row>
    <row r="45" spans="1:10" x14ac:dyDescent="0.3">
      <c r="A45" s="2" t="s">
        <v>246</v>
      </c>
      <c r="B45" s="2" t="s">
        <v>247</v>
      </c>
      <c r="C45" s="2" t="s">
        <v>807</v>
      </c>
      <c r="D45" s="2"/>
      <c r="E45" s="2"/>
      <c r="F45" s="249"/>
      <c r="G45" s="2" t="s">
        <v>173</v>
      </c>
      <c r="H45" s="7">
        <v>-501758.06999999995</v>
      </c>
      <c r="I45" s="221">
        <v>0</v>
      </c>
      <c r="J45" s="3">
        <f t="shared" si="0"/>
        <v>-501758.06999999995</v>
      </c>
    </row>
    <row r="46" spans="1:10" x14ac:dyDescent="0.3">
      <c r="A46" s="2" t="s">
        <v>248</v>
      </c>
      <c r="B46" s="2" t="s">
        <v>249</v>
      </c>
      <c r="C46" s="2" t="s">
        <v>807</v>
      </c>
      <c r="D46" s="2"/>
      <c r="E46" s="2"/>
      <c r="F46" s="249"/>
      <c r="G46" s="2" t="s">
        <v>173</v>
      </c>
      <c r="H46" s="7">
        <v>-752.48000000000013</v>
      </c>
      <c r="I46" s="221">
        <v>0</v>
      </c>
      <c r="J46" s="3">
        <f t="shared" si="0"/>
        <v>-752.48000000000013</v>
      </c>
    </row>
    <row r="47" spans="1:10" x14ac:dyDescent="0.3">
      <c r="A47" s="2" t="s">
        <v>902</v>
      </c>
      <c r="B47" s="2" t="s">
        <v>903</v>
      </c>
      <c r="C47" s="2" t="s">
        <v>807</v>
      </c>
      <c r="D47" s="2"/>
      <c r="E47" s="2"/>
      <c r="F47" s="249"/>
      <c r="G47" s="2" t="s">
        <v>173</v>
      </c>
      <c r="H47" s="7">
        <v>-212438.2</v>
      </c>
      <c r="I47" s="221">
        <v>0</v>
      </c>
      <c r="J47" s="3">
        <f t="shared" si="0"/>
        <v>-212438.2</v>
      </c>
    </row>
    <row r="48" spans="1:10" x14ac:dyDescent="0.3">
      <c r="A48" s="2" t="s">
        <v>250</v>
      </c>
      <c r="B48" s="2" t="s">
        <v>251</v>
      </c>
      <c r="C48" s="2" t="s">
        <v>807</v>
      </c>
      <c r="D48" s="2"/>
      <c r="E48" s="2"/>
      <c r="F48" s="249"/>
      <c r="G48" s="2" t="s">
        <v>173</v>
      </c>
      <c r="H48" s="7">
        <v>-1687241.67</v>
      </c>
      <c r="I48" s="221">
        <v>0</v>
      </c>
      <c r="J48" s="3">
        <f t="shared" si="0"/>
        <v>-1687241.67</v>
      </c>
    </row>
    <row r="49" spans="1:11" x14ac:dyDescent="0.3">
      <c r="A49" s="2" t="s">
        <v>904</v>
      </c>
      <c r="B49" s="2" t="s">
        <v>905</v>
      </c>
      <c r="C49" s="2" t="s">
        <v>807</v>
      </c>
      <c r="D49" s="2"/>
      <c r="E49" s="2"/>
      <c r="F49" s="249"/>
      <c r="G49" s="2" t="s">
        <v>173</v>
      </c>
      <c r="H49" s="7">
        <v>-1356429.5599999998</v>
      </c>
      <c r="I49" s="221">
        <v>0</v>
      </c>
      <c r="J49" s="3">
        <f t="shared" si="0"/>
        <v>-1356429.5599999998</v>
      </c>
    </row>
    <row r="50" spans="1:11" x14ac:dyDescent="0.3">
      <c r="A50" s="2" t="s">
        <v>254</v>
      </c>
      <c r="B50" s="2" t="s">
        <v>255</v>
      </c>
      <c r="C50" s="2" t="s">
        <v>807</v>
      </c>
      <c r="D50" s="2"/>
      <c r="E50" s="2"/>
      <c r="F50" s="249"/>
      <c r="G50" s="2" t="s">
        <v>173</v>
      </c>
      <c r="H50" s="7">
        <v>176.26</v>
      </c>
      <c r="I50" s="221">
        <v>0</v>
      </c>
      <c r="J50" s="3">
        <f t="shared" si="0"/>
        <v>176.26</v>
      </c>
    </row>
    <row r="51" spans="1:11" x14ac:dyDescent="0.3">
      <c r="A51" s="2" t="s">
        <v>256</v>
      </c>
      <c r="B51" s="2" t="s">
        <v>257</v>
      </c>
      <c r="C51" s="2" t="s">
        <v>807</v>
      </c>
      <c r="D51" s="2"/>
      <c r="E51" s="2"/>
      <c r="F51" s="249"/>
      <c r="G51" s="2" t="s">
        <v>173</v>
      </c>
      <c r="H51" s="7">
        <v>7583.27</v>
      </c>
      <c r="I51" s="221">
        <v>0</v>
      </c>
      <c r="J51" s="3">
        <f t="shared" si="0"/>
        <v>7583.27</v>
      </c>
    </row>
    <row r="52" spans="1:11" x14ac:dyDescent="0.3">
      <c r="A52" s="2" t="s">
        <v>906</v>
      </c>
      <c r="B52" s="2" t="s">
        <v>907</v>
      </c>
      <c r="C52" s="2" t="s">
        <v>807</v>
      </c>
      <c r="D52" s="2"/>
      <c r="E52" s="2"/>
      <c r="F52" s="249"/>
      <c r="G52" s="2" t="s">
        <v>173</v>
      </c>
      <c r="H52" s="7">
        <v>-748465.54</v>
      </c>
      <c r="I52" s="221">
        <v>0</v>
      </c>
      <c r="J52" s="222">
        <f t="shared" si="0"/>
        <v>-748465.54</v>
      </c>
      <c r="K52" s="222"/>
    </row>
    <row r="53" spans="1:11" x14ac:dyDescent="0.3">
      <c r="A53" s="2" t="s">
        <v>908</v>
      </c>
      <c r="B53" s="2" t="s">
        <v>909</v>
      </c>
      <c r="C53" s="2" t="s">
        <v>807</v>
      </c>
      <c r="D53" s="2"/>
      <c r="E53" s="2"/>
      <c r="F53" s="249"/>
      <c r="G53" s="2" t="s">
        <v>173</v>
      </c>
      <c r="H53" s="7">
        <v>-3579613.96</v>
      </c>
      <c r="I53" s="221">
        <v>0</v>
      </c>
      <c r="J53" s="3">
        <f t="shared" si="0"/>
        <v>-3579613.96</v>
      </c>
    </row>
    <row r="54" spans="1:11" x14ac:dyDescent="0.3">
      <c r="A54" s="2" t="s">
        <v>258</v>
      </c>
      <c r="B54" s="2" t="s">
        <v>259</v>
      </c>
      <c r="C54" s="2" t="s">
        <v>807</v>
      </c>
      <c r="D54" s="2"/>
      <c r="E54" s="2"/>
      <c r="F54" s="249"/>
      <c r="G54" s="248" t="s">
        <v>173</v>
      </c>
      <c r="H54" s="7">
        <v>-2868.41</v>
      </c>
      <c r="I54" s="221">
        <v>0</v>
      </c>
      <c r="J54" s="3">
        <f t="shared" si="0"/>
        <v>-2868.41</v>
      </c>
    </row>
    <row r="55" spans="1:11" x14ac:dyDescent="0.3">
      <c r="A55" s="2" t="s">
        <v>910</v>
      </c>
      <c r="B55" s="2" t="s">
        <v>911</v>
      </c>
      <c r="C55" s="2" t="s">
        <v>807</v>
      </c>
      <c r="D55" s="2"/>
      <c r="E55" s="2"/>
      <c r="F55" s="249"/>
      <c r="G55" s="2" t="s">
        <v>173</v>
      </c>
      <c r="H55" s="7">
        <v>-162419.6</v>
      </c>
      <c r="I55" s="221">
        <v>0</v>
      </c>
      <c r="J55" s="3">
        <f t="shared" si="0"/>
        <v>-162419.6</v>
      </c>
    </row>
    <row r="56" spans="1:11" x14ac:dyDescent="0.3">
      <c r="A56" s="2" t="s">
        <v>260</v>
      </c>
      <c r="B56" s="2" t="s">
        <v>912</v>
      </c>
      <c r="C56" s="2" t="s">
        <v>807</v>
      </c>
      <c r="D56" s="2"/>
      <c r="E56" s="2"/>
      <c r="F56" s="249"/>
      <c r="G56" s="2" t="s">
        <v>173</v>
      </c>
      <c r="H56" s="7">
        <v>1371.58</v>
      </c>
      <c r="I56" s="221">
        <v>0</v>
      </c>
      <c r="J56" s="3">
        <f t="shared" si="0"/>
        <v>1371.58</v>
      </c>
    </row>
    <row r="57" spans="1:11" x14ac:dyDescent="0.3">
      <c r="A57" s="2" t="s">
        <v>261</v>
      </c>
      <c r="B57" s="2" t="s">
        <v>262</v>
      </c>
      <c r="C57" s="2" t="s">
        <v>807</v>
      </c>
      <c r="D57" s="2"/>
      <c r="E57" s="2"/>
      <c r="F57" s="249"/>
      <c r="G57" s="2" t="s">
        <v>173</v>
      </c>
      <c r="H57" s="7">
        <v>35140.990000000005</v>
      </c>
      <c r="I57" s="221">
        <v>0</v>
      </c>
      <c r="J57" s="3">
        <f t="shared" si="0"/>
        <v>35140.990000000005</v>
      </c>
    </row>
    <row r="58" spans="1:11" x14ac:dyDescent="0.3">
      <c r="A58" s="2" t="s">
        <v>263</v>
      </c>
      <c r="B58" s="2" t="s">
        <v>264</v>
      </c>
      <c r="C58" s="2" t="s">
        <v>807</v>
      </c>
      <c r="D58" s="2"/>
      <c r="E58" s="2"/>
      <c r="F58" s="249"/>
      <c r="G58" s="2" t="s">
        <v>173</v>
      </c>
      <c r="H58" s="7">
        <v>-5155266.5999999996</v>
      </c>
      <c r="I58" s="221">
        <v>0</v>
      </c>
      <c r="J58" s="3">
        <f t="shared" si="0"/>
        <v>-5155266.5999999996</v>
      </c>
    </row>
    <row r="59" spans="1:11" x14ac:dyDescent="0.3">
      <c r="A59" s="2" t="s">
        <v>265</v>
      </c>
      <c r="B59" s="2" t="s">
        <v>266</v>
      </c>
      <c r="C59" s="2" t="s">
        <v>807</v>
      </c>
      <c r="D59" s="2"/>
      <c r="E59" s="2"/>
      <c r="F59" s="249"/>
      <c r="G59" s="2" t="s">
        <v>173</v>
      </c>
      <c r="H59" s="7">
        <v>-215501.25</v>
      </c>
      <c r="I59" s="221">
        <v>0</v>
      </c>
      <c r="J59" s="3">
        <f t="shared" si="0"/>
        <v>-215501.25</v>
      </c>
    </row>
    <row r="60" spans="1:11" x14ac:dyDescent="0.3">
      <c r="A60" s="2" t="s">
        <v>269</v>
      </c>
      <c r="B60" s="2" t="s">
        <v>270</v>
      </c>
      <c r="C60" s="2" t="s">
        <v>807</v>
      </c>
      <c r="D60" s="2"/>
      <c r="E60" s="2"/>
      <c r="F60" s="249"/>
      <c r="G60" s="2" t="s">
        <v>173</v>
      </c>
      <c r="H60" s="7">
        <v>-2505.86</v>
      </c>
      <c r="I60" s="221">
        <v>0</v>
      </c>
      <c r="J60" s="3">
        <f t="shared" si="0"/>
        <v>-2505.86</v>
      </c>
    </row>
    <row r="61" spans="1:11" x14ac:dyDescent="0.3">
      <c r="A61" s="2" t="s">
        <v>273</v>
      </c>
      <c r="B61" s="2" t="s">
        <v>274</v>
      </c>
      <c r="C61" s="2" t="s">
        <v>807</v>
      </c>
      <c r="D61" s="2"/>
      <c r="E61" s="2"/>
      <c r="F61" s="249"/>
      <c r="G61" s="2" t="s">
        <v>173</v>
      </c>
      <c r="H61" s="7">
        <v>32784.700000000004</v>
      </c>
      <c r="I61" s="221">
        <v>0</v>
      </c>
      <c r="J61" s="3">
        <f t="shared" si="0"/>
        <v>32784.700000000004</v>
      </c>
    </row>
    <row r="62" spans="1:11" x14ac:dyDescent="0.3">
      <c r="A62" s="2" t="s">
        <v>913</v>
      </c>
      <c r="B62" s="2" t="s">
        <v>914</v>
      </c>
      <c r="C62" s="2" t="s">
        <v>107</v>
      </c>
      <c r="D62" s="2"/>
      <c r="E62" s="2"/>
      <c r="F62" s="249"/>
      <c r="G62" s="2" t="s">
        <v>173</v>
      </c>
      <c r="H62" s="7">
        <v>-92479</v>
      </c>
      <c r="I62" s="221">
        <v>0</v>
      </c>
      <c r="J62" s="3">
        <f t="shared" si="0"/>
        <v>-92479</v>
      </c>
    </row>
    <row r="63" spans="1:11" x14ac:dyDescent="0.3">
      <c r="A63" s="2" t="s">
        <v>275</v>
      </c>
      <c r="B63" s="2" t="s">
        <v>276</v>
      </c>
      <c r="C63" s="2" t="s">
        <v>107</v>
      </c>
      <c r="D63" s="2"/>
      <c r="E63" s="2"/>
      <c r="F63" s="249"/>
      <c r="G63" s="2" t="s">
        <v>173</v>
      </c>
      <c r="H63" s="7">
        <v>-2659583.0299999998</v>
      </c>
      <c r="I63" s="221">
        <v>0</v>
      </c>
      <c r="J63" s="3">
        <f t="shared" si="0"/>
        <v>-2659583.0299999998</v>
      </c>
    </row>
    <row r="64" spans="1:11" x14ac:dyDescent="0.3">
      <c r="A64" s="2" t="s">
        <v>277</v>
      </c>
      <c r="B64" s="2" t="s">
        <v>278</v>
      </c>
      <c r="C64" s="2" t="s">
        <v>107</v>
      </c>
      <c r="D64" s="2"/>
      <c r="E64" s="2"/>
      <c r="F64" s="249"/>
      <c r="G64" s="2" t="s">
        <v>173</v>
      </c>
      <c r="H64" s="7">
        <v>-10201.11</v>
      </c>
      <c r="I64" s="221">
        <v>0</v>
      </c>
      <c r="J64" s="3">
        <f t="shared" si="0"/>
        <v>-10201.11</v>
      </c>
    </row>
    <row r="65" spans="1:10" x14ac:dyDescent="0.3">
      <c r="A65" s="2" t="s">
        <v>915</v>
      </c>
      <c r="B65" s="2" t="s">
        <v>916</v>
      </c>
      <c r="C65" s="2" t="s">
        <v>107</v>
      </c>
      <c r="D65" s="2"/>
      <c r="E65" s="2"/>
      <c r="F65" s="249"/>
      <c r="G65" s="2" t="s">
        <v>173</v>
      </c>
      <c r="H65" s="7">
        <v>-294545.07</v>
      </c>
      <c r="I65" s="221">
        <v>0</v>
      </c>
      <c r="J65" s="3">
        <f t="shared" si="0"/>
        <v>-294545.07</v>
      </c>
    </row>
    <row r="66" spans="1:10" x14ac:dyDescent="0.3">
      <c r="A66" s="2" t="s">
        <v>279</v>
      </c>
      <c r="B66" s="2" t="s">
        <v>280</v>
      </c>
      <c r="C66" s="2" t="s">
        <v>807</v>
      </c>
      <c r="D66" s="2"/>
      <c r="E66" s="2"/>
      <c r="F66" s="249"/>
      <c r="G66" s="2" t="s">
        <v>173</v>
      </c>
      <c r="H66" s="7">
        <v>-205120.47000000003</v>
      </c>
      <c r="I66" s="221">
        <v>0</v>
      </c>
      <c r="J66" s="3">
        <f t="shared" si="0"/>
        <v>-205120.47000000003</v>
      </c>
    </row>
    <row r="67" spans="1:10" x14ac:dyDescent="0.3">
      <c r="A67" s="2" t="s">
        <v>281</v>
      </c>
      <c r="B67" s="2" t="s">
        <v>282</v>
      </c>
      <c r="C67" s="2" t="s">
        <v>807</v>
      </c>
      <c r="D67" s="2"/>
      <c r="E67" s="2"/>
      <c r="F67" s="249"/>
      <c r="G67" s="2" t="s">
        <v>173</v>
      </c>
      <c r="H67" s="7">
        <v>-1560297.85</v>
      </c>
      <c r="I67" s="221">
        <v>0</v>
      </c>
      <c r="J67" s="3">
        <f t="shared" si="0"/>
        <v>-1560297.85</v>
      </c>
    </row>
    <row r="68" spans="1:10" x14ac:dyDescent="0.3">
      <c r="A68" s="2" t="s">
        <v>917</v>
      </c>
      <c r="B68" s="2" t="s">
        <v>918</v>
      </c>
      <c r="C68" s="2" t="s">
        <v>807</v>
      </c>
      <c r="D68" s="2"/>
      <c r="E68" s="2"/>
      <c r="F68" s="249"/>
      <c r="G68" s="2" t="s">
        <v>173</v>
      </c>
      <c r="H68" s="7">
        <v>-115491.54000000001</v>
      </c>
      <c r="I68" s="221">
        <v>0</v>
      </c>
      <c r="J68" s="3">
        <f t="shared" si="0"/>
        <v>-115491.54000000001</v>
      </c>
    </row>
    <row r="69" spans="1:10" x14ac:dyDescent="0.3">
      <c r="A69" s="2" t="s">
        <v>283</v>
      </c>
      <c r="B69" s="2" t="s">
        <v>284</v>
      </c>
      <c r="C69" s="2" t="s">
        <v>807</v>
      </c>
      <c r="D69" s="2"/>
      <c r="E69" s="2"/>
      <c r="F69" s="249"/>
      <c r="G69" s="2" t="s">
        <v>173</v>
      </c>
      <c r="H69" s="7">
        <v>-121.9</v>
      </c>
      <c r="I69" s="221">
        <v>0</v>
      </c>
      <c r="J69" s="3">
        <f t="shared" si="0"/>
        <v>-121.9</v>
      </c>
    </row>
    <row r="70" spans="1:10" x14ac:dyDescent="0.3">
      <c r="A70" s="2" t="s">
        <v>285</v>
      </c>
      <c r="B70" s="2" t="s">
        <v>286</v>
      </c>
      <c r="C70" s="2" t="s">
        <v>107</v>
      </c>
      <c r="D70" s="2"/>
      <c r="E70" s="2"/>
      <c r="F70" s="249"/>
      <c r="G70" s="2" t="s">
        <v>173</v>
      </c>
      <c r="H70" s="7">
        <v>-489415.45</v>
      </c>
      <c r="I70" s="221">
        <v>0</v>
      </c>
      <c r="J70" s="3">
        <f t="shared" ref="J70:J133" si="1">H70-I70</f>
        <v>-489415.45</v>
      </c>
    </row>
    <row r="71" spans="1:10" x14ac:dyDescent="0.3">
      <c r="A71" s="2" t="s">
        <v>287</v>
      </c>
      <c r="B71" s="2" t="s">
        <v>288</v>
      </c>
      <c r="C71" s="2" t="s">
        <v>107</v>
      </c>
      <c r="D71" s="2"/>
      <c r="E71" s="2"/>
      <c r="F71" s="249"/>
      <c r="G71" s="2" t="s">
        <v>173</v>
      </c>
      <c r="H71" s="7">
        <v>-222361.19999999998</v>
      </c>
      <c r="I71" s="221">
        <v>0</v>
      </c>
      <c r="J71" s="3">
        <f t="shared" si="1"/>
        <v>-222361.19999999998</v>
      </c>
    </row>
    <row r="72" spans="1:10" x14ac:dyDescent="0.3">
      <c r="A72" s="2" t="s">
        <v>289</v>
      </c>
      <c r="B72" s="2" t="s">
        <v>290</v>
      </c>
      <c r="C72" s="2" t="s">
        <v>107</v>
      </c>
      <c r="D72" s="2"/>
      <c r="E72" s="2"/>
      <c r="F72" s="249"/>
      <c r="G72" s="2" t="s">
        <v>173</v>
      </c>
      <c r="H72" s="7">
        <v>-148786.75</v>
      </c>
      <c r="I72" s="221">
        <v>0</v>
      </c>
      <c r="J72" s="3">
        <f t="shared" si="1"/>
        <v>-148786.75</v>
      </c>
    </row>
    <row r="73" spans="1:10" x14ac:dyDescent="0.3">
      <c r="A73" s="2" t="s">
        <v>291</v>
      </c>
      <c r="B73" s="2" t="s">
        <v>292</v>
      </c>
      <c r="C73" s="2" t="s">
        <v>107</v>
      </c>
      <c r="D73" s="2"/>
      <c r="E73" s="2"/>
      <c r="F73" s="249"/>
      <c r="G73" s="2" t="s">
        <v>173</v>
      </c>
      <c r="H73" s="7">
        <v>-411865.72</v>
      </c>
      <c r="I73" s="221">
        <v>0</v>
      </c>
      <c r="J73" s="3">
        <f t="shared" si="1"/>
        <v>-411865.72</v>
      </c>
    </row>
    <row r="74" spans="1:10" x14ac:dyDescent="0.3">
      <c r="A74" s="2" t="s">
        <v>293</v>
      </c>
      <c r="B74" s="2" t="s">
        <v>294</v>
      </c>
      <c r="C74" s="2" t="s">
        <v>807</v>
      </c>
      <c r="D74" s="2"/>
      <c r="E74" s="2"/>
      <c r="F74" s="249"/>
      <c r="G74" s="2" t="s">
        <v>173</v>
      </c>
      <c r="H74" s="7">
        <v>-460673.31</v>
      </c>
      <c r="I74" s="221">
        <v>0</v>
      </c>
      <c r="J74" s="3">
        <f t="shared" si="1"/>
        <v>-460673.31</v>
      </c>
    </row>
    <row r="75" spans="1:10" x14ac:dyDescent="0.3">
      <c r="A75" s="2" t="s">
        <v>295</v>
      </c>
      <c r="B75" s="2" t="s">
        <v>296</v>
      </c>
      <c r="C75" s="2" t="s">
        <v>807</v>
      </c>
      <c r="D75" s="2"/>
      <c r="E75" s="2"/>
      <c r="F75" s="249"/>
      <c r="G75" s="2" t="s">
        <v>173</v>
      </c>
      <c r="H75" s="7">
        <v>-2073.23</v>
      </c>
      <c r="I75" s="221">
        <v>0</v>
      </c>
      <c r="J75" s="3">
        <f t="shared" si="1"/>
        <v>-2073.23</v>
      </c>
    </row>
    <row r="76" spans="1:10" x14ac:dyDescent="0.3">
      <c r="A76" s="2" t="s">
        <v>297</v>
      </c>
      <c r="B76" s="2" t="s">
        <v>298</v>
      </c>
      <c r="C76" s="2" t="s">
        <v>107</v>
      </c>
      <c r="D76" s="2"/>
      <c r="E76" s="2"/>
      <c r="F76" s="249"/>
      <c r="G76" s="2" t="s">
        <v>173</v>
      </c>
      <c r="H76" s="7">
        <v>-447.47</v>
      </c>
      <c r="I76" s="221">
        <v>0</v>
      </c>
      <c r="J76" s="3">
        <f t="shared" si="1"/>
        <v>-447.47</v>
      </c>
    </row>
    <row r="77" spans="1:10" x14ac:dyDescent="0.3">
      <c r="A77" s="2" t="s">
        <v>299</v>
      </c>
      <c r="B77" s="2" t="s">
        <v>300</v>
      </c>
      <c r="C77" s="2" t="s">
        <v>107</v>
      </c>
      <c r="D77" s="2"/>
      <c r="E77" s="2"/>
      <c r="F77" s="249"/>
      <c r="G77" s="2" t="s">
        <v>173</v>
      </c>
      <c r="H77" s="7">
        <v>-2356558.71</v>
      </c>
      <c r="I77" s="221">
        <v>0</v>
      </c>
      <c r="J77" s="3">
        <f t="shared" si="1"/>
        <v>-2356558.71</v>
      </c>
    </row>
    <row r="78" spans="1:10" x14ac:dyDescent="0.3">
      <c r="A78" s="2" t="s">
        <v>919</v>
      </c>
      <c r="B78" s="2" t="s">
        <v>920</v>
      </c>
      <c r="C78" s="2" t="s">
        <v>807</v>
      </c>
      <c r="D78" s="2"/>
      <c r="E78" s="2"/>
      <c r="F78" s="249"/>
      <c r="G78" s="2" t="s">
        <v>173</v>
      </c>
      <c r="H78" s="7">
        <v>-11682.27</v>
      </c>
      <c r="I78" s="221">
        <v>0</v>
      </c>
      <c r="J78" s="3">
        <f t="shared" si="1"/>
        <v>-11682.27</v>
      </c>
    </row>
    <row r="79" spans="1:10" x14ac:dyDescent="0.3">
      <c r="A79" s="2" t="s">
        <v>303</v>
      </c>
      <c r="B79" s="2" t="s">
        <v>304</v>
      </c>
      <c r="C79" s="2" t="s">
        <v>807</v>
      </c>
      <c r="D79" s="2"/>
      <c r="E79" s="2"/>
      <c r="F79" s="249"/>
      <c r="G79" s="2" t="s">
        <v>173</v>
      </c>
      <c r="H79" s="7">
        <v>-1036876.43</v>
      </c>
      <c r="I79" s="221">
        <v>0</v>
      </c>
      <c r="J79" s="3">
        <f t="shared" si="1"/>
        <v>-1036876.43</v>
      </c>
    </row>
    <row r="80" spans="1:10" x14ac:dyDescent="0.3">
      <c r="A80" s="2" t="s">
        <v>305</v>
      </c>
      <c r="B80" s="2" t="s">
        <v>306</v>
      </c>
      <c r="C80" s="2" t="s">
        <v>807</v>
      </c>
      <c r="D80" s="2"/>
      <c r="E80" s="2"/>
      <c r="F80" s="249"/>
      <c r="G80" s="2" t="s">
        <v>173</v>
      </c>
      <c r="H80" s="7">
        <v>-580285.51</v>
      </c>
      <c r="I80" s="221">
        <v>0</v>
      </c>
      <c r="J80" s="3">
        <f t="shared" si="1"/>
        <v>-580285.51</v>
      </c>
    </row>
    <row r="81" spans="1:11" x14ac:dyDescent="0.3">
      <c r="A81" s="2" t="s">
        <v>921</v>
      </c>
      <c r="B81" s="2" t="s">
        <v>922</v>
      </c>
      <c r="C81" s="2" t="s">
        <v>807</v>
      </c>
      <c r="D81" s="2"/>
      <c r="E81" s="2"/>
      <c r="F81" s="249"/>
      <c r="G81" s="2" t="s">
        <v>173</v>
      </c>
      <c r="H81" s="7">
        <v>-46884.63</v>
      </c>
      <c r="I81" s="221">
        <v>0</v>
      </c>
      <c r="J81" s="3">
        <f t="shared" si="1"/>
        <v>-46884.63</v>
      </c>
    </row>
    <row r="82" spans="1:11" x14ac:dyDescent="0.3">
      <c r="A82" s="2" t="s">
        <v>307</v>
      </c>
      <c r="B82" s="2" t="s">
        <v>864</v>
      </c>
      <c r="C82" s="2" t="s">
        <v>807</v>
      </c>
      <c r="D82" s="2"/>
      <c r="E82" s="2"/>
      <c r="F82" s="249"/>
      <c r="G82" s="2" t="s">
        <v>173</v>
      </c>
      <c r="H82" s="7">
        <v>-23098678.969999999</v>
      </c>
      <c r="I82" s="221">
        <v>0</v>
      </c>
      <c r="J82" s="3">
        <f t="shared" si="1"/>
        <v>-23098678.969999999</v>
      </c>
    </row>
    <row r="83" spans="1:11" x14ac:dyDescent="0.3">
      <c r="A83" s="2" t="s">
        <v>923</v>
      </c>
      <c r="B83" s="2" t="s">
        <v>924</v>
      </c>
      <c r="C83" s="2" t="s">
        <v>807</v>
      </c>
      <c r="D83" s="2"/>
      <c r="E83" s="2"/>
      <c r="F83" s="249"/>
      <c r="G83" s="2" t="s">
        <v>173</v>
      </c>
      <c r="H83" s="7">
        <v>-453856.88999999996</v>
      </c>
      <c r="I83" s="221">
        <v>0</v>
      </c>
      <c r="J83" s="3">
        <f t="shared" si="1"/>
        <v>-453856.88999999996</v>
      </c>
    </row>
    <row r="84" spans="1:11" x14ac:dyDescent="0.3">
      <c r="A84" s="2" t="s">
        <v>308</v>
      </c>
      <c r="B84" s="2" t="s">
        <v>309</v>
      </c>
      <c r="C84" s="2" t="s">
        <v>107</v>
      </c>
      <c r="D84" s="2"/>
      <c r="E84" s="2"/>
      <c r="F84" s="249"/>
      <c r="G84" s="2" t="s">
        <v>173</v>
      </c>
      <c r="H84" s="7">
        <v>-3162412.83</v>
      </c>
      <c r="I84" s="221">
        <v>0</v>
      </c>
      <c r="J84" s="3">
        <f t="shared" si="1"/>
        <v>-3162412.83</v>
      </c>
    </row>
    <row r="85" spans="1:11" x14ac:dyDescent="0.3">
      <c r="A85" s="2" t="s">
        <v>310</v>
      </c>
      <c r="B85" s="2" t="s">
        <v>311</v>
      </c>
      <c r="C85" s="2" t="s">
        <v>807</v>
      </c>
      <c r="D85" s="2"/>
      <c r="E85" s="2"/>
      <c r="F85" s="249"/>
      <c r="G85" s="2" t="s">
        <v>173</v>
      </c>
      <c r="H85" s="7">
        <v>-2.1599999999999682</v>
      </c>
      <c r="I85" s="221">
        <v>0</v>
      </c>
      <c r="J85" s="3">
        <f t="shared" si="1"/>
        <v>-2.1599999999999682</v>
      </c>
    </row>
    <row r="86" spans="1:11" x14ac:dyDescent="0.3">
      <c r="A86" s="2" t="s">
        <v>925</v>
      </c>
      <c r="B86" s="2" t="s">
        <v>926</v>
      </c>
      <c r="C86" s="2" t="s">
        <v>807</v>
      </c>
      <c r="D86" s="2"/>
      <c r="E86" s="2"/>
      <c r="F86" s="249"/>
      <c r="G86" s="2" t="s">
        <v>173</v>
      </c>
      <c r="H86" s="7">
        <v>-243997.36000000002</v>
      </c>
      <c r="I86" s="221">
        <v>0</v>
      </c>
      <c r="J86" s="3">
        <f t="shared" si="1"/>
        <v>-243997.36000000002</v>
      </c>
      <c r="K86" t="s">
        <v>865</v>
      </c>
    </row>
    <row r="87" spans="1:11" x14ac:dyDescent="0.3">
      <c r="A87" s="2" t="s">
        <v>927</v>
      </c>
      <c r="B87" s="2" t="s">
        <v>928</v>
      </c>
      <c r="C87" s="2" t="s">
        <v>807</v>
      </c>
      <c r="D87" s="2"/>
      <c r="E87" s="2"/>
      <c r="F87" s="249"/>
      <c r="G87" s="2" t="s">
        <v>173</v>
      </c>
      <c r="H87" s="7">
        <v>-875253.88000000012</v>
      </c>
      <c r="I87" s="221">
        <v>-2006158.0000000044</v>
      </c>
      <c r="J87" s="3">
        <f t="shared" si="1"/>
        <v>1130904.1200000043</v>
      </c>
    </row>
    <row r="88" spans="1:11" x14ac:dyDescent="0.3">
      <c r="A88" s="2" t="s">
        <v>312</v>
      </c>
      <c r="B88" s="2" t="s">
        <v>313</v>
      </c>
      <c r="C88" s="2" t="s">
        <v>807</v>
      </c>
      <c r="D88" s="2"/>
      <c r="E88" s="2"/>
      <c r="F88" s="249"/>
      <c r="G88" s="2" t="s">
        <v>173</v>
      </c>
      <c r="H88" s="7">
        <v>-32828.839999999982</v>
      </c>
      <c r="I88" s="221">
        <v>-1002452.9929552966</v>
      </c>
      <c r="J88" s="3">
        <f t="shared" si="1"/>
        <v>969624.15295529668</v>
      </c>
    </row>
    <row r="89" spans="1:11" x14ac:dyDescent="0.3">
      <c r="A89" s="2" t="s">
        <v>314</v>
      </c>
      <c r="B89" s="2" t="s">
        <v>315</v>
      </c>
      <c r="C89" s="2" t="s">
        <v>107</v>
      </c>
      <c r="D89" s="2"/>
      <c r="E89" s="2"/>
      <c r="F89" s="249"/>
      <c r="G89" s="2" t="s">
        <v>172</v>
      </c>
      <c r="H89" s="7">
        <v>-333967.66000000003</v>
      </c>
      <c r="I89" s="221">
        <v>0</v>
      </c>
      <c r="J89" s="3">
        <f t="shared" si="1"/>
        <v>-333967.66000000003</v>
      </c>
    </row>
    <row r="90" spans="1:11" x14ac:dyDescent="0.3">
      <c r="A90" s="2" t="s">
        <v>316</v>
      </c>
      <c r="B90" s="2" t="s">
        <v>317</v>
      </c>
      <c r="C90" s="2" t="s">
        <v>107</v>
      </c>
      <c r="D90" s="2"/>
      <c r="E90" s="2"/>
      <c r="F90" s="249"/>
      <c r="G90" s="2" t="s">
        <v>172</v>
      </c>
      <c r="H90" s="7">
        <v>-28404.17</v>
      </c>
      <c r="I90" s="221">
        <v>-519.3025718322632</v>
      </c>
      <c r="J90" s="3">
        <f t="shared" si="1"/>
        <v>-27884.867428167734</v>
      </c>
    </row>
    <row r="91" spans="1:11" x14ac:dyDescent="0.3">
      <c r="A91" s="2" t="s">
        <v>318</v>
      </c>
      <c r="B91" s="2" t="s">
        <v>319</v>
      </c>
      <c r="C91" s="2" t="s">
        <v>107</v>
      </c>
      <c r="D91" s="2"/>
      <c r="E91" s="2"/>
      <c r="F91" s="249"/>
      <c r="G91" s="2" t="s">
        <v>172</v>
      </c>
      <c r="H91" s="7">
        <v>-692849.32000000007</v>
      </c>
      <c r="I91" s="221">
        <v>-520556.19948164519</v>
      </c>
      <c r="J91" s="3">
        <f t="shared" si="1"/>
        <v>-172293.12051835487</v>
      </c>
    </row>
    <row r="92" spans="1:11" x14ac:dyDescent="0.3">
      <c r="A92" s="2" t="s">
        <v>320</v>
      </c>
      <c r="B92" s="2" t="s">
        <v>321</v>
      </c>
      <c r="C92" s="2" t="s">
        <v>107</v>
      </c>
      <c r="D92" s="2"/>
      <c r="E92" s="2"/>
      <c r="F92" s="249"/>
      <c r="G92" s="2" t="s">
        <v>172</v>
      </c>
      <c r="H92" s="7">
        <v>-38015.090000000004</v>
      </c>
      <c r="I92" s="221">
        <v>0</v>
      </c>
      <c r="J92" s="3">
        <f t="shared" si="1"/>
        <v>-38015.090000000004</v>
      </c>
    </row>
    <row r="93" spans="1:11" x14ac:dyDescent="0.3">
      <c r="A93" s="2" t="s">
        <v>322</v>
      </c>
      <c r="B93" s="2" t="s">
        <v>323</v>
      </c>
      <c r="C93" s="2" t="s">
        <v>107</v>
      </c>
      <c r="D93" s="2"/>
      <c r="E93" s="2"/>
      <c r="F93" s="249"/>
      <c r="G93" s="2" t="s">
        <v>172</v>
      </c>
      <c r="H93" s="7">
        <v>-8661.9599999999991</v>
      </c>
      <c r="I93" s="221">
        <v>0</v>
      </c>
      <c r="J93" s="3">
        <f t="shared" si="1"/>
        <v>-8661.9599999999991</v>
      </c>
    </row>
    <row r="94" spans="1:11" x14ac:dyDescent="0.3">
      <c r="A94" s="2" t="s">
        <v>324</v>
      </c>
      <c r="B94" s="2" t="s">
        <v>325</v>
      </c>
      <c r="C94" s="2" t="s">
        <v>107</v>
      </c>
      <c r="D94" s="2"/>
      <c r="E94" s="2"/>
      <c r="F94" s="249"/>
      <c r="G94" s="2" t="s">
        <v>172</v>
      </c>
      <c r="H94" s="7">
        <v>-12166.64</v>
      </c>
      <c r="I94" s="221">
        <v>0</v>
      </c>
      <c r="J94" s="3">
        <f t="shared" si="1"/>
        <v>-12166.64</v>
      </c>
    </row>
    <row r="95" spans="1:11" x14ac:dyDescent="0.3">
      <c r="A95" s="2" t="s">
        <v>326</v>
      </c>
      <c r="B95" s="2" t="s">
        <v>327</v>
      </c>
      <c r="C95" s="2" t="s">
        <v>107</v>
      </c>
      <c r="D95" s="2"/>
      <c r="E95" s="2"/>
      <c r="F95" s="249"/>
      <c r="G95" s="2" t="s">
        <v>172</v>
      </c>
      <c r="H95" s="7">
        <v>-10290041.15</v>
      </c>
      <c r="I95" s="221">
        <v>-9245928.526850177</v>
      </c>
      <c r="J95" s="3">
        <f t="shared" si="1"/>
        <v>-1044112.6231498234</v>
      </c>
    </row>
    <row r="96" spans="1:11" x14ac:dyDescent="0.3">
      <c r="A96" s="2" t="s">
        <v>328</v>
      </c>
      <c r="B96" s="2" t="s">
        <v>329</v>
      </c>
      <c r="C96" s="2" t="s">
        <v>107</v>
      </c>
      <c r="D96" s="2"/>
      <c r="E96" s="2"/>
      <c r="F96" s="249"/>
      <c r="G96" s="2" t="s">
        <v>172</v>
      </c>
      <c r="H96" s="7">
        <v>-5144336.99</v>
      </c>
      <c r="I96" s="221">
        <v>-4501342.2193697849</v>
      </c>
      <c r="J96" s="3">
        <f t="shared" si="1"/>
        <v>-642994.77063021529</v>
      </c>
    </row>
    <row r="97" spans="1:10" x14ac:dyDescent="0.3">
      <c r="A97" s="2" t="s">
        <v>330</v>
      </c>
      <c r="B97" s="2" t="s">
        <v>331</v>
      </c>
      <c r="C97" s="2" t="s">
        <v>107</v>
      </c>
      <c r="D97" s="2"/>
      <c r="E97" s="2"/>
      <c r="F97" s="249"/>
      <c r="G97" s="2" t="s">
        <v>172</v>
      </c>
      <c r="H97" s="7">
        <v>-334796.18000000005</v>
      </c>
      <c r="I97" s="221">
        <v>-966780</v>
      </c>
      <c r="J97" s="3">
        <f t="shared" si="1"/>
        <v>631983.81999999995</v>
      </c>
    </row>
    <row r="98" spans="1:10" x14ac:dyDescent="0.3">
      <c r="A98" s="2" t="s">
        <v>334</v>
      </c>
      <c r="B98" s="2" t="s">
        <v>335</v>
      </c>
      <c r="C98" s="2" t="s">
        <v>107</v>
      </c>
      <c r="D98" s="2"/>
      <c r="E98" s="2"/>
      <c r="F98" s="249"/>
      <c r="G98" s="2" t="s">
        <v>172</v>
      </c>
      <c r="H98" s="7">
        <v>-1456724.73</v>
      </c>
      <c r="I98" s="221">
        <v>-195278.32699202772</v>
      </c>
      <c r="J98" s="3">
        <f t="shared" si="1"/>
        <v>-1261446.4030079723</v>
      </c>
    </row>
    <row r="99" spans="1:10" x14ac:dyDescent="0.3">
      <c r="A99" s="2" t="s">
        <v>336</v>
      </c>
      <c r="B99" s="2" t="s">
        <v>337</v>
      </c>
      <c r="C99" s="2" t="s">
        <v>107</v>
      </c>
      <c r="D99" s="2"/>
      <c r="E99" s="2"/>
      <c r="F99" s="249"/>
      <c r="G99" s="248" t="s">
        <v>172</v>
      </c>
      <c r="H99" s="7">
        <v>-4161827.87</v>
      </c>
      <c r="I99" s="221">
        <v>-315571.14894611394</v>
      </c>
      <c r="J99" s="3">
        <f t="shared" si="1"/>
        <v>-3846256.7210538862</v>
      </c>
    </row>
    <row r="100" spans="1:10" x14ac:dyDescent="0.3">
      <c r="A100" s="2" t="s">
        <v>929</v>
      </c>
      <c r="B100" s="2" t="s">
        <v>930</v>
      </c>
      <c r="C100" s="2" t="s">
        <v>107</v>
      </c>
      <c r="D100" s="2"/>
      <c r="E100" s="2"/>
      <c r="F100" s="249"/>
      <c r="G100" s="2" t="s">
        <v>172</v>
      </c>
      <c r="H100" s="7">
        <v>-26306575.300000001</v>
      </c>
      <c r="I100" s="221">
        <v>0</v>
      </c>
      <c r="J100" s="3">
        <f t="shared" si="1"/>
        <v>-26306575.300000001</v>
      </c>
    </row>
    <row r="101" spans="1:10" x14ac:dyDescent="0.3">
      <c r="A101" s="2" t="s">
        <v>338</v>
      </c>
      <c r="B101" s="2" t="s">
        <v>339</v>
      </c>
      <c r="C101" s="2" t="s">
        <v>107</v>
      </c>
      <c r="D101" s="2"/>
      <c r="E101" s="2"/>
      <c r="F101" s="249"/>
      <c r="G101" s="2" t="s">
        <v>172</v>
      </c>
      <c r="H101" s="7">
        <v>-766151.29</v>
      </c>
      <c r="I101" s="221">
        <v>-4455701.3619814906</v>
      </c>
      <c r="J101" s="3">
        <f t="shared" si="1"/>
        <v>3689550.0719814906</v>
      </c>
    </row>
    <row r="102" spans="1:10" x14ac:dyDescent="0.3">
      <c r="A102" s="2" t="s">
        <v>340</v>
      </c>
      <c r="B102" s="2" t="s">
        <v>341</v>
      </c>
      <c r="C102" s="2" t="s">
        <v>107</v>
      </c>
      <c r="D102" s="2"/>
      <c r="E102" s="2"/>
      <c r="F102" s="249"/>
      <c r="G102" s="2" t="s">
        <v>172</v>
      </c>
      <c r="H102" s="7">
        <v>-1423.3899999999999</v>
      </c>
      <c r="I102" s="221">
        <v>-27.994684835583648</v>
      </c>
      <c r="J102" s="3">
        <f t="shared" si="1"/>
        <v>-1395.3953151644162</v>
      </c>
    </row>
    <row r="103" spans="1:10" x14ac:dyDescent="0.3">
      <c r="A103" s="2" t="s">
        <v>342</v>
      </c>
      <c r="B103" s="2" t="s">
        <v>343</v>
      </c>
      <c r="C103" s="2" t="s">
        <v>107</v>
      </c>
      <c r="D103" s="2"/>
      <c r="E103" s="2"/>
      <c r="F103" s="249"/>
      <c r="G103" s="2" t="s">
        <v>172</v>
      </c>
      <c r="H103" s="7">
        <v>-4466532.1399999997</v>
      </c>
      <c r="I103" s="221">
        <v>0</v>
      </c>
      <c r="J103" s="3">
        <f t="shared" si="1"/>
        <v>-4466532.1399999997</v>
      </c>
    </row>
    <row r="104" spans="1:10" x14ac:dyDescent="0.3">
      <c r="A104" s="2" t="s">
        <v>346</v>
      </c>
      <c r="B104" s="2" t="s">
        <v>347</v>
      </c>
      <c r="C104" s="2" t="s">
        <v>107</v>
      </c>
      <c r="D104" s="2"/>
      <c r="E104" s="2"/>
      <c r="F104" s="249"/>
      <c r="G104" s="2" t="s">
        <v>172</v>
      </c>
      <c r="H104" s="7">
        <v>-481105.61</v>
      </c>
      <c r="I104" s="221">
        <v>0</v>
      </c>
      <c r="J104" s="3">
        <f t="shared" si="1"/>
        <v>-481105.61</v>
      </c>
    </row>
    <row r="105" spans="1:10" x14ac:dyDescent="0.3">
      <c r="A105" s="2" t="s">
        <v>350</v>
      </c>
      <c r="B105" s="2" t="s">
        <v>351</v>
      </c>
      <c r="C105" s="2" t="s">
        <v>107</v>
      </c>
      <c r="D105" s="2"/>
      <c r="E105" s="2"/>
      <c r="F105" s="249"/>
      <c r="G105" s="2" t="s">
        <v>172</v>
      </c>
      <c r="H105" s="7">
        <v>-75472.11</v>
      </c>
      <c r="I105" s="221">
        <v>0</v>
      </c>
      <c r="J105" s="3">
        <f t="shared" si="1"/>
        <v>-75472.11</v>
      </c>
    </row>
    <row r="106" spans="1:10" x14ac:dyDescent="0.3">
      <c r="A106" s="2" t="s">
        <v>352</v>
      </c>
      <c r="B106" s="2" t="s">
        <v>353</v>
      </c>
      <c r="C106" s="2" t="s">
        <v>107</v>
      </c>
      <c r="D106" s="2"/>
      <c r="E106" s="2"/>
      <c r="F106" s="249"/>
      <c r="G106" s="2" t="s">
        <v>172</v>
      </c>
      <c r="H106" s="7">
        <v>-619258.31000000006</v>
      </c>
      <c r="I106" s="221">
        <v>0</v>
      </c>
      <c r="J106" s="3">
        <f t="shared" si="1"/>
        <v>-619258.31000000006</v>
      </c>
    </row>
    <row r="107" spans="1:10" x14ac:dyDescent="0.3">
      <c r="A107" s="2" t="s">
        <v>354</v>
      </c>
      <c r="B107" s="2" t="s">
        <v>355</v>
      </c>
      <c r="C107" s="2" t="s">
        <v>107</v>
      </c>
      <c r="D107" s="2"/>
      <c r="E107" s="2"/>
      <c r="F107" s="249"/>
      <c r="G107" s="2" t="s">
        <v>172</v>
      </c>
      <c r="H107" s="7">
        <v>-2194459.17</v>
      </c>
      <c r="I107" s="221">
        <v>-2039804.7649654183</v>
      </c>
      <c r="J107" s="3">
        <f t="shared" si="1"/>
        <v>-154654.40503458166</v>
      </c>
    </row>
    <row r="108" spans="1:10" x14ac:dyDescent="0.3">
      <c r="A108" s="2" t="s">
        <v>356</v>
      </c>
      <c r="B108" s="2" t="s">
        <v>357</v>
      </c>
      <c r="C108" s="2" t="s">
        <v>107</v>
      </c>
      <c r="D108" s="2"/>
      <c r="E108" s="2"/>
      <c r="F108" s="249"/>
      <c r="G108" s="2" t="s">
        <v>172</v>
      </c>
      <c r="H108" s="7">
        <v>-27766.219999999998</v>
      </c>
      <c r="I108" s="221">
        <v>-47.150131837136961</v>
      </c>
      <c r="J108" s="3">
        <f t="shared" si="1"/>
        <v>-27719.06986816286</v>
      </c>
    </row>
    <row r="109" spans="1:10" x14ac:dyDescent="0.3">
      <c r="A109" s="2" t="s">
        <v>358</v>
      </c>
      <c r="B109" s="2" t="s">
        <v>359</v>
      </c>
      <c r="C109" s="2" t="s">
        <v>107</v>
      </c>
      <c r="D109" s="2"/>
      <c r="E109" s="2"/>
      <c r="F109" s="249"/>
      <c r="G109" s="2" t="s">
        <v>172</v>
      </c>
      <c r="H109" s="7">
        <v>-2406.3499999999995</v>
      </c>
      <c r="I109" s="221">
        <v>-8.220930000000001</v>
      </c>
      <c r="J109" s="3">
        <f t="shared" si="1"/>
        <v>-2398.1290699999995</v>
      </c>
    </row>
    <row r="110" spans="1:10" x14ac:dyDescent="0.3">
      <c r="A110" s="2" t="s">
        <v>360</v>
      </c>
      <c r="B110" s="2" t="s">
        <v>361</v>
      </c>
      <c r="C110" s="2" t="s">
        <v>158</v>
      </c>
      <c r="D110" s="2"/>
      <c r="E110" s="2"/>
      <c r="F110" s="249"/>
      <c r="G110" s="248" t="s">
        <v>172</v>
      </c>
      <c r="H110" s="7">
        <v>-1462705.48</v>
      </c>
      <c r="I110" s="221">
        <v>-2612889.5491013769</v>
      </c>
      <c r="J110" s="3">
        <f t="shared" si="1"/>
        <v>1150184.0691013769</v>
      </c>
    </row>
    <row r="111" spans="1:10" x14ac:dyDescent="0.3">
      <c r="A111" s="2" t="s">
        <v>362</v>
      </c>
      <c r="B111" s="2" t="s">
        <v>363</v>
      </c>
      <c r="C111" s="2" t="s">
        <v>107</v>
      </c>
      <c r="D111" s="2"/>
      <c r="E111" s="2"/>
      <c r="F111" s="249"/>
      <c r="G111" s="2" t="s">
        <v>172</v>
      </c>
      <c r="H111" s="7">
        <v>-76346.58</v>
      </c>
      <c r="I111" s="221">
        <v>0</v>
      </c>
      <c r="J111" s="3">
        <f t="shared" si="1"/>
        <v>-76346.58</v>
      </c>
    </row>
    <row r="112" spans="1:10" x14ac:dyDescent="0.3">
      <c r="A112" s="2" t="s">
        <v>364</v>
      </c>
      <c r="B112" s="2" t="s">
        <v>365</v>
      </c>
      <c r="C112" s="2" t="s">
        <v>107</v>
      </c>
      <c r="D112" s="2"/>
      <c r="E112" s="2"/>
      <c r="F112" s="249"/>
      <c r="G112" s="2" t="s">
        <v>172</v>
      </c>
      <c r="H112" s="7">
        <v>-9827167.8300000019</v>
      </c>
      <c r="I112" s="221">
        <v>-4646610.824600324</v>
      </c>
      <c r="J112" s="3">
        <f t="shared" si="1"/>
        <v>-5180557.0053996779</v>
      </c>
    </row>
    <row r="113" spans="1:11" x14ac:dyDescent="0.3">
      <c r="A113" s="2" t="s">
        <v>366</v>
      </c>
      <c r="B113" s="2" t="s">
        <v>367</v>
      </c>
      <c r="C113" s="2" t="s">
        <v>107</v>
      </c>
      <c r="D113" s="2"/>
      <c r="E113" s="2"/>
      <c r="F113" s="249"/>
      <c r="G113" s="2" t="s">
        <v>172</v>
      </c>
      <c r="H113" s="7">
        <v>-12479.72</v>
      </c>
      <c r="I113" s="221">
        <v>0</v>
      </c>
      <c r="J113" s="3">
        <f t="shared" si="1"/>
        <v>-12479.72</v>
      </c>
    </row>
    <row r="114" spans="1:11" x14ac:dyDescent="0.3">
      <c r="A114" s="2" t="s">
        <v>931</v>
      </c>
      <c r="B114" s="2" t="s">
        <v>932</v>
      </c>
      <c r="C114" s="2" t="s">
        <v>107</v>
      </c>
      <c r="D114" s="2"/>
      <c r="E114" s="2"/>
      <c r="F114" s="249"/>
      <c r="G114" s="248" t="s">
        <v>172</v>
      </c>
      <c r="H114" s="7">
        <v>-84891.27</v>
      </c>
      <c r="I114" s="221">
        <v>0</v>
      </c>
      <c r="J114" s="3">
        <f t="shared" si="1"/>
        <v>-84891.27</v>
      </c>
    </row>
    <row r="115" spans="1:11" x14ac:dyDescent="0.3">
      <c r="A115" s="2" t="s">
        <v>368</v>
      </c>
      <c r="B115" s="2" t="s">
        <v>369</v>
      </c>
      <c r="C115" s="2" t="s">
        <v>107</v>
      </c>
      <c r="D115" s="2"/>
      <c r="E115" s="2"/>
      <c r="F115" s="249"/>
      <c r="G115" s="248" t="s">
        <v>172</v>
      </c>
      <c r="H115" s="7">
        <v>-108514.34</v>
      </c>
      <c r="I115" s="221">
        <v>-361.50202961105344</v>
      </c>
      <c r="J115" s="3">
        <f t="shared" si="1"/>
        <v>-108152.83797038894</v>
      </c>
    </row>
    <row r="116" spans="1:11" x14ac:dyDescent="0.3">
      <c r="A116" s="2" t="s">
        <v>370</v>
      </c>
      <c r="B116" s="2" t="s">
        <v>371</v>
      </c>
      <c r="C116" s="2" t="s">
        <v>107</v>
      </c>
      <c r="D116" s="2"/>
      <c r="E116" s="2"/>
      <c r="F116" s="249"/>
      <c r="G116" s="2" t="s">
        <v>172</v>
      </c>
      <c r="H116" s="7">
        <v>-2603299.02</v>
      </c>
      <c r="I116" s="221">
        <v>-1306704.4822524022</v>
      </c>
      <c r="J116" s="3">
        <f t="shared" si="1"/>
        <v>-1296594.5377475978</v>
      </c>
    </row>
    <row r="117" spans="1:11" x14ac:dyDescent="0.3">
      <c r="A117" s="2" t="s">
        <v>373</v>
      </c>
      <c r="B117" s="2" t="s">
        <v>374</v>
      </c>
      <c r="C117" s="2" t="s">
        <v>107</v>
      </c>
      <c r="D117" s="2"/>
      <c r="E117" s="2"/>
      <c r="F117" s="249"/>
      <c r="G117" s="2" t="s">
        <v>172</v>
      </c>
      <c r="H117" s="7">
        <v>-272266.40000000002</v>
      </c>
      <c r="I117" s="221">
        <v>0</v>
      </c>
      <c r="J117" s="3">
        <f t="shared" si="1"/>
        <v>-272266.40000000002</v>
      </c>
    </row>
    <row r="118" spans="1:11" x14ac:dyDescent="0.3">
      <c r="A118" s="2" t="s">
        <v>375</v>
      </c>
      <c r="B118" s="2" t="s">
        <v>376</v>
      </c>
      <c r="C118" s="2" t="s">
        <v>107</v>
      </c>
      <c r="D118" s="2"/>
      <c r="E118" s="2"/>
      <c r="F118" s="249"/>
      <c r="G118" s="2" t="s">
        <v>172</v>
      </c>
      <c r="H118" s="7">
        <v>-7085.23</v>
      </c>
      <c r="I118" s="221">
        <v>0</v>
      </c>
      <c r="J118" s="3">
        <f t="shared" si="1"/>
        <v>-7085.23</v>
      </c>
    </row>
    <row r="119" spans="1:11" x14ac:dyDescent="0.3">
      <c r="A119" s="2" t="s">
        <v>379</v>
      </c>
      <c r="B119" s="2" t="s">
        <v>380</v>
      </c>
      <c r="C119" s="2" t="s">
        <v>107</v>
      </c>
      <c r="D119" s="2"/>
      <c r="E119" s="2"/>
      <c r="F119" s="249"/>
      <c r="G119" s="2" t="s">
        <v>172</v>
      </c>
      <c r="H119" s="7">
        <v>-1555245.8742493314</v>
      </c>
      <c r="I119" s="221">
        <v>0</v>
      </c>
      <c r="J119" s="3">
        <f t="shared" si="1"/>
        <v>-1555245.8742493314</v>
      </c>
    </row>
    <row r="120" spans="1:11" x14ac:dyDescent="0.3">
      <c r="A120" s="2" t="s">
        <v>381</v>
      </c>
      <c r="B120" s="2" t="s">
        <v>382</v>
      </c>
      <c r="C120" s="2" t="s">
        <v>158</v>
      </c>
      <c r="D120" s="2"/>
      <c r="E120" s="2"/>
      <c r="F120" s="249"/>
      <c r="G120" s="2" t="s">
        <v>172</v>
      </c>
      <c r="H120" s="7">
        <v>-480.01</v>
      </c>
      <c r="I120" s="221">
        <v>0</v>
      </c>
      <c r="J120" s="3">
        <f t="shared" si="1"/>
        <v>-480.01</v>
      </c>
    </row>
    <row r="121" spans="1:11" x14ac:dyDescent="0.3">
      <c r="A121" s="2" t="s">
        <v>383</v>
      </c>
      <c r="B121" s="2" t="s">
        <v>384</v>
      </c>
      <c r="C121" s="2" t="s">
        <v>158</v>
      </c>
      <c r="D121" s="2"/>
      <c r="E121" s="2"/>
      <c r="F121" s="249"/>
      <c r="G121" s="2" t="s">
        <v>172</v>
      </c>
      <c r="H121" s="7">
        <v>-267.82999999999947</v>
      </c>
      <c r="I121" s="221">
        <v>0</v>
      </c>
      <c r="J121" s="3">
        <f t="shared" si="1"/>
        <v>-267.82999999999947</v>
      </c>
    </row>
    <row r="122" spans="1:11" x14ac:dyDescent="0.3">
      <c r="A122" s="2" t="s">
        <v>933</v>
      </c>
      <c r="B122" s="2" t="s">
        <v>934</v>
      </c>
      <c r="C122" s="2" t="s">
        <v>158</v>
      </c>
      <c r="D122" s="2"/>
      <c r="E122" s="2"/>
      <c r="F122" s="249"/>
      <c r="G122" s="2" t="s">
        <v>172</v>
      </c>
      <c r="H122" s="7">
        <v>-440382.14999999997</v>
      </c>
      <c r="I122" s="221">
        <v>0</v>
      </c>
      <c r="J122" s="3">
        <f t="shared" si="1"/>
        <v>-440382.14999999997</v>
      </c>
    </row>
    <row r="123" spans="1:11" x14ac:dyDescent="0.3">
      <c r="A123" s="2" t="s">
        <v>385</v>
      </c>
      <c r="B123" s="2" t="s">
        <v>386</v>
      </c>
      <c r="C123" s="2" t="s">
        <v>107</v>
      </c>
      <c r="D123" s="2"/>
      <c r="E123" s="2"/>
      <c r="F123" s="249"/>
      <c r="G123" s="2" t="s">
        <v>172</v>
      </c>
      <c r="H123" s="7">
        <v>-28240.09</v>
      </c>
      <c r="I123" s="221">
        <v>-291.34078131383092</v>
      </c>
      <c r="J123" s="3">
        <f t="shared" si="1"/>
        <v>-27948.749218686171</v>
      </c>
    </row>
    <row r="124" spans="1:11" x14ac:dyDescent="0.3">
      <c r="A124" s="2" t="s">
        <v>387</v>
      </c>
      <c r="B124" s="2" t="s">
        <v>388</v>
      </c>
      <c r="C124" s="2" t="s">
        <v>107</v>
      </c>
      <c r="D124" s="2"/>
      <c r="E124" s="2"/>
      <c r="F124" s="249"/>
      <c r="G124" s="2" t="s">
        <v>172</v>
      </c>
      <c r="H124" s="7">
        <v>-226808.65</v>
      </c>
      <c r="I124" s="221">
        <v>0</v>
      </c>
      <c r="J124" s="3">
        <f t="shared" si="1"/>
        <v>-226808.65</v>
      </c>
    </row>
    <row r="125" spans="1:11" x14ac:dyDescent="0.3">
      <c r="A125" s="2" t="s">
        <v>389</v>
      </c>
      <c r="B125" s="2" t="s">
        <v>390</v>
      </c>
      <c r="C125" s="2" t="s">
        <v>107</v>
      </c>
      <c r="D125" s="2"/>
      <c r="E125" s="2"/>
      <c r="F125" s="249"/>
      <c r="G125" s="2" t="s">
        <v>172</v>
      </c>
      <c r="H125" s="7">
        <v>-1386.4999999999998</v>
      </c>
      <c r="I125" s="221">
        <v>-12794.258073584531</v>
      </c>
      <c r="J125" s="3">
        <f t="shared" si="1"/>
        <v>11407.758073584531</v>
      </c>
    </row>
    <row r="126" spans="1:11" x14ac:dyDescent="0.3">
      <c r="A126" s="2" t="s">
        <v>391</v>
      </c>
      <c r="B126" s="2" t="s">
        <v>392</v>
      </c>
      <c r="C126" s="2" t="s">
        <v>107</v>
      </c>
      <c r="D126" s="2"/>
      <c r="E126" s="2"/>
      <c r="F126" s="249"/>
      <c r="G126" s="2" t="s">
        <v>172</v>
      </c>
      <c r="H126" s="7">
        <v>-36492.78</v>
      </c>
      <c r="I126" s="221">
        <v>0</v>
      </c>
      <c r="J126" s="3">
        <f t="shared" si="1"/>
        <v>-36492.78</v>
      </c>
      <c r="K126" t="s">
        <v>865</v>
      </c>
    </row>
    <row r="127" spans="1:11" x14ac:dyDescent="0.3">
      <c r="A127" s="2" t="s">
        <v>393</v>
      </c>
      <c r="B127" s="2" t="s">
        <v>394</v>
      </c>
      <c r="C127" s="2" t="s">
        <v>107</v>
      </c>
      <c r="D127" s="2"/>
      <c r="E127" s="2"/>
      <c r="F127" s="249"/>
      <c r="G127" s="2" t="s">
        <v>172</v>
      </c>
      <c r="H127" s="7">
        <v>-3485416.2700000009</v>
      </c>
      <c r="I127" s="221">
        <v>-3095100.5623999964</v>
      </c>
      <c r="J127" s="3">
        <f t="shared" si="1"/>
        <v>-390315.70760000451</v>
      </c>
    </row>
    <row r="128" spans="1:11" x14ac:dyDescent="0.3">
      <c r="A128" s="2" t="s">
        <v>397</v>
      </c>
      <c r="B128" s="2" t="s">
        <v>398</v>
      </c>
      <c r="C128" s="2" t="s">
        <v>107</v>
      </c>
      <c r="D128" s="2" t="s">
        <v>12</v>
      </c>
      <c r="E128" s="2" t="s">
        <v>45</v>
      </c>
      <c r="F128" s="249"/>
      <c r="G128" s="248" t="s">
        <v>175</v>
      </c>
      <c r="H128" s="7"/>
      <c r="I128" s="221"/>
      <c r="J128" s="3">
        <f t="shared" si="1"/>
        <v>0</v>
      </c>
      <c r="K128" t="s">
        <v>1966</v>
      </c>
    </row>
    <row r="129" spans="1:11" x14ac:dyDescent="0.3">
      <c r="A129" s="2" t="s">
        <v>399</v>
      </c>
      <c r="B129" s="2" t="s">
        <v>400</v>
      </c>
      <c r="C129" s="2" t="s">
        <v>107</v>
      </c>
      <c r="D129" s="2" t="s">
        <v>26</v>
      </c>
      <c r="E129" s="2" t="s">
        <v>26</v>
      </c>
      <c r="F129" s="249" t="s">
        <v>845</v>
      </c>
      <c r="G129" s="2" t="s">
        <v>175</v>
      </c>
      <c r="H129" s="7">
        <v>-423.68</v>
      </c>
      <c r="I129" s="221">
        <v>-1007314.4742219325</v>
      </c>
      <c r="J129" s="3">
        <f t="shared" si="1"/>
        <v>1006890.7942219324</v>
      </c>
    </row>
    <row r="130" spans="1:11" x14ac:dyDescent="0.3">
      <c r="A130" s="2" t="s">
        <v>403</v>
      </c>
      <c r="B130" s="2" t="s">
        <v>404</v>
      </c>
      <c r="C130" s="2" t="s">
        <v>107</v>
      </c>
      <c r="D130" s="2" t="s">
        <v>12</v>
      </c>
      <c r="E130" s="2" t="s">
        <v>45</v>
      </c>
      <c r="F130" s="249"/>
      <c r="G130" s="2" t="s">
        <v>175</v>
      </c>
      <c r="H130" s="7"/>
      <c r="I130" s="221"/>
      <c r="J130" s="3">
        <f t="shared" si="1"/>
        <v>0</v>
      </c>
      <c r="K130" t="s">
        <v>1967</v>
      </c>
    </row>
    <row r="131" spans="1:11" x14ac:dyDescent="0.3">
      <c r="A131" s="2" t="s">
        <v>405</v>
      </c>
      <c r="B131" s="2" t="s">
        <v>406</v>
      </c>
      <c r="C131" s="2" t="s">
        <v>107</v>
      </c>
      <c r="D131" s="2" t="s">
        <v>15</v>
      </c>
      <c r="E131" s="2" t="s">
        <v>41</v>
      </c>
      <c r="F131" s="249" t="s">
        <v>848</v>
      </c>
      <c r="G131" s="2" t="s">
        <v>175</v>
      </c>
      <c r="H131" s="7">
        <v>-5194074.5275619645</v>
      </c>
      <c r="I131" s="221">
        <v>-10122925.179183614</v>
      </c>
      <c r="J131" s="3">
        <f t="shared" si="1"/>
        <v>4928850.651621649</v>
      </c>
    </row>
    <row r="132" spans="1:11" x14ac:dyDescent="0.3">
      <c r="A132" s="2" t="s">
        <v>407</v>
      </c>
      <c r="B132" s="2" t="s">
        <v>408</v>
      </c>
      <c r="C132" s="2" t="s">
        <v>107</v>
      </c>
      <c r="D132" s="2" t="s">
        <v>15</v>
      </c>
      <c r="E132" s="2" t="s">
        <v>41</v>
      </c>
      <c r="F132" s="249" t="s">
        <v>848</v>
      </c>
      <c r="G132" s="2" t="s">
        <v>175</v>
      </c>
      <c r="H132" s="7">
        <v>-499538.91000000003</v>
      </c>
      <c r="I132" s="221">
        <v>-1434359.9340381329</v>
      </c>
      <c r="J132" s="3">
        <f t="shared" si="1"/>
        <v>934821.02403813286</v>
      </c>
    </row>
    <row r="133" spans="1:11" x14ac:dyDescent="0.3">
      <c r="A133" s="2" t="s">
        <v>409</v>
      </c>
      <c r="B133" s="2" t="s">
        <v>410</v>
      </c>
      <c r="C133" s="2" t="s">
        <v>107</v>
      </c>
      <c r="D133" s="2" t="s">
        <v>15</v>
      </c>
      <c r="E133" s="2" t="s">
        <v>41</v>
      </c>
      <c r="F133" s="249" t="s">
        <v>848</v>
      </c>
      <c r="G133" s="2" t="s">
        <v>175</v>
      </c>
      <c r="H133" s="7">
        <v>-155913.93</v>
      </c>
      <c r="I133" s="221">
        <v>0</v>
      </c>
      <c r="J133" s="3">
        <f t="shared" si="1"/>
        <v>-155913.93</v>
      </c>
    </row>
    <row r="134" spans="1:11" x14ac:dyDescent="0.3">
      <c r="A134" s="2" t="s">
        <v>411</v>
      </c>
      <c r="B134" s="2" t="s">
        <v>412</v>
      </c>
      <c r="C134" s="2" t="s">
        <v>107</v>
      </c>
      <c r="D134" s="2" t="s">
        <v>4</v>
      </c>
      <c r="E134" s="2" t="s">
        <v>818</v>
      </c>
      <c r="F134" s="249" t="s">
        <v>847</v>
      </c>
      <c r="G134" s="2" t="s">
        <v>175</v>
      </c>
      <c r="H134" s="7">
        <v>14562652.299999999</v>
      </c>
      <c r="I134" s="221">
        <v>6382400.0000000037</v>
      </c>
      <c r="J134" s="3">
        <f t="shared" ref="J134:J197" si="2">H134-I134</f>
        <v>8180252.2999999952</v>
      </c>
    </row>
    <row r="135" spans="1:11" x14ac:dyDescent="0.3">
      <c r="A135" s="2" t="s">
        <v>413</v>
      </c>
      <c r="B135" s="2" t="s">
        <v>414</v>
      </c>
      <c r="C135" s="2" t="s">
        <v>107</v>
      </c>
      <c r="D135" s="2" t="s">
        <v>6</v>
      </c>
      <c r="E135" s="2" t="s">
        <v>818</v>
      </c>
      <c r="F135" s="249" t="s">
        <v>847</v>
      </c>
      <c r="G135" s="2" t="s">
        <v>175</v>
      </c>
      <c r="H135" s="7">
        <v>-8041.6500000000005</v>
      </c>
      <c r="I135" s="221">
        <v>-3258429.238160836</v>
      </c>
      <c r="J135" s="3">
        <f t="shared" si="2"/>
        <v>3250387.5881608361</v>
      </c>
    </row>
    <row r="136" spans="1:11" x14ac:dyDescent="0.3">
      <c r="A136" s="2" t="s">
        <v>415</v>
      </c>
      <c r="B136" s="2" t="s">
        <v>416</v>
      </c>
      <c r="C136" s="2" t="s">
        <v>107</v>
      </c>
      <c r="D136" s="2" t="s">
        <v>6</v>
      </c>
      <c r="E136" s="2" t="s">
        <v>818</v>
      </c>
      <c r="F136" s="249" t="s">
        <v>847</v>
      </c>
      <c r="G136" s="2" t="s">
        <v>175</v>
      </c>
      <c r="H136" s="7">
        <v>-5512507.0853848783</v>
      </c>
      <c r="I136" s="221">
        <v>-3452.753015949349</v>
      </c>
      <c r="J136" s="3">
        <f t="shared" si="2"/>
        <v>-5509054.3323689289</v>
      </c>
    </row>
    <row r="137" spans="1:11" x14ac:dyDescent="0.3">
      <c r="A137" s="2" t="s">
        <v>417</v>
      </c>
      <c r="B137" s="2" t="s">
        <v>418</v>
      </c>
      <c r="C137" s="2" t="s">
        <v>107</v>
      </c>
      <c r="D137" s="2" t="s">
        <v>6</v>
      </c>
      <c r="E137" s="2" t="s">
        <v>818</v>
      </c>
      <c r="F137" s="249" t="s">
        <v>847</v>
      </c>
      <c r="G137" s="2" t="s">
        <v>175</v>
      </c>
      <c r="H137" s="7">
        <v>-7582881.0731643969</v>
      </c>
      <c r="I137" s="221">
        <v>-17543.818873808475</v>
      </c>
      <c r="J137" s="3">
        <f t="shared" si="2"/>
        <v>-7565337.2542905882</v>
      </c>
    </row>
    <row r="138" spans="1:11" x14ac:dyDescent="0.3">
      <c r="A138" s="2" t="s">
        <v>419</v>
      </c>
      <c r="B138" s="2" t="s">
        <v>420</v>
      </c>
      <c r="C138" s="2" t="s">
        <v>107</v>
      </c>
      <c r="D138" s="2" t="s">
        <v>6</v>
      </c>
      <c r="E138" s="2" t="s">
        <v>818</v>
      </c>
      <c r="F138" s="249" t="s">
        <v>847</v>
      </c>
      <c r="G138" s="2" t="s">
        <v>175</v>
      </c>
      <c r="H138" s="7">
        <v>-646283.88695918606</v>
      </c>
      <c r="I138" s="221">
        <v>0</v>
      </c>
      <c r="J138" s="3">
        <f t="shared" si="2"/>
        <v>-646283.88695918606</v>
      </c>
    </row>
    <row r="139" spans="1:11" x14ac:dyDescent="0.3">
      <c r="A139" s="2" t="s">
        <v>421</v>
      </c>
      <c r="B139" s="2" t="s">
        <v>422</v>
      </c>
      <c r="C139" s="2" t="s">
        <v>107</v>
      </c>
      <c r="D139" s="2" t="s">
        <v>6</v>
      </c>
      <c r="E139" s="2" t="s">
        <v>818</v>
      </c>
      <c r="F139" s="249" t="s">
        <v>847</v>
      </c>
      <c r="G139" s="2" t="s">
        <v>175</v>
      </c>
      <c r="H139" s="7">
        <v>-30083911.437621254</v>
      </c>
      <c r="I139" s="221">
        <v>-328048.10019989865</v>
      </c>
      <c r="J139" s="3">
        <f t="shared" si="2"/>
        <v>-29755863.337421358</v>
      </c>
    </row>
    <row r="140" spans="1:11" x14ac:dyDescent="0.3">
      <c r="A140" s="2" t="s">
        <v>423</v>
      </c>
      <c r="B140" s="2" t="s">
        <v>424</v>
      </c>
      <c r="C140" s="2" t="s">
        <v>107</v>
      </c>
      <c r="D140" s="2" t="s">
        <v>6</v>
      </c>
      <c r="E140" s="2" t="s">
        <v>818</v>
      </c>
      <c r="F140" s="249" t="s">
        <v>847</v>
      </c>
      <c r="G140" s="2" t="s">
        <v>175</v>
      </c>
      <c r="H140" s="7">
        <v>-7266526.9215241875</v>
      </c>
      <c r="I140" s="221">
        <v>-449542.03568699415</v>
      </c>
      <c r="J140" s="3">
        <f t="shared" si="2"/>
        <v>-6816984.8858371936</v>
      </c>
    </row>
    <row r="141" spans="1:11" x14ac:dyDescent="0.3">
      <c r="A141" s="2" t="s">
        <v>425</v>
      </c>
      <c r="B141" s="2" t="s">
        <v>426</v>
      </c>
      <c r="C141" s="2" t="s">
        <v>107</v>
      </c>
      <c r="D141" s="2" t="s">
        <v>6</v>
      </c>
      <c r="E141" s="2" t="s">
        <v>818</v>
      </c>
      <c r="F141" s="249" t="s">
        <v>847</v>
      </c>
      <c r="G141" s="2" t="s">
        <v>175</v>
      </c>
      <c r="H141" s="7">
        <v>-16922789.327885289</v>
      </c>
      <c r="I141" s="221">
        <v>-251838.00168329367</v>
      </c>
      <c r="J141" s="3">
        <f t="shared" si="2"/>
        <v>-16670951.326201996</v>
      </c>
    </row>
    <row r="142" spans="1:11" x14ac:dyDescent="0.3">
      <c r="A142" s="2" t="s">
        <v>427</v>
      </c>
      <c r="B142" s="2" t="s">
        <v>428</v>
      </c>
      <c r="C142" s="2" t="s">
        <v>107</v>
      </c>
      <c r="D142" s="2" t="s">
        <v>6</v>
      </c>
      <c r="E142" s="2" t="s">
        <v>818</v>
      </c>
      <c r="F142" s="249" t="s">
        <v>847</v>
      </c>
      <c r="G142" s="2" t="s">
        <v>175</v>
      </c>
      <c r="H142" s="7">
        <v>-15356014.49040377</v>
      </c>
      <c r="I142" s="221">
        <v>-194567.04748128986</v>
      </c>
      <c r="J142" s="3">
        <f t="shared" si="2"/>
        <v>-15161447.44292248</v>
      </c>
    </row>
    <row r="143" spans="1:11" x14ac:dyDescent="0.3">
      <c r="A143" s="2" t="s">
        <v>429</v>
      </c>
      <c r="B143" s="2" t="s">
        <v>430</v>
      </c>
      <c r="C143" s="2" t="s">
        <v>107</v>
      </c>
      <c r="D143" s="2" t="s">
        <v>26</v>
      </c>
      <c r="E143" s="2" t="s">
        <v>26</v>
      </c>
      <c r="F143" s="249" t="s">
        <v>845</v>
      </c>
      <c r="G143" s="2" t="s">
        <v>175</v>
      </c>
      <c r="H143" s="7">
        <v>779464.2824756623</v>
      </c>
      <c r="I143" s="221">
        <v>0</v>
      </c>
      <c r="J143" s="3">
        <f t="shared" si="2"/>
        <v>779464.2824756623</v>
      </c>
    </row>
    <row r="144" spans="1:11" x14ac:dyDescent="0.3">
      <c r="A144" s="2" t="s">
        <v>431</v>
      </c>
      <c r="B144" s="2" t="s">
        <v>432</v>
      </c>
      <c r="C144" s="2" t="s">
        <v>107</v>
      </c>
      <c r="D144" s="2" t="s">
        <v>19</v>
      </c>
      <c r="E144" s="2" t="s">
        <v>41</v>
      </c>
      <c r="F144" s="249" t="s">
        <v>850</v>
      </c>
      <c r="G144" s="2" t="s">
        <v>175</v>
      </c>
      <c r="H144" s="7">
        <v>734743.39999999991</v>
      </c>
      <c r="I144" s="221">
        <v>0</v>
      </c>
      <c r="J144" s="3">
        <f t="shared" si="2"/>
        <v>734743.39999999991</v>
      </c>
    </row>
    <row r="145" spans="1:10" x14ac:dyDescent="0.3">
      <c r="A145" s="2" t="s">
        <v>433</v>
      </c>
      <c r="B145" s="2" t="s">
        <v>434</v>
      </c>
      <c r="C145" s="2" t="s">
        <v>107</v>
      </c>
      <c r="D145" s="2" t="s">
        <v>23</v>
      </c>
      <c r="E145" s="2" t="s">
        <v>818</v>
      </c>
      <c r="F145" s="249" t="s">
        <v>847</v>
      </c>
      <c r="G145" s="2" t="s">
        <v>175</v>
      </c>
      <c r="H145" s="7">
        <v>-810990.75939100282</v>
      </c>
      <c r="I145" s="221">
        <v>-1757174.0094785567</v>
      </c>
      <c r="J145" s="3">
        <f t="shared" si="2"/>
        <v>946183.25008755387</v>
      </c>
    </row>
    <row r="146" spans="1:10" x14ac:dyDescent="0.3">
      <c r="A146" s="2" t="s">
        <v>435</v>
      </c>
      <c r="B146" s="2" t="s">
        <v>436</v>
      </c>
      <c r="C146" s="2" t="s">
        <v>107</v>
      </c>
      <c r="D146" s="2" t="s">
        <v>23</v>
      </c>
      <c r="E146" s="2" t="s">
        <v>818</v>
      </c>
      <c r="F146" s="249" t="s">
        <v>847</v>
      </c>
      <c r="G146" s="2" t="s">
        <v>175</v>
      </c>
      <c r="H146" s="7">
        <v>-1131792.849469675</v>
      </c>
      <c r="I146" s="221">
        <v>-2096.7850320589341</v>
      </c>
      <c r="J146" s="3">
        <f t="shared" si="2"/>
        <v>-1129696.0644376162</v>
      </c>
    </row>
    <row r="147" spans="1:10" x14ac:dyDescent="0.3">
      <c r="A147" s="2" t="s">
        <v>439</v>
      </c>
      <c r="B147" s="2" t="s">
        <v>440</v>
      </c>
      <c r="C147" s="2" t="s">
        <v>107</v>
      </c>
      <c r="D147" s="2" t="s">
        <v>23</v>
      </c>
      <c r="E147" s="2" t="s">
        <v>818</v>
      </c>
      <c r="F147" s="249" t="s">
        <v>847</v>
      </c>
      <c r="G147" s="2" t="s">
        <v>175</v>
      </c>
      <c r="H147" s="7">
        <v>-3259646.2076432169</v>
      </c>
      <c r="I147" s="221">
        <v>-129512.63623745092</v>
      </c>
      <c r="J147" s="3">
        <f t="shared" si="2"/>
        <v>-3130133.5714057661</v>
      </c>
    </row>
    <row r="148" spans="1:10" x14ac:dyDescent="0.3">
      <c r="A148" s="2" t="s">
        <v>441</v>
      </c>
      <c r="B148" s="2" t="s">
        <v>442</v>
      </c>
      <c r="C148" s="2" t="s">
        <v>107</v>
      </c>
      <c r="D148" s="2" t="s">
        <v>23</v>
      </c>
      <c r="E148" s="2" t="s">
        <v>818</v>
      </c>
      <c r="F148" s="249" t="s">
        <v>847</v>
      </c>
      <c r="G148" s="2" t="s">
        <v>175</v>
      </c>
      <c r="H148" s="7">
        <v>-13148591.727722567</v>
      </c>
      <c r="I148" s="221">
        <v>-939758.49658805644</v>
      </c>
      <c r="J148" s="3">
        <f t="shared" si="2"/>
        <v>-12208833.23113451</v>
      </c>
    </row>
    <row r="149" spans="1:10" x14ac:dyDescent="0.3">
      <c r="A149" s="2" t="s">
        <v>443</v>
      </c>
      <c r="B149" s="2" t="s">
        <v>444</v>
      </c>
      <c r="C149" s="2" t="s">
        <v>107</v>
      </c>
      <c r="D149" s="2" t="s">
        <v>23</v>
      </c>
      <c r="E149" s="2" t="s">
        <v>818</v>
      </c>
      <c r="F149" s="249" t="s">
        <v>847</v>
      </c>
      <c r="G149" s="2" t="s">
        <v>175</v>
      </c>
      <c r="H149" s="7">
        <v>-2124295.2299937215</v>
      </c>
      <c r="I149" s="221">
        <v>-1273712.1873202061</v>
      </c>
      <c r="J149" s="3">
        <f t="shared" si="2"/>
        <v>-850583.04267351539</v>
      </c>
    </row>
    <row r="150" spans="1:10" x14ac:dyDescent="0.3">
      <c r="A150" s="2" t="s">
        <v>445</v>
      </c>
      <c r="B150" s="2" t="s">
        <v>446</v>
      </c>
      <c r="C150" s="2" t="s">
        <v>107</v>
      </c>
      <c r="D150" s="2" t="s">
        <v>23</v>
      </c>
      <c r="E150" s="2" t="s">
        <v>818</v>
      </c>
      <c r="F150" s="249" t="s">
        <v>847</v>
      </c>
      <c r="G150" s="2" t="s">
        <v>175</v>
      </c>
      <c r="H150" s="7">
        <v>-1637663</v>
      </c>
      <c r="I150" s="221">
        <v>-42777.416438186134</v>
      </c>
      <c r="J150" s="3">
        <f t="shared" si="2"/>
        <v>-1594885.5835618139</v>
      </c>
    </row>
    <row r="151" spans="1:10" x14ac:dyDescent="0.3">
      <c r="A151" s="2" t="s">
        <v>447</v>
      </c>
      <c r="B151" s="2" t="s">
        <v>448</v>
      </c>
      <c r="C151" s="2" t="s">
        <v>107</v>
      </c>
      <c r="D151" s="2" t="s">
        <v>26</v>
      </c>
      <c r="E151" s="2" t="s">
        <v>26</v>
      </c>
      <c r="F151" s="249" t="s">
        <v>845</v>
      </c>
      <c r="G151" s="2" t="s">
        <v>175</v>
      </c>
      <c r="H151" s="7">
        <v>-757576.12361765897</v>
      </c>
      <c r="I151" s="221">
        <v>-197094.4790335955</v>
      </c>
      <c r="J151" s="3">
        <f t="shared" si="2"/>
        <v>-560481.64458406344</v>
      </c>
    </row>
    <row r="152" spans="1:10" x14ac:dyDescent="0.3">
      <c r="A152" s="2" t="s">
        <v>935</v>
      </c>
      <c r="B152" s="2" t="s">
        <v>936</v>
      </c>
      <c r="C152" s="2" t="s">
        <v>107</v>
      </c>
      <c r="D152" s="2" t="s">
        <v>26</v>
      </c>
      <c r="E152" s="2" t="s">
        <v>26</v>
      </c>
      <c r="F152" s="249" t="s">
        <v>845</v>
      </c>
      <c r="G152" s="2" t="s">
        <v>175</v>
      </c>
      <c r="H152" s="7">
        <v>-1292404.7968045236</v>
      </c>
      <c r="I152" s="221">
        <v>0</v>
      </c>
      <c r="J152" s="3">
        <f t="shared" si="2"/>
        <v>-1292404.7968045236</v>
      </c>
    </row>
    <row r="153" spans="1:10" x14ac:dyDescent="0.3">
      <c r="A153" s="2" t="s">
        <v>449</v>
      </c>
      <c r="B153" s="2" t="s">
        <v>450</v>
      </c>
      <c r="C153" s="2" t="s">
        <v>107</v>
      </c>
      <c r="D153" s="2" t="s">
        <v>26</v>
      </c>
      <c r="E153" s="2" t="s">
        <v>26</v>
      </c>
      <c r="F153" s="249" t="s">
        <v>845</v>
      </c>
      <c r="G153" s="2" t="s">
        <v>175</v>
      </c>
      <c r="H153" s="7">
        <v>-472148.33</v>
      </c>
      <c r="I153" s="221">
        <v>0</v>
      </c>
      <c r="J153" s="3">
        <f t="shared" si="2"/>
        <v>-472148.33</v>
      </c>
    </row>
    <row r="154" spans="1:10" x14ac:dyDescent="0.3">
      <c r="A154" s="2" t="s">
        <v>451</v>
      </c>
      <c r="B154" s="2" t="s">
        <v>452</v>
      </c>
      <c r="C154" s="2" t="s">
        <v>107</v>
      </c>
      <c r="D154" s="2" t="s">
        <v>26</v>
      </c>
      <c r="E154" s="2" t="s">
        <v>26</v>
      </c>
      <c r="F154" s="249" t="s">
        <v>845</v>
      </c>
      <c r="G154" s="2" t="s">
        <v>175</v>
      </c>
      <c r="H154" s="7">
        <v>-7722.8900000000012</v>
      </c>
      <c r="I154" s="221">
        <v>0</v>
      </c>
      <c r="J154" s="3">
        <f t="shared" si="2"/>
        <v>-7722.8900000000012</v>
      </c>
    </row>
    <row r="155" spans="1:10" x14ac:dyDescent="0.3">
      <c r="A155" s="2" t="s">
        <v>453</v>
      </c>
      <c r="B155" s="2" t="s">
        <v>454</v>
      </c>
      <c r="C155" s="2" t="s">
        <v>107</v>
      </c>
      <c r="D155" s="2" t="s">
        <v>23</v>
      </c>
      <c r="E155" s="2" t="s">
        <v>818</v>
      </c>
      <c r="F155" s="249" t="s">
        <v>847</v>
      </c>
      <c r="G155" s="2" t="s">
        <v>175</v>
      </c>
      <c r="H155" s="7">
        <v>-54192.090000000004</v>
      </c>
      <c r="I155" s="221">
        <v>-2601507.427617657</v>
      </c>
      <c r="J155" s="3">
        <f t="shared" si="2"/>
        <v>2547315.3376176571</v>
      </c>
    </row>
    <row r="156" spans="1:10" x14ac:dyDescent="0.3">
      <c r="A156" s="2" t="s">
        <v>457</v>
      </c>
      <c r="B156" s="2" t="s">
        <v>458</v>
      </c>
      <c r="C156" s="2" t="s">
        <v>107</v>
      </c>
      <c r="D156" s="2" t="s">
        <v>26</v>
      </c>
      <c r="E156" s="2" t="s">
        <v>26</v>
      </c>
      <c r="F156" s="249" t="s">
        <v>845</v>
      </c>
      <c r="G156" s="2" t="s">
        <v>175</v>
      </c>
      <c r="H156" s="7">
        <v>-5735.3399999999983</v>
      </c>
      <c r="I156" s="221">
        <v>-1303933.4285756261</v>
      </c>
      <c r="J156" s="3">
        <f t="shared" si="2"/>
        <v>1298198.088575626</v>
      </c>
    </row>
    <row r="157" spans="1:10" x14ac:dyDescent="0.3">
      <c r="A157" s="2" t="s">
        <v>459</v>
      </c>
      <c r="B157" s="2" t="s">
        <v>460</v>
      </c>
      <c r="C157" s="2" t="s">
        <v>107</v>
      </c>
      <c r="D157" s="2" t="s">
        <v>15</v>
      </c>
      <c r="E157" s="2" t="s">
        <v>41</v>
      </c>
      <c r="F157" s="249" t="s">
        <v>848</v>
      </c>
      <c r="G157" s="2" t="s">
        <v>175</v>
      </c>
      <c r="H157" s="7">
        <v>-267380.51999999996</v>
      </c>
      <c r="I157" s="221">
        <v>-2498008.7604297181</v>
      </c>
      <c r="J157" s="3">
        <f t="shared" si="2"/>
        <v>2230628.240429718</v>
      </c>
    </row>
    <row r="158" spans="1:10" x14ac:dyDescent="0.3">
      <c r="A158" s="2" t="s">
        <v>461</v>
      </c>
      <c r="B158" s="2" t="s">
        <v>462</v>
      </c>
      <c r="C158" s="2" t="s">
        <v>107</v>
      </c>
      <c r="D158" s="2"/>
      <c r="E158" s="2"/>
      <c r="F158" s="249"/>
      <c r="G158" s="2" t="s">
        <v>176</v>
      </c>
      <c r="H158" s="7">
        <v>-2517619.42</v>
      </c>
      <c r="I158" s="221">
        <v>0</v>
      </c>
      <c r="J158" s="3">
        <f t="shared" si="2"/>
        <v>-2517619.42</v>
      </c>
    </row>
    <row r="159" spans="1:10" x14ac:dyDescent="0.3">
      <c r="A159" s="2" t="s">
        <v>463</v>
      </c>
      <c r="B159" s="2" t="s">
        <v>464</v>
      </c>
      <c r="C159" s="2" t="s">
        <v>107</v>
      </c>
      <c r="D159" s="2" t="s">
        <v>10</v>
      </c>
      <c r="E159" s="2" t="s">
        <v>41</v>
      </c>
      <c r="F159" s="249" t="s">
        <v>843</v>
      </c>
      <c r="G159" s="2" t="s">
        <v>175</v>
      </c>
      <c r="H159" s="7">
        <v>-2406256.4755644454</v>
      </c>
      <c r="I159" s="221">
        <v>-3642840.7176343375</v>
      </c>
      <c r="J159" s="3">
        <f t="shared" si="2"/>
        <v>1236584.2420698921</v>
      </c>
    </row>
    <row r="160" spans="1:10" x14ac:dyDescent="0.3">
      <c r="A160" s="2" t="s">
        <v>465</v>
      </c>
      <c r="B160" s="2" t="s">
        <v>466</v>
      </c>
      <c r="C160" s="2" t="s">
        <v>107</v>
      </c>
      <c r="D160" s="2" t="s">
        <v>10</v>
      </c>
      <c r="E160" s="2" t="s">
        <v>41</v>
      </c>
      <c r="F160" s="249" t="s">
        <v>843</v>
      </c>
      <c r="G160" s="2" t="s">
        <v>175</v>
      </c>
      <c r="H160" s="7">
        <v>-2372040.1500000004</v>
      </c>
      <c r="I160" s="221">
        <v>-1756507.0783757369</v>
      </c>
      <c r="J160" s="3">
        <f t="shared" si="2"/>
        <v>-615533.07162426342</v>
      </c>
    </row>
    <row r="161" spans="1:10" x14ac:dyDescent="0.3">
      <c r="A161" s="2" t="s">
        <v>467</v>
      </c>
      <c r="B161" s="2" t="s">
        <v>468</v>
      </c>
      <c r="C161" s="2" t="s">
        <v>107</v>
      </c>
      <c r="D161" s="2" t="s">
        <v>10</v>
      </c>
      <c r="E161" s="2" t="s">
        <v>41</v>
      </c>
      <c r="F161" s="249" t="s">
        <v>843</v>
      </c>
      <c r="G161" s="2" t="s">
        <v>175</v>
      </c>
      <c r="H161" s="7">
        <v>-2139720.5425188881</v>
      </c>
      <c r="I161" s="221">
        <v>-1606939.8124574216</v>
      </c>
      <c r="J161" s="3">
        <f t="shared" si="2"/>
        <v>-532780.73006146657</v>
      </c>
    </row>
    <row r="162" spans="1:10" x14ac:dyDescent="0.3">
      <c r="A162" s="2" t="s">
        <v>469</v>
      </c>
      <c r="B162" s="2" t="s">
        <v>470</v>
      </c>
      <c r="C162" s="2" t="s">
        <v>107</v>
      </c>
      <c r="D162" s="2" t="s">
        <v>10</v>
      </c>
      <c r="E162" s="2" t="s">
        <v>41</v>
      </c>
      <c r="F162" s="249" t="s">
        <v>843</v>
      </c>
      <c r="G162" s="2" t="s">
        <v>175</v>
      </c>
      <c r="H162" s="7">
        <v>-6318232.3241704041</v>
      </c>
      <c r="I162" s="221">
        <v>-1189417.440160949</v>
      </c>
      <c r="J162" s="3">
        <f t="shared" si="2"/>
        <v>-5128814.8840094553</v>
      </c>
    </row>
    <row r="163" spans="1:10" x14ac:dyDescent="0.3">
      <c r="A163" s="2" t="s">
        <v>471</v>
      </c>
      <c r="B163" s="2" t="s">
        <v>472</v>
      </c>
      <c r="C163" s="2" t="s">
        <v>107</v>
      </c>
      <c r="D163" s="2" t="s">
        <v>10</v>
      </c>
      <c r="E163" s="2" t="s">
        <v>41</v>
      </c>
      <c r="F163" s="249" t="s">
        <v>843</v>
      </c>
      <c r="G163" s="2" t="s">
        <v>175</v>
      </c>
      <c r="H163" s="7">
        <v>-25478963.849993762</v>
      </c>
      <c r="I163" s="221">
        <v>-16869284.057530042</v>
      </c>
      <c r="J163" s="3">
        <f t="shared" si="2"/>
        <v>-8609679.7924637198</v>
      </c>
    </row>
    <row r="164" spans="1:10" x14ac:dyDescent="0.3">
      <c r="A164" s="2" t="s">
        <v>473</v>
      </c>
      <c r="B164" s="2" t="s">
        <v>474</v>
      </c>
      <c r="C164" s="2" t="s">
        <v>107</v>
      </c>
      <c r="D164" s="2" t="s">
        <v>10</v>
      </c>
      <c r="E164" s="2" t="s">
        <v>41</v>
      </c>
      <c r="F164" s="249" t="s">
        <v>843</v>
      </c>
      <c r="G164" s="2" t="s">
        <v>175</v>
      </c>
      <c r="H164" s="7">
        <v>-30365295.775305152</v>
      </c>
      <c r="I164" s="221">
        <v>-18644248.913706027</v>
      </c>
      <c r="J164" s="3">
        <f t="shared" si="2"/>
        <v>-11721046.861599125</v>
      </c>
    </row>
    <row r="165" spans="1:10" x14ac:dyDescent="0.3">
      <c r="A165" s="2" t="s">
        <v>475</v>
      </c>
      <c r="B165" s="2" t="s">
        <v>476</v>
      </c>
      <c r="C165" s="2" t="s">
        <v>107</v>
      </c>
      <c r="D165" s="2" t="s">
        <v>10</v>
      </c>
      <c r="E165" s="2" t="s">
        <v>41</v>
      </c>
      <c r="F165" s="249" t="s">
        <v>843</v>
      </c>
      <c r="G165" s="2" t="s">
        <v>175</v>
      </c>
      <c r="H165" s="7">
        <v>-4177086.3413060443</v>
      </c>
      <c r="I165" s="221">
        <v>-5064605.6706447974</v>
      </c>
      <c r="J165" s="3">
        <f t="shared" si="2"/>
        <v>887519.32933875313</v>
      </c>
    </row>
    <row r="166" spans="1:10" x14ac:dyDescent="0.3">
      <c r="A166" s="2" t="s">
        <v>477</v>
      </c>
      <c r="B166" s="2" t="s">
        <v>478</v>
      </c>
      <c r="C166" s="2" t="s">
        <v>107</v>
      </c>
      <c r="D166" s="2" t="s">
        <v>10</v>
      </c>
      <c r="E166" s="2" t="s">
        <v>41</v>
      </c>
      <c r="F166" s="249" t="s">
        <v>843</v>
      </c>
      <c r="G166" s="2" t="s">
        <v>175</v>
      </c>
      <c r="H166" s="7">
        <v>-6532201.7105618957</v>
      </c>
      <c r="I166" s="221">
        <v>-77270.408691708741</v>
      </c>
      <c r="J166" s="3">
        <f t="shared" si="2"/>
        <v>-6454931.3018701868</v>
      </c>
    </row>
    <row r="167" spans="1:10" x14ac:dyDescent="0.3">
      <c r="A167" s="2" t="s">
        <v>479</v>
      </c>
      <c r="B167" s="2" t="s">
        <v>480</v>
      </c>
      <c r="C167" s="2" t="s">
        <v>107</v>
      </c>
      <c r="D167" s="2" t="s">
        <v>2</v>
      </c>
      <c r="E167" s="2" t="s">
        <v>41</v>
      </c>
      <c r="F167" s="249"/>
      <c r="G167" s="2" t="s">
        <v>175</v>
      </c>
      <c r="H167" s="7">
        <v>5362.9899999999989</v>
      </c>
      <c r="I167" s="221">
        <v>0</v>
      </c>
      <c r="J167" s="3">
        <f t="shared" si="2"/>
        <v>5362.9899999999989</v>
      </c>
    </row>
    <row r="168" spans="1:10" x14ac:dyDescent="0.3">
      <c r="A168" s="2" t="s">
        <v>481</v>
      </c>
      <c r="B168" s="2" t="s">
        <v>482</v>
      </c>
      <c r="C168" s="2" t="s">
        <v>107</v>
      </c>
      <c r="D168" s="2" t="s">
        <v>2</v>
      </c>
      <c r="E168" s="2" t="s">
        <v>41</v>
      </c>
      <c r="F168" s="249"/>
      <c r="G168" s="2" t="s">
        <v>175</v>
      </c>
      <c r="H168" s="7">
        <v>-2746811.24</v>
      </c>
      <c r="I168" s="221">
        <v>-534307.19782597886</v>
      </c>
      <c r="J168" s="3">
        <f t="shared" si="2"/>
        <v>-2212504.0421740212</v>
      </c>
    </row>
    <row r="169" spans="1:10" x14ac:dyDescent="0.3">
      <c r="A169" s="2" t="s">
        <v>937</v>
      </c>
      <c r="B169" s="2" t="s">
        <v>938</v>
      </c>
      <c r="C169" s="2" t="s">
        <v>107</v>
      </c>
      <c r="D169" s="2" t="s">
        <v>26</v>
      </c>
      <c r="E169" s="2" t="s">
        <v>26</v>
      </c>
      <c r="F169" s="249" t="s">
        <v>845</v>
      </c>
      <c r="G169" s="2" t="s">
        <v>175</v>
      </c>
      <c r="H169" s="7">
        <v>-43840.73</v>
      </c>
      <c r="I169" s="221">
        <v>0</v>
      </c>
      <c r="J169" s="3">
        <f t="shared" si="2"/>
        <v>-43840.73</v>
      </c>
    </row>
    <row r="170" spans="1:10" x14ac:dyDescent="0.3">
      <c r="A170" s="2" t="s">
        <v>483</v>
      </c>
      <c r="B170" s="2" t="s">
        <v>484</v>
      </c>
      <c r="C170" s="2" t="s">
        <v>107</v>
      </c>
      <c r="D170" s="2" t="s">
        <v>23</v>
      </c>
      <c r="E170" s="2" t="s">
        <v>818</v>
      </c>
      <c r="F170" s="249" t="s">
        <v>847</v>
      </c>
      <c r="G170" s="2" t="s">
        <v>175</v>
      </c>
      <c r="H170" s="7">
        <v>-289356.60653857101</v>
      </c>
      <c r="I170" s="221">
        <v>-23122.496188339908</v>
      </c>
      <c r="J170" s="3">
        <f t="shared" si="2"/>
        <v>-266234.11035023112</v>
      </c>
    </row>
    <row r="171" spans="1:10" x14ac:dyDescent="0.3">
      <c r="A171" s="2" t="s">
        <v>485</v>
      </c>
      <c r="B171" s="2" t="s">
        <v>486</v>
      </c>
      <c r="C171" s="2" t="s">
        <v>107</v>
      </c>
      <c r="D171" s="2" t="s">
        <v>15</v>
      </c>
      <c r="E171" s="2" t="s">
        <v>41</v>
      </c>
      <c r="F171" s="249" t="s">
        <v>848</v>
      </c>
      <c r="G171" s="2" t="s">
        <v>175</v>
      </c>
      <c r="H171" s="7">
        <v>-13184031.87364202</v>
      </c>
      <c r="I171" s="221">
        <v>-13489572.617585285</v>
      </c>
      <c r="J171" s="3">
        <f t="shared" si="2"/>
        <v>305540.74394326471</v>
      </c>
    </row>
    <row r="172" spans="1:10" x14ac:dyDescent="0.3">
      <c r="A172" s="2" t="s">
        <v>487</v>
      </c>
      <c r="B172" s="2" t="s">
        <v>488</v>
      </c>
      <c r="C172" s="2" t="s">
        <v>107</v>
      </c>
      <c r="D172" s="2" t="s">
        <v>15</v>
      </c>
      <c r="E172" s="2" t="s">
        <v>41</v>
      </c>
      <c r="F172" s="249" t="s">
        <v>848</v>
      </c>
      <c r="G172" s="2" t="s">
        <v>175</v>
      </c>
      <c r="H172" s="7">
        <v>-26591228.166296277</v>
      </c>
      <c r="I172" s="221">
        <v>0</v>
      </c>
      <c r="J172" s="3">
        <f t="shared" si="2"/>
        <v>-26591228.166296277</v>
      </c>
    </row>
    <row r="173" spans="1:10" x14ac:dyDescent="0.3">
      <c r="A173" s="2" t="s">
        <v>489</v>
      </c>
      <c r="B173" s="2" t="s">
        <v>490</v>
      </c>
      <c r="C173" s="2" t="s">
        <v>107</v>
      </c>
      <c r="D173" s="2" t="s">
        <v>15</v>
      </c>
      <c r="E173" s="2" t="s">
        <v>41</v>
      </c>
      <c r="F173" s="249" t="s">
        <v>848</v>
      </c>
      <c r="G173" s="2" t="s">
        <v>175</v>
      </c>
      <c r="H173" s="7">
        <v>-8130037.159317242</v>
      </c>
      <c r="I173" s="221">
        <v>-46177442.508803926</v>
      </c>
      <c r="J173" s="3">
        <f t="shared" si="2"/>
        <v>38047405.349486686</v>
      </c>
    </row>
    <row r="174" spans="1:10" x14ac:dyDescent="0.3">
      <c r="A174" s="2" t="s">
        <v>491</v>
      </c>
      <c r="B174" s="2" t="s">
        <v>492</v>
      </c>
      <c r="C174" s="2" t="s">
        <v>107</v>
      </c>
      <c r="D174" s="2" t="s">
        <v>15</v>
      </c>
      <c r="E174" s="2" t="s">
        <v>41</v>
      </c>
      <c r="F174" s="249" t="s">
        <v>848</v>
      </c>
      <c r="G174" s="2" t="s">
        <v>175</v>
      </c>
      <c r="H174" s="7">
        <v>-1991093.3701229529</v>
      </c>
      <c r="I174" s="221">
        <v>-12358911.537837982</v>
      </c>
      <c r="J174" s="3">
        <f t="shared" si="2"/>
        <v>10367818.16771503</v>
      </c>
    </row>
    <row r="175" spans="1:10" x14ac:dyDescent="0.3">
      <c r="A175" s="2" t="s">
        <v>493</v>
      </c>
      <c r="B175" s="2" t="s">
        <v>494</v>
      </c>
      <c r="C175" s="2" t="s">
        <v>107</v>
      </c>
      <c r="D175" s="2" t="s">
        <v>15</v>
      </c>
      <c r="E175" s="2" t="s">
        <v>41</v>
      </c>
      <c r="F175" s="249" t="s">
        <v>848</v>
      </c>
      <c r="G175" s="2" t="s">
        <v>175</v>
      </c>
      <c r="H175" s="7">
        <v>-4644157.8318888973</v>
      </c>
      <c r="I175" s="221">
        <v>-3468753.4409467499</v>
      </c>
      <c r="J175" s="3">
        <f t="shared" si="2"/>
        <v>-1175404.3909421475</v>
      </c>
    </row>
    <row r="176" spans="1:10" x14ac:dyDescent="0.3">
      <c r="A176" s="2" t="s">
        <v>495</v>
      </c>
      <c r="B176" s="2" t="s">
        <v>496</v>
      </c>
      <c r="C176" s="2" t="s">
        <v>107</v>
      </c>
      <c r="D176" s="2" t="s">
        <v>15</v>
      </c>
      <c r="E176" s="2" t="s">
        <v>41</v>
      </c>
      <c r="F176" s="249" t="s">
        <v>848</v>
      </c>
      <c r="G176" s="2" t="s">
        <v>175</v>
      </c>
      <c r="H176" s="7">
        <v>-13874827.599354368</v>
      </c>
      <c r="I176" s="221">
        <v>-2743343.3116766242</v>
      </c>
      <c r="J176" s="3">
        <f t="shared" si="2"/>
        <v>-11131484.287677743</v>
      </c>
    </row>
    <row r="177" spans="1:14" x14ac:dyDescent="0.3">
      <c r="A177" s="2" t="s">
        <v>939</v>
      </c>
      <c r="B177" s="2" t="s">
        <v>940</v>
      </c>
      <c r="C177" s="2" t="s">
        <v>107</v>
      </c>
      <c r="D177" s="2" t="s">
        <v>26</v>
      </c>
      <c r="E177" s="2" t="s">
        <v>26</v>
      </c>
      <c r="F177" s="249" t="s">
        <v>845</v>
      </c>
      <c r="G177" s="2" t="s">
        <v>175</v>
      </c>
      <c r="H177" s="7">
        <v>-135145.16999999998</v>
      </c>
      <c r="I177" s="221">
        <v>0</v>
      </c>
      <c r="J177" s="3">
        <f t="shared" si="2"/>
        <v>-135145.16999999998</v>
      </c>
    </row>
    <row r="178" spans="1:14" x14ac:dyDescent="0.3">
      <c r="A178" s="2" t="s">
        <v>497</v>
      </c>
      <c r="B178" s="2" t="s">
        <v>498</v>
      </c>
      <c r="C178" s="2" t="s">
        <v>107</v>
      </c>
      <c r="D178" s="2" t="s">
        <v>26</v>
      </c>
      <c r="E178" s="2" t="s">
        <v>26</v>
      </c>
      <c r="F178" s="249" t="s">
        <v>845</v>
      </c>
      <c r="G178" s="2" t="s">
        <v>175</v>
      </c>
      <c r="H178" s="7">
        <v>-3089040.7899999996</v>
      </c>
      <c r="I178" s="221">
        <v>-2883351.1757637528</v>
      </c>
      <c r="J178" s="3">
        <f t="shared" si="2"/>
        <v>-205689.61423624679</v>
      </c>
    </row>
    <row r="179" spans="1:14" x14ac:dyDescent="0.3">
      <c r="A179" s="2" t="s">
        <v>499</v>
      </c>
      <c r="B179" s="2" t="s">
        <v>500</v>
      </c>
      <c r="C179" s="2" t="s">
        <v>107</v>
      </c>
      <c r="D179" s="2" t="s">
        <v>15</v>
      </c>
      <c r="E179" s="2" t="s">
        <v>41</v>
      </c>
      <c r="F179" s="249" t="s">
        <v>848</v>
      </c>
      <c r="G179" s="2" t="s">
        <v>175</v>
      </c>
      <c r="H179" s="7">
        <v>-19054204.977935247</v>
      </c>
      <c r="I179" s="221">
        <v>-11728176.84713937</v>
      </c>
      <c r="J179" s="3">
        <f t="shared" si="2"/>
        <v>-7326028.1307958774</v>
      </c>
    </row>
    <row r="180" spans="1:14" x14ac:dyDescent="0.3">
      <c r="A180" s="2" t="s">
        <v>501</v>
      </c>
      <c r="B180" s="2" t="s">
        <v>502</v>
      </c>
      <c r="C180" s="2" t="s">
        <v>107</v>
      </c>
      <c r="D180" s="2" t="s">
        <v>15</v>
      </c>
      <c r="E180" s="2" t="s">
        <v>41</v>
      </c>
      <c r="F180" s="249" t="s">
        <v>848</v>
      </c>
      <c r="G180" s="2" t="s">
        <v>175</v>
      </c>
      <c r="H180" s="7">
        <v>-1311998.2014965296</v>
      </c>
      <c r="I180" s="221">
        <v>-2842255.0083662439</v>
      </c>
      <c r="J180" s="3">
        <f t="shared" si="2"/>
        <v>1530256.8068697143</v>
      </c>
    </row>
    <row r="181" spans="1:14" x14ac:dyDescent="0.3">
      <c r="A181" s="2" t="s">
        <v>503</v>
      </c>
      <c r="B181" s="2" t="s">
        <v>504</v>
      </c>
      <c r="C181" s="2" t="s">
        <v>107</v>
      </c>
      <c r="D181" s="2" t="s">
        <v>15</v>
      </c>
      <c r="E181" s="2" t="s">
        <v>41</v>
      </c>
      <c r="F181" s="249" t="s">
        <v>848</v>
      </c>
      <c r="G181" s="2" t="s">
        <v>175</v>
      </c>
      <c r="H181" s="7">
        <v>-11013199.759829553</v>
      </c>
      <c r="I181" s="221">
        <v>-598051.27450237027</v>
      </c>
      <c r="J181" s="3">
        <f t="shared" si="2"/>
        <v>-10415148.485327182</v>
      </c>
    </row>
    <row r="182" spans="1:14" x14ac:dyDescent="0.3">
      <c r="A182" s="241" t="s">
        <v>507</v>
      </c>
      <c r="B182" s="241" t="s">
        <v>508</v>
      </c>
      <c r="C182" s="241" t="s">
        <v>107</v>
      </c>
      <c r="D182" s="241" t="s">
        <v>26</v>
      </c>
      <c r="E182" s="241" t="s">
        <v>26</v>
      </c>
      <c r="F182" s="280" t="s">
        <v>845</v>
      </c>
      <c r="G182" s="241" t="s">
        <v>175</v>
      </c>
      <c r="H182" s="242">
        <v>-140467.14000000001</v>
      </c>
      <c r="I182" s="243">
        <v>-343.58994116342234</v>
      </c>
      <c r="J182" s="242">
        <f t="shared" si="2"/>
        <v>-140123.55005883658</v>
      </c>
      <c r="K182" s="244"/>
      <c r="L182" s="7"/>
      <c r="M182" s="221"/>
      <c r="N182" s="3"/>
    </row>
    <row r="183" spans="1:14" x14ac:dyDescent="0.3">
      <c r="A183" s="2" t="s">
        <v>511</v>
      </c>
      <c r="B183" s="2" t="s">
        <v>512</v>
      </c>
      <c r="C183" s="2" t="s">
        <v>107</v>
      </c>
      <c r="D183" s="2" t="s">
        <v>15</v>
      </c>
      <c r="E183" s="2" t="s">
        <v>41</v>
      </c>
      <c r="F183" s="249" t="s">
        <v>848</v>
      </c>
      <c r="G183" s="2" t="s">
        <v>175</v>
      </c>
      <c r="H183" s="7">
        <v>-963883.77984976454</v>
      </c>
      <c r="I183" s="221">
        <v>0</v>
      </c>
      <c r="J183" s="3">
        <f t="shared" si="2"/>
        <v>-963883.77984976454</v>
      </c>
    </row>
    <row r="184" spans="1:14" x14ac:dyDescent="0.3">
      <c r="A184" s="2" t="s">
        <v>515</v>
      </c>
      <c r="B184" s="2" t="s">
        <v>516</v>
      </c>
      <c r="C184" s="2" t="s">
        <v>107</v>
      </c>
      <c r="D184" s="2" t="s">
        <v>26</v>
      </c>
      <c r="E184" s="2" t="s">
        <v>26</v>
      </c>
      <c r="F184" s="249" t="s">
        <v>845</v>
      </c>
      <c r="G184" s="2" t="s">
        <v>175</v>
      </c>
      <c r="H184" s="7">
        <v>-20759.32</v>
      </c>
      <c r="I184" s="221">
        <v>0</v>
      </c>
      <c r="J184" s="3">
        <f t="shared" si="2"/>
        <v>-20759.32</v>
      </c>
    </row>
    <row r="185" spans="1:14" x14ac:dyDescent="0.3">
      <c r="A185" s="2" t="s">
        <v>517</v>
      </c>
      <c r="B185" s="2" t="s">
        <v>518</v>
      </c>
      <c r="C185" s="2" t="s">
        <v>107</v>
      </c>
      <c r="D185" s="2" t="s">
        <v>15</v>
      </c>
      <c r="E185" s="2" t="s">
        <v>41</v>
      </c>
      <c r="F185" s="249" t="s">
        <v>848</v>
      </c>
      <c r="G185" s="2" t="s">
        <v>175</v>
      </c>
      <c r="H185" s="7">
        <v>-15526234.392010286</v>
      </c>
      <c r="I185" s="221">
        <v>-161747.64343363733</v>
      </c>
      <c r="J185" s="3">
        <f t="shared" si="2"/>
        <v>-15364486.748576649</v>
      </c>
    </row>
    <row r="186" spans="1:14" x14ac:dyDescent="0.3">
      <c r="A186" s="2" t="s">
        <v>519</v>
      </c>
      <c r="B186" s="2" t="s">
        <v>520</v>
      </c>
      <c r="C186" s="2" t="s">
        <v>107</v>
      </c>
      <c r="D186" s="2" t="s">
        <v>26</v>
      </c>
      <c r="E186" s="2" t="s">
        <v>26</v>
      </c>
      <c r="F186" s="249" t="s">
        <v>845</v>
      </c>
      <c r="G186" s="2" t="s">
        <v>175</v>
      </c>
      <c r="H186" s="7">
        <v>-944312.64973241067</v>
      </c>
      <c r="I186" s="221">
        <v>-2439.4244755307986</v>
      </c>
      <c r="J186" s="3">
        <f t="shared" si="2"/>
        <v>-941873.22525687993</v>
      </c>
    </row>
    <row r="187" spans="1:14" x14ac:dyDescent="0.3">
      <c r="A187" s="2" t="s">
        <v>521</v>
      </c>
      <c r="B187" s="2" t="s">
        <v>522</v>
      </c>
      <c r="C187" s="2" t="s">
        <v>107</v>
      </c>
      <c r="D187" s="2"/>
      <c r="E187" s="2"/>
      <c r="F187" s="249"/>
      <c r="G187" s="2" t="s">
        <v>176</v>
      </c>
      <c r="H187" s="7">
        <v>-277293.58741736418</v>
      </c>
      <c r="I187" s="221">
        <v>0</v>
      </c>
      <c r="J187" s="3">
        <f t="shared" si="2"/>
        <v>-277293.58741736418</v>
      </c>
    </row>
    <row r="188" spans="1:14" x14ac:dyDescent="0.3">
      <c r="A188" s="2" t="s">
        <v>523</v>
      </c>
      <c r="B188" s="2" t="s">
        <v>524</v>
      </c>
      <c r="C188" s="2" t="s">
        <v>107</v>
      </c>
      <c r="D188" s="2" t="s">
        <v>10</v>
      </c>
      <c r="E188" s="2" t="s">
        <v>41</v>
      </c>
      <c r="F188" s="249" t="s">
        <v>843</v>
      </c>
      <c r="G188" s="2" t="s">
        <v>175</v>
      </c>
      <c r="H188" s="7">
        <v>-4360134.8086507739</v>
      </c>
      <c r="I188" s="221">
        <v>-1208886.284194574</v>
      </c>
      <c r="J188" s="3">
        <f t="shared" si="2"/>
        <v>-3151248.5244562002</v>
      </c>
    </row>
    <row r="189" spans="1:14" x14ac:dyDescent="0.3">
      <c r="A189" s="2" t="s">
        <v>525</v>
      </c>
      <c r="B189" s="2" t="s">
        <v>526</v>
      </c>
      <c r="C189" s="2" t="s">
        <v>107</v>
      </c>
      <c r="D189" s="2" t="s">
        <v>10</v>
      </c>
      <c r="E189" s="2" t="s">
        <v>41</v>
      </c>
      <c r="F189" s="249" t="s">
        <v>843</v>
      </c>
      <c r="G189" s="2" t="s">
        <v>175</v>
      </c>
      <c r="H189" s="7">
        <v>-38573.47</v>
      </c>
      <c r="I189" s="221">
        <v>-219797.88139630793</v>
      </c>
      <c r="J189" s="3">
        <f t="shared" si="2"/>
        <v>181224.41139630793</v>
      </c>
    </row>
    <row r="190" spans="1:14" x14ac:dyDescent="0.3">
      <c r="A190" s="2" t="s">
        <v>529</v>
      </c>
      <c r="B190" s="2" t="s">
        <v>530</v>
      </c>
      <c r="C190" s="2" t="s">
        <v>107</v>
      </c>
      <c r="D190" s="2" t="s">
        <v>15</v>
      </c>
      <c r="E190" s="2" t="s">
        <v>41</v>
      </c>
      <c r="F190" s="249" t="s">
        <v>848</v>
      </c>
      <c r="G190" s="2" t="s">
        <v>175</v>
      </c>
      <c r="H190" s="7">
        <v>-6867195.1160102468</v>
      </c>
      <c r="I190" s="221">
        <v>-27730275.612953339</v>
      </c>
      <c r="J190" s="3">
        <f t="shared" si="2"/>
        <v>20863080.496943094</v>
      </c>
    </row>
    <row r="191" spans="1:14" x14ac:dyDescent="0.3">
      <c r="A191" s="2" t="s">
        <v>531</v>
      </c>
      <c r="B191" s="2" t="s">
        <v>532</v>
      </c>
      <c r="C191" s="2" t="s">
        <v>107</v>
      </c>
      <c r="D191" s="2" t="s">
        <v>15</v>
      </c>
      <c r="E191" s="2" t="s">
        <v>41</v>
      </c>
      <c r="F191" s="249" t="s">
        <v>848</v>
      </c>
      <c r="G191" s="2" t="s">
        <v>175</v>
      </c>
      <c r="H191" s="7">
        <v>-11986074.226060275</v>
      </c>
      <c r="I191" s="221">
        <v>-5896473.0104704974</v>
      </c>
      <c r="J191" s="3">
        <f t="shared" si="2"/>
        <v>-6089601.2155897776</v>
      </c>
    </row>
    <row r="192" spans="1:14" x14ac:dyDescent="0.3">
      <c r="A192" s="2" t="s">
        <v>533</v>
      </c>
      <c r="B192" s="2" t="s">
        <v>534</v>
      </c>
      <c r="C192" s="2" t="s">
        <v>107</v>
      </c>
      <c r="D192" s="2" t="s">
        <v>15</v>
      </c>
      <c r="E192" s="2" t="s">
        <v>41</v>
      </c>
      <c r="F192" s="249" t="s">
        <v>848</v>
      </c>
      <c r="G192" s="2" t="s">
        <v>175</v>
      </c>
      <c r="H192" s="7">
        <v>-1037790.98</v>
      </c>
      <c r="I192" s="221">
        <v>-132602.58469901333</v>
      </c>
      <c r="J192" s="3">
        <f t="shared" si="2"/>
        <v>-905188.39530098671</v>
      </c>
    </row>
    <row r="193" spans="1:10" x14ac:dyDescent="0.3">
      <c r="A193" s="2" t="s">
        <v>535</v>
      </c>
      <c r="B193" s="2" t="s">
        <v>536</v>
      </c>
      <c r="C193" s="2" t="s">
        <v>107</v>
      </c>
      <c r="D193" s="2" t="s">
        <v>15</v>
      </c>
      <c r="E193" s="2" t="s">
        <v>41</v>
      </c>
      <c r="F193" s="249" t="s">
        <v>848</v>
      </c>
      <c r="G193" s="2" t="s">
        <v>175</v>
      </c>
      <c r="H193" s="7">
        <v>-115430.08000000002</v>
      </c>
      <c r="I193" s="221">
        <v>-8484.2528510976499</v>
      </c>
      <c r="J193" s="3">
        <f t="shared" si="2"/>
        <v>-106945.82714890236</v>
      </c>
    </row>
    <row r="194" spans="1:10" x14ac:dyDescent="0.3">
      <c r="A194" s="2" t="s">
        <v>541</v>
      </c>
      <c r="B194" s="2" t="s">
        <v>542</v>
      </c>
      <c r="C194" s="2" t="s">
        <v>807</v>
      </c>
      <c r="D194" s="2" t="s">
        <v>869</v>
      </c>
      <c r="E194" s="2" t="s">
        <v>41</v>
      </c>
      <c r="F194" s="249" t="s">
        <v>841</v>
      </c>
      <c r="G194" s="2" t="s">
        <v>170</v>
      </c>
      <c r="H194" s="7">
        <v>-80813.69</v>
      </c>
      <c r="I194" s="221">
        <v>0</v>
      </c>
      <c r="J194" s="3">
        <f t="shared" si="2"/>
        <v>-80813.69</v>
      </c>
    </row>
    <row r="195" spans="1:10" x14ac:dyDescent="0.3">
      <c r="A195" s="2" t="s">
        <v>543</v>
      </c>
      <c r="B195" s="2" t="s">
        <v>544</v>
      </c>
      <c r="C195" s="2" t="s">
        <v>107</v>
      </c>
      <c r="D195" s="2" t="s">
        <v>869</v>
      </c>
      <c r="E195" s="2" t="s">
        <v>41</v>
      </c>
      <c r="F195" s="249" t="s">
        <v>841</v>
      </c>
      <c r="G195" s="2" t="s">
        <v>170</v>
      </c>
      <c r="H195" s="7">
        <v>-100838.31000000001</v>
      </c>
      <c r="I195" s="221">
        <v>0</v>
      </c>
      <c r="J195" s="3">
        <f t="shared" si="2"/>
        <v>-100838.31000000001</v>
      </c>
    </row>
    <row r="196" spans="1:10" x14ac:dyDescent="0.3">
      <c r="A196" s="2" t="s">
        <v>545</v>
      </c>
      <c r="B196" s="2" t="s">
        <v>546</v>
      </c>
      <c r="C196" s="2" t="s">
        <v>107</v>
      </c>
      <c r="D196" s="2" t="s">
        <v>869</v>
      </c>
      <c r="E196" s="2" t="s">
        <v>41</v>
      </c>
      <c r="F196" s="249" t="s">
        <v>841</v>
      </c>
      <c r="G196" s="2" t="s">
        <v>170</v>
      </c>
      <c r="H196" s="7">
        <v>-27840619.771862037</v>
      </c>
      <c r="I196" s="221">
        <v>-104544526.2964678</v>
      </c>
      <c r="J196" s="3">
        <f t="shared" si="2"/>
        <v>76703906.524605751</v>
      </c>
    </row>
    <row r="197" spans="1:10" x14ac:dyDescent="0.3">
      <c r="A197" s="2" t="s">
        <v>547</v>
      </c>
      <c r="B197" s="2" t="s">
        <v>548</v>
      </c>
      <c r="C197" s="2" t="s">
        <v>158</v>
      </c>
      <c r="D197" s="2" t="s">
        <v>869</v>
      </c>
      <c r="E197" s="2" t="s">
        <v>41</v>
      </c>
      <c r="F197" s="249" t="s">
        <v>841</v>
      </c>
      <c r="G197" s="2" t="s">
        <v>170</v>
      </c>
      <c r="H197" s="7">
        <v>-6439970.9736460894</v>
      </c>
      <c r="I197" s="221">
        <v>-62537804.720619835</v>
      </c>
      <c r="J197" s="3">
        <f t="shared" si="2"/>
        <v>56097833.746973746</v>
      </c>
    </row>
    <row r="198" spans="1:10" x14ac:dyDescent="0.3">
      <c r="A198" s="2" t="s">
        <v>941</v>
      </c>
      <c r="B198" s="2" t="s">
        <v>942</v>
      </c>
      <c r="C198" s="2" t="s">
        <v>107</v>
      </c>
      <c r="D198" s="2" t="s">
        <v>26</v>
      </c>
      <c r="E198" s="2" t="s">
        <v>26</v>
      </c>
      <c r="F198" s="249" t="s">
        <v>845</v>
      </c>
      <c r="G198" s="2" t="s">
        <v>175</v>
      </c>
      <c r="H198" s="7">
        <v>-7171.4800000000005</v>
      </c>
      <c r="I198" s="221">
        <v>61120.296803631776</v>
      </c>
      <c r="J198" s="3">
        <f t="shared" ref="J198:J261" si="3">H198-I198</f>
        <v>-68291.776803631772</v>
      </c>
    </row>
    <row r="199" spans="1:10" x14ac:dyDescent="0.3">
      <c r="A199" s="2" t="s">
        <v>549</v>
      </c>
      <c r="B199" s="2" t="s">
        <v>550</v>
      </c>
      <c r="C199" s="2" t="s">
        <v>158</v>
      </c>
      <c r="D199" s="2" t="s">
        <v>26</v>
      </c>
      <c r="E199" s="2" t="s">
        <v>26</v>
      </c>
      <c r="F199" s="249" t="s">
        <v>845</v>
      </c>
      <c r="G199" s="2" t="s">
        <v>175</v>
      </c>
      <c r="H199" s="7">
        <v>-270.436445034256</v>
      </c>
      <c r="I199" s="221">
        <v>-2399.9999999999973</v>
      </c>
      <c r="J199" s="3">
        <f t="shared" si="3"/>
        <v>2129.5635549657413</v>
      </c>
    </row>
    <row r="200" spans="1:10" x14ac:dyDescent="0.3">
      <c r="A200" s="2" t="s">
        <v>553</v>
      </c>
      <c r="B200" s="2" t="s">
        <v>554</v>
      </c>
      <c r="C200" s="2" t="s">
        <v>107</v>
      </c>
      <c r="D200" s="2" t="s">
        <v>15</v>
      </c>
      <c r="E200" s="2" t="s">
        <v>41</v>
      </c>
      <c r="F200" s="249" t="s">
        <v>848</v>
      </c>
      <c r="G200" s="2" t="s">
        <v>175</v>
      </c>
      <c r="H200" s="7">
        <v>-4055737.6486428548</v>
      </c>
      <c r="I200" s="221">
        <v>-9717623.2223387007</v>
      </c>
      <c r="J200" s="3">
        <f t="shared" si="3"/>
        <v>5661885.5736958459</v>
      </c>
    </row>
    <row r="201" spans="1:10" x14ac:dyDescent="0.3">
      <c r="A201" s="2" t="s">
        <v>557</v>
      </c>
      <c r="B201" s="2" t="s">
        <v>558</v>
      </c>
      <c r="C201" s="2" t="s">
        <v>107</v>
      </c>
      <c r="D201" s="2" t="s">
        <v>15</v>
      </c>
      <c r="E201" s="2" t="s">
        <v>41</v>
      </c>
      <c r="F201" s="249" t="s">
        <v>848</v>
      </c>
      <c r="G201" s="2" t="s">
        <v>175</v>
      </c>
      <c r="H201" s="7">
        <v>-23434.89</v>
      </c>
      <c r="I201" s="221">
        <v>0</v>
      </c>
      <c r="J201" s="3">
        <f t="shared" si="3"/>
        <v>-23434.89</v>
      </c>
    </row>
    <row r="202" spans="1:10" x14ac:dyDescent="0.3">
      <c r="A202" s="2" t="s">
        <v>559</v>
      </c>
      <c r="B202" s="2" t="s">
        <v>560</v>
      </c>
      <c r="C202" s="2" t="s">
        <v>107</v>
      </c>
      <c r="D202" s="2" t="s">
        <v>10</v>
      </c>
      <c r="E202" s="2" t="s">
        <v>41</v>
      </c>
      <c r="F202" s="249" t="s">
        <v>843</v>
      </c>
      <c r="G202" s="2" t="s">
        <v>175</v>
      </c>
      <c r="H202" s="7">
        <v>-6192262.1800000006</v>
      </c>
      <c r="I202" s="221">
        <v>-6277278.1563269272</v>
      </c>
      <c r="J202" s="3">
        <f t="shared" si="3"/>
        <v>85015.976326926611</v>
      </c>
    </row>
    <row r="203" spans="1:10" x14ac:dyDescent="0.3">
      <c r="A203" s="2" t="s">
        <v>561</v>
      </c>
      <c r="B203" s="2" t="s">
        <v>562</v>
      </c>
      <c r="C203" s="2" t="s">
        <v>107</v>
      </c>
      <c r="D203" s="2" t="s">
        <v>10</v>
      </c>
      <c r="E203" s="2" t="s">
        <v>41</v>
      </c>
      <c r="F203" s="249" t="s">
        <v>843</v>
      </c>
      <c r="G203" s="2" t="s">
        <v>175</v>
      </c>
      <c r="H203" s="7">
        <v>-2189643.1</v>
      </c>
      <c r="I203" s="221">
        <v>-2472772.7424335591</v>
      </c>
      <c r="J203" s="3">
        <f t="shared" si="3"/>
        <v>283129.64243355906</v>
      </c>
    </row>
    <row r="204" spans="1:10" x14ac:dyDescent="0.3">
      <c r="A204" s="2" t="s">
        <v>565</v>
      </c>
      <c r="B204" s="2" t="s">
        <v>943</v>
      </c>
      <c r="C204" s="2" t="s">
        <v>107</v>
      </c>
      <c r="D204" s="2" t="s">
        <v>15</v>
      </c>
      <c r="E204" s="2" t="s">
        <v>41</v>
      </c>
      <c r="F204" s="249" t="s">
        <v>848</v>
      </c>
      <c r="G204" s="2" t="s">
        <v>175</v>
      </c>
      <c r="H204" s="7">
        <v>-10412305.507208887</v>
      </c>
      <c r="I204" s="221">
        <v>-14286949.097328121</v>
      </c>
      <c r="J204" s="3">
        <f t="shared" si="3"/>
        <v>3874643.5901192334</v>
      </c>
    </row>
    <row r="205" spans="1:10" x14ac:dyDescent="0.3">
      <c r="A205" s="2" t="s">
        <v>566</v>
      </c>
      <c r="B205" s="2" t="s">
        <v>567</v>
      </c>
      <c r="C205" s="2" t="s">
        <v>107</v>
      </c>
      <c r="D205" s="2" t="s">
        <v>15</v>
      </c>
      <c r="E205" s="2" t="s">
        <v>41</v>
      </c>
      <c r="F205" s="249" t="s">
        <v>848</v>
      </c>
      <c r="G205" s="2" t="s">
        <v>175</v>
      </c>
      <c r="H205" s="7">
        <v>-15464.249154319601</v>
      </c>
      <c r="I205" s="221">
        <v>-12557.455440509662</v>
      </c>
      <c r="J205" s="3">
        <f t="shared" si="3"/>
        <v>-2906.7937138099387</v>
      </c>
    </row>
    <row r="206" spans="1:10" x14ac:dyDescent="0.3">
      <c r="A206" s="2" t="s">
        <v>944</v>
      </c>
      <c r="B206" s="2" t="s">
        <v>945</v>
      </c>
      <c r="C206" s="2" t="s">
        <v>107</v>
      </c>
      <c r="D206" s="2" t="s">
        <v>26</v>
      </c>
      <c r="E206" s="2" t="s">
        <v>26</v>
      </c>
      <c r="F206" s="249" t="s">
        <v>845</v>
      </c>
      <c r="G206" s="2" t="s">
        <v>175</v>
      </c>
      <c r="H206" s="7">
        <v>-1854282.2609922818</v>
      </c>
      <c r="I206" s="221">
        <v>0</v>
      </c>
      <c r="J206" s="3">
        <f t="shared" si="3"/>
        <v>-1854282.2609922818</v>
      </c>
    </row>
    <row r="207" spans="1:10" x14ac:dyDescent="0.3">
      <c r="A207" s="2" t="s">
        <v>574</v>
      </c>
      <c r="B207" s="2" t="s">
        <v>575</v>
      </c>
      <c r="C207" s="2" t="s">
        <v>107</v>
      </c>
      <c r="D207" s="2" t="s">
        <v>15</v>
      </c>
      <c r="E207" s="2" t="s">
        <v>41</v>
      </c>
      <c r="F207" s="249" t="s">
        <v>848</v>
      </c>
      <c r="G207" s="2" t="s">
        <v>175</v>
      </c>
      <c r="H207" s="7">
        <v>-8155.2199999999993</v>
      </c>
      <c r="I207" s="221">
        <v>-282885.45113292593</v>
      </c>
      <c r="J207" s="3">
        <f t="shared" si="3"/>
        <v>274730.23113292595</v>
      </c>
    </row>
    <row r="208" spans="1:10" x14ac:dyDescent="0.3">
      <c r="A208" s="2" t="s">
        <v>576</v>
      </c>
      <c r="B208" s="2" t="s">
        <v>577</v>
      </c>
      <c r="C208" s="2" t="s">
        <v>107</v>
      </c>
      <c r="D208" s="2" t="s">
        <v>26</v>
      </c>
      <c r="E208" s="2" t="s">
        <v>26</v>
      </c>
      <c r="F208" s="249" t="s">
        <v>845</v>
      </c>
      <c r="G208" s="2" t="s">
        <v>175</v>
      </c>
      <c r="H208" s="7">
        <v>-106259.76000000001</v>
      </c>
      <c r="I208" s="221">
        <v>-350000.00000000041</v>
      </c>
      <c r="J208" s="3">
        <f t="shared" si="3"/>
        <v>243740.2400000004</v>
      </c>
    </row>
    <row r="209" spans="1:10" x14ac:dyDescent="0.3">
      <c r="A209" s="2" t="s">
        <v>578</v>
      </c>
      <c r="B209" s="2" t="s">
        <v>579</v>
      </c>
      <c r="C209" s="2" t="s">
        <v>158</v>
      </c>
      <c r="D209" s="2" t="s">
        <v>13</v>
      </c>
      <c r="E209" s="2" t="s">
        <v>41</v>
      </c>
      <c r="F209" s="249" t="s">
        <v>849</v>
      </c>
      <c r="G209" s="2" t="s">
        <v>175</v>
      </c>
      <c r="H209" s="7">
        <v>-453596.06000000006</v>
      </c>
      <c r="I209" s="221">
        <v>-1187215.4833934451</v>
      </c>
      <c r="J209" s="3">
        <f t="shared" si="3"/>
        <v>733619.42339344509</v>
      </c>
    </row>
    <row r="210" spans="1:10" x14ac:dyDescent="0.3">
      <c r="A210" s="2" t="s">
        <v>580</v>
      </c>
      <c r="B210" s="2" t="s">
        <v>581</v>
      </c>
      <c r="C210" s="2" t="s">
        <v>158</v>
      </c>
      <c r="D210" s="2" t="s">
        <v>13</v>
      </c>
      <c r="E210" s="2" t="s">
        <v>41</v>
      </c>
      <c r="F210" s="249" t="s">
        <v>849</v>
      </c>
      <c r="G210" s="2" t="s">
        <v>175</v>
      </c>
      <c r="H210" s="7">
        <v>-142381.01</v>
      </c>
      <c r="I210" s="221">
        <v>-188614.82987705726</v>
      </c>
      <c r="J210" s="3">
        <f t="shared" si="3"/>
        <v>46233.819877057249</v>
      </c>
    </row>
    <row r="211" spans="1:10" x14ac:dyDescent="0.3">
      <c r="A211" s="2" t="s">
        <v>946</v>
      </c>
      <c r="B211" s="2" t="s">
        <v>947</v>
      </c>
      <c r="C211" s="2" t="s">
        <v>158</v>
      </c>
      <c r="D211" s="2" t="s">
        <v>26</v>
      </c>
      <c r="E211" s="2" t="s">
        <v>26</v>
      </c>
      <c r="F211" s="249" t="s">
        <v>845</v>
      </c>
      <c r="G211" s="2" t="s">
        <v>175</v>
      </c>
      <c r="H211" s="7">
        <v>-122749.41</v>
      </c>
      <c r="I211" s="221">
        <v>0</v>
      </c>
      <c r="J211" s="3">
        <f t="shared" si="3"/>
        <v>-122749.41</v>
      </c>
    </row>
    <row r="212" spans="1:10" x14ac:dyDescent="0.3">
      <c r="A212" s="2" t="s">
        <v>582</v>
      </c>
      <c r="B212" s="2" t="s">
        <v>583</v>
      </c>
      <c r="C212" s="2" t="s">
        <v>158</v>
      </c>
      <c r="D212" s="2" t="s">
        <v>20</v>
      </c>
      <c r="E212" s="2" t="s">
        <v>41</v>
      </c>
      <c r="F212" s="249" t="s">
        <v>851</v>
      </c>
      <c r="G212" s="2" t="s">
        <v>175</v>
      </c>
      <c r="H212" s="7">
        <v>-320771.7</v>
      </c>
      <c r="I212" s="221">
        <v>-576037.5544989194</v>
      </c>
      <c r="J212" s="3">
        <f t="shared" si="3"/>
        <v>255265.85449891939</v>
      </c>
    </row>
    <row r="213" spans="1:10" x14ac:dyDescent="0.3">
      <c r="A213" s="2" t="s">
        <v>586</v>
      </c>
      <c r="B213" s="2" t="s">
        <v>587</v>
      </c>
      <c r="C213" s="2" t="s">
        <v>158</v>
      </c>
      <c r="D213" s="2" t="s">
        <v>7</v>
      </c>
      <c r="E213" s="2" t="s">
        <v>818</v>
      </c>
      <c r="F213" s="249" t="s">
        <v>846</v>
      </c>
      <c r="G213" s="2" t="s">
        <v>175</v>
      </c>
      <c r="H213" s="7">
        <v>-1472992.01</v>
      </c>
      <c r="I213" s="221">
        <v>0</v>
      </c>
      <c r="J213" s="3">
        <f t="shared" si="3"/>
        <v>-1472992.01</v>
      </c>
    </row>
    <row r="214" spans="1:10" x14ac:dyDescent="0.3">
      <c r="A214" s="2" t="s">
        <v>588</v>
      </c>
      <c r="B214" s="2" t="s">
        <v>589</v>
      </c>
      <c r="C214" s="2" t="s">
        <v>158</v>
      </c>
      <c r="D214" s="2" t="s">
        <v>7</v>
      </c>
      <c r="E214" s="2" t="s">
        <v>818</v>
      </c>
      <c r="F214" s="249" t="s">
        <v>846</v>
      </c>
      <c r="G214" s="2" t="s">
        <v>175</v>
      </c>
      <c r="H214" s="7">
        <v>-2093679.8505118317</v>
      </c>
      <c r="I214" s="221">
        <v>-19817.837709763291</v>
      </c>
      <c r="J214" s="3">
        <f t="shared" si="3"/>
        <v>-2073862.0128020684</v>
      </c>
    </row>
    <row r="215" spans="1:10" x14ac:dyDescent="0.3">
      <c r="A215" s="2" t="s">
        <v>590</v>
      </c>
      <c r="B215" s="2" t="s">
        <v>591</v>
      </c>
      <c r="C215" s="2" t="s">
        <v>158</v>
      </c>
      <c r="D215" s="2" t="s">
        <v>7</v>
      </c>
      <c r="E215" s="2" t="s">
        <v>818</v>
      </c>
      <c r="F215" s="249" t="s">
        <v>846</v>
      </c>
      <c r="G215" s="2" t="s">
        <v>175</v>
      </c>
      <c r="H215" s="7">
        <v>-322903.42423175828</v>
      </c>
      <c r="I215" s="221">
        <v>-34389.036907058799</v>
      </c>
      <c r="J215" s="3">
        <f t="shared" si="3"/>
        <v>-288514.38732469949</v>
      </c>
    </row>
    <row r="216" spans="1:10" x14ac:dyDescent="0.3">
      <c r="A216" s="2" t="s">
        <v>592</v>
      </c>
      <c r="B216" s="2" t="s">
        <v>593</v>
      </c>
      <c r="C216" s="2" t="s">
        <v>158</v>
      </c>
      <c r="D216" s="2" t="s">
        <v>7</v>
      </c>
      <c r="E216" s="2" t="s">
        <v>818</v>
      </c>
      <c r="F216" s="249" t="s">
        <v>846</v>
      </c>
      <c r="G216" s="2" t="s">
        <v>175</v>
      </c>
      <c r="H216" s="7">
        <v>-11895177.780253317</v>
      </c>
      <c r="I216" s="221">
        <v>-17159.511265195943</v>
      </c>
      <c r="J216" s="3">
        <f t="shared" si="3"/>
        <v>-11878018.268988121</v>
      </c>
    </row>
    <row r="217" spans="1:10" x14ac:dyDescent="0.3">
      <c r="A217" s="2" t="s">
        <v>594</v>
      </c>
      <c r="B217" s="2" t="s">
        <v>595</v>
      </c>
      <c r="C217" s="2" t="s">
        <v>158</v>
      </c>
      <c r="D217" s="2" t="s">
        <v>5</v>
      </c>
      <c r="E217" s="2" t="s">
        <v>818</v>
      </c>
      <c r="F217" s="249" t="s">
        <v>846</v>
      </c>
      <c r="G217" s="2" t="s">
        <v>175</v>
      </c>
      <c r="H217" s="7">
        <v>198563.8</v>
      </c>
      <c r="I217" s="221">
        <v>3005100</v>
      </c>
      <c r="J217" s="3">
        <f t="shared" si="3"/>
        <v>-2806536.2</v>
      </c>
    </row>
    <row r="218" spans="1:10" x14ac:dyDescent="0.3">
      <c r="A218" s="2" t="s">
        <v>596</v>
      </c>
      <c r="B218" s="2" t="s">
        <v>597</v>
      </c>
      <c r="C218" s="2" t="s">
        <v>158</v>
      </c>
      <c r="D218" s="2" t="s">
        <v>7</v>
      </c>
      <c r="E218" s="2" t="s">
        <v>818</v>
      </c>
      <c r="F218" s="249" t="s">
        <v>846</v>
      </c>
      <c r="G218" s="2" t="s">
        <v>175</v>
      </c>
      <c r="H218" s="7">
        <v>-10504158.727816181</v>
      </c>
      <c r="I218" s="221">
        <v>-177108.11498440625</v>
      </c>
      <c r="J218" s="3">
        <f t="shared" si="3"/>
        <v>-10327050.612831775</v>
      </c>
    </row>
    <row r="219" spans="1:10" x14ac:dyDescent="0.3">
      <c r="A219" s="2" t="s">
        <v>598</v>
      </c>
      <c r="B219" s="2" t="s">
        <v>599</v>
      </c>
      <c r="C219" s="2" t="s">
        <v>158</v>
      </c>
      <c r="D219" s="2" t="s">
        <v>7</v>
      </c>
      <c r="E219" s="2" t="s">
        <v>818</v>
      </c>
      <c r="F219" s="249" t="s">
        <v>846</v>
      </c>
      <c r="G219" s="2" t="s">
        <v>175</v>
      </c>
      <c r="H219" s="7">
        <v>-2768771.462433415</v>
      </c>
      <c r="I219" s="221">
        <v>-35940.955616185987</v>
      </c>
      <c r="J219" s="3">
        <f t="shared" si="3"/>
        <v>-2732830.5068172291</v>
      </c>
    </row>
    <row r="220" spans="1:10" x14ac:dyDescent="0.3">
      <c r="A220" s="2" t="s">
        <v>600</v>
      </c>
      <c r="B220" s="2" t="s">
        <v>601</v>
      </c>
      <c r="C220" s="2" t="s">
        <v>158</v>
      </c>
      <c r="D220" s="2" t="s">
        <v>7</v>
      </c>
      <c r="E220" s="2" t="s">
        <v>818</v>
      </c>
      <c r="F220" s="249" t="s">
        <v>846</v>
      </c>
      <c r="G220" s="2" t="s">
        <v>175</v>
      </c>
      <c r="H220" s="7">
        <v>-8307148.0599999996</v>
      </c>
      <c r="I220" s="221">
        <v>-337792.25247504498</v>
      </c>
      <c r="J220" s="3">
        <f t="shared" si="3"/>
        <v>-7969355.8075249549</v>
      </c>
    </row>
    <row r="221" spans="1:10" x14ac:dyDescent="0.3">
      <c r="A221" s="2" t="s">
        <v>602</v>
      </c>
      <c r="B221" s="2" t="s">
        <v>603</v>
      </c>
      <c r="C221" s="2" t="s">
        <v>158</v>
      </c>
      <c r="D221" s="2" t="s">
        <v>7</v>
      </c>
      <c r="E221" s="2" t="s">
        <v>818</v>
      </c>
      <c r="F221" s="249" t="s">
        <v>846</v>
      </c>
      <c r="G221" s="2" t="s">
        <v>175</v>
      </c>
      <c r="H221" s="7">
        <v>-3109124.8301923983</v>
      </c>
      <c r="I221" s="221">
        <v>-26571.915949503546</v>
      </c>
      <c r="J221" s="3">
        <f t="shared" si="3"/>
        <v>-3082552.9142428949</v>
      </c>
    </row>
    <row r="222" spans="1:10" x14ac:dyDescent="0.3">
      <c r="A222" s="2" t="s">
        <v>604</v>
      </c>
      <c r="B222" s="2" t="s">
        <v>605</v>
      </c>
      <c r="C222" s="2" t="s">
        <v>158</v>
      </c>
      <c r="D222" s="2" t="s">
        <v>7</v>
      </c>
      <c r="E222" s="2" t="s">
        <v>818</v>
      </c>
      <c r="F222" s="249" t="s">
        <v>846</v>
      </c>
      <c r="G222" s="2" t="s">
        <v>175</v>
      </c>
      <c r="H222" s="7">
        <v>-7672221.6546261068</v>
      </c>
      <c r="I222" s="221">
        <v>-7135.7059427120903</v>
      </c>
      <c r="J222" s="3">
        <f t="shared" si="3"/>
        <v>-7665085.9486833951</v>
      </c>
    </row>
    <row r="223" spans="1:10" x14ac:dyDescent="0.3">
      <c r="A223" s="2" t="s">
        <v>606</v>
      </c>
      <c r="B223" s="2" t="s">
        <v>607</v>
      </c>
      <c r="C223" s="2" t="s">
        <v>158</v>
      </c>
      <c r="D223" s="2" t="s">
        <v>7</v>
      </c>
      <c r="E223" s="2" t="s">
        <v>818</v>
      </c>
      <c r="F223" s="249" t="s">
        <v>846</v>
      </c>
      <c r="G223" s="2" t="s">
        <v>175</v>
      </c>
      <c r="H223" s="7">
        <v>-3195490.0480205156</v>
      </c>
      <c r="I223" s="221">
        <v>-497.08362264671564</v>
      </c>
      <c r="J223" s="3">
        <f t="shared" si="3"/>
        <v>-3194992.9643978691</v>
      </c>
    </row>
    <row r="224" spans="1:10" x14ac:dyDescent="0.3">
      <c r="A224" s="2" t="s">
        <v>608</v>
      </c>
      <c r="B224" s="2" t="s">
        <v>609</v>
      </c>
      <c r="C224" s="2" t="s">
        <v>158</v>
      </c>
      <c r="D224" s="2" t="s">
        <v>7</v>
      </c>
      <c r="E224" s="2" t="s">
        <v>818</v>
      </c>
      <c r="F224" s="249" t="s">
        <v>846</v>
      </c>
      <c r="G224" s="2" t="s">
        <v>175</v>
      </c>
      <c r="H224" s="7">
        <v>-23735597.699419755</v>
      </c>
      <c r="I224" s="221">
        <v>-335.97149033117768</v>
      </c>
      <c r="J224" s="3">
        <f t="shared" si="3"/>
        <v>-23735261.727929424</v>
      </c>
    </row>
    <row r="225" spans="1:10" x14ac:dyDescent="0.3">
      <c r="A225" s="2" t="s">
        <v>610</v>
      </c>
      <c r="B225" s="2" t="s">
        <v>611</v>
      </c>
      <c r="C225" s="2" t="s">
        <v>158</v>
      </c>
      <c r="D225" s="2" t="s">
        <v>7</v>
      </c>
      <c r="E225" s="2" t="s">
        <v>818</v>
      </c>
      <c r="F225" s="249" t="s">
        <v>846</v>
      </c>
      <c r="G225" s="2" t="s">
        <v>175</v>
      </c>
      <c r="H225" s="7">
        <v>-7990777.4568597265</v>
      </c>
      <c r="I225" s="221">
        <v>0</v>
      </c>
      <c r="J225" s="3">
        <f t="shared" si="3"/>
        <v>-7990777.4568597265</v>
      </c>
    </row>
    <row r="226" spans="1:10" x14ac:dyDescent="0.3">
      <c r="A226" s="2" t="s">
        <v>612</v>
      </c>
      <c r="B226" s="2" t="s">
        <v>613</v>
      </c>
      <c r="C226" s="2" t="s">
        <v>158</v>
      </c>
      <c r="D226" s="2" t="s">
        <v>7</v>
      </c>
      <c r="E226" s="2" t="s">
        <v>818</v>
      </c>
      <c r="F226" s="249" t="s">
        <v>846</v>
      </c>
      <c r="G226" s="2" t="s">
        <v>175</v>
      </c>
      <c r="H226" s="7">
        <v>-1650613.8911316695</v>
      </c>
      <c r="I226" s="221">
        <v>0</v>
      </c>
      <c r="J226" s="3">
        <f t="shared" si="3"/>
        <v>-1650613.8911316695</v>
      </c>
    </row>
    <row r="227" spans="1:10" x14ac:dyDescent="0.3">
      <c r="A227" s="2" t="s">
        <v>614</v>
      </c>
      <c r="B227" s="2" t="s">
        <v>615</v>
      </c>
      <c r="C227" s="2" t="s">
        <v>158</v>
      </c>
      <c r="D227" s="2" t="s">
        <v>7</v>
      </c>
      <c r="E227" s="2" t="s">
        <v>818</v>
      </c>
      <c r="F227" s="249" t="s">
        <v>846</v>
      </c>
      <c r="G227" s="2" t="s">
        <v>175</v>
      </c>
      <c r="H227" s="7">
        <v>-121043.48999999999</v>
      </c>
      <c r="I227" s="221">
        <v>-15613608.879516477</v>
      </c>
      <c r="J227" s="3">
        <f t="shared" si="3"/>
        <v>15492565.389516477</v>
      </c>
    </row>
    <row r="228" spans="1:10" x14ac:dyDescent="0.3">
      <c r="A228" s="2" t="s">
        <v>618</v>
      </c>
      <c r="B228" s="2" t="s">
        <v>619</v>
      </c>
      <c r="C228" s="2" t="s">
        <v>158</v>
      </c>
      <c r="D228" s="2" t="s">
        <v>24</v>
      </c>
      <c r="E228" s="2" t="s">
        <v>818</v>
      </c>
      <c r="F228" s="249" t="s">
        <v>846</v>
      </c>
      <c r="G228" s="2" t="s">
        <v>175</v>
      </c>
      <c r="H228" s="7">
        <v>-35901727.902302429</v>
      </c>
      <c r="I228" s="221">
        <v>-111550.10453963163</v>
      </c>
      <c r="J228" s="3">
        <f t="shared" si="3"/>
        <v>-35790177.797762796</v>
      </c>
    </row>
    <row r="229" spans="1:10" x14ac:dyDescent="0.3">
      <c r="A229" s="2" t="s">
        <v>620</v>
      </c>
      <c r="B229" s="2" t="s">
        <v>621</v>
      </c>
      <c r="C229" s="2" t="s">
        <v>158</v>
      </c>
      <c r="D229" s="2" t="s">
        <v>24</v>
      </c>
      <c r="E229" s="2" t="s">
        <v>818</v>
      </c>
      <c r="F229" s="249" t="s">
        <v>846</v>
      </c>
      <c r="G229" s="2" t="s">
        <v>175</v>
      </c>
      <c r="H229" s="7">
        <v>-1060031.0369270334</v>
      </c>
      <c r="I229" s="221">
        <v>-22867.544331385841</v>
      </c>
      <c r="J229" s="3">
        <f t="shared" si="3"/>
        <v>-1037163.4925956476</v>
      </c>
    </row>
    <row r="230" spans="1:10" x14ac:dyDescent="0.3">
      <c r="A230" s="2" t="s">
        <v>622</v>
      </c>
      <c r="B230" s="2" t="s">
        <v>623</v>
      </c>
      <c r="C230" s="2" t="s">
        <v>158</v>
      </c>
      <c r="D230" s="2" t="s">
        <v>26</v>
      </c>
      <c r="E230" s="2" t="s">
        <v>26</v>
      </c>
      <c r="F230" s="249" t="s">
        <v>845</v>
      </c>
      <c r="G230" s="2" t="s">
        <v>175</v>
      </c>
      <c r="H230" s="7">
        <v>-1333382.6600000001</v>
      </c>
      <c r="I230" s="221">
        <v>0</v>
      </c>
      <c r="J230" s="3">
        <f t="shared" si="3"/>
        <v>-1333382.6600000001</v>
      </c>
    </row>
    <row r="231" spans="1:10" x14ac:dyDescent="0.3">
      <c r="A231" s="2" t="s">
        <v>948</v>
      </c>
      <c r="B231" s="2" t="s">
        <v>949</v>
      </c>
      <c r="C231" s="2" t="s">
        <v>158</v>
      </c>
      <c r="D231" s="2" t="s">
        <v>26</v>
      </c>
      <c r="E231" s="2" t="s">
        <v>26</v>
      </c>
      <c r="F231" s="249" t="s">
        <v>845</v>
      </c>
      <c r="G231" s="2" t="s">
        <v>175</v>
      </c>
      <c r="H231" s="7">
        <v>-619359.33000000007</v>
      </c>
      <c r="I231" s="221">
        <v>0</v>
      </c>
      <c r="J231" s="3">
        <f t="shared" si="3"/>
        <v>-619359.33000000007</v>
      </c>
    </row>
    <row r="232" spans="1:10" x14ac:dyDescent="0.3">
      <c r="A232" s="2" t="s">
        <v>624</v>
      </c>
      <c r="B232" s="2" t="s">
        <v>625</v>
      </c>
      <c r="C232" s="2" t="s">
        <v>158</v>
      </c>
      <c r="D232" s="2" t="s">
        <v>24</v>
      </c>
      <c r="E232" s="2" t="s">
        <v>818</v>
      </c>
      <c r="F232" s="249" t="s">
        <v>846</v>
      </c>
      <c r="G232" s="2" t="s">
        <v>175</v>
      </c>
      <c r="H232" s="7">
        <v>9426.8999999999942</v>
      </c>
      <c r="I232" s="221">
        <v>0</v>
      </c>
      <c r="J232" s="3">
        <f t="shared" si="3"/>
        <v>9426.8999999999942</v>
      </c>
    </row>
    <row r="233" spans="1:10" x14ac:dyDescent="0.3">
      <c r="A233" s="2" t="s">
        <v>626</v>
      </c>
      <c r="B233" s="2" t="s">
        <v>627</v>
      </c>
      <c r="C233" s="2" t="s">
        <v>158</v>
      </c>
      <c r="D233" s="2" t="s">
        <v>26</v>
      </c>
      <c r="E233" s="2" t="s">
        <v>26</v>
      </c>
      <c r="F233" s="249" t="s">
        <v>845</v>
      </c>
      <c r="G233" s="2" t="s">
        <v>175</v>
      </c>
      <c r="H233" s="7">
        <v>-794.06</v>
      </c>
      <c r="I233" s="221">
        <v>0</v>
      </c>
      <c r="J233" s="3">
        <f t="shared" si="3"/>
        <v>-794.06</v>
      </c>
    </row>
    <row r="234" spans="1:10" x14ac:dyDescent="0.3">
      <c r="A234" s="2" t="s">
        <v>628</v>
      </c>
      <c r="B234" s="2" t="s">
        <v>629</v>
      </c>
      <c r="C234" s="2" t="s">
        <v>158</v>
      </c>
      <c r="D234" s="2" t="s">
        <v>26</v>
      </c>
      <c r="E234" s="2" t="s">
        <v>26</v>
      </c>
      <c r="F234" s="249" t="s">
        <v>845</v>
      </c>
      <c r="G234" s="2" t="s">
        <v>175</v>
      </c>
      <c r="H234" s="7">
        <v>-336.5</v>
      </c>
      <c r="I234" s="221">
        <v>0</v>
      </c>
      <c r="J234" s="3">
        <f t="shared" si="3"/>
        <v>-336.5</v>
      </c>
    </row>
    <row r="235" spans="1:10" x14ac:dyDescent="0.3">
      <c r="A235" s="2" t="s">
        <v>630</v>
      </c>
      <c r="B235" s="2" t="s">
        <v>631</v>
      </c>
      <c r="C235" s="2" t="s">
        <v>158</v>
      </c>
      <c r="D235" s="2" t="s">
        <v>24</v>
      </c>
      <c r="E235" s="2" t="s">
        <v>818</v>
      </c>
      <c r="F235" s="249" t="s">
        <v>846</v>
      </c>
      <c r="G235" s="2" t="s">
        <v>175</v>
      </c>
      <c r="H235" s="7">
        <v>-391890.36423175829</v>
      </c>
      <c r="I235" s="221">
        <v>-6744.3420826951178</v>
      </c>
      <c r="J235" s="3">
        <f t="shared" si="3"/>
        <v>-385146.02214906318</v>
      </c>
    </row>
    <row r="236" spans="1:10" x14ac:dyDescent="0.3">
      <c r="A236" s="2" t="s">
        <v>632</v>
      </c>
      <c r="B236" s="2" t="s">
        <v>633</v>
      </c>
      <c r="C236" s="2" t="s">
        <v>158</v>
      </c>
      <c r="D236" s="2" t="s">
        <v>24</v>
      </c>
      <c r="E236" s="2" t="s">
        <v>818</v>
      </c>
      <c r="F236" s="249" t="s">
        <v>846</v>
      </c>
      <c r="G236" s="2" t="s">
        <v>175</v>
      </c>
      <c r="H236" s="7">
        <v>-69817.070000000007</v>
      </c>
      <c r="I236" s="221">
        <v>-2770.3443842876318</v>
      </c>
      <c r="J236" s="3">
        <f t="shared" si="3"/>
        <v>-67046.725615712377</v>
      </c>
    </row>
    <row r="237" spans="1:10" x14ac:dyDescent="0.3">
      <c r="A237" s="2" t="s">
        <v>634</v>
      </c>
      <c r="B237" s="2" t="s">
        <v>635</v>
      </c>
      <c r="C237" s="2" t="s">
        <v>158</v>
      </c>
      <c r="D237" s="2" t="s">
        <v>20</v>
      </c>
      <c r="E237" s="2" t="s">
        <v>41</v>
      </c>
      <c r="F237" s="249" t="s">
        <v>851</v>
      </c>
      <c r="G237" s="2" t="s">
        <v>175</v>
      </c>
      <c r="H237" s="7">
        <v>-2876519.4599999995</v>
      </c>
      <c r="I237" s="221">
        <v>0</v>
      </c>
      <c r="J237" s="3">
        <f t="shared" si="3"/>
        <v>-2876519.4599999995</v>
      </c>
    </row>
    <row r="238" spans="1:10" x14ac:dyDescent="0.3">
      <c r="A238" s="2" t="s">
        <v>636</v>
      </c>
      <c r="B238" s="2" t="s">
        <v>637</v>
      </c>
      <c r="C238" s="2" t="s">
        <v>158</v>
      </c>
      <c r="D238" s="2" t="s">
        <v>11</v>
      </c>
      <c r="E238" s="2" t="s">
        <v>41</v>
      </c>
      <c r="F238" s="249" t="s">
        <v>843</v>
      </c>
      <c r="G238" s="2" t="s">
        <v>175</v>
      </c>
      <c r="H238" s="7">
        <v>-184180.97000000003</v>
      </c>
      <c r="I238" s="221">
        <v>-429333.65074284392</v>
      </c>
      <c r="J238" s="3">
        <f t="shared" si="3"/>
        <v>245152.68074284389</v>
      </c>
    </row>
    <row r="239" spans="1:10" x14ac:dyDescent="0.3">
      <c r="A239" s="2" t="s">
        <v>638</v>
      </c>
      <c r="B239" s="2" t="s">
        <v>639</v>
      </c>
      <c r="C239" s="2" t="s">
        <v>158</v>
      </c>
      <c r="D239" s="2" t="s">
        <v>11</v>
      </c>
      <c r="E239" s="2" t="s">
        <v>41</v>
      </c>
      <c r="F239" s="249" t="s">
        <v>843</v>
      </c>
      <c r="G239" s="2" t="s">
        <v>175</v>
      </c>
      <c r="H239" s="7">
        <v>-2767569.4869907317</v>
      </c>
      <c r="I239" s="221">
        <v>-3578145.4171307739</v>
      </c>
      <c r="J239" s="3">
        <f t="shared" si="3"/>
        <v>810575.93014004221</v>
      </c>
    </row>
    <row r="240" spans="1:10" x14ac:dyDescent="0.3">
      <c r="A240" s="2" t="s">
        <v>640</v>
      </c>
      <c r="B240" s="2" t="s">
        <v>641</v>
      </c>
      <c r="C240" s="2" t="s">
        <v>158</v>
      </c>
      <c r="D240" s="2" t="s">
        <v>11</v>
      </c>
      <c r="E240" s="2" t="s">
        <v>41</v>
      </c>
      <c r="F240" s="249" t="s">
        <v>843</v>
      </c>
      <c r="G240" s="2" t="s">
        <v>175</v>
      </c>
      <c r="H240" s="7">
        <v>-924204.17000000016</v>
      </c>
      <c r="I240" s="221">
        <v>-1307244.2242086243</v>
      </c>
      <c r="J240" s="3">
        <f t="shared" si="3"/>
        <v>383040.05420862418</v>
      </c>
    </row>
    <row r="241" spans="1:10" x14ac:dyDescent="0.3">
      <c r="A241" s="2" t="s">
        <v>642</v>
      </c>
      <c r="B241" s="2" t="s">
        <v>643</v>
      </c>
      <c r="C241" s="2" t="s">
        <v>158</v>
      </c>
      <c r="D241" s="2" t="s">
        <v>11</v>
      </c>
      <c r="E241" s="2" t="s">
        <v>41</v>
      </c>
      <c r="F241" s="249" t="s">
        <v>843</v>
      </c>
      <c r="G241" s="2" t="s">
        <v>175</v>
      </c>
      <c r="H241" s="7">
        <v>-2180001.2442317582</v>
      </c>
      <c r="I241" s="221">
        <v>-1506973.3174859753</v>
      </c>
      <c r="J241" s="3">
        <f t="shared" si="3"/>
        <v>-673027.92674578284</v>
      </c>
    </row>
    <row r="242" spans="1:10" x14ac:dyDescent="0.3">
      <c r="A242" s="2" t="s">
        <v>644</v>
      </c>
      <c r="B242" s="2" t="s">
        <v>645</v>
      </c>
      <c r="C242" s="2" t="s">
        <v>158</v>
      </c>
      <c r="D242" s="2"/>
      <c r="E242" s="2"/>
      <c r="F242" s="249"/>
      <c r="G242" s="2" t="s">
        <v>176</v>
      </c>
      <c r="H242" s="7">
        <v>-123834.78999999998</v>
      </c>
      <c r="I242" s="221">
        <v>0</v>
      </c>
      <c r="J242" s="3">
        <f t="shared" si="3"/>
        <v>-123834.78999999998</v>
      </c>
    </row>
    <row r="243" spans="1:10" x14ac:dyDescent="0.3">
      <c r="A243" s="2" t="s">
        <v>646</v>
      </c>
      <c r="B243" s="2" t="s">
        <v>647</v>
      </c>
      <c r="C243" s="2" t="s">
        <v>158</v>
      </c>
      <c r="D243" s="2" t="s">
        <v>13</v>
      </c>
      <c r="E243" s="2" t="s">
        <v>41</v>
      </c>
      <c r="F243" s="249" t="s">
        <v>849</v>
      </c>
      <c r="G243" s="2" t="s">
        <v>175</v>
      </c>
      <c r="H243" s="7">
        <v>-352107.17289311904</v>
      </c>
      <c r="I243" s="221">
        <v>-625050.26624476083</v>
      </c>
      <c r="J243" s="3">
        <f t="shared" si="3"/>
        <v>272943.09335164179</v>
      </c>
    </row>
    <row r="244" spans="1:10" x14ac:dyDescent="0.3">
      <c r="A244" s="2" t="s">
        <v>648</v>
      </c>
      <c r="B244" s="2" t="s">
        <v>649</v>
      </c>
      <c r="C244" s="2" t="s">
        <v>158</v>
      </c>
      <c r="D244" s="2" t="s">
        <v>13</v>
      </c>
      <c r="E244" s="2" t="s">
        <v>41</v>
      </c>
      <c r="F244" s="249" t="s">
        <v>849</v>
      </c>
      <c r="G244" s="2" t="s">
        <v>175</v>
      </c>
      <c r="H244" s="7">
        <v>-752419.54020554142</v>
      </c>
      <c r="I244" s="221">
        <v>-624510.63401803852</v>
      </c>
      <c r="J244" s="3">
        <f t="shared" si="3"/>
        <v>-127908.9061875029</v>
      </c>
    </row>
    <row r="245" spans="1:10" x14ac:dyDescent="0.3">
      <c r="A245" s="2" t="s">
        <v>650</v>
      </c>
      <c r="B245" s="2" t="s">
        <v>651</v>
      </c>
      <c r="C245" s="2" t="s">
        <v>158</v>
      </c>
      <c r="D245" s="2" t="s">
        <v>25</v>
      </c>
      <c r="E245" s="2" t="s">
        <v>41</v>
      </c>
      <c r="F245" s="249" t="s">
        <v>844</v>
      </c>
      <c r="G245" s="2" t="s">
        <v>175</v>
      </c>
      <c r="H245" s="7">
        <v>-49271824.509905539</v>
      </c>
      <c r="I245" s="221">
        <v>-44009686.222595572</v>
      </c>
      <c r="J245" s="3">
        <f t="shared" si="3"/>
        <v>-5262138.287309967</v>
      </c>
    </row>
    <row r="246" spans="1:10" x14ac:dyDescent="0.3">
      <c r="A246" s="2" t="s">
        <v>652</v>
      </c>
      <c r="B246" s="2" t="s">
        <v>653</v>
      </c>
      <c r="C246" s="2" t="s">
        <v>158</v>
      </c>
      <c r="D246" s="2" t="s">
        <v>13</v>
      </c>
      <c r="E246" s="2" t="s">
        <v>41</v>
      </c>
      <c r="F246" s="249" t="s">
        <v>849</v>
      </c>
      <c r="G246" s="2" t="s">
        <v>175</v>
      </c>
      <c r="H246" s="7">
        <v>-1430500.6300000004</v>
      </c>
      <c r="I246" s="221">
        <v>-3749768.5819981149</v>
      </c>
      <c r="J246" s="3">
        <f t="shared" si="3"/>
        <v>2319267.9519981146</v>
      </c>
    </row>
    <row r="247" spans="1:10" x14ac:dyDescent="0.3">
      <c r="A247" s="2" t="s">
        <v>654</v>
      </c>
      <c r="B247" s="2" t="s">
        <v>655</v>
      </c>
      <c r="C247" s="2" t="s">
        <v>158</v>
      </c>
      <c r="D247" s="2" t="s">
        <v>13</v>
      </c>
      <c r="E247" s="2" t="s">
        <v>41</v>
      </c>
      <c r="F247" s="249" t="s">
        <v>849</v>
      </c>
      <c r="G247" s="2" t="s">
        <v>175</v>
      </c>
      <c r="H247" s="7">
        <v>-651433.83091583464</v>
      </c>
      <c r="I247" s="221">
        <v>-1449293.4231263725</v>
      </c>
      <c r="J247" s="3">
        <f t="shared" si="3"/>
        <v>797859.59221053787</v>
      </c>
    </row>
    <row r="248" spans="1:10" x14ac:dyDescent="0.3">
      <c r="A248" s="2" t="s">
        <v>658</v>
      </c>
      <c r="B248" s="2" t="s">
        <v>659</v>
      </c>
      <c r="C248" s="2" t="s">
        <v>158</v>
      </c>
      <c r="D248" s="2" t="s">
        <v>25</v>
      </c>
      <c r="E248" s="2" t="s">
        <v>41</v>
      </c>
      <c r="F248" s="249" t="s">
        <v>844</v>
      </c>
      <c r="G248" s="2" t="s">
        <v>175</v>
      </c>
      <c r="H248" s="7">
        <v>-95795.199999999997</v>
      </c>
      <c r="I248" s="221">
        <v>0</v>
      </c>
      <c r="J248" s="3">
        <f t="shared" si="3"/>
        <v>-95795.199999999997</v>
      </c>
    </row>
    <row r="249" spans="1:10" x14ac:dyDescent="0.3">
      <c r="A249" s="2" t="s">
        <v>662</v>
      </c>
      <c r="B249" s="2" t="s">
        <v>663</v>
      </c>
      <c r="C249" s="2" t="s">
        <v>158</v>
      </c>
      <c r="D249" s="2" t="s">
        <v>13</v>
      </c>
      <c r="E249" s="2" t="s">
        <v>41</v>
      </c>
      <c r="F249" s="249" t="s">
        <v>849</v>
      </c>
      <c r="G249" s="2" t="s">
        <v>175</v>
      </c>
      <c r="H249" s="7">
        <v>-62919.437061768433</v>
      </c>
      <c r="I249" s="221">
        <v>-531422.58285930974</v>
      </c>
      <c r="J249" s="3">
        <f t="shared" si="3"/>
        <v>468503.14579754131</v>
      </c>
    </row>
    <row r="250" spans="1:10" x14ac:dyDescent="0.3">
      <c r="A250" s="2" t="s">
        <v>664</v>
      </c>
      <c r="B250" s="2" t="s">
        <v>665</v>
      </c>
      <c r="C250" s="2" t="s">
        <v>158</v>
      </c>
      <c r="D250" s="2" t="s">
        <v>13</v>
      </c>
      <c r="E250" s="2" t="s">
        <v>41</v>
      </c>
      <c r="F250" s="249" t="s">
        <v>849</v>
      </c>
      <c r="G250" s="2" t="s">
        <v>175</v>
      </c>
      <c r="H250" s="7">
        <v>-2695663.9240990998</v>
      </c>
      <c r="I250" s="221">
        <v>-2702523.9300158662</v>
      </c>
      <c r="J250" s="3">
        <f t="shared" si="3"/>
        <v>6860.0059167663567</v>
      </c>
    </row>
    <row r="251" spans="1:10" x14ac:dyDescent="0.3">
      <c r="A251" s="2" t="s">
        <v>666</v>
      </c>
      <c r="B251" s="2" t="s">
        <v>667</v>
      </c>
      <c r="C251" s="2" t="s">
        <v>158</v>
      </c>
      <c r="D251" s="2" t="s">
        <v>13</v>
      </c>
      <c r="E251" s="2" t="s">
        <v>41</v>
      </c>
      <c r="F251" s="249" t="s">
        <v>849</v>
      </c>
      <c r="G251" s="2" t="s">
        <v>175</v>
      </c>
      <c r="H251" s="7">
        <v>-824.92000000000007</v>
      </c>
      <c r="I251" s="221">
        <v>-2025.39265001081</v>
      </c>
      <c r="J251" s="3">
        <f t="shared" si="3"/>
        <v>1200.47265001081</v>
      </c>
    </row>
    <row r="252" spans="1:10" x14ac:dyDescent="0.3">
      <c r="A252" s="2" t="s">
        <v>668</v>
      </c>
      <c r="B252" s="2" t="s">
        <v>669</v>
      </c>
      <c r="C252" s="2" t="s">
        <v>158</v>
      </c>
      <c r="D252" s="2" t="s">
        <v>13</v>
      </c>
      <c r="E252" s="2" t="s">
        <v>41</v>
      </c>
      <c r="F252" s="249" t="s">
        <v>849</v>
      </c>
      <c r="G252" s="2" t="s">
        <v>175</v>
      </c>
      <c r="H252" s="7">
        <v>-1967967.6142317585</v>
      </c>
      <c r="I252" s="221">
        <v>-3267068.2414549603</v>
      </c>
      <c r="J252" s="3">
        <f t="shared" si="3"/>
        <v>1299100.6272232018</v>
      </c>
    </row>
    <row r="253" spans="1:10" x14ac:dyDescent="0.3">
      <c r="A253" s="2" t="s">
        <v>670</v>
      </c>
      <c r="B253" s="2" t="s">
        <v>671</v>
      </c>
      <c r="C253" s="2" t="s">
        <v>158</v>
      </c>
      <c r="D253" s="2" t="s">
        <v>13</v>
      </c>
      <c r="E253" s="2" t="s">
        <v>41</v>
      </c>
      <c r="F253" s="249" t="s">
        <v>849</v>
      </c>
      <c r="G253" s="2" t="s">
        <v>175</v>
      </c>
      <c r="H253" s="7">
        <v>-3935224.7000000007</v>
      </c>
      <c r="I253" s="221">
        <v>-3683508.9904270922</v>
      </c>
      <c r="J253" s="3">
        <f t="shared" si="3"/>
        <v>-251715.70957290847</v>
      </c>
    </row>
    <row r="254" spans="1:10" x14ac:dyDescent="0.3">
      <c r="A254" s="2" t="s">
        <v>674</v>
      </c>
      <c r="B254" s="2" t="s">
        <v>675</v>
      </c>
      <c r="C254" s="2" t="s">
        <v>158</v>
      </c>
      <c r="D254" s="2" t="s">
        <v>13</v>
      </c>
      <c r="E254" s="2" t="s">
        <v>41</v>
      </c>
      <c r="F254" s="249" t="s">
        <v>849</v>
      </c>
      <c r="G254" s="2" t="s">
        <v>175</v>
      </c>
      <c r="H254" s="7">
        <v>-201883.58</v>
      </c>
      <c r="I254" s="221">
        <v>-429745.23016552208</v>
      </c>
      <c r="J254" s="3">
        <f t="shared" si="3"/>
        <v>227861.65016552209</v>
      </c>
    </row>
    <row r="255" spans="1:10" x14ac:dyDescent="0.3">
      <c r="A255" s="2" t="s">
        <v>676</v>
      </c>
      <c r="B255" s="2" t="s">
        <v>677</v>
      </c>
      <c r="C255" s="2" t="s">
        <v>158</v>
      </c>
      <c r="D255" s="2" t="s">
        <v>13</v>
      </c>
      <c r="E255" s="2" t="s">
        <v>41</v>
      </c>
      <c r="F255" s="249" t="s">
        <v>849</v>
      </c>
      <c r="G255" s="2" t="s">
        <v>175</v>
      </c>
      <c r="H255" s="7">
        <v>-712659.35018657148</v>
      </c>
      <c r="I255" s="221">
        <v>-4103148.8046456487</v>
      </c>
      <c r="J255" s="3">
        <f t="shared" si="3"/>
        <v>3390489.4544590772</v>
      </c>
    </row>
    <row r="256" spans="1:10" x14ac:dyDescent="0.3">
      <c r="A256" s="2" t="s">
        <v>678</v>
      </c>
      <c r="B256" s="2" t="s">
        <v>679</v>
      </c>
      <c r="C256" s="2" t="s">
        <v>158</v>
      </c>
      <c r="D256" s="2" t="s">
        <v>25</v>
      </c>
      <c r="E256" s="2" t="s">
        <v>41</v>
      </c>
      <c r="F256" s="249" t="s">
        <v>844</v>
      </c>
      <c r="G256" s="2" t="s">
        <v>175</v>
      </c>
      <c r="H256" s="7">
        <v>-6038892.223055413</v>
      </c>
      <c r="I256" s="221">
        <v>-5653600.1325064488</v>
      </c>
      <c r="J256" s="3">
        <f t="shared" si="3"/>
        <v>-385292.09054896422</v>
      </c>
    </row>
    <row r="257" spans="1:10" x14ac:dyDescent="0.3">
      <c r="A257" s="2" t="s">
        <v>950</v>
      </c>
      <c r="B257" s="2" t="s">
        <v>951</v>
      </c>
      <c r="C257" s="2" t="s">
        <v>158</v>
      </c>
      <c r="D257" s="2" t="s">
        <v>26</v>
      </c>
      <c r="E257" s="2" t="s">
        <v>26</v>
      </c>
      <c r="F257" s="249" t="s">
        <v>845</v>
      </c>
      <c r="G257" s="2" t="s">
        <v>175</v>
      </c>
      <c r="H257" s="7">
        <v>-148211.1511587915</v>
      </c>
      <c r="I257" s="221">
        <v>0</v>
      </c>
      <c r="J257" s="3">
        <f t="shared" si="3"/>
        <v>-148211.1511587915</v>
      </c>
    </row>
    <row r="258" spans="1:10" x14ac:dyDescent="0.3">
      <c r="A258" s="2" t="s">
        <v>680</v>
      </c>
      <c r="B258" s="2" t="s">
        <v>681</v>
      </c>
      <c r="C258" s="2" t="s">
        <v>158</v>
      </c>
      <c r="D258" s="2" t="s">
        <v>13</v>
      </c>
      <c r="E258" s="2" t="s">
        <v>41</v>
      </c>
      <c r="F258" s="249" t="s">
        <v>849</v>
      </c>
      <c r="G258" s="2" t="s">
        <v>175</v>
      </c>
      <c r="H258" s="7">
        <v>-42149.364231758293</v>
      </c>
      <c r="I258" s="221">
        <v>-180175.30185413003</v>
      </c>
      <c r="J258" s="3">
        <f t="shared" si="3"/>
        <v>138025.93762237174</v>
      </c>
    </row>
    <row r="259" spans="1:10" x14ac:dyDescent="0.3">
      <c r="A259" s="2" t="s">
        <v>682</v>
      </c>
      <c r="B259" s="2" t="s">
        <v>683</v>
      </c>
      <c r="C259" s="2" t="s">
        <v>158</v>
      </c>
      <c r="D259" s="2" t="s">
        <v>26</v>
      </c>
      <c r="E259" s="2" t="s">
        <v>26</v>
      </c>
      <c r="F259" s="249" t="s">
        <v>845</v>
      </c>
      <c r="G259" s="2" t="s">
        <v>175</v>
      </c>
      <c r="H259" s="7">
        <v>-2315739.2355960906</v>
      </c>
      <c r="I259" s="221">
        <v>-3754567.2705454882</v>
      </c>
      <c r="J259" s="3">
        <f t="shared" si="3"/>
        <v>1438828.0349493977</v>
      </c>
    </row>
    <row r="260" spans="1:10" x14ac:dyDescent="0.3">
      <c r="A260" s="2" t="s">
        <v>684</v>
      </c>
      <c r="B260" s="2" t="s">
        <v>685</v>
      </c>
      <c r="C260" s="2" t="s">
        <v>158</v>
      </c>
      <c r="D260" s="2" t="s">
        <v>11</v>
      </c>
      <c r="E260" s="2" t="s">
        <v>41</v>
      </c>
      <c r="F260" s="249" t="s">
        <v>843</v>
      </c>
      <c r="G260" s="2" t="s">
        <v>175</v>
      </c>
      <c r="H260" s="7">
        <v>-352751.58934313926</v>
      </c>
      <c r="I260" s="221">
        <v>-1026506.7600291376</v>
      </c>
      <c r="J260" s="3">
        <f t="shared" si="3"/>
        <v>673755.1706859984</v>
      </c>
    </row>
    <row r="261" spans="1:10" x14ac:dyDescent="0.3">
      <c r="A261" s="2" t="s">
        <v>686</v>
      </c>
      <c r="B261" s="2" t="s">
        <v>687</v>
      </c>
      <c r="C261" s="2" t="s">
        <v>158</v>
      </c>
      <c r="D261" s="2" t="s">
        <v>11</v>
      </c>
      <c r="E261" s="2" t="s">
        <v>41</v>
      </c>
      <c r="F261" s="249" t="s">
        <v>843</v>
      </c>
      <c r="G261" s="2" t="s">
        <v>175</v>
      </c>
      <c r="H261" s="7">
        <v>-1279814.0942317583</v>
      </c>
      <c r="I261" s="221">
        <v>-2029436.6604549391</v>
      </c>
      <c r="J261" s="3">
        <f t="shared" si="3"/>
        <v>749622.56622318085</v>
      </c>
    </row>
    <row r="262" spans="1:10" x14ac:dyDescent="0.3">
      <c r="A262" s="2" t="s">
        <v>688</v>
      </c>
      <c r="B262" s="2" t="s">
        <v>689</v>
      </c>
      <c r="C262" s="2" t="s">
        <v>158</v>
      </c>
      <c r="D262" s="2" t="s">
        <v>11</v>
      </c>
      <c r="E262" s="2" t="s">
        <v>41</v>
      </c>
      <c r="F262" s="249" t="s">
        <v>843</v>
      </c>
      <c r="G262" s="2" t="s">
        <v>175</v>
      </c>
      <c r="H262" s="7">
        <v>-10043107.29948145</v>
      </c>
      <c r="I262" s="221">
        <v>-9056163.8387702424</v>
      </c>
      <c r="J262" s="3">
        <f t="shared" ref="J262:J325" si="4">H262-I262</f>
        <v>-986943.46071120724</v>
      </c>
    </row>
    <row r="263" spans="1:10" x14ac:dyDescent="0.3">
      <c r="A263" s="2" t="s">
        <v>690</v>
      </c>
      <c r="B263" s="2" t="s">
        <v>691</v>
      </c>
      <c r="C263" s="2" t="s">
        <v>158</v>
      </c>
      <c r="D263" s="2" t="s">
        <v>11</v>
      </c>
      <c r="E263" s="2" t="s">
        <v>41</v>
      </c>
      <c r="F263" s="249" t="s">
        <v>843</v>
      </c>
      <c r="G263" s="2" t="s">
        <v>175</v>
      </c>
      <c r="H263" s="7">
        <v>-240389.55</v>
      </c>
      <c r="I263" s="221">
        <v>-297924.5009148001</v>
      </c>
      <c r="J263" s="3">
        <f t="shared" si="4"/>
        <v>57534.950914800109</v>
      </c>
    </row>
    <row r="264" spans="1:10" x14ac:dyDescent="0.3">
      <c r="A264" s="2" t="s">
        <v>692</v>
      </c>
      <c r="B264" s="2" t="s">
        <v>693</v>
      </c>
      <c r="C264" s="2" t="s">
        <v>158</v>
      </c>
      <c r="D264" s="2" t="s">
        <v>11</v>
      </c>
      <c r="E264" s="2" t="s">
        <v>41</v>
      </c>
      <c r="F264" s="249" t="s">
        <v>843</v>
      </c>
      <c r="G264" s="2" t="s">
        <v>175</v>
      </c>
      <c r="H264" s="7">
        <v>-4787.1899999999996</v>
      </c>
      <c r="I264" s="221">
        <v>-148439.5139193655</v>
      </c>
      <c r="J264" s="3">
        <f t="shared" si="4"/>
        <v>143652.3239193655</v>
      </c>
    </row>
    <row r="265" spans="1:10" x14ac:dyDescent="0.3">
      <c r="A265" s="2" t="s">
        <v>696</v>
      </c>
      <c r="B265" s="2" t="s">
        <v>697</v>
      </c>
      <c r="C265" s="2" t="s">
        <v>158</v>
      </c>
      <c r="D265" s="2" t="s">
        <v>11</v>
      </c>
      <c r="E265" s="2" t="s">
        <v>41</v>
      </c>
      <c r="F265" s="249" t="s">
        <v>843</v>
      </c>
      <c r="G265" s="2" t="s">
        <v>175</v>
      </c>
      <c r="H265" s="7">
        <v>-248141.69423175833</v>
      </c>
      <c r="I265" s="221">
        <v>-1205412.4114736328</v>
      </c>
      <c r="J265" s="3">
        <f t="shared" si="4"/>
        <v>957270.71724187443</v>
      </c>
    </row>
    <row r="266" spans="1:10" x14ac:dyDescent="0.3">
      <c r="A266" s="2" t="s">
        <v>698</v>
      </c>
      <c r="B266" s="2" t="s">
        <v>699</v>
      </c>
      <c r="C266" s="2" t="s">
        <v>158</v>
      </c>
      <c r="D266" s="2" t="s">
        <v>25</v>
      </c>
      <c r="E266" s="2" t="s">
        <v>41</v>
      </c>
      <c r="F266" s="249" t="s">
        <v>844</v>
      </c>
      <c r="G266" s="2" t="s">
        <v>175</v>
      </c>
      <c r="H266" s="7">
        <v>-3825169.7299999995</v>
      </c>
      <c r="I266" s="221">
        <v>0</v>
      </c>
      <c r="J266" s="3">
        <f t="shared" si="4"/>
        <v>-3825169.7299999995</v>
      </c>
    </row>
    <row r="267" spans="1:10" x14ac:dyDescent="0.3">
      <c r="A267" s="2" t="s">
        <v>700</v>
      </c>
      <c r="B267" s="2" t="s">
        <v>701</v>
      </c>
      <c r="C267" s="2" t="s">
        <v>158</v>
      </c>
      <c r="D267" s="2" t="s">
        <v>25</v>
      </c>
      <c r="E267" s="2" t="s">
        <v>41</v>
      </c>
      <c r="F267" s="249" t="s">
        <v>844</v>
      </c>
      <c r="G267" s="2" t="s">
        <v>175</v>
      </c>
      <c r="H267" s="7">
        <v>-661462.49559882458</v>
      </c>
      <c r="I267" s="221">
        <v>0</v>
      </c>
      <c r="J267" s="3">
        <f t="shared" si="4"/>
        <v>-661462.49559882458</v>
      </c>
    </row>
    <row r="268" spans="1:10" x14ac:dyDescent="0.3">
      <c r="A268" s="2" t="s">
        <v>702</v>
      </c>
      <c r="B268" s="2" t="s">
        <v>703</v>
      </c>
      <c r="C268" s="2" t="s">
        <v>158</v>
      </c>
      <c r="D268" s="2" t="s">
        <v>26</v>
      </c>
      <c r="E268" s="2" t="s">
        <v>26</v>
      </c>
      <c r="F268" s="249" t="s">
        <v>845</v>
      </c>
      <c r="G268" s="2" t="s">
        <v>175</v>
      </c>
      <c r="H268" s="7">
        <v>-1530.8</v>
      </c>
      <c r="I268" s="221">
        <v>-1176.1589987058437</v>
      </c>
      <c r="J268" s="3">
        <f t="shared" si="4"/>
        <v>-354.64100129415624</v>
      </c>
    </row>
    <row r="269" spans="1:10" x14ac:dyDescent="0.3">
      <c r="A269" s="2" t="s">
        <v>706</v>
      </c>
      <c r="B269" s="2" t="s">
        <v>707</v>
      </c>
      <c r="C269" s="2" t="s">
        <v>158</v>
      </c>
      <c r="D269" s="2" t="s">
        <v>13</v>
      </c>
      <c r="E269" s="2" t="s">
        <v>41</v>
      </c>
      <c r="F269" s="249" t="s">
        <v>849</v>
      </c>
      <c r="G269" s="2" t="s">
        <v>175</v>
      </c>
      <c r="H269" s="7">
        <v>-30357.300000000003</v>
      </c>
      <c r="I269" s="221">
        <v>-192004.56225498812</v>
      </c>
      <c r="J269" s="3">
        <f t="shared" si="4"/>
        <v>161647.26225498813</v>
      </c>
    </row>
    <row r="270" spans="1:10" x14ac:dyDescent="0.3">
      <c r="A270" s="2" t="s">
        <v>708</v>
      </c>
      <c r="B270" s="2" t="s">
        <v>709</v>
      </c>
      <c r="C270" s="2" t="s">
        <v>158</v>
      </c>
      <c r="D270" s="2" t="s">
        <v>3</v>
      </c>
      <c r="E270" s="2" t="s">
        <v>41</v>
      </c>
      <c r="F270" s="249"/>
      <c r="G270" s="2" t="s">
        <v>175</v>
      </c>
      <c r="H270" s="7">
        <v>-2580429.9736258262</v>
      </c>
      <c r="I270" s="221">
        <v>-8824690.6817541234</v>
      </c>
      <c r="J270" s="3">
        <f t="shared" si="4"/>
        <v>6244260.7081282977</v>
      </c>
    </row>
    <row r="271" spans="1:10" x14ac:dyDescent="0.3">
      <c r="A271" s="2" t="s">
        <v>710</v>
      </c>
      <c r="B271" s="2" t="s">
        <v>711</v>
      </c>
      <c r="C271" s="2" t="s">
        <v>158</v>
      </c>
      <c r="D271" s="2" t="s">
        <v>3</v>
      </c>
      <c r="E271" s="2" t="s">
        <v>41</v>
      </c>
      <c r="F271" s="249"/>
      <c r="G271" s="2" t="s">
        <v>175</v>
      </c>
      <c r="H271" s="7">
        <v>-3239929.69</v>
      </c>
      <c r="I271" s="221">
        <v>-4989828.6341764741</v>
      </c>
      <c r="J271" s="3">
        <f t="shared" si="4"/>
        <v>1749898.9441764741</v>
      </c>
    </row>
    <row r="272" spans="1:10" x14ac:dyDescent="0.3">
      <c r="A272" s="2" t="s">
        <v>712</v>
      </c>
      <c r="B272" s="2" t="s">
        <v>713</v>
      </c>
      <c r="C272" s="2" t="s">
        <v>158</v>
      </c>
      <c r="D272" s="2" t="s">
        <v>26</v>
      </c>
      <c r="E272" s="2" t="s">
        <v>26</v>
      </c>
      <c r="F272" s="249" t="s">
        <v>845</v>
      </c>
      <c r="G272" s="2" t="s">
        <v>175</v>
      </c>
      <c r="H272" s="7">
        <v>-346.02644804097525</v>
      </c>
      <c r="I272" s="221">
        <v>0</v>
      </c>
      <c r="J272" s="3">
        <f t="shared" si="4"/>
        <v>-346.02644804097525</v>
      </c>
    </row>
    <row r="273" spans="1:10" x14ac:dyDescent="0.3">
      <c r="A273" s="2" t="s">
        <v>952</v>
      </c>
      <c r="B273" s="2" t="s">
        <v>953</v>
      </c>
      <c r="C273" s="2" t="s">
        <v>158</v>
      </c>
      <c r="D273" s="2" t="s">
        <v>26</v>
      </c>
      <c r="E273" s="2" t="s">
        <v>26</v>
      </c>
      <c r="F273" s="249" t="s">
        <v>845</v>
      </c>
      <c r="G273" s="2" t="s">
        <v>175</v>
      </c>
      <c r="H273" s="7">
        <v>-161561.24</v>
      </c>
      <c r="I273" s="221">
        <v>-6458825.6809999952</v>
      </c>
      <c r="J273" s="3">
        <f t="shared" si="4"/>
        <v>6297264.440999995</v>
      </c>
    </row>
    <row r="274" spans="1:10" x14ac:dyDescent="0.3">
      <c r="A274" s="2" t="s">
        <v>954</v>
      </c>
      <c r="B274" s="2" t="s">
        <v>955</v>
      </c>
      <c r="C274" s="2" t="s">
        <v>107</v>
      </c>
      <c r="D274" s="2" t="s">
        <v>26</v>
      </c>
      <c r="E274" s="2" t="s">
        <v>26</v>
      </c>
      <c r="F274" s="249" t="s">
        <v>845</v>
      </c>
      <c r="G274" s="2" t="s">
        <v>175</v>
      </c>
      <c r="H274" s="7">
        <v>-380747.7737545399</v>
      </c>
      <c r="I274" s="221">
        <v>0</v>
      </c>
      <c r="J274" s="3">
        <f t="shared" si="4"/>
        <v>-380747.7737545399</v>
      </c>
    </row>
    <row r="275" spans="1:10" x14ac:dyDescent="0.3">
      <c r="A275" s="2" t="s">
        <v>714</v>
      </c>
      <c r="B275" s="2" t="s">
        <v>715</v>
      </c>
      <c r="C275" s="2" t="s">
        <v>107</v>
      </c>
      <c r="D275" s="2" t="s">
        <v>1</v>
      </c>
      <c r="E275" s="2" t="s">
        <v>45</v>
      </c>
      <c r="F275" s="249" t="s">
        <v>842</v>
      </c>
      <c r="G275" s="2" t="s">
        <v>175</v>
      </c>
      <c r="H275" s="7">
        <v>-617924.75170522952</v>
      </c>
      <c r="I275" s="221">
        <v>-1131175.8880827052</v>
      </c>
      <c r="J275" s="3">
        <f t="shared" si="4"/>
        <v>513251.13637747569</v>
      </c>
    </row>
    <row r="276" spans="1:10" x14ac:dyDescent="0.3">
      <c r="A276" s="2" t="s">
        <v>716</v>
      </c>
      <c r="B276" s="2" t="s">
        <v>717</v>
      </c>
      <c r="C276" s="2" t="s">
        <v>158</v>
      </c>
      <c r="D276" s="2" t="s">
        <v>26</v>
      </c>
      <c r="E276" s="2" t="s">
        <v>26</v>
      </c>
      <c r="F276" s="249" t="s">
        <v>845</v>
      </c>
      <c r="G276" s="2" t="s">
        <v>175</v>
      </c>
      <c r="H276" s="7">
        <v>-17769.763644497842</v>
      </c>
      <c r="I276" s="221">
        <v>-1504618.5</v>
      </c>
      <c r="J276" s="3">
        <f t="shared" si="4"/>
        <v>1486848.7363555022</v>
      </c>
    </row>
    <row r="277" spans="1:10" x14ac:dyDescent="0.3">
      <c r="A277" s="2" t="s">
        <v>718</v>
      </c>
      <c r="B277" s="2" t="s">
        <v>719</v>
      </c>
      <c r="C277" s="2" t="s">
        <v>107</v>
      </c>
      <c r="D277" s="2" t="s">
        <v>26</v>
      </c>
      <c r="E277" s="2" t="s">
        <v>26</v>
      </c>
      <c r="F277" s="249" t="s">
        <v>845</v>
      </c>
      <c r="G277" s="2" t="s">
        <v>175</v>
      </c>
      <c r="H277" s="7">
        <v>-62851.043824734457</v>
      </c>
      <c r="I277" s="221">
        <v>0</v>
      </c>
      <c r="J277" s="3">
        <f t="shared" si="4"/>
        <v>-62851.043824734457</v>
      </c>
    </row>
    <row r="278" spans="1:10" x14ac:dyDescent="0.3">
      <c r="A278" s="2" t="s">
        <v>720</v>
      </c>
      <c r="B278" s="2" t="s">
        <v>721</v>
      </c>
      <c r="C278" s="2" t="s">
        <v>107</v>
      </c>
      <c r="D278" s="2" t="s">
        <v>26</v>
      </c>
      <c r="E278" s="2" t="s">
        <v>26</v>
      </c>
      <c r="F278" s="249" t="s">
        <v>845</v>
      </c>
      <c r="G278" s="2" t="s">
        <v>175</v>
      </c>
      <c r="H278" s="7">
        <v>-323491.58117287129</v>
      </c>
      <c r="I278" s="221">
        <v>-5483.3921518843536</v>
      </c>
      <c r="J278" s="3">
        <f t="shared" si="4"/>
        <v>-318008.18902098696</v>
      </c>
    </row>
    <row r="279" spans="1:10" x14ac:dyDescent="0.3">
      <c r="A279" s="2" t="s">
        <v>722</v>
      </c>
      <c r="B279" s="2" t="s">
        <v>723</v>
      </c>
      <c r="C279" s="2" t="s">
        <v>158</v>
      </c>
      <c r="D279" s="2" t="s">
        <v>26</v>
      </c>
      <c r="E279" s="2" t="s">
        <v>26</v>
      </c>
      <c r="F279" s="249" t="s">
        <v>845</v>
      </c>
      <c r="G279" s="2" t="s">
        <v>175</v>
      </c>
      <c r="H279" s="7">
        <v>-453634.87382154108</v>
      </c>
      <c r="I279" s="221">
        <v>-974194.62083176814</v>
      </c>
      <c r="J279" s="3">
        <f t="shared" si="4"/>
        <v>520559.74701022706</v>
      </c>
    </row>
    <row r="280" spans="1:10" x14ac:dyDescent="0.3">
      <c r="A280" s="2" t="s">
        <v>724</v>
      </c>
      <c r="B280" s="2" t="s">
        <v>725</v>
      </c>
      <c r="C280" s="2" t="s">
        <v>158</v>
      </c>
      <c r="D280" s="2" t="s">
        <v>11</v>
      </c>
      <c r="E280" s="2" t="s">
        <v>41</v>
      </c>
      <c r="F280" s="249" t="s">
        <v>843</v>
      </c>
      <c r="G280" s="2" t="s">
        <v>175</v>
      </c>
      <c r="H280" s="7">
        <v>-453746.58106083988</v>
      </c>
      <c r="I280" s="221">
        <v>-189383.4311452531</v>
      </c>
      <c r="J280" s="3">
        <f t="shared" si="4"/>
        <v>-264363.14991558681</v>
      </c>
    </row>
    <row r="281" spans="1:10" x14ac:dyDescent="0.3">
      <c r="A281" s="2" t="s">
        <v>726</v>
      </c>
      <c r="B281" s="2" t="s">
        <v>727</v>
      </c>
      <c r="C281" s="2" t="s">
        <v>158</v>
      </c>
      <c r="D281" s="2" t="s">
        <v>13</v>
      </c>
      <c r="E281" s="2" t="s">
        <v>41</v>
      </c>
      <c r="F281" s="249" t="s">
        <v>849</v>
      </c>
      <c r="G281" s="2" t="s">
        <v>175</v>
      </c>
      <c r="H281" s="7">
        <v>-848270.26872199017</v>
      </c>
      <c r="I281" s="221">
        <v>-1331904.7345001313</v>
      </c>
      <c r="J281" s="3">
        <f t="shared" si="4"/>
        <v>483634.46577814117</v>
      </c>
    </row>
    <row r="282" spans="1:10" x14ac:dyDescent="0.3">
      <c r="A282" s="2" t="s">
        <v>728</v>
      </c>
      <c r="B282" s="2" t="s">
        <v>729</v>
      </c>
      <c r="C282" s="2" t="s">
        <v>107</v>
      </c>
      <c r="D282" s="2" t="s">
        <v>19</v>
      </c>
      <c r="E282" s="2" t="s">
        <v>41</v>
      </c>
      <c r="F282" s="249" t="s">
        <v>850</v>
      </c>
      <c r="G282" s="2" t="s">
        <v>175</v>
      </c>
      <c r="H282" s="7">
        <v>-624116.57000000007</v>
      </c>
      <c r="I282" s="221">
        <v>0</v>
      </c>
      <c r="J282" s="3">
        <f t="shared" si="4"/>
        <v>-624116.57000000007</v>
      </c>
    </row>
    <row r="283" spans="1:10" x14ac:dyDescent="0.3">
      <c r="A283" s="2" t="s">
        <v>730</v>
      </c>
      <c r="B283" s="2" t="s">
        <v>731</v>
      </c>
      <c r="C283" s="2" t="s">
        <v>107</v>
      </c>
      <c r="D283" s="2" t="s">
        <v>28</v>
      </c>
      <c r="E283" s="2" t="s">
        <v>45</v>
      </c>
      <c r="F283" s="249" t="s">
        <v>852</v>
      </c>
      <c r="G283" s="2" t="s">
        <v>175</v>
      </c>
      <c r="H283" s="7">
        <v>-44028432.891698539</v>
      </c>
      <c r="I283" s="221">
        <v>-9047247.2370254043</v>
      </c>
      <c r="J283" s="3">
        <f t="shared" si="4"/>
        <v>-34981185.654673137</v>
      </c>
    </row>
    <row r="284" spans="1:10" x14ac:dyDescent="0.3">
      <c r="A284" s="2" t="s">
        <v>732</v>
      </c>
      <c r="B284" s="2" t="s">
        <v>733</v>
      </c>
      <c r="C284" s="2" t="s">
        <v>107</v>
      </c>
      <c r="D284" s="2" t="s">
        <v>26</v>
      </c>
      <c r="E284" s="2" t="s">
        <v>26</v>
      </c>
      <c r="F284" s="249" t="s">
        <v>845</v>
      </c>
      <c r="G284" s="2" t="s">
        <v>175</v>
      </c>
      <c r="H284" s="7">
        <v>-4173800.6999999997</v>
      </c>
      <c r="I284" s="221">
        <v>-2044206.999999996</v>
      </c>
      <c r="J284" s="3">
        <f t="shared" si="4"/>
        <v>-2129593.7000000039</v>
      </c>
    </row>
    <row r="285" spans="1:10" x14ac:dyDescent="0.3">
      <c r="A285" s="2" t="s">
        <v>734</v>
      </c>
      <c r="B285" s="2" t="s">
        <v>735</v>
      </c>
      <c r="C285" s="2" t="s">
        <v>158</v>
      </c>
      <c r="D285" s="2" t="s">
        <v>26</v>
      </c>
      <c r="E285" s="2" t="s">
        <v>26</v>
      </c>
      <c r="F285" s="249" t="s">
        <v>845</v>
      </c>
      <c r="G285" s="2" t="s">
        <v>175</v>
      </c>
      <c r="H285" s="7">
        <v>-1748850.5200000003</v>
      </c>
      <c r="I285" s="221">
        <v>-1370745.999999996</v>
      </c>
      <c r="J285" s="3">
        <f t="shared" si="4"/>
        <v>-378104.52000000421</v>
      </c>
    </row>
    <row r="286" spans="1:10" x14ac:dyDescent="0.3">
      <c r="A286" s="2" t="s">
        <v>736</v>
      </c>
      <c r="B286" s="2" t="s">
        <v>737</v>
      </c>
      <c r="C286" s="2" t="s">
        <v>807</v>
      </c>
      <c r="D286" s="2" t="s">
        <v>26</v>
      </c>
      <c r="E286" s="2" t="s">
        <v>26</v>
      </c>
      <c r="F286" s="249" t="s">
        <v>845</v>
      </c>
      <c r="G286" s="2" t="s">
        <v>175</v>
      </c>
      <c r="H286" s="7">
        <v>-2278.79</v>
      </c>
      <c r="I286" s="221">
        <v>-500000.00000000041</v>
      </c>
      <c r="J286" s="3">
        <f t="shared" si="4"/>
        <v>497721.21000000043</v>
      </c>
    </row>
    <row r="287" spans="1:10" x14ac:dyDescent="0.3">
      <c r="A287" s="2" t="s">
        <v>738</v>
      </c>
      <c r="B287" s="2" t="s">
        <v>739</v>
      </c>
      <c r="C287" s="2" t="s">
        <v>107</v>
      </c>
      <c r="D287" s="2" t="s">
        <v>26</v>
      </c>
      <c r="E287" s="2" t="s">
        <v>26</v>
      </c>
      <c r="F287" s="249" t="s">
        <v>845</v>
      </c>
      <c r="G287" s="2" t="s">
        <v>175</v>
      </c>
      <c r="H287" s="7">
        <v>-413845.27999999997</v>
      </c>
      <c r="I287" s="221">
        <v>-800000.00000000081</v>
      </c>
      <c r="J287" s="3">
        <f t="shared" si="4"/>
        <v>386154.72000000085</v>
      </c>
    </row>
    <row r="288" spans="1:10" x14ac:dyDescent="0.3">
      <c r="A288" s="2" t="s">
        <v>740</v>
      </c>
      <c r="B288" s="2" t="s">
        <v>741</v>
      </c>
      <c r="C288" s="2" t="s">
        <v>807</v>
      </c>
      <c r="D288" s="2" t="s">
        <v>26</v>
      </c>
      <c r="E288" s="2" t="s">
        <v>26</v>
      </c>
      <c r="F288" s="249" t="s">
        <v>845</v>
      </c>
      <c r="G288" s="2" t="s">
        <v>175</v>
      </c>
      <c r="H288" s="7">
        <v>-14588.580000000002</v>
      </c>
      <c r="I288" s="221">
        <v>-600000</v>
      </c>
      <c r="J288" s="3">
        <f t="shared" si="4"/>
        <v>585411.42000000004</v>
      </c>
    </row>
    <row r="289" spans="1:10" x14ac:dyDescent="0.3">
      <c r="A289" s="2" t="s">
        <v>746</v>
      </c>
      <c r="B289" s="2" t="s">
        <v>747</v>
      </c>
      <c r="C289" s="2" t="s">
        <v>107</v>
      </c>
      <c r="D289" s="2" t="s">
        <v>19</v>
      </c>
      <c r="E289" s="2" t="s">
        <v>41</v>
      </c>
      <c r="F289" s="249" t="s">
        <v>850</v>
      </c>
      <c r="G289" s="2" t="s">
        <v>175</v>
      </c>
      <c r="H289" s="7">
        <v>-8740.1426829300908</v>
      </c>
      <c r="I289" s="221">
        <v>-33464.042713734896</v>
      </c>
      <c r="J289" s="3">
        <f t="shared" si="4"/>
        <v>24723.900030804805</v>
      </c>
    </row>
    <row r="290" spans="1:10" x14ac:dyDescent="0.3">
      <c r="A290" s="2" t="s">
        <v>748</v>
      </c>
      <c r="B290" s="2" t="s">
        <v>749</v>
      </c>
      <c r="C290" s="2" t="s">
        <v>107</v>
      </c>
      <c r="D290" s="2" t="s">
        <v>19</v>
      </c>
      <c r="E290" s="2" t="s">
        <v>41</v>
      </c>
      <c r="F290" s="249" t="s">
        <v>850</v>
      </c>
      <c r="G290" s="2" t="s">
        <v>175</v>
      </c>
      <c r="H290" s="7">
        <v>-589047.8020893184</v>
      </c>
      <c r="I290" s="221">
        <v>-348759.9182160495</v>
      </c>
      <c r="J290" s="3">
        <f t="shared" si="4"/>
        <v>-240287.8838732689</v>
      </c>
    </row>
    <row r="291" spans="1:10" x14ac:dyDescent="0.3">
      <c r="A291" s="2" t="s">
        <v>754</v>
      </c>
      <c r="B291" s="2" t="s">
        <v>755</v>
      </c>
      <c r="C291" s="2" t="s">
        <v>107</v>
      </c>
      <c r="D291" s="2" t="s">
        <v>19</v>
      </c>
      <c r="E291" s="2" t="s">
        <v>41</v>
      </c>
      <c r="F291" s="249" t="s">
        <v>850</v>
      </c>
      <c r="G291" s="2" t="s">
        <v>175</v>
      </c>
      <c r="H291" s="7">
        <v>-332803.5</v>
      </c>
      <c r="I291" s="221">
        <v>0</v>
      </c>
      <c r="J291" s="3">
        <f t="shared" si="4"/>
        <v>-332803.5</v>
      </c>
    </row>
    <row r="292" spans="1:10" x14ac:dyDescent="0.3">
      <c r="A292" s="2" t="s">
        <v>956</v>
      </c>
      <c r="B292" s="2" t="s">
        <v>957</v>
      </c>
      <c r="C292" s="2" t="s">
        <v>107</v>
      </c>
      <c r="D292" s="2" t="s">
        <v>19</v>
      </c>
      <c r="E292" s="2" t="s">
        <v>41</v>
      </c>
      <c r="F292" s="249" t="s">
        <v>850</v>
      </c>
      <c r="G292" s="2" t="s">
        <v>175</v>
      </c>
      <c r="H292" s="7">
        <v>-2275718.2799999998</v>
      </c>
      <c r="I292" s="221">
        <v>0</v>
      </c>
      <c r="J292" s="3">
        <f t="shared" si="4"/>
        <v>-2275718.2799999998</v>
      </c>
    </row>
    <row r="293" spans="1:10" x14ac:dyDescent="0.3">
      <c r="A293" s="2" t="s">
        <v>756</v>
      </c>
      <c r="B293" s="2" t="s">
        <v>757</v>
      </c>
      <c r="C293" s="2" t="s">
        <v>107</v>
      </c>
      <c r="D293" s="2" t="s">
        <v>29</v>
      </c>
      <c r="E293" s="2" t="s">
        <v>45</v>
      </c>
      <c r="F293" s="249" t="s">
        <v>853</v>
      </c>
      <c r="G293" s="2" t="s">
        <v>175</v>
      </c>
      <c r="H293" s="7">
        <v>-19661839.260000002</v>
      </c>
      <c r="I293" s="221">
        <v>-10173066.606914049</v>
      </c>
      <c r="J293" s="3">
        <f t="shared" si="4"/>
        <v>-9488772.6530859526</v>
      </c>
    </row>
    <row r="294" spans="1:10" x14ac:dyDescent="0.3">
      <c r="A294" s="2" t="s">
        <v>758</v>
      </c>
      <c r="B294" s="2" t="s">
        <v>759</v>
      </c>
      <c r="C294" s="2" t="s">
        <v>107</v>
      </c>
      <c r="D294" s="2" t="s">
        <v>19</v>
      </c>
      <c r="E294" s="2" t="s">
        <v>41</v>
      </c>
      <c r="F294" s="249" t="s">
        <v>850</v>
      </c>
      <c r="G294" s="2" t="s">
        <v>175</v>
      </c>
      <c r="H294" s="7">
        <v>-4427.7899999999991</v>
      </c>
      <c r="I294" s="221">
        <v>-1243996.6522279081</v>
      </c>
      <c r="J294" s="3">
        <f t="shared" si="4"/>
        <v>1239568.8622279081</v>
      </c>
    </row>
    <row r="295" spans="1:10" x14ac:dyDescent="0.3">
      <c r="A295" s="2" t="s">
        <v>800</v>
      </c>
      <c r="B295" s="2" t="s">
        <v>801</v>
      </c>
      <c r="C295" s="2" t="s">
        <v>107</v>
      </c>
      <c r="D295" s="2" t="s">
        <v>819</v>
      </c>
      <c r="E295" s="2" t="s">
        <v>41</v>
      </c>
      <c r="F295" s="249"/>
      <c r="G295" s="2" t="s">
        <v>175</v>
      </c>
      <c r="H295" s="7">
        <v>-1442703.39398975</v>
      </c>
      <c r="I295" s="221">
        <v>-7165996.3759999918</v>
      </c>
      <c r="J295" s="3">
        <f t="shared" si="4"/>
        <v>5723292.9820102416</v>
      </c>
    </row>
    <row r="296" spans="1:10" x14ac:dyDescent="0.3">
      <c r="A296" s="2" t="s">
        <v>766</v>
      </c>
      <c r="B296" s="2" t="s">
        <v>958</v>
      </c>
      <c r="C296" s="2" t="s">
        <v>107</v>
      </c>
      <c r="D296" s="2" t="s">
        <v>31</v>
      </c>
      <c r="E296" s="2" t="s">
        <v>41</v>
      </c>
      <c r="F296" s="249"/>
      <c r="G296" s="2" t="s">
        <v>175</v>
      </c>
      <c r="H296" s="7">
        <v>-1258562.3289936027</v>
      </c>
      <c r="I296" s="221">
        <v>-4266596.526499996</v>
      </c>
      <c r="J296" s="3">
        <f t="shared" si="4"/>
        <v>3008034.1975063933</v>
      </c>
    </row>
    <row r="297" spans="1:10" x14ac:dyDescent="0.3">
      <c r="A297" s="2" t="s">
        <v>786</v>
      </c>
      <c r="B297" s="2" t="s">
        <v>787</v>
      </c>
      <c r="C297" s="2" t="s">
        <v>107</v>
      </c>
      <c r="D297" s="2" t="s">
        <v>26</v>
      </c>
      <c r="E297" s="2" t="s">
        <v>26</v>
      </c>
      <c r="F297" s="249" t="s">
        <v>845</v>
      </c>
      <c r="G297" s="2" t="s">
        <v>175</v>
      </c>
      <c r="H297" s="7">
        <v>-3266.9763681120999</v>
      </c>
      <c r="I297" s="221">
        <v>-1885788.5200000035</v>
      </c>
      <c r="J297" s="3">
        <f t="shared" si="4"/>
        <v>1882521.5436318915</v>
      </c>
    </row>
    <row r="298" spans="1:10" x14ac:dyDescent="0.3">
      <c r="A298" s="2" t="s">
        <v>959</v>
      </c>
      <c r="B298" s="2" t="s">
        <v>960</v>
      </c>
      <c r="C298" s="2" t="s">
        <v>158</v>
      </c>
      <c r="D298" s="2" t="s">
        <v>26</v>
      </c>
      <c r="E298" s="2" t="s">
        <v>26</v>
      </c>
      <c r="F298" s="249" t="s">
        <v>845</v>
      </c>
      <c r="G298" s="2" t="s">
        <v>175</v>
      </c>
      <c r="H298" s="7">
        <v>-1024585.86</v>
      </c>
      <c r="I298" s="221">
        <v>0</v>
      </c>
      <c r="J298" s="3">
        <f t="shared" si="4"/>
        <v>-1024585.86</v>
      </c>
    </row>
    <row r="299" spans="1:10" x14ac:dyDescent="0.3">
      <c r="A299" s="2" t="s">
        <v>767</v>
      </c>
      <c r="B299" s="2" t="s">
        <v>768</v>
      </c>
      <c r="C299" s="2" t="s">
        <v>158</v>
      </c>
      <c r="D299" s="2" t="s">
        <v>21</v>
      </c>
      <c r="E299" s="2" t="s">
        <v>45</v>
      </c>
      <c r="F299" s="249"/>
      <c r="G299" s="2" t="s">
        <v>175</v>
      </c>
      <c r="H299" s="7">
        <v>-110540.0559775251</v>
      </c>
      <c r="I299" s="221">
        <v>0</v>
      </c>
      <c r="J299" s="3">
        <f t="shared" si="4"/>
        <v>-110540.0559775251</v>
      </c>
    </row>
    <row r="300" spans="1:10" x14ac:dyDescent="0.3">
      <c r="A300" s="2" t="s">
        <v>769</v>
      </c>
      <c r="B300" s="2" t="s">
        <v>770</v>
      </c>
      <c r="C300" s="2" t="s">
        <v>107</v>
      </c>
      <c r="D300" s="2"/>
      <c r="E300" s="2"/>
      <c r="F300" s="249"/>
      <c r="G300" s="2" t="s">
        <v>174</v>
      </c>
      <c r="H300" s="7">
        <v>-2774952.2051824466</v>
      </c>
      <c r="I300" s="221">
        <v>-4757737.4334327346</v>
      </c>
      <c r="J300" s="3">
        <f t="shared" si="4"/>
        <v>1982785.2282502879</v>
      </c>
    </row>
    <row r="301" spans="1:10" x14ac:dyDescent="0.3">
      <c r="A301" s="2" t="s">
        <v>771</v>
      </c>
      <c r="B301" s="2" t="s">
        <v>772</v>
      </c>
      <c r="C301" s="2" t="s">
        <v>107</v>
      </c>
      <c r="D301" s="2"/>
      <c r="E301" s="2"/>
      <c r="F301" s="249"/>
      <c r="G301" s="2" t="s">
        <v>174</v>
      </c>
      <c r="H301" s="7">
        <v>-1813298.1</v>
      </c>
      <c r="I301" s="221">
        <v>-1610902.4702044392</v>
      </c>
      <c r="J301" s="3">
        <f t="shared" si="4"/>
        <v>-202395.62979556085</v>
      </c>
    </row>
    <row r="302" spans="1:10" x14ac:dyDescent="0.3">
      <c r="A302" s="2" t="s">
        <v>773</v>
      </c>
      <c r="B302" s="2" t="s">
        <v>774</v>
      </c>
      <c r="C302" s="2" t="s">
        <v>107</v>
      </c>
      <c r="D302" s="2"/>
      <c r="E302" s="2"/>
      <c r="F302" s="249"/>
      <c r="G302" s="2" t="s">
        <v>174</v>
      </c>
      <c r="H302" s="7">
        <v>-2995082.71</v>
      </c>
      <c r="I302" s="221">
        <v>-229013.27651958822</v>
      </c>
      <c r="J302" s="3">
        <f t="shared" si="4"/>
        <v>-2766069.4334804118</v>
      </c>
    </row>
    <row r="303" spans="1:10" x14ac:dyDescent="0.3">
      <c r="A303" s="2" t="s">
        <v>775</v>
      </c>
      <c r="B303" s="2" t="s">
        <v>776</v>
      </c>
      <c r="C303" s="2" t="s">
        <v>107</v>
      </c>
      <c r="D303" s="2"/>
      <c r="E303" s="2"/>
      <c r="F303" s="249"/>
      <c r="G303" s="2" t="s">
        <v>174</v>
      </c>
      <c r="H303" s="7">
        <v>-1026939.6350094073</v>
      </c>
      <c r="I303" s="221">
        <v>-945078.68989740359</v>
      </c>
      <c r="J303" s="3">
        <f t="shared" si="4"/>
        <v>-81860.945112003712</v>
      </c>
    </row>
    <row r="304" spans="1:10" x14ac:dyDescent="0.3">
      <c r="A304" s="2" t="s">
        <v>777</v>
      </c>
      <c r="B304" s="2" t="s">
        <v>778</v>
      </c>
      <c r="C304" s="2" t="s">
        <v>107</v>
      </c>
      <c r="D304" s="2"/>
      <c r="E304" s="2"/>
      <c r="F304" s="249"/>
      <c r="G304" s="2" t="s">
        <v>174</v>
      </c>
      <c r="H304" s="7">
        <v>140154.20000000001</v>
      </c>
      <c r="I304" s="221">
        <v>0</v>
      </c>
      <c r="J304" s="3">
        <f t="shared" si="4"/>
        <v>140154.20000000001</v>
      </c>
    </row>
    <row r="305" spans="1:10" x14ac:dyDescent="0.3">
      <c r="A305" s="2" t="s">
        <v>779</v>
      </c>
      <c r="B305" s="2" t="s">
        <v>780</v>
      </c>
      <c r="C305" s="2" t="s">
        <v>107</v>
      </c>
      <c r="D305" s="2"/>
      <c r="E305" s="2"/>
      <c r="F305" s="249"/>
      <c r="G305" s="2" t="s">
        <v>174</v>
      </c>
      <c r="H305" s="7">
        <v>-2297632.6732302085</v>
      </c>
      <c r="I305" s="221">
        <v>-6022703.3382038157</v>
      </c>
      <c r="J305" s="3">
        <f t="shared" si="4"/>
        <v>3725070.6649736073</v>
      </c>
    </row>
    <row r="306" spans="1:10" x14ac:dyDescent="0.3">
      <c r="A306" s="2" t="s">
        <v>783</v>
      </c>
      <c r="B306" s="2" t="s">
        <v>784</v>
      </c>
      <c r="C306" s="2" t="s">
        <v>107</v>
      </c>
      <c r="D306" s="2"/>
      <c r="E306" s="2"/>
      <c r="F306" s="249"/>
      <c r="G306" s="2" t="s">
        <v>174</v>
      </c>
      <c r="H306" s="7">
        <v>-1829357.0899999996</v>
      </c>
      <c r="I306" s="221">
        <v>0</v>
      </c>
      <c r="J306" s="3">
        <f t="shared" si="4"/>
        <v>-1829357.0899999996</v>
      </c>
    </row>
    <row r="307" spans="1:10" x14ac:dyDescent="0.3">
      <c r="A307" s="2" t="s">
        <v>961</v>
      </c>
      <c r="B307" s="2" t="s">
        <v>962</v>
      </c>
      <c r="C307" s="2" t="s">
        <v>807</v>
      </c>
      <c r="D307" s="2"/>
      <c r="E307" s="2"/>
      <c r="F307" s="249"/>
      <c r="G307" s="2" t="s">
        <v>174</v>
      </c>
      <c r="H307" s="7">
        <v>-744122.07000000007</v>
      </c>
      <c r="I307" s="221">
        <v>0</v>
      </c>
      <c r="J307" s="3">
        <f t="shared" si="4"/>
        <v>-744122.07000000007</v>
      </c>
    </row>
    <row r="308" spans="1:10" x14ac:dyDescent="0.3">
      <c r="A308" s="2" t="s">
        <v>1570</v>
      </c>
      <c r="B308" s="2" t="s">
        <v>1571</v>
      </c>
      <c r="C308" s="2" t="s">
        <v>107</v>
      </c>
      <c r="D308" s="2"/>
      <c r="E308" s="2"/>
      <c r="F308" s="249"/>
      <c r="G308" t="s">
        <v>173</v>
      </c>
      <c r="H308" s="7"/>
      <c r="I308" s="221">
        <v>-12011.948750007665</v>
      </c>
      <c r="J308" s="3">
        <f t="shared" si="4"/>
        <v>12011.948750007665</v>
      </c>
    </row>
    <row r="309" spans="1:10" x14ac:dyDescent="0.3">
      <c r="A309" s="2" t="s">
        <v>1572</v>
      </c>
      <c r="B309" s="2" t="s">
        <v>1573</v>
      </c>
      <c r="C309" s="2" t="s">
        <v>107</v>
      </c>
      <c r="D309" s="2"/>
      <c r="E309" s="2"/>
      <c r="F309" s="249"/>
      <c r="G309" t="s">
        <v>174</v>
      </c>
      <c r="H309" s="7"/>
      <c r="I309" s="221">
        <v>-3379999.9999999907</v>
      </c>
      <c r="J309" s="3">
        <f t="shared" si="4"/>
        <v>3379999.9999999907</v>
      </c>
    </row>
    <row r="310" spans="1:10" x14ac:dyDescent="0.3">
      <c r="A310" s="2" t="s">
        <v>1574</v>
      </c>
      <c r="B310" s="2" t="s">
        <v>1575</v>
      </c>
      <c r="C310" s="2" t="s">
        <v>107</v>
      </c>
      <c r="D310" s="2"/>
      <c r="E310" s="2"/>
      <c r="F310" s="249"/>
      <c r="G310" t="s">
        <v>175</v>
      </c>
      <c r="H310" s="7"/>
      <c r="I310" s="221">
        <v>-779493.89760000783</v>
      </c>
      <c r="J310" s="3">
        <f t="shared" si="4"/>
        <v>779493.89760000783</v>
      </c>
    </row>
    <row r="311" spans="1:10" x14ac:dyDescent="0.3">
      <c r="A311" s="2" t="s">
        <v>1576</v>
      </c>
      <c r="B311" s="2" t="s">
        <v>1577</v>
      </c>
      <c r="C311" s="2" t="s">
        <v>107</v>
      </c>
      <c r="D311" s="2"/>
      <c r="E311" s="2"/>
      <c r="F311" s="249"/>
      <c r="G311" t="s">
        <v>173</v>
      </c>
      <c r="H311" s="7"/>
      <c r="I311" s="221">
        <v>-194225.09758083988</v>
      </c>
      <c r="J311" s="3">
        <f t="shared" si="4"/>
        <v>194225.09758083988</v>
      </c>
    </row>
    <row r="312" spans="1:10" x14ac:dyDescent="0.3">
      <c r="A312" s="2" t="s">
        <v>1578</v>
      </c>
      <c r="B312" s="2" t="s">
        <v>1579</v>
      </c>
      <c r="C312" s="2" t="s">
        <v>107</v>
      </c>
      <c r="D312" s="2"/>
      <c r="E312" s="2"/>
      <c r="F312" s="249"/>
      <c r="G312" t="s">
        <v>174</v>
      </c>
      <c r="H312" s="7"/>
      <c r="I312" s="221">
        <v>-321149.78495599958</v>
      </c>
      <c r="J312" s="3">
        <f t="shared" si="4"/>
        <v>321149.78495599958</v>
      </c>
    </row>
    <row r="313" spans="1:10" x14ac:dyDescent="0.3">
      <c r="A313" s="2" t="s">
        <v>1580</v>
      </c>
      <c r="B313" s="2" t="s">
        <v>1581</v>
      </c>
      <c r="C313" s="2" t="s">
        <v>107</v>
      </c>
      <c r="D313" s="2"/>
      <c r="E313" s="2"/>
      <c r="F313" s="249"/>
      <c r="G313" t="s">
        <v>174</v>
      </c>
      <c r="H313" s="7"/>
      <c r="I313" s="221">
        <v>-409618.9999999993</v>
      </c>
      <c r="J313" s="3">
        <f t="shared" si="4"/>
        <v>409618.9999999993</v>
      </c>
    </row>
    <row r="314" spans="1:10" x14ac:dyDescent="0.3">
      <c r="A314" s="2" t="s">
        <v>1582</v>
      </c>
      <c r="B314" s="2" t="s">
        <v>1583</v>
      </c>
      <c r="C314" s="2" t="s">
        <v>107</v>
      </c>
      <c r="D314" s="2"/>
      <c r="E314" s="2"/>
      <c r="F314" s="249"/>
      <c r="G314" s="343" t="s">
        <v>174</v>
      </c>
      <c r="H314" s="7"/>
      <c r="I314" s="221">
        <v>-1039999.9999999983</v>
      </c>
      <c r="J314" s="3">
        <f t="shared" si="4"/>
        <v>1039999.9999999983</v>
      </c>
    </row>
    <row r="315" spans="1:10" x14ac:dyDescent="0.3">
      <c r="A315" s="2" t="s">
        <v>963</v>
      </c>
      <c r="B315" s="2" t="s">
        <v>964</v>
      </c>
      <c r="C315" s="2" t="s">
        <v>807</v>
      </c>
      <c r="D315" s="2"/>
      <c r="E315" s="2"/>
      <c r="F315" s="249"/>
      <c r="G315" s="2" t="s">
        <v>171</v>
      </c>
      <c r="H315" s="7">
        <v>-1045825.5800000001</v>
      </c>
      <c r="I315" s="221">
        <v>0</v>
      </c>
      <c r="J315" s="3">
        <f t="shared" si="4"/>
        <v>-1045825.5800000001</v>
      </c>
    </row>
    <row r="316" spans="1:10" x14ac:dyDescent="0.3">
      <c r="A316" s="2" t="s">
        <v>965</v>
      </c>
      <c r="B316" s="2" t="s">
        <v>966</v>
      </c>
      <c r="C316" s="2" t="s">
        <v>807</v>
      </c>
      <c r="D316" s="2"/>
      <c r="E316" s="2"/>
      <c r="F316" s="249"/>
      <c r="G316" s="2" t="s">
        <v>171</v>
      </c>
      <c r="H316" s="7">
        <v>-3014945.66</v>
      </c>
      <c r="I316" s="221">
        <v>0</v>
      </c>
      <c r="J316" s="3">
        <f t="shared" si="4"/>
        <v>-3014945.66</v>
      </c>
    </row>
    <row r="317" spans="1:10" x14ac:dyDescent="0.3">
      <c r="A317" s="2" t="s">
        <v>967</v>
      </c>
      <c r="B317" s="2" t="s">
        <v>968</v>
      </c>
      <c r="C317" s="2" t="s">
        <v>107</v>
      </c>
      <c r="D317" s="2"/>
      <c r="E317" s="2"/>
      <c r="F317" s="249"/>
      <c r="G317" s="2" t="s">
        <v>171</v>
      </c>
      <c r="H317" s="7">
        <v>-348942.11</v>
      </c>
      <c r="I317" s="221">
        <v>0</v>
      </c>
      <c r="J317" s="3">
        <f t="shared" si="4"/>
        <v>-348942.11</v>
      </c>
    </row>
    <row r="318" spans="1:10" x14ac:dyDescent="0.3">
      <c r="A318" s="2" t="s">
        <v>969</v>
      </c>
      <c r="B318" s="2" t="s">
        <v>970</v>
      </c>
      <c r="C318" s="2" t="s">
        <v>107</v>
      </c>
      <c r="D318" s="2"/>
      <c r="E318" s="2"/>
      <c r="F318" s="249"/>
      <c r="G318" s="2" t="s">
        <v>173</v>
      </c>
      <c r="H318" s="7">
        <v>-2216233.5699999998</v>
      </c>
      <c r="I318" s="221">
        <v>0</v>
      </c>
      <c r="J318" s="3">
        <f t="shared" si="4"/>
        <v>-2216233.5699999998</v>
      </c>
    </row>
    <row r="319" spans="1:10" x14ac:dyDescent="0.3">
      <c r="A319" s="2" t="s">
        <v>971</v>
      </c>
      <c r="B319" s="2" t="s">
        <v>972</v>
      </c>
      <c r="C319" s="2" t="s">
        <v>158</v>
      </c>
      <c r="D319" s="2"/>
      <c r="E319" s="2"/>
      <c r="F319" s="249"/>
      <c r="G319" s="2" t="s">
        <v>173</v>
      </c>
      <c r="H319" s="7">
        <v>-259777.62</v>
      </c>
      <c r="I319" s="221">
        <v>-1556639.0985517884</v>
      </c>
      <c r="J319" s="3">
        <f t="shared" si="4"/>
        <v>1296861.4785517883</v>
      </c>
    </row>
    <row r="320" spans="1:10" x14ac:dyDescent="0.3">
      <c r="A320" s="2" t="s">
        <v>973</v>
      </c>
      <c r="B320" s="2" t="s">
        <v>974</v>
      </c>
      <c r="C320" s="2" t="s">
        <v>158</v>
      </c>
      <c r="D320" s="2"/>
      <c r="E320" s="2"/>
      <c r="F320" s="249"/>
      <c r="G320" s="2" t="s">
        <v>173</v>
      </c>
      <c r="H320" s="7">
        <v>-211064.18</v>
      </c>
      <c r="I320" s="221">
        <v>0</v>
      </c>
      <c r="J320" s="3">
        <f t="shared" si="4"/>
        <v>-211064.18</v>
      </c>
    </row>
    <row r="321" spans="1:10" x14ac:dyDescent="0.3">
      <c r="A321" s="2" t="s">
        <v>975</v>
      </c>
      <c r="B321" s="2" t="s">
        <v>976</v>
      </c>
      <c r="C321" s="2" t="s">
        <v>807</v>
      </c>
      <c r="D321" s="2"/>
      <c r="E321" s="2"/>
      <c r="F321" s="249"/>
      <c r="G321" s="2" t="s">
        <v>173</v>
      </c>
      <c r="H321" s="7">
        <v>-278769.55</v>
      </c>
      <c r="I321" s="221">
        <v>-2075710.4702499928</v>
      </c>
      <c r="J321" s="3">
        <f t="shared" si="4"/>
        <v>1796940.9202499927</v>
      </c>
    </row>
    <row r="322" spans="1:10" x14ac:dyDescent="0.3">
      <c r="A322" s="2" t="s">
        <v>977</v>
      </c>
      <c r="B322" s="2" t="s">
        <v>978</v>
      </c>
      <c r="C322" s="2" t="s">
        <v>807</v>
      </c>
      <c r="D322" s="2"/>
      <c r="E322" s="2"/>
      <c r="F322" s="249"/>
      <c r="G322" s="2" t="s">
        <v>173</v>
      </c>
      <c r="H322" s="7">
        <v>-3229430.16</v>
      </c>
      <c r="I322" s="221">
        <v>0</v>
      </c>
      <c r="J322" s="3">
        <f t="shared" si="4"/>
        <v>-3229430.16</v>
      </c>
    </row>
    <row r="323" spans="1:10" x14ac:dyDescent="0.3">
      <c r="A323" s="2" t="s">
        <v>979</v>
      </c>
      <c r="B323" s="2" t="s">
        <v>980</v>
      </c>
      <c r="C323" s="2" t="s">
        <v>807</v>
      </c>
      <c r="D323" s="2"/>
      <c r="E323" s="2"/>
      <c r="F323" s="249"/>
      <c r="G323" s="2" t="s">
        <v>173</v>
      </c>
      <c r="H323" s="7">
        <v>-1534151.84</v>
      </c>
      <c r="I323" s="221">
        <v>0</v>
      </c>
      <c r="J323" s="3">
        <f t="shared" si="4"/>
        <v>-1534151.84</v>
      </c>
    </row>
    <row r="324" spans="1:10" x14ac:dyDescent="0.3">
      <c r="A324" s="2" t="s">
        <v>981</v>
      </c>
      <c r="B324" s="2" t="s">
        <v>982</v>
      </c>
      <c r="C324" s="2" t="s">
        <v>107</v>
      </c>
      <c r="D324" s="2"/>
      <c r="E324" s="2"/>
      <c r="F324" s="249"/>
      <c r="G324" s="2" t="s">
        <v>173</v>
      </c>
      <c r="H324" s="7">
        <v>-143896.11000000002</v>
      </c>
      <c r="I324" s="221">
        <v>0</v>
      </c>
      <c r="J324" s="3">
        <f t="shared" si="4"/>
        <v>-143896.11000000002</v>
      </c>
    </row>
    <row r="325" spans="1:10" x14ac:dyDescent="0.3">
      <c r="A325" s="2" t="s">
        <v>983</v>
      </c>
      <c r="B325" s="2" t="s">
        <v>984</v>
      </c>
      <c r="C325" s="2" t="s">
        <v>807</v>
      </c>
      <c r="D325" s="2"/>
      <c r="E325" s="2"/>
      <c r="F325" s="249"/>
      <c r="G325" s="2" t="s">
        <v>173</v>
      </c>
      <c r="H325" s="7">
        <v>-944878.86</v>
      </c>
      <c r="I325" s="221">
        <v>0</v>
      </c>
      <c r="J325" s="3">
        <f t="shared" si="4"/>
        <v>-944878.86</v>
      </c>
    </row>
    <row r="326" spans="1:10" x14ac:dyDescent="0.3">
      <c r="A326" s="2" t="s">
        <v>985</v>
      </c>
      <c r="B326" s="2" t="s">
        <v>986</v>
      </c>
      <c r="C326" s="2" t="s">
        <v>807</v>
      </c>
      <c r="D326" s="2"/>
      <c r="E326" s="2"/>
      <c r="F326" s="249"/>
      <c r="G326" s="2" t="s">
        <v>173</v>
      </c>
      <c r="H326" s="7">
        <v>-957357.45</v>
      </c>
      <c r="I326" s="221">
        <v>0</v>
      </c>
      <c r="J326" s="3">
        <f t="shared" ref="J326:J389" si="5">H326-I326</f>
        <v>-957357.45</v>
      </c>
    </row>
    <row r="327" spans="1:10" x14ac:dyDescent="0.3">
      <c r="A327" s="2" t="s">
        <v>987</v>
      </c>
      <c r="B327" s="2" t="s">
        <v>988</v>
      </c>
      <c r="C327" s="2" t="s">
        <v>807</v>
      </c>
      <c r="D327" s="2"/>
      <c r="E327" s="2"/>
      <c r="F327" s="249"/>
      <c r="G327" s="2" t="s">
        <v>173</v>
      </c>
      <c r="H327" s="7">
        <v>-53665.39</v>
      </c>
      <c r="I327" s="221">
        <v>0</v>
      </c>
      <c r="J327" s="3">
        <f t="shared" si="5"/>
        <v>-53665.39</v>
      </c>
    </row>
    <row r="328" spans="1:10" x14ac:dyDescent="0.3">
      <c r="A328" s="2" t="s">
        <v>989</v>
      </c>
      <c r="B328" s="2" t="s">
        <v>990</v>
      </c>
      <c r="C328" s="2" t="s">
        <v>807</v>
      </c>
      <c r="D328" s="2"/>
      <c r="E328" s="2"/>
      <c r="F328" s="249"/>
      <c r="G328" s="2" t="s">
        <v>173</v>
      </c>
      <c r="H328" s="7">
        <v>-647845.66</v>
      </c>
      <c r="I328" s="221">
        <v>0</v>
      </c>
      <c r="J328" s="3">
        <f t="shared" si="5"/>
        <v>-647845.66</v>
      </c>
    </row>
    <row r="329" spans="1:10" x14ac:dyDescent="0.3">
      <c r="A329" s="2" t="s">
        <v>991</v>
      </c>
      <c r="B329" s="2" t="s">
        <v>992</v>
      </c>
      <c r="C329" s="2" t="s">
        <v>107</v>
      </c>
      <c r="D329" s="2"/>
      <c r="E329" s="2"/>
      <c r="F329" s="249"/>
      <c r="G329" s="2" t="s">
        <v>173</v>
      </c>
      <c r="H329" s="7">
        <v>-175823.08</v>
      </c>
      <c r="I329" s="221">
        <v>0</v>
      </c>
      <c r="J329" s="3">
        <f t="shared" si="5"/>
        <v>-175823.08</v>
      </c>
    </row>
    <row r="330" spans="1:10" x14ac:dyDescent="0.3">
      <c r="A330" s="2" t="s">
        <v>993</v>
      </c>
      <c r="B330" s="2" t="s">
        <v>994</v>
      </c>
      <c r="C330" s="2" t="s">
        <v>807</v>
      </c>
      <c r="D330" s="2"/>
      <c r="E330" s="2"/>
      <c r="F330" s="249"/>
      <c r="G330" s="2" t="s">
        <v>173</v>
      </c>
      <c r="H330" s="7">
        <v>-175716.3</v>
      </c>
      <c r="I330" s="221">
        <v>0</v>
      </c>
      <c r="J330" s="3">
        <f t="shared" si="5"/>
        <v>-175716.3</v>
      </c>
    </row>
    <row r="331" spans="1:10" x14ac:dyDescent="0.3">
      <c r="A331" s="2" t="s">
        <v>995</v>
      </c>
      <c r="B331" s="2" t="s">
        <v>996</v>
      </c>
      <c r="C331" s="2" t="s">
        <v>807</v>
      </c>
      <c r="D331" s="2"/>
      <c r="E331" s="2"/>
      <c r="F331" s="249"/>
      <c r="G331" s="2" t="s">
        <v>173</v>
      </c>
      <c r="H331" s="7">
        <v>-270244.25</v>
      </c>
      <c r="I331" s="221">
        <v>0</v>
      </c>
      <c r="J331" s="3">
        <f t="shared" si="5"/>
        <v>-270244.25</v>
      </c>
    </row>
    <row r="332" spans="1:10" x14ac:dyDescent="0.3">
      <c r="A332" s="2" t="s">
        <v>997</v>
      </c>
      <c r="B332" s="2" t="s">
        <v>998</v>
      </c>
      <c r="C332" s="2" t="s">
        <v>807</v>
      </c>
      <c r="D332" s="2"/>
      <c r="E332" s="2"/>
      <c r="F332" s="249"/>
      <c r="G332" s="2" t="s">
        <v>173</v>
      </c>
      <c r="H332" s="7">
        <v>-156400.57</v>
      </c>
      <c r="I332" s="221">
        <v>0</v>
      </c>
      <c r="J332" s="3">
        <f t="shared" si="5"/>
        <v>-156400.57</v>
      </c>
    </row>
    <row r="333" spans="1:10" x14ac:dyDescent="0.3">
      <c r="A333" s="2" t="s">
        <v>999</v>
      </c>
      <c r="B333" s="2" t="s">
        <v>1000</v>
      </c>
      <c r="C333" s="2" t="s">
        <v>807</v>
      </c>
      <c r="D333" s="2"/>
      <c r="E333" s="2"/>
      <c r="F333" s="249"/>
      <c r="G333" s="2" t="s">
        <v>173</v>
      </c>
      <c r="H333" s="7">
        <v>-49287.6</v>
      </c>
      <c r="I333" s="221">
        <v>0</v>
      </c>
      <c r="J333" s="3">
        <f t="shared" si="5"/>
        <v>-49287.6</v>
      </c>
    </row>
    <row r="334" spans="1:10" x14ac:dyDescent="0.3">
      <c r="A334" s="2" t="s">
        <v>1001</v>
      </c>
      <c r="B334" s="2" t="s">
        <v>1002</v>
      </c>
      <c r="C334" s="2" t="s">
        <v>807</v>
      </c>
      <c r="D334" s="2"/>
      <c r="E334" s="2"/>
      <c r="F334" s="249"/>
      <c r="G334" s="2" t="s">
        <v>173</v>
      </c>
      <c r="H334" s="7">
        <v>-137262.07999999999</v>
      </c>
      <c r="I334" s="221">
        <v>0</v>
      </c>
      <c r="J334" s="3">
        <f t="shared" si="5"/>
        <v>-137262.07999999999</v>
      </c>
    </row>
    <row r="335" spans="1:10" x14ac:dyDescent="0.3">
      <c r="A335" s="2" t="s">
        <v>1003</v>
      </c>
      <c r="B335" s="2" t="s">
        <v>1004</v>
      </c>
      <c r="C335" s="2" t="s">
        <v>807</v>
      </c>
      <c r="D335" s="2"/>
      <c r="E335" s="2"/>
      <c r="F335" s="249"/>
      <c r="G335" s="2" t="s">
        <v>173</v>
      </c>
      <c r="H335" s="7">
        <v>-35417.21</v>
      </c>
      <c r="I335" s="221">
        <v>0</v>
      </c>
      <c r="J335" s="3">
        <f t="shared" si="5"/>
        <v>-35417.21</v>
      </c>
    </row>
    <row r="336" spans="1:10" x14ac:dyDescent="0.3">
      <c r="A336" s="2" t="s">
        <v>1005</v>
      </c>
      <c r="B336" s="2" t="s">
        <v>1006</v>
      </c>
      <c r="C336" s="2" t="s">
        <v>807</v>
      </c>
      <c r="D336" s="2"/>
      <c r="E336" s="2"/>
      <c r="F336" s="249"/>
      <c r="G336" s="2" t="s">
        <v>173</v>
      </c>
      <c r="H336" s="7">
        <v>-485772.88</v>
      </c>
      <c r="I336" s="221">
        <v>0</v>
      </c>
      <c r="J336" s="3">
        <f t="shared" si="5"/>
        <v>-485772.88</v>
      </c>
    </row>
    <row r="337" spans="1:10" x14ac:dyDescent="0.3">
      <c r="A337" s="2" t="s">
        <v>1007</v>
      </c>
      <c r="B337" s="2" t="s">
        <v>1008</v>
      </c>
      <c r="C337" s="2" t="s">
        <v>807</v>
      </c>
      <c r="D337" s="2"/>
      <c r="E337" s="2"/>
      <c r="F337" s="249"/>
      <c r="G337" s="2" t="s">
        <v>173</v>
      </c>
      <c r="H337" s="7">
        <v>-482646.76</v>
      </c>
      <c r="I337" s="221">
        <v>0</v>
      </c>
      <c r="J337" s="3">
        <f t="shared" si="5"/>
        <v>-482646.76</v>
      </c>
    </row>
    <row r="338" spans="1:10" x14ac:dyDescent="0.3">
      <c r="A338" s="2" t="s">
        <v>1009</v>
      </c>
      <c r="B338" s="2" t="s">
        <v>1010</v>
      </c>
      <c r="C338" s="2" t="s">
        <v>807</v>
      </c>
      <c r="D338" s="2"/>
      <c r="E338" s="2"/>
      <c r="F338" s="249"/>
      <c r="G338" s="2" t="s">
        <v>173</v>
      </c>
      <c r="H338" s="7">
        <v>-390708.47999999998</v>
      </c>
      <c r="I338" s="221">
        <v>0</v>
      </c>
      <c r="J338" s="3">
        <f t="shared" si="5"/>
        <v>-390708.47999999998</v>
      </c>
    </row>
    <row r="339" spans="1:10" x14ac:dyDescent="0.3">
      <c r="A339" s="2" t="s">
        <v>1011</v>
      </c>
      <c r="B339" s="2" t="s">
        <v>1012</v>
      </c>
      <c r="C339" s="2" t="s">
        <v>807</v>
      </c>
      <c r="D339" s="2"/>
      <c r="E339" s="2"/>
      <c r="F339" s="249"/>
      <c r="G339" s="2" t="s">
        <v>173</v>
      </c>
      <c r="H339" s="7">
        <v>-84038.26</v>
      </c>
      <c r="I339" s="221">
        <v>0</v>
      </c>
      <c r="J339" s="3">
        <f t="shared" si="5"/>
        <v>-84038.26</v>
      </c>
    </row>
    <row r="340" spans="1:10" x14ac:dyDescent="0.3">
      <c r="A340" s="2" t="s">
        <v>1013</v>
      </c>
      <c r="B340" s="2" t="s">
        <v>1014</v>
      </c>
      <c r="C340" s="2" t="s">
        <v>807</v>
      </c>
      <c r="D340" s="2"/>
      <c r="E340" s="2"/>
      <c r="F340" s="249"/>
      <c r="G340" s="2" t="s">
        <v>173</v>
      </c>
      <c r="H340" s="7">
        <v>-175404.75</v>
      </c>
      <c r="I340" s="221">
        <v>0</v>
      </c>
      <c r="J340" s="3">
        <f t="shared" si="5"/>
        <v>-175404.75</v>
      </c>
    </row>
    <row r="341" spans="1:10" x14ac:dyDescent="0.3">
      <c r="A341" s="2" t="s">
        <v>1015</v>
      </c>
      <c r="B341" s="2" t="s">
        <v>1016</v>
      </c>
      <c r="C341" s="2" t="s">
        <v>807</v>
      </c>
      <c r="D341" s="2"/>
      <c r="E341" s="2"/>
      <c r="F341" s="249"/>
      <c r="G341" s="2" t="s">
        <v>173</v>
      </c>
      <c r="H341" s="7">
        <v>-68963.759999999995</v>
      </c>
      <c r="I341" s="221">
        <v>0</v>
      </c>
      <c r="J341" s="3">
        <f t="shared" si="5"/>
        <v>-68963.759999999995</v>
      </c>
    </row>
    <row r="342" spans="1:10" x14ac:dyDescent="0.3">
      <c r="A342" s="2" t="s">
        <v>1017</v>
      </c>
      <c r="B342" s="2" t="s">
        <v>1018</v>
      </c>
      <c r="C342" s="2" t="s">
        <v>807</v>
      </c>
      <c r="D342" s="2"/>
      <c r="E342" s="2"/>
      <c r="F342" s="249"/>
      <c r="G342" s="2" t="s">
        <v>173</v>
      </c>
      <c r="H342" s="7">
        <v>-471605</v>
      </c>
      <c r="I342" s="221">
        <v>0</v>
      </c>
      <c r="J342" s="3">
        <f t="shared" si="5"/>
        <v>-471605</v>
      </c>
    </row>
    <row r="343" spans="1:10" x14ac:dyDescent="0.3">
      <c r="A343" s="2" t="s">
        <v>1019</v>
      </c>
      <c r="B343" s="2" t="s">
        <v>1020</v>
      </c>
      <c r="C343" s="2" t="s">
        <v>807</v>
      </c>
      <c r="D343" s="2"/>
      <c r="E343" s="2"/>
      <c r="F343" s="249"/>
      <c r="G343" s="2" t="s">
        <v>173</v>
      </c>
      <c r="H343" s="7">
        <v>-772496.25000000012</v>
      </c>
      <c r="I343" s="221">
        <v>0</v>
      </c>
      <c r="J343" s="3">
        <f t="shared" si="5"/>
        <v>-772496.25000000012</v>
      </c>
    </row>
    <row r="344" spans="1:10" x14ac:dyDescent="0.3">
      <c r="A344" s="2" t="s">
        <v>1021</v>
      </c>
      <c r="B344" s="2" t="s">
        <v>1022</v>
      </c>
      <c r="C344" s="2" t="s">
        <v>807</v>
      </c>
      <c r="D344" s="2"/>
      <c r="E344" s="2"/>
      <c r="F344" s="249"/>
      <c r="G344" s="2" t="s">
        <v>173</v>
      </c>
      <c r="H344" s="7">
        <v>-184143.81</v>
      </c>
      <c r="I344" s="221">
        <v>0</v>
      </c>
      <c r="J344" s="3">
        <f t="shared" si="5"/>
        <v>-184143.81</v>
      </c>
    </row>
    <row r="345" spans="1:10" x14ac:dyDescent="0.3">
      <c r="A345" s="2" t="s">
        <v>1023</v>
      </c>
      <c r="B345" s="2" t="s">
        <v>1024</v>
      </c>
      <c r="C345" s="2" t="s">
        <v>807</v>
      </c>
      <c r="D345" s="2"/>
      <c r="E345" s="2"/>
      <c r="F345" s="249"/>
      <c r="G345" s="2" t="s">
        <v>173</v>
      </c>
      <c r="H345" s="7">
        <v>-428200.25</v>
      </c>
      <c r="I345" s="221">
        <v>0</v>
      </c>
      <c r="J345" s="3">
        <f t="shared" si="5"/>
        <v>-428200.25</v>
      </c>
    </row>
    <row r="346" spans="1:10" x14ac:dyDescent="0.3">
      <c r="A346" s="2" t="s">
        <v>1025</v>
      </c>
      <c r="B346" s="2" t="s">
        <v>1026</v>
      </c>
      <c r="C346" s="2" t="s">
        <v>807</v>
      </c>
      <c r="D346" s="2"/>
      <c r="E346" s="2"/>
      <c r="F346" s="249"/>
      <c r="G346" s="2" t="s">
        <v>173</v>
      </c>
      <c r="H346" s="7">
        <v>-139126.70000000001</v>
      </c>
      <c r="I346" s="221">
        <v>0</v>
      </c>
      <c r="J346" s="3">
        <f t="shared" si="5"/>
        <v>-139126.70000000001</v>
      </c>
    </row>
    <row r="347" spans="1:10" x14ac:dyDescent="0.3">
      <c r="A347" s="2" t="s">
        <v>1027</v>
      </c>
      <c r="B347" s="2" t="s">
        <v>1028</v>
      </c>
      <c r="C347" s="2" t="s">
        <v>807</v>
      </c>
      <c r="D347" s="2"/>
      <c r="E347" s="2"/>
      <c r="F347" s="249"/>
      <c r="G347" s="2" t="s">
        <v>173</v>
      </c>
      <c r="H347" s="7">
        <v>-186899.47999999998</v>
      </c>
      <c r="I347" s="221">
        <v>0</v>
      </c>
      <c r="J347" s="3">
        <f t="shared" si="5"/>
        <v>-186899.47999999998</v>
      </c>
    </row>
    <row r="348" spans="1:10" x14ac:dyDescent="0.3">
      <c r="A348" s="2" t="s">
        <v>1029</v>
      </c>
      <c r="B348" s="2" t="s">
        <v>1030</v>
      </c>
      <c r="C348" s="2" t="s">
        <v>807</v>
      </c>
      <c r="D348" s="2"/>
      <c r="E348" s="2"/>
      <c r="F348" s="249"/>
      <c r="G348" s="2" t="s">
        <v>173</v>
      </c>
      <c r="H348" s="7">
        <v>-522840.7</v>
      </c>
      <c r="I348" s="221">
        <v>0</v>
      </c>
      <c r="J348" s="3">
        <f t="shared" si="5"/>
        <v>-522840.7</v>
      </c>
    </row>
    <row r="349" spans="1:10" x14ac:dyDescent="0.3">
      <c r="A349" s="2" t="s">
        <v>1031</v>
      </c>
      <c r="B349" s="2" t="s">
        <v>1032</v>
      </c>
      <c r="C349" s="2" t="s">
        <v>807</v>
      </c>
      <c r="D349" s="2"/>
      <c r="E349" s="2"/>
      <c r="F349" s="249"/>
      <c r="G349" s="2" t="s">
        <v>173</v>
      </c>
      <c r="H349" s="7">
        <v>-799360.76</v>
      </c>
      <c r="I349" s="221">
        <v>0</v>
      </c>
      <c r="J349" s="3">
        <f t="shared" si="5"/>
        <v>-799360.76</v>
      </c>
    </row>
    <row r="350" spans="1:10" x14ac:dyDescent="0.3">
      <c r="A350" s="2" t="s">
        <v>1033</v>
      </c>
      <c r="B350" s="2" t="s">
        <v>1034</v>
      </c>
      <c r="C350" s="2" t="s">
        <v>807</v>
      </c>
      <c r="D350" s="2"/>
      <c r="E350" s="2"/>
      <c r="F350" s="249"/>
      <c r="G350" s="2" t="s">
        <v>173</v>
      </c>
      <c r="H350" s="7">
        <v>-129316.09</v>
      </c>
      <c r="I350" s="221">
        <v>0</v>
      </c>
      <c r="J350" s="3">
        <f t="shared" si="5"/>
        <v>-129316.09</v>
      </c>
    </row>
    <row r="351" spans="1:10" x14ac:dyDescent="0.3">
      <c r="A351" s="2" t="s">
        <v>1035</v>
      </c>
      <c r="B351" s="2" t="s">
        <v>1036</v>
      </c>
      <c r="C351" s="2" t="s">
        <v>807</v>
      </c>
      <c r="D351" s="2"/>
      <c r="E351" s="2"/>
      <c r="F351" s="249"/>
      <c r="G351" s="2" t="s">
        <v>173</v>
      </c>
      <c r="H351" s="7">
        <v>-126827.98</v>
      </c>
      <c r="I351" s="221">
        <v>0</v>
      </c>
      <c r="J351" s="3">
        <f t="shared" si="5"/>
        <v>-126827.98</v>
      </c>
    </row>
    <row r="352" spans="1:10" x14ac:dyDescent="0.3">
      <c r="A352" s="2" t="s">
        <v>1037</v>
      </c>
      <c r="B352" s="2" t="s">
        <v>1038</v>
      </c>
      <c r="C352" s="2" t="s">
        <v>807</v>
      </c>
      <c r="D352" s="2"/>
      <c r="E352" s="2"/>
      <c r="F352" s="249"/>
      <c r="G352" s="2" t="s">
        <v>173</v>
      </c>
      <c r="H352" s="7">
        <v>-335795.19</v>
      </c>
      <c r="I352" s="221">
        <v>0</v>
      </c>
      <c r="J352" s="3">
        <f t="shared" si="5"/>
        <v>-335795.19</v>
      </c>
    </row>
    <row r="353" spans="1:10" x14ac:dyDescent="0.3">
      <c r="A353" s="2" t="s">
        <v>1039</v>
      </c>
      <c r="B353" s="2" t="s">
        <v>1040</v>
      </c>
      <c r="C353" s="2" t="s">
        <v>807</v>
      </c>
      <c r="D353" s="2"/>
      <c r="E353" s="2"/>
      <c r="F353" s="249"/>
      <c r="G353" s="2" t="s">
        <v>173</v>
      </c>
      <c r="H353" s="7">
        <v>-616432.77</v>
      </c>
      <c r="I353" s="221">
        <v>0</v>
      </c>
      <c r="J353" s="3">
        <f t="shared" si="5"/>
        <v>-616432.77</v>
      </c>
    </row>
    <row r="354" spans="1:10" x14ac:dyDescent="0.3">
      <c r="A354" s="2" t="s">
        <v>1041</v>
      </c>
      <c r="B354" s="2" t="s">
        <v>1042</v>
      </c>
      <c r="C354" s="2" t="s">
        <v>158</v>
      </c>
      <c r="D354" s="2"/>
      <c r="E354" s="2"/>
      <c r="F354" s="249"/>
      <c r="G354" s="2" t="s">
        <v>173</v>
      </c>
      <c r="H354" s="7">
        <v>-1372689.31</v>
      </c>
      <c r="I354" s="221">
        <v>0</v>
      </c>
      <c r="J354" s="3">
        <f t="shared" si="5"/>
        <v>-1372689.31</v>
      </c>
    </row>
    <row r="355" spans="1:10" x14ac:dyDescent="0.3">
      <c r="A355" s="2" t="s">
        <v>1043</v>
      </c>
      <c r="B355" s="2" t="s">
        <v>1044</v>
      </c>
      <c r="C355" s="2" t="s">
        <v>158</v>
      </c>
      <c r="D355" s="2"/>
      <c r="E355" s="2"/>
      <c r="F355" s="249"/>
      <c r="G355" s="2" t="s">
        <v>173</v>
      </c>
      <c r="H355" s="7">
        <v>-213097.9</v>
      </c>
      <c r="I355" s="221">
        <v>0</v>
      </c>
      <c r="J355" s="3">
        <f t="shared" si="5"/>
        <v>-213097.9</v>
      </c>
    </row>
    <row r="356" spans="1:10" x14ac:dyDescent="0.3">
      <c r="A356" s="2" t="s">
        <v>1045</v>
      </c>
      <c r="B356" s="2" t="s">
        <v>1046</v>
      </c>
      <c r="C356" s="2" t="s">
        <v>807</v>
      </c>
      <c r="D356" s="2"/>
      <c r="E356" s="2"/>
      <c r="F356" s="249"/>
      <c r="G356" s="2" t="s">
        <v>173</v>
      </c>
      <c r="H356" s="7">
        <v>-415822.3</v>
      </c>
      <c r="I356" s="221">
        <v>0</v>
      </c>
      <c r="J356" s="3">
        <f t="shared" si="5"/>
        <v>-415822.3</v>
      </c>
    </row>
    <row r="357" spans="1:10" x14ac:dyDescent="0.3">
      <c r="A357" s="2" t="s">
        <v>1047</v>
      </c>
      <c r="B357" s="2" t="s">
        <v>1048</v>
      </c>
      <c r="C357" s="2" t="s">
        <v>107</v>
      </c>
      <c r="D357" s="2"/>
      <c r="E357" s="2"/>
      <c r="F357" s="249"/>
      <c r="G357" s="2" t="s">
        <v>172</v>
      </c>
      <c r="H357" s="7">
        <v>-3892596.55</v>
      </c>
      <c r="I357" s="221">
        <v>0</v>
      </c>
      <c r="J357" s="3">
        <f t="shared" si="5"/>
        <v>-3892596.55</v>
      </c>
    </row>
    <row r="358" spans="1:10" x14ac:dyDescent="0.3">
      <c r="A358" s="2" t="s">
        <v>1049</v>
      </c>
      <c r="B358" s="2" t="s">
        <v>1050</v>
      </c>
      <c r="C358" s="2" t="s">
        <v>107</v>
      </c>
      <c r="D358" s="2"/>
      <c r="E358" s="2"/>
      <c r="F358" s="249"/>
      <c r="G358" s="2" t="s">
        <v>172</v>
      </c>
      <c r="H358" s="7">
        <v>-3436991.0099999993</v>
      </c>
      <c r="I358" s="221">
        <v>0</v>
      </c>
      <c r="J358" s="3">
        <f t="shared" si="5"/>
        <v>-3436991.0099999993</v>
      </c>
    </row>
    <row r="359" spans="1:10" x14ac:dyDescent="0.3">
      <c r="A359" s="2" t="s">
        <v>1051</v>
      </c>
      <c r="B359" s="2" t="s">
        <v>1052</v>
      </c>
      <c r="C359" s="2" t="s">
        <v>107</v>
      </c>
      <c r="D359" s="2"/>
      <c r="E359" s="2"/>
      <c r="F359" s="249"/>
      <c r="G359" s="2" t="s">
        <v>172</v>
      </c>
      <c r="H359" s="7">
        <v>-24497000.530000001</v>
      </c>
      <c r="I359" s="221">
        <v>0</v>
      </c>
      <c r="J359" s="3">
        <f t="shared" si="5"/>
        <v>-24497000.530000001</v>
      </c>
    </row>
    <row r="360" spans="1:10" x14ac:dyDescent="0.3">
      <c r="A360" s="2" t="s">
        <v>1053</v>
      </c>
      <c r="B360" s="2" t="s">
        <v>1054</v>
      </c>
      <c r="C360" s="2" t="s">
        <v>107</v>
      </c>
      <c r="D360" s="2" t="s">
        <v>15</v>
      </c>
      <c r="E360" s="2" t="s">
        <v>41</v>
      </c>
      <c r="F360" s="249" t="s">
        <v>848</v>
      </c>
      <c r="G360" s="2" t="s">
        <v>175</v>
      </c>
      <c r="H360" s="7">
        <v>-1735036.521348729</v>
      </c>
      <c r="I360" s="221">
        <v>0</v>
      </c>
      <c r="J360" s="3">
        <f t="shared" si="5"/>
        <v>-1735036.521348729</v>
      </c>
    </row>
    <row r="361" spans="1:10" x14ac:dyDescent="0.3">
      <c r="A361" s="2" t="s">
        <v>1055</v>
      </c>
      <c r="B361" s="2" t="s">
        <v>1056</v>
      </c>
      <c r="C361" s="2" t="s">
        <v>107</v>
      </c>
      <c r="D361" s="2" t="s">
        <v>26</v>
      </c>
      <c r="E361" s="2" t="s">
        <v>26</v>
      </c>
      <c r="F361" s="249" t="s">
        <v>845</v>
      </c>
      <c r="G361" s="2" t="s">
        <v>175</v>
      </c>
      <c r="H361" s="7">
        <v>-45509.87</v>
      </c>
      <c r="I361" s="221">
        <v>0</v>
      </c>
      <c r="J361" s="3">
        <f t="shared" si="5"/>
        <v>-45509.87</v>
      </c>
    </row>
    <row r="362" spans="1:10" x14ac:dyDescent="0.3">
      <c r="A362" s="2" t="s">
        <v>1057</v>
      </c>
      <c r="B362" s="2" t="s">
        <v>1058</v>
      </c>
      <c r="C362" s="2" t="s">
        <v>158</v>
      </c>
      <c r="D362" s="2" t="s">
        <v>26</v>
      </c>
      <c r="E362" s="2" t="s">
        <v>26</v>
      </c>
      <c r="F362" s="249" t="s">
        <v>845</v>
      </c>
      <c r="G362" s="2" t="s">
        <v>175</v>
      </c>
      <c r="H362" s="7">
        <v>-17267.640000000003</v>
      </c>
      <c r="I362" s="221">
        <v>0</v>
      </c>
      <c r="J362" s="3">
        <f t="shared" si="5"/>
        <v>-17267.640000000003</v>
      </c>
    </row>
    <row r="363" spans="1:10" x14ac:dyDescent="0.3">
      <c r="A363" s="2" t="s">
        <v>1059</v>
      </c>
      <c r="B363" s="2" t="s">
        <v>1060</v>
      </c>
      <c r="C363" s="2" t="s">
        <v>158</v>
      </c>
      <c r="D363" s="2" t="s">
        <v>25</v>
      </c>
      <c r="E363" s="2" t="s">
        <v>41</v>
      </c>
      <c r="F363" s="249" t="s">
        <v>844</v>
      </c>
      <c r="G363" s="2" t="s">
        <v>175</v>
      </c>
      <c r="H363" s="7">
        <v>-3890525.25</v>
      </c>
      <c r="I363" s="221">
        <v>0</v>
      </c>
      <c r="J363" s="3">
        <f t="shared" si="5"/>
        <v>-3890525.25</v>
      </c>
    </row>
    <row r="364" spans="1:10" x14ac:dyDescent="0.3">
      <c r="A364" s="2" t="s">
        <v>1061</v>
      </c>
      <c r="B364" s="2" t="s">
        <v>1062</v>
      </c>
      <c r="C364" s="2" t="s">
        <v>107</v>
      </c>
      <c r="D364" s="2" t="s">
        <v>26</v>
      </c>
      <c r="E364" s="2" t="s">
        <v>26</v>
      </c>
      <c r="F364" s="249" t="s">
        <v>845</v>
      </c>
      <c r="G364" s="248" t="s">
        <v>175</v>
      </c>
      <c r="H364" s="7">
        <v>-16426.059999999998</v>
      </c>
      <c r="I364" s="221">
        <v>0</v>
      </c>
      <c r="J364" s="3">
        <f t="shared" si="5"/>
        <v>-16426.059999999998</v>
      </c>
    </row>
    <row r="365" spans="1:10" x14ac:dyDescent="0.3">
      <c r="A365" s="2" t="s">
        <v>1063</v>
      </c>
      <c r="B365" s="2" t="s">
        <v>1064</v>
      </c>
      <c r="C365" s="2" t="s">
        <v>107</v>
      </c>
      <c r="D365" s="2" t="s">
        <v>26</v>
      </c>
      <c r="E365" s="2" t="s">
        <v>45</v>
      </c>
      <c r="F365" s="249"/>
      <c r="G365" s="248" t="s">
        <v>175</v>
      </c>
      <c r="H365" s="7">
        <v>-1635.29</v>
      </c>
      <c r="I365" s="221">
        <v>0</v>
      </c>
      <c r="J365" s="3">
        <f t="shared" si="5"/>
        <v>-1635.29</v>
      </c>
    </row>
    <row r="366" spans="1:10" x14ac:dyDescent="0.3">
      <c r="A366" s="2" t="s">
        <v>1065</v>
      </c>
      <c r="B366" s="2" t="s">
        <v>1066</v>
      </c>
      <c r="C366" s="2" t="s">
        <v>107</v>
      </c>
      <c r="D366" s="2" t="s">
        <v>15</v>
      </c>
      <c r="E366" s="2" t="s">
        <v>41</v>
      </c>
      <c r="F366" s="249" t="s">
        <v>848</v>
      </c>
      <c r="G366" s="2" t="s">
        <v>175</v>
      </c>
      <c r="H366" s="7">
        <v>-10674.04</v>
      </c>
      <c r="I366" s="221">
        <v>0</v>
      </c>
      <c r="J366" s="3">
        <f t="shared" si="5"/>
        <v>-10674.04</v>
      </c>
    </row>
    <row r="367" spans="1:10" x14ac:dyDescent="0.3">
      <c r="A367" s="2" t="s">
        <v>1067</v>
      </c>
      <c r="B367" s="2" t="s">
        <v>1068</v>
      </c>
      <c r="C367" s="2" t="s">
        <v>107</v>
      </c>
      <c r="D367" s="2"/>
      <c r="E367" s="2"/>
      <c r="F367" s="249"/>
      <c r="G367" s="2" t="s">
        <v>174</v>
      </c>
      <c r="H367" s="7">
        <v>-396715.91</v>
      </c>
      <c r="I367" s="221">
        <v>0</v>
      </c>
      <c r="J367" s="3">
        <f t="shared" si="5"/>
        <v>-396715.91</v>
      </c>
    </row>
    <row r="368" spans="1:10" x14ac:dyDescent="0.3">
      <c r="A368" s="2" t="s">
        <v>186</v>
      </c>
      <c r="B368" s="2" t="s">
        <v>1069</v>
      </c>
      <c r="C368" s="2" t="s">
        <v>807</v>
      </c>
      <c r="D368" s="2"/>
      <c r="E368" s="2"/>
      <c r="F368" s="249"/>
      <c r="G368" s="2" t="s">
        <v>171</v>
      </c>
      <c r="H368" s="7">
        <v>0</v>
      </c>
      <c r="I368" s="221">
        <v>-12462842.578559984</v>
      </c>
      <c r="J368" s="3">
        <f t="shared" si="5"/>
        <v>12462842.578559984</v>
      </c>
    </row>
    <row r="369" spans="1:10" x14ac:dyDescent="0.3">
      <c r="A369" s="2" t="s">
        <v>188</v>
      </c>
      <c r="B369" s="2" t="s">
        <v>1070</v>
      </c>
      <c r="C369" s="2" t="s">
        <v>807</v>
      </c>
      <c r="D369" s="2"/>
      <c r="E369" s="2"/>
      <c r="F369" s="249"/>
      <c r="G369" s="2" t="s">
        <v>171</v>
      </c>
      <c r="H369" s="7">
        <v>0</v>
      </c>
      <c r="I369" s="221">
        <v>-14472.17</v>
      </c>
      <c r="J369" s="3">
        <f t="shared" si="5"/>
        <v>14472.17</v>
      </c>
    </row>
    <row r="370" spans="1:10" x14ac:dyDescent="0.3">
      <c r="A370" s="2" t="s">
        <v>191</v>
      </c>
      <c r="B370" s="2" t="s">
        <v>1071</v>
      </c>
      <c r="C370" s="2" t="s">
        <v>807</v>
      </c>
      <c r="D370" s="2"/>
      <c r="E370" s="2"/>
      <c r="F370" s="249"/>
      <c r="G370" s="2" t="s">
        <v>171</v>
      </c>
      <c r="H370" s="7">
        <v>0</v>
      </c>
      <c r="I370" s="221">
        <v>-707.89717266828973</v>
      </c>
      <c r="J370" s="3">
        <f t="shared" si="5"/>
        <v>707.89717266828973</v>
      </c>
    </row>
    <row r="371" spans="1:10" x14ac:dyDescent="0.3">
      <c r="A371" s="2" t="s">
        <v>1072</v>
      </c>
      <c r="B371" s="2" t="s">
        <v>1073</v>
      </c>
      <c r="C371" s="2" t="s">
        <v>107</v>
      </c>
      <c r="D371" s="2"/>
      <c r="E371" s="2"/>
      <c r="F371" s="249"/>
      <c r="G371" s="2" t="s">
        <v>172</v>
      </c>
      <c r="H371" s="7">
        <v>0</v>
      </c>
      <c r="I371" s="221">
        <v>-13040.026999999964</v>
      </c>
      <c r="J371" s="3">
        <f t="shared" si="5"/>
        <v>13040.026999999964</v>
      </c>
    </row>
    <row r="372" spans="1:10" x14ac:dyDescent="0.3">
      <c r="A372" s="2" t="s">
        <v>1074</v>
      </c>
      <c r="B372" s="2" t="s">
        <v>1075</v>
      </c>
      <c r="C372" s="2" t="s">
        <v>807</v>
      </c>
      <c r="D372" s="2"/>
      <c r="E372" s="2"/>
      <c r="F372" s="249"/>
      <c r="G372" s="2" t="s">
        <v>173</v>
      </c>
      <c r="H372" s="7">
        <v>0</v>
      </c>
      <c r="I372" s="221">
        <v>-752309.25</v>
      </c>
      <c r="J372" s="3">
        <f t="shared" si="5"/>
        <v>752309.25</v>
      </c>
    </row>
    <row r="373" spans="1:10" x14ac:dyDescent="0.3">
      <c r="A373" s="2" t="s">
        <v>348</v>
      </c>
      <c r="B373" s="2" t="s">
        <v>349</v>
      </c>
      <c r="C373" s="2" t="s">
        <v>807</v>
      </c>
      <c r="D373" s="2"/>
      <c r="E373" s="2"/>
      <c r="F373" s="249"/>
      <c r="G373" s="2" t="s">
        <v>173</v>
      </c>
      <c r="H373" s="7">
        <v>0</v>
      </c>
      <c r="I373" s="221">
        <v>-4834241.3076954903</v>
      </c>
      <c r="J373" s="3">
        <f t="shared" si="5"/>
        <v>4834241.3076954903</v>
      </c>
    </row>
    <row r="374" spans="1:10" x14ac:dyDescent="0.3">
      <c r="A374" s="2" t="s">
        <v>1076</v>
      </c>
      <c r="B374" s="2" t="s">
        <v>1077</v>
      </c>
      <c r="C374" s="2" t="s">
        <v>107</v>
      </c>
      <c r="D374" s="2" t="s">
        <v>15</v>
      </c>
      <c r="E374" s="2" t="s">
        <v>41</v>
      </c>
      <c r="F374" s="249" t="s">
        <v>848</v>
      </c>
      <c r="G374" s="2" t="s">
        <v>175</v>
      </c>
      <c r="H374" s="7">
        <v>0</v>
      </c>
      <c r="I374" s="221">
        <v>-5600000.0000000037</v>
      </c>
      <c r="J374" s="3">
        <f t="shared" si="5"/>
        <v>5600000.0000000037</v>
      </c>
    </row>
    <row r="375" spans="1:10" x14ac:dyDescent="0.3">
      <c r="A375" s="2" t="s">
        <v>1078</v>
      </c>
      <c r="B375" s="2" t="s">
        <v>1079</v>
      </c>
      <c r="C375" s="2" t="s">
        <v>807</v>
      </c>
      <c r="D375" s="2"/>
      <c r="E375" s="2"/>
      <c r="F375" s="249"/>
      <c r="G375" s="2" t="s">
        <v>171</v>
      </c>
      <c r="H375" s="7">
        <v>0</v>
      </c>
      <c r="I375" s="221">
        <v>-5000000.0000000037</v>
      </c>
      <c r="J375" s="3">
        <f t="shared" si="5"/>
        <v>5000000.0000000037</v>
      </c>
    </row>
    <row r="376" spans="1:10" x14ac:dyDescent="0.3">
      <c r="A376" s="2" t="s">
        <v>211</v>
      </c>
      <c r="B376" s="2" t="s">
        <v>212</v>
      </c>
      <c r="C376" s="2" t="s">
        <v>107</v>
      </c>
      <c r="D376" s="2"/>
      <c r="E376" s="2"/>
      <c r="F376" s="249"/>
      <c r="G376" s="2" t="s">
        <v>176</v>
      </c>
      <c r="H376" s="7">
        <v>0</v>
      </c>
      <c r="I376" s="221">
        <v>-1658458.9199999992</v>
      </c>
      <c r="J376" s="3">
        <f t="shared" si="5"/>
        <v>1658458.9199999992</v>
      </c>
    </row>
    <row r="377" spans="1:10" x14ac:dyDescent="0.3">
      <c r="A377" s="2" t="s">
        <v>1080</v>
      </c>
      <c r="B377" s="2" t="s">
        <v>1081</v>
      </c>
      <c r="C377" s="2" t="s">
        <v>107</v>
      </c>
      <c r="D377" s="2"/>
      <c r="E377" s="2"/>
      <c r="F377" s="249"/>
      <c r="G377" s="248" t="s">
        <v>176</v>
      </c>
      <c r="H377" s="7">
        <v>0</v>
      </c>
      <c r="I377" s="221">
        <v>-431725.07999999978</v>
      </c>
      <c r="J377" s="3">
        <f t="shared" si="5"/>
        <v>431725.07999999978</v>
      </c>
    </row>
    <row r="378" spans="1:10" x14ac:dyDescent="0.3">
      <c r="A378" s="2" t="s">
        <v>1082</v>
      </c>
      <c r="B378" s="2" t="s">
        <v>1083</v>
      </c>
      <c r="C378" s="2" t="s">
        <v>807</v>
      </c>
      <c r="D378" s="2"/>
      <c r="E378" s="2"/>
      <c r="F378" s="249"/>
      <c r="G378" s="2" t="s">
        <v>173</v>
      </c>
      <c r="H378" s="7">
        <v>0</v>
      </c>
      <c r="I378" s="221">
        <v>-2000000.000000004</v>
      </c>
      <c r="J378" s="3">
        <f t="shared" si="5"/>
        <v>2000000.000000004</v>
      </c>
    </row>
    <row r="379" spans="1:10" x14ac:dyDescent="0.3">
      <c r="A379" s="2" t="s">
        <v>1084</v>
      </c>
      <c r="B379" s="2" t="s">
        <v>1085</v>
      </c>
      <c r="C379" s="2" t="s">
        <v>807</v>
      </c>
      <c r="D379" s="2"/>
      <c r="E379" s="2"/>
      <c r="F379" s="249"/>
      <c r="G379" s="2" t="s">
        <v>173</v>
      </c>
      <c r="H379" s="7">
        <v>0</v>
      </c>
      <c r="I379" s="221">
        <v>-1003078.9999999995</v>
      </c>
      <c r="J379" s="3">
        <f t="shared" si="5"/>
        <v>1003078.9999999995</v>
      </c>
    </row>
    <row r="380" spans="1:10" x14ac:dyDescent="0.3">
      <c r="A380" s="2" t="s">
        <v>271</v>
      </c>
      <c r="B380" s="2" t="s">
        <v>272</v>
      </c>
      <c r="C380" s="2" t="s">
        <v>807</v>
      </c>
      <c r="D380" s="2"/>
      <c r="E380" s="2"/>
      <c r="F380" s="249"/>
      <c r="G380" s="2" t="s">
        <v>173</v>
      </c>
      <c r="H380" s="7">
        <v>0</v>
      </c>
      <c r="I380" s="221">
        <v>-852336.81811125285</v>
      </c>
      <c r="J380" s="3">
        <f t="shared" si="5"/>
        <v>852336.81811125285</v>
      </c>
    </row>
    <row r="381" spans="1:10" x14ac:dyDescent="0.3">
      <c r="A381" s="2" t="s">
        <v>788</v>
      </c>
      <c r="B381" s="2" t="s">
        <v>789</v>
      </c>
      <c r="C381" s="2" t="s">
        <v>807</v>
      </c>
      <c r="D381" s="2"/>
      <c r="E381" s="2"/>
      <c r="F381" s="249"/>
      <c r="G381" s="2" t="s">
        <v>173</v>
      </c>
      <c r="H381" s="7">
        <v>0</v>
      </c>
      <c r="I381" s="221">
        <v>-4.3576999492663603E-2</v>
      </c>
      <c r="J381" s="3">
        <f t="shared" si="5"/>
        <v>4.3576999492663603E-2</v>
      </c>
    </row>
    <row r="382" spans="1:10" x14ac:dyDescent="0.3">
      <c r="A382" s="2" t="s">
        <v>790</v>
      </c>
      <c r="B382" s="2" t="s">
        <v>791</v>
      </c>
      <c r="C382" s="2" t="s">
        <v>107</v>
      </c>
      <c r="D382" s="2"/>
      <c r="E382" s="2"/>
      <c r="F382" s="249"/>
      <c r="G382" s="2" t="s">
        <v>172</v>
      </c>
      <c r="H382" s="7">
        <v>0</v>
      </c>
      <c r="I382" s="221">
        <v>-1447.5462448451858</v>
      </c>
      <c r="J382" s="3">
        <f t="shared" si="5"/>
        <v>1447.5462448451858</v>
      </c>
    </row>
    <row r="383" spans="1:10" x14ac:dyDescent="0.3">
      <c r="A383" s="2" t="s">
        <v>792</v>
      </c>
      <c r="B383" s="2" t="s">
        <v>793</v>
      </c>
      <c r="C383" s="2" t="s">
        <v>107</v>
      </c>
      <c r="D383" s="2" t="s">
        <v>26</v>
      </c>
      <c r="E383" s="2" t="s">
        <v>26</v>
      </c>
      <c r="F383" s="249" t="s">
        <v>845</v>
      </c>
      <c r="G383" s="2" t="s">
        <v>175</v>
      </c>
      <c r="H383" s="7">
        <v>0</v>
      </c>
      <c r="I383" s="221">
        <v>-524.70298175999994</v>
      </c>
      <c r="J383" s="3">
        <f t="shared" si="5"/>
        <v>524.70298175999994</v>
      </c>
    </row>
    <row r="384" spans="1:10" x14ac:dyDescent="0.3">
      <c r="A384" s="2" t="s">
        <v>570</v>
      </c>
      <c r="B384" s="2" t="s">
        <v>571</v>
      </c>
      <c r="C384" s="2" t="s">
        <v>107</v>
      </c>
      <c r="D384" s="2" t="s">
        <v>26</v>
      </c>
      <c r="E384" s="2" t="s">
        <v>26</v>
      </c>
      <c r="F384" s="249" t="s">
        <v>845</v>
      </c>
      <c r="G384" s="2" t="s">
        <v>175</v>
      </c>
      <c r="H384" s="7">
        <v>0</v>
      </c>
      <c r="I384" s="221">
        <v>-25677.839382580027</v>
      </c>
      <c r="J384" s="3">
        <f t="shared" si="5"/>
        <v>25677.839382580027</v>
      </c>
    </row>
    <row r="385" spans="1:10" x14ac:dyDescent="0.3">
      <c r="A385" s="2" t="s">
        <v>794</v>
      </c>
      <c r="B385" s="2" t="s">
        <v>795</v>
      </c>
      <c r="C385" s="2" t="s">
        <v>158</v>
      </c>
      <c r="D385" s="2"/>
      <c r="E385" s="2"/>
      <c r="F385" s="249"/>
      <c r="G385" s="2" t="s">
        <v>176</v>
      </c>
      <c r="H385" s="7">
        <v>0</v>
      </c>
      <c r="I385" s="221">
        <v>-1920.0000000000036</v>
      </c>
      <c r="J385" s="3">
        <f t="shared" si="5"/>
        <v>1920.0000000000036</v>
      </c>
    </row>
    <row r="386" spans="1:10" x14ac:dyDescent="0.3">
      <c r="A386" s="2" t="s">
        <v>1086</v>
      </c>
      <c r="B386" s="2" t="s">
        <v>1087</v>
      </c>
      <c r="C386" s="2" t="s">
        <v>107</v>
      </c>
      <c r="D386" s="2" t="s">
        <v>26</v>
      </c>
      <c r="E386" s="2" t="s">
        <v>26</v>
      </c>
      <c r="F386" s="249" t="s">
        <v>845</v>
      </c>
      <c r="G386" s="2" t="s">
        <v>175</v>
      </c>
      <c r="H386" s="7">
        <v>0</v>
      </c>
      <c r="I386" s="221">
        <v>-385505.82864000025</v>
      </c>
      <c r="J386" s="3">
        <f t="shared" si="5"/>
        <v>385505.82864000025</v>
      </c>
    </row>
    <row r="387" spans="1:10" x14ac:dyDescent="0.3">
      <c r="A387" s="2" t="s">
        <v>796</v>
      </c>
      <c r="B387" s="2" t="s">
        <v>797</v>
      </c>
      <c r="C387" s="2" t="s">
        <v>107</v>
      </c>
      <c r="D387" s="2" t="s">
        <v>23</v>
      </c>
      <c r="E387" s="2" t="s">
        <v>818</v>
      </c>
      <c r="F387" s="249" t="s">
        <v>847</v>
      </c>
      <c r="G387" s="2" t="s">
        <v>175</v>
      </c>
      <c r="H387" s="7">
        <v>0</v>
      </c>
      <c r="I387" s="221">
        <v>-366.15172416000001</v>
      </c>
      <c r="J387" s="3">
        <f t="shared" si="5"/>
        <v>366.15172416000001</v>
      </c>
    </row>
    <row r="388" spans="1:10" x14ac:dyDescent="0.3">
      <c r="A388" s="2" t="s">
        <v>1088</v>
      </c>
      <c r="B388" s="2" t="s">
        <v>1089</v>
      </c>
      <c r="C388" s="2" t="s">
        <v>107</v>
      </c>
      <c r="D388" s="2" t="s">
        <v>19</v>
      </c>
      <c r="E388" s="2" t="s">
        <v>41</v>
      </c>
      <c r="F388" s="249" t="s">
        <v>850</v>
      </c>
      <c r="G388" s="2" t="s">
        <v>175</v>
      </c>
      <c r="H388" s="7">
        <v>0</v>
      </c>
      <c r="I388" s="221">
        <v>-9072.57</v>
      </c>
      <c r="J388" s="3">
        <f t="shared" si="5"/>
        <v>9072.57</v>
      </c>
    </row>
    <row r="389" spans="1:10" x14ac:dyDescent="0.3">
      <c r="A389" s="2" t="s">
        <v>233</v>
      </c>
      <c r="B389" s="2" t="s">
        <v>1090</v>
      </c>
      <c r="C389" s="2" t="s">
        <v>807</v>
      </c>
      <c r="D389" s="2"/>
      <c r="E389" s="2"/>
      <c r="F389" s="249"/>
      <c r="G389" s="2" t="s">
        <v>173</v>
      </c>
      <c r="H389" s="7">
        <v>0</v>
      </c>
      <c r="I389" s="221">
        <v>-31095448.999999966</v>
      </c>
      <c r="J389" s="3">
        <f t="shared" si="5"/>
        <v>31095448.999999966</v>
      </c>
    </row>
    <row r="390" spans="1:10" x14ac:dyDescent="0.3">
      <c r="A390" s="2" t="s">
        <v>1091</v>
      </c>
      <c r="B390" s="2" t="s">
        <v>1092</v>
      </c>
      <c r="C390" s="2" t="s">
        <v>107</v>
      </c>
      <c r="D390" s="2" t="s">
        <v>26</v>
      </c>
      <c r="E390" s="2" t="s">
        <v>26</v>
      </c>
      <c r="F390" s="249" t="s">
        <v>845</v>
      </c>
      <c r="G390" s="2" t="s">
        <v>175</v>
      </c>
      <c r="H390" s="7">
        <v>0</v>
      </c>
      <c r="I390" s="221">
        <v>-27570.89</v>
      </c>
      <c r="J390" s="3">
        <f t="shared" ref="J390:J453" si="6">H390-I390</f>
        <v>27570.89</v>
      </c>
    </row>
    <row r="391" spans="1:10" x14ac:dyDescent="0.3">
      <c r="A391" s="2" t="s">
        <v>744</v>
      </c>
      <c r="B391" s="2" t="s">
        <v>745</v>
      </c>
      <c r="C391" s="2" t="s">
        <v>158</v>
      </c>
      <c r="D391" s="2"/>
      <c r="E391" s="2"/>
      <c r="F391" s="249"/>
      <c r="G391" s="2" t="s">
        <v>176</v>
      </c>
      <c r="H391" s="7">
        <v>0</v>
      </c>
      <c r="I391" s="221">
        <v>-127819.20000000042</v>
      </c>
      <c r="J391" s="3">
        <f t="shared" si="6"/>
        <v>127819.20000000042</v>
      </c>
    </row>
    <row r="392" spans="1:10" x14ac:dyDescent="0.3">
      <c r="A392" s="2" t="s">
        <v>742</v>
      </c>
      <c r="B392" s="2" t="s">
        <v>743</v>
      </c>
      <c r="C392" s="2" t="s">
        <v>107</v>
      </c>
      <c r="D392" s="2"/>
      <c r="E392" s="2"/>
      <c r="F392" s="249"/>
      <c r="G392" s="2" t="s">
        <v>176</v>
      </c>
      <c r="H392" s="7">
        <v>0</v>
      </c>
      <c r="I392" s="221">
        <v>-456998.8599999994</v>
      </c>
      <c r="J392" s="3">
        <f t="shared" si="6"/>
        <v>456998.8599999994</v>
      </c>
    </row>
    <row r="393" spans="1:10" x14ac:dyDescent="0.3">
      <c r="A393" s="2" t="s">
        <v>1093</v>
      </c>
      <c r="B393" s="2" t="s">
        <v>1094</v>
      </c>
      <c r="C393" s="2" t="s">
        <v>158</v>
      </c>
      <c r="D393" s="2" t="s">
        <v>3</v>
      </c>
      <c r="E393" s="2" t="s">
        <v>41</v>
      </c>
      <c r="F393" s="249"/>
      <c r="G393" s="2" t="s">
        <v>175</v>
      </c>
      <c r="H393" s="7">
        <v>0</v>
      </c>
      <c r="I393" s="221">
        <v>-2830389.3665578598</v>
      </c>
      <c r="J393" s="3">
        <f t="shared" si="6"/>
        <v>2830389.3665578598</v>
      </c>
    </row>
    <row r="394" spans="1:10" x14ac:dyDescent="0.3">
      <c r="A394" s="2" t="s">
        <v>513</v>
      </c>
      <c r="B394" s="2" t="s">
        <v>514</v>
      </c>
      <c r="C394" s="2" t="s">
        <v>107</v>
      </c>
      <c r="D394" s="2" t="s">
        <v>2</v>
      </c>
      <c r="E394" s="2" t="s">
        <v>41</v>
      </c>
      <c r="F394" s="249"/>
      <c r="G394" s="2" t="s">
        <v>175</v>
      </c>
      <c r="H394" s="7">
        <v>0</v>
      </c>
      <c r="I394" s="221">
        <v>-31978133.108033676</v>
      </c>
      <c r="J394" s="3">
        <f t="shared" si="6"/>
        <v>31978133.108033676</v>
      </c>
    </row>
    <row r="395" spans="1:10" x14ac:dyDescent="0.3">
      <c r="A395" s="2" t="s">
        <v>802</v>
      </c>
      <c r="B395" s="2" t="s">
        <v>1095</v>
      </c>
      <c r="C395" s="2" t="s">
        <v>107</v>
      </c>
      <c r="D395" s="2" t="s">
        <v>26</v>
      </c>
      <c r="E395" s="2" t="s">
        <v>26</v>
      </c>
      <c r="F395" s="249" t="s">
        <v>845</v>
      </c>
      <c r="G395" s="2" t="s">
        <v>175</v>
      </c>
      <c r="H395" s="7">
        <v>0</v>
      </c>
      <c r="I395" s="221">
        <v>40119811.454329111</v>
      </c>
      <c r="J395" s="3">
        <f t="shared" si="6"/>
        <v>-40119811.454329111</v>
      </c>
    </row>
    <row r="396" spans="1:10" x14ac:dyDescent="0.3">
      <c r="A396" s="2" t="s">
        <v>195</v>
      </c>
      <c r="B396" s="2" t="s">
        <v>196</v>
      </c>
      <c r="C396" s="2" t="s">
        <v>107</v>
      </c>
      <c r="D396" s="2" t="s">
        <v>26</v>
      </c>
      <c r="E396" s="2" t="s">
        <v>26</v>
      </c>
      <c r="F396" s="249" t="s">
        <v>845</v>
      </c>
      <c r="G396" s="2" t="s">
        <v>175</v>
      </c>
      <c r="H396" s="7">
        <v>0</v>
      </c>
      <c r="I396" s="221">
        <v>-59235.828801300908</v>
      </c>
      <c r="J396" s="3">
        <f t="shared" si="6"/>
        <v>59235.828801300908</v>
      </c>
    </row>
    <row r="397" spans="1:10" x14ac:dyDescent="0.3">
      <c r="A397" s="2" t="s">
        <v>1096</v>
      </c>
      <c r="B397" s="2" t="s">
        <v>1097</v>
      </c>
      <c r="C397" s="2" t="s">
        <v>807</v>
      </c>
      <c r="D397" s="2"/>
      <c r="E397" s="2"/>
      <c r="F397" s="249"/>
      <c r="G397" s="2" t="s">
        <v>173</v>
      </c>
      <c r="H397" s="7">
        <v>0</v>
      </c>
      <c r="I397" s="221">
        <v>-7264315.7932416741</v>
      </c>
      <c r="J397" s="3">
        <f t="shared" si="6"/>
        <v>7264315.7932416741</v>
      </c>
    </row>
    <row r="398" spans="1:10" x14ac:dyDescent="0.3">
      <c r="A398" s="2" t="s">
        <v>1098</v>
      </c>
      <c r="B398" s="2" t="s">
        <v>1099</v>
      </c>
      <c r="C398" s="2" t="s">
        <v>107</v>
      </c>
      <c r="D398" s="2"/>
      <c r="E398" s="2"/>
      <c r="F398" s="249"/>
      <c r="G398" s="2" t="s">
        <v>173</v>
      </c>
      <c r="H398" s="7">
        <v>0</v>
      </c>
      <c r="I398" s="221">
        <v>-3293534.9291970716</v>
      </c>
      <c r="J398" s="3">
        <f t="shared" si="6"/>
        <v>3293534.9291970716</v>
      </c>
    </row>
    <row r="399" spans="1:10" x14ac:dyDescent="0.3">
      <c r="A399" s="2" t="s">
        <v>1100</v>
      </c>
      <c r="B399" s="2" t="s">
        <v>1101</v>
      </c>
      <c r="C399" s="2" t="s">
        <v>107</v>
      </c>
      <c r="D399" s="2"/>
      <c r="E399" s="2"/>
      <c r="F399" s="249"/>
      <c r="G399" s="2" t="s">
        <v>173</v>
      </c>
      <c r="H399" s="7">
        <v>0</v>
      </c>
      <c r="I399" s="221">
        <v>-13682163.113017503</v>
      </c>
      <c r="J399" s="3">
        <f t="shared" si="6"/>
        <v>13682163.113017503</v>
      </c>
    </row>
    <row r="400" spans="1:10" x14ac:dyDescent="0.3">
      <c r="A400" s="2" t="s">
        <v>252</v>
      </c>
      <c r="B400" s="2" t="s">
        <v>253</v>
      </c>
      <c r="C400" s="2" t="s">
        <v>807</v>
      </c>
      <c r="D400" s="2"/>
      <c r="E400" s="2"/>
      <c r="F400" s="249"/>
      <c r="G400" s="2" t="s">
        <v>173</v>
      </c>
      <c r="H400" s="7">
        <v>0</v>
      </c>
      <c r="I400" s="221">
        <v>-951662.06136646483</v>
      </c>
      <c r="J400" s="3">
        <f t="shared" si="6"/>
        <v>951662.06136646483</v>
      </c>
    </row>
    <row r="401" spans="1:10" x14ac:dyDescent="0.3">
      <c r="A401" s="2" t="s">
        <v>267</v>
      </c>
      <c r="B401" s="2" t="s">
        <v>268</v>
      </c>
      <c r="C401" s="2" t="s">
        <v>807</v>
      </c>
      <c r="D401" s="2"/>
      <c r="E401" s="2"/>
      <c r="F401" s="249"/>
      <c r="G401" s="2" t="s">
        <v>173</v>
      </c>
      <c r="H401" s="7">
        <v>0</v>
      </c>
      <c r="I401" s="221">
        <v>-1002546.142512465</v>
      </c>
      <c r="J401" s="3">
        <f t="shared" si="6"/>
        <v>1002546.142512465</v>
      </c>
    </row>
    <row r="402" spans="1:10" x14ac:dyDescent="0.3">
      <c r="A402" s="2" t="s">
        <v>301</v>
      </c>
      <c r="B402" s="2" t="s">
        <v>302</v>
      </c>
      <c r="C402" s="2" t="s">
        <v>107</v>
      </c>
      <c r="D402" s="2"/>
      <c r="E402" s="2"/>
      <c r="F402" s="249"/>
      <c r="G402" s="2" t="s">
        <v>173</v>
      </c>
      <c r="H402" s="7">
        <v>0</v>
      </c>
      <c r="I402" s="221">
        <v>-421.66687436472955</v>
      </c>
      <c r="J402" s="3">
        <f t="shared" si="6"/>
        <v>421.66687436472955</v>
      </c>
    </row>
    <row r="403" spans="1:10" x14ac:dyDescent="0.3">
      <c r="A403" s="2" t="s">
        <v>332</v>
      </c>
      <c r="B403" s="2" t="s">
        <v>333</v>
      </c>
      <c r="C403" s="2" t="s">
        <v>107</v>
      </c>
      <c r="D403" s="2"/>
      <c r="E403" s="2"/>
      <c r="F403" s="249"/>
      <c r="G403" s="2" t="s">
        <v>172</v>
      </c>
      <c r="H403" s="7">
        <v>0</v>
      </c>
      <c r="I403" s="221">
        <v>-247.00998259545034</v>
      </c>
      <c r="J403" s="3">
        <f t="shared" si="6"/>
        <v>247.00998259545034</v>
      </c>
    </row>
    <row r="404" spans="1:10" x14ac:dyDescent="0.3">
      <c r="A404" s="2" t="s">
        <v>344</v>
      </c>
      <c r="B404" s="2" t="s">
        <v>345</v>
      </c>
      <c r="C404" s="2" t="s">
        <v>107</v>
      </c>
      <c r="D404" s="2"/>
      <c r="E404" s="2"/>
      <c r="F404" s="249"/>
      <c r="G404" s="2" t="s">
        <v>172</v>
      </c>
      <c r="H404" s="7">
        <v>0</v>
      </c>
      <c r="I404" s="221">
        <v>-1030.8043452929946</v>
      </c>
      <c r="J404" s="3">
        <f t="shared" si="6"/>
        <v>1030.8043452929946</v>
      </c>
    </row>
    <row r="405" spans="1:10" x14ac:dyDescent="0.3">
      <c r="A405" s="2" t="s">
        <v>372</v>
      </c>
      <c r="B405" s="2" t="s">
        <v>1102</v>
      </c>
      <c r="C405" s="2" t="s">
        <v>107</v>
      </c>
      <c r="D405" s="2"/>
      <c r="E405" s="2"/>
      <c r="F405" s="249"/>
      <c r="G405" s="2" t="s">
        <v>172</v>
      </c>
      <c r="H405" s="7">
        <v>0</v>
      </c>
      <c r="I405" s="221">
        <v>4193238.3499930049</v>
      </c>
      <c r="J405" s="3">
        <f t="shared" si="6"/>
        <v>-4193238.3499930049</v>
      </c>
    </row>
    <row r="406" spans="1:10" x14ac:dyDescent="0.3">
      <c r="A406" s="2" t="s">
        <v>377</v>
      </c>
      <c r="B406" s="2" t="s">
        <v>378</v>
      </c>
      <c r="C406" s="2" t="s">
        <v>107</v>
      </c>
      <c r="D406" s="2"/>
      <c r="E406" s="2"/>
      <c r="F406" s="249"/>
      <c r="G406" s="2" t="s">
        <v>172</v>
      </c>
      <c r="H406" s="7">
        <v>0</v>
      </c>
      <c r="I406" s="221">
        <v>-1057.8890008416356</v>
      </c>
      <c r="J406" s="3">
        <f t="shared" si="6"/>
        <v>1057.8890008416356</v>
      </c>
    </row>
    <row r="407" spans="1:10" x14ac:dyDescent="0.3">
      <c r="A407" s="2" t="s">
        <v>395</v>
      </c>
      <c r="B407" s="2" t="s">
        <v>396</v>
      </c>
      <c r="C407" s="2" t="s">
        <v>807</v>
      </c>
      <c r="D407" s="2" t="s">
        <v>26</v>
      </c>
      <c r="E407" s="2" t="s">
        <v>26</v>
      </c>
      <c r="F407" s="249" t="s">
        <v>845</v>
      </c>
      <c r="G407" s="2" t="s">
        <v>175</v>
      </c>
      <c r="H407" s="7">
        <v>0</v>
      </c>
      <c r="I407" s="221">
        <v>-146624.00000000041</v>
      </c>
      <c r="J407" s="3">
        <f t="shared" si="6"/>
        <v>146624.00000000041</v>
      </c>
    </row>
    <row r="408" spans="1:10" x14ac:dyDescent="0.3">
      <c r="A408" s="2" t="s">
        <v>401</v>
      </c>
      <c r="B408" s="2" t="s">
        <v>402</v>
      </c>
      <c r="C408" s="2" t="s">
        <v>107</v>
      </c>
      <c r="D408" s="2" t="s">
        <v>26</v>
      </c>
      <c r="E408" s="2" t="s">
        <v>26</v>
      </c>
      <c r="F408" s="249" t="s">
        <v>845</v>
      </c>
      <c r="G408" s="2" t="s">
        <v>175</v>
      </c>
      <c r="H408" s="7">
        <v>0</v>
      </c>
      <c r="I408" s="221">
        <v>-8529285.6655276697</v>
      </c>
      <c r="J408" s="3">
        <f t="shared" si="6"/>
        <v>8529285.6655276697</v>
      </c>
    </row>
    <row r="409" spans="1:10" x14ac:dyDescent="0.3">
      <c r="A409" s="2" t="s">
        <v>437</v>
      </c>
      <c r="B409" s="2" t="s">
        <v>438</v>
      </c>
      <c r="C409" s="2" t="s">
        <v>107</v>
      </c>
      <c r="D409" s="2" t="s">
        <v>26</v>
      </c>
      <c r="E409" s="2" t="s">
        <v>26</v>
      </c>
      <c r="F409" s="249" t="s">
        <v>845</v>
      </c>
      <c r="G409" s="2" t="s">
        <v>175</v>
      </c>
      <c r="H409" s="7">
        <v>0</v>
      </c>
      <c r="I409" s="221">
        <v>-2433475.0000000047</v>
      </c>
      <c r="J409" s="3">
        <f t="shared" si="6"/>
        <v>2433475.0000000047</v>
      </c>
    </row>
    <row r="410" spans="1:10" x14ac:dyDescent="0.3">
      <c r="A410" s="2" t="s">
        <v>455</v>
      </c>
      <c r="B410" s="2" t="s">
        <v>456</v>
      </c>
      <c r="C410" s="2" t="s">
        <v>107</v>
      </c>
      <c r="D410" s="2" t="s">
        <v>23</v>
      </c>
      <c r="E410" s="2" t="s">
        <v>818</v>
      </c>
      <c r="F410" s="249" t="s">
        <v>847</v>
      </c>
      <c r="G410" s="2" t="s">
        <v>175</v>
      </c>
      <c r="H410" s="7">
        <v>0</v>
      </c>
      <c r="I410" s="221">
        <v>-3027511.3667107685</v>
      </c>
      <c r="J410" s="3">
        <f t="shared" si="6"/>
        <v>3027511.3667107685</v>
      </c>
    </row>
    <row r="411" spans="1:10" x14ac:dyDescent="0.3">
      <c r="A411" s="2" t="s">
        <v>1103</v>
      </c>
      <c r="B411" s="2" t="s">
        <v>1104</v>
      </c>
      <c r="C411" s="2" t="s">
        <v>107</v>
      </c>
      <c r="D411" s="2" t="s">
        <v>19</v>
      </c>
      <c r="E411" s="2" t="s">
        <v>41</v>
      </c>
      <c r="F411" s="249" t="s">
        <v>850</v>
      </c>
      <c r="G411" s="2" t="s">
        <v>175</v>
      </c>
      <c r="H411" s="7">
        <v>0</v>
      </c>
      <c r="I411" s="221">
        <v>-293524.86</v>
      </c>
      <c r="J411" s="3">
        <f t="shared" si="6"/>
        <v>293524.86</v>
      </c>
    </row>
    <row r="412" spans="1:10" x14ac:dyDescent="0.3">
      <c r="A412" s="2" t="s">
        <v>505</v>
      </c>
      <c r="B412" s="2" t="s">
        <v>506</v>
      </c>
      <c r="C412" s="2" t="s">
        <v>107</v>
      </c>
      <c r="D412" s="2" t="s">
        <v>26</v>
      </c>
      <c r="E412" s="2" t="s">
        <v>26</v>
      </c>
      <c r="F412" s="249" t="s">
        <v>845</v>
      </c>
      <c r="G412" s="2" t="s">
        <v>175</v>
      </c>
      <c r="H412" s="7">
        <v>0</v>
      </c>
      <c r="I412" s="221">
        <v>-809.57372929571864</v>
      </c>
      <c r="J412" s="3">
        <f t="shared" si="6"/>
        <v>809.57372929571864</v>
      </c>
    </row>
    <row r="413" spans="1:10" x14ac:dyDescent="0.3">
      <c r="A413" s="2" t="s">
        <v>509</v>
      </c>
      <c r="B413" s="2" t="s">
        <v>510</v>
      </c>
      <c r="C413" s="2" t="s">
        <v>107</v>
      </c>
      <c r="D413" s="2" t="s">
        <v>26</v>
      </c>
      <c r="E413" s="2" t="s">
        <v>26</v>
      </c>
      <c r="F413" s="249" t="s">
        <v>845</v>
      </c>
      <c r="G413" s="2" t="s">
        <v>175</v>
      </c>
      <c r="H413" s="7">
        <v>0</v>
      </c>
      <c r="I413" s="221">
        <v>-3019.2287270564416</v>
      </c>
      <c r="J413" s="3">
        <f t="shared" si="6"/>
        <v>3019.2287270564416</v>
      </c>
    </row>
    <row r="414" spans="1:10" x14ac:dyDescent="0.3">
      <c r="A414" s="2" t="s">
        <v>527</v>
      </c>
      <c r="B414" s="2" t="s">
        <v>528</v>
      </c>
      <c r="C414" s="2" t="s">
        <v>107</v>
      </c>
      <c r="D414" s="2"/>
      <c r="E414" s="2"/>
      <c r="F414" s="249"/>
      <c r="G414" s="2" t="s">
        <v>174</v>
      </c>
      <c r="H414" s="7">
        <v>0</v>
      </c>
      <c r="I414" s="221">
        <v>-1548118.7639594919</v>
      </c>
      <c r="J414" s="3">
        <f t="shared" si="6"/>
        <v>1548118.7639594919</v>
      </c>
    </row>
    <row r="415" spans="1:10" x14ac:dyDescent="0.3">
      <c r="A415" s="2" t="s">
        <v>537</v>
      </c>
      <c r="B415" s="2" t="s">
        <v>538</v>
      </c>
      <c r="C415" s="2" t="s">
        <v>107</v>
      </c>
      <c r="D415" s="2" t="s">
        <v>19</v>
      </c>
      <c r="E415" s="2" t="s">
        <v>41</v>
      </c>
      <c r="F415" s="249" t="s">
        <v>850</v>
      </c>
      <c r="G415" s="2" t="s">
        <v>175</v>
      </c>
      <c r="H415" s="7">
        <v>0</v>
      </c>
      <c r="I415" s="221">
        <v>-896569.74399518361</v>
      </c>
      <c r="J415" s="3">
        <f t="shared" si="6"/>
        <v>896569.74399518361</v>
      </c>
    </row>
    <row r="416" spans="1:10" x14ac:dyDescent="0.3">
      <c r="A416" s="2" t="s">
        <v>539</v>
      </c>
      <c r="B416" s="2" t="s">
        <v>540</v>
      </c>
      <c r="C416" s="2" t="s">
        <v>107</v>
      </c>
      <c r="D416" s="2" t="s">
        <v>26</v>
      </c>
      <c r="E416" s="2" t="s">
        <v>26</v>
      </c>
      <c r="F416" s="249" t="s">
        <v>845</v>
      </c>
      <c r="G416" s="2" t="s">
        <v>175</v>
      </c>
      <c r="H416" s="7">
        <v>0</v>
      </c>
      <c r="I416" s="221">
        <v>-1168.2136096328079</v>
      </c>
      <c r="J416" s="3">
        <f t="shared" si="6"/>
        <v>1168.2136096328079</v>
      </c>
    </row>
    <row r="417" spans="1:14" x14ac:dyDescent="0.3">
      <c r="A417" s="2" t="s">
        <v>1105</v>
      </c>
      <c r="B417" s="2" t="s">
        <v>1106</v>
      </c>
      <c r="C417" s="2" t="s">
        <v>107</v>
      </c>
      <c r="D417" s="2" t="s">
        <v>19</v>
      </c>
      <c r="E417" s="2" t="s">
        <v>41</v>
      </c>
      <c r="F417" s="249" t="s">
        <v>850</v>
      </c>
      <c r="G417" s="2" t="s">
        <v>175</v>
      </c>
      <c r="H417" s="7">
        <v>0</v>
      </c>
      <c r="I417" s="221">
        <v>-131192.39999999997</v>
      </c>
      <c r="J417" s="3">
        <f t="shared" si="6"/>
        <v>131192.39999999997</v>
      </c>
    </row>
    <row r="418" spans="1:14" x14ac:dyDescent="0.3">
      <c r="A418" s="2" t="s">
        <v>551</v>
      </c>
      <c r="B418" s="2" t="s">
        <v>552</v>
      </c>
      <c r="C418" s="2" t="s">
        <v>107</v>
      </c>
      <c r="D418" s="2" t="s">
        <v>15</v>
      </c>
      <c r="E418" s="2" t="s">
        <v>41</v>
      </c>
      <c r="F418" s="249" t="s">
        <v>848</v>
      </c>
      <c r="G418" s="2" t="s">
        <v>175</v>
      </c>
      <c r="H418" s="7">
        <v>0</v>
      </c>
      <c r="I418" s="221">
        <v>-19619.743762079994</v>
      </c>
      <c r="J418" s="3">
        <f t="shared" si="6"/>
        <v>19619.743762079994</v>
      </c>
    </row>
    <row r="419" spans="1:14" x14ac:dyDescent="0.3">
      <c r="A419" s="2" t="s">
        <v>555</v>
      </c>
      <c r="B419" s="2" t="s">
        <v>556</v>
      </c>
      <c r="C419" s="2" t="s">
        <v>107</v>
      </c>
      <c r="D419" s="2" t="s">
        <v>15</v>
      </c>
      <c r="E419" s="2" t="s">
        <v>41</v>
      </c>
      <c r="F419" s="249" t="s">
        <v>848</v>
      </c>
      <c r="G419" s="2" t="s">
        <v>175</v>
      </c>
      <c r="H419" s="7">
        <v>0</v>
      </c>
      <c r="I419" s="221">
        <v>-235723.56499999951</v>
      </c>
      <c r="J419" s="3">
        <f t="shared" si="6"/>
        <v>235723.56499999951</v>
      </c>
    </row>
    <row r="420" spans="1:14" x14ac:dyDescent="0.3">
      <c r="A420" s="2" t="s">
        <v>1107</v>
      </c>
      <c r="B420" s="2" t="s">
        <v>1108</v>
      </c>
      <c r="C420" s="2" t="s">
        <v>107</v>
      </c>
      <c r="D420" s="2" t="s">
        <v>26</v>
      </c>
      <c r="E420" s="2" t="s">
        <v>26</v>
      </c>
      <c r="F420" s="249" t="s">
        <v>845</v>
      </c>
      <c r="G420" s="2" t="s">
        <v>175</v>
      </c>
      <c r="H420" s="7">
        <v>0</v>
      </c>
      <c r="I420" s="221">
        <v>-27319.3194416431</v>
      </c>
      <c r="J420" s="3">
        <f t="shared" si="6"/>
        <v>27319.3194416431</v>
      </c>
    </row>
    <row r="421" spans="1:14" x14ac:dyDescent="0.3">
      <c r="A421" s="2" t="s">
        <v>563</v>
      </c>
      <c r="B421" s="2" t="s">
        <v>564</v>
      </c>
      <c r="C421" s="2" t="s">
        <v>107</v>
      </c>
      <c r="D421" s="2" t="s">
        <v>15</v>
      </c>
      <c r="E421" s="2" t="s">
        <v>41</v>
      </c>
      <c r="F421" s="249" t="s">
        <v>848</v>
      </c>
      <c r="G421" s="2" t="s">
        <v>175</v>
      </c>
      <c r="H421" s="7">
        <v>0</v>
      </c>
      <c r="I421" s="221">
        <v>-11481.873981504688</v>
      </c>
      <c r="J421" s="3">
        <f t="shared" si="6"/>
        <v>11481.873981504688</v>
      </c>
    </row>
    <row r="422" spans="1:14" x14ac:dyDescent="0.3">
      <c r="A422" s="2" t="s">
        <v>568</v>
      </c>
      <c r="B422" s="2" t="s">
        <v>569</v>
      </c>
      <c r="C422" s="2" t="s">
        <v>107</v>
      </c>
      <c r="D422" s="2" t="s">
        <v>26</v>
      </c>
      <c r="E422" s="2" t="s">
        <v>26</v>
      </c>
      <c r="F422" s="249" t="s">
        <v>845</v>
      </c>
      <c r="G422" s="2" t="s">
        <v>175</v>
      </c>
      <c r="H422" s="7">
        <v>0</v>
      </c>
      <c r="I422" s="221">
        <v>-197744.84222017261</v>
      </c>
      <c r="J422" s="3">
        <f t="shared" si="6"/>
        <v>197744.84222017261</v>
      </c>
    </row>
    <row r="423" spans="1:14" x14ac:dyDescent="0.3">
      <c r="A423" s="2" t="s">
        <v>572</v>
      </c>
      <c r="B423" s="2" t="s">
        <v>573</v>
      </c>
      <c r="C423" s="2" t="s">
        <v>107</v>
      </c>
      <c r="D423" s="2" t="s">
        <v>15</v>
      </c>
      <c r="E423" s="2" t="s">
        <v>41</v>
      </c>
      <c r="F423" s="249" t="s">
        <v>848</v>
      </c>
      <c r="G423" s="2" t="s">
        <v>175</v>
      </c>
      <c r="H423" s="7">
        <v>0</v>
      </c>
      <c r="I423" s="221">
        <v>-27477.059530902337</v>
      </c>
      <c r="J423" s="3">
        <f t="shared" si="6"/>
        <v>27477.059530902337</v>
      </c>
    </row>
    <row r="424" spans="1:14" x14ac:dyDescent="0.3">
      <c r="A424" s="2" t="s">
        <v>584</v>
      </c>
      <c r="B424" s="2" t="s">
        <v>585</v>
      </c>
      <c r="C424" s="2" t="s">
        <v>158</v>
      </c>
      <c r="D424" s="2" t="s">
        <v>26</v>
      </c>
      <c r="E424" s="2" t="s">
        <v>26</v>
      </c>
      <c r="F424" s="249" t="s">
        <v>845</v>
      </c>
      <c r="G424" s="2" t="s">
        <v>175</v>
      </c>
      <c r="H424" s="7">
        <v>0</v>
      </c>
      <c r="I424" s="221">
        <v>-59.562392879999997</v>
      </c>
      <c r="J424" s="3">
        <f t="shared" si="6"/>
        <v>59.562392879999997</v>
      </c>
    </row>
    <row r="425" spans="1:14" x14ac:dyDescent="0.3">
      <c r="A425" s="2" t="s">
        <v>616</v>
      </c>
      <c r="B425" s="2" t="s">
        <v>617</v>
      </c>
      <c r="C425" s="2" t="s">
        <v>158</v>
      </c>
      <c r="D425" s="2" t="s">
        <v>26</v>
      </c>
      <c r="E425" s="2" t="s">
        <v>26</v>
      </c>
      <c r="F425" s="249" t="s">
        <v>845</v>
      </c>
      <c r="G425" s="2" t="s">
        <v>175</v>
      </c>
      <c r="H425" s="7">
        <v>0</v>
      </c>
      <c r="I425" s="221">
        <v>-1810156.0000000042</v>
      </c>
      <c r="J425" s="3">
        <f t="shared" si="6"/>
        <v>1810156.0000000042</v>
      </c>
    </row>
    <row r="426" spans="1:14" x14ac:dyDescent="0.3">
      <c r="A426" s="2" t="s">
        <v>656</v>
      </c>
      <c r="B426" s="2" t="s">
        <v>657</v>
      </c>
      <c r="C426" s="2" t="s">
        <v>158</v>
      </c>
      <c r="D426" s="2" t="s">
        <v>26</v>
      </c>
      <c r="E426" s="2" t="s">
        <v>26</v>
      </c>
      <c r="F426" s="249" t="s">
        <v>845</v>
      </c>
      <c r="G426" s="2" t="s">
        <v>175</v>
      </c>
      <c r="H426" s="7">
        <v>0</v>
      </c>
      <c r="I426" s="221">
        <v>-49.703927520000008</v>
      </c>
      <c r="J426" s="3">
        <f t="shared" si="6"/>
        <v>49.703927520000008</v>
      </c>
    </row>
    <row r="427" spans="1:14" x14ac:dyDescent="0.3">
      <c r="A427" s="2" t="s">
        <v>660</v>
      </c>
      <c r="B427" s="2" t="s">
        <v>661</v>
      </c>
      <c r="C427" s="2" t="s">
        <v>158</v>
      </c>
      <c r="D427" s="2" t="s">
        <v>25</v>
      </c>
      <c r="E427" s="2" t="s">
        <v>41</v>
      </c>
      <c r="F427" s="249" t="s">
        <v>844</v>
      </c>
      <c r="G427" s="2" t="s">
        <v>175</v>
      </c>
      <c r="H427" s="7">
        <v>0</v>
      </c>
      <c r="I427" s="221">
        <v>-1085.1389019671803</v>
      </c>
      <c r="J427" s="3">
        <f t="shared" si="6"/>
        <v>1085.1389019671803</v>
      </c>
    </row>
    <row r="428" spans="1:14" x14ac:dyDescent="0.3">
      <c r="A428" s="2" t="s">
        <v>672</v>
      </c>
      <c r="B428" s="2" t="s">
        <v>673</v>
      </c>
      <c r="C428" s="2" t="s">
        <v>158</v>
      </c>
      <c r="D428" s="2" t="s">
        <v>13</v>
      </c>
      <c r="E428" s="2" t="s">
        <v>41</v>
      </c>
      <c r="F428" s="249" t="s">
        <v>849</v>
      </c>
      <c r="G428" s="2" t="s">
        <v>175</v>
      </c>
      <c r="H428" s="7">
        <v>0</v>
      </c>
      <c r="I428" s="221">
        <v>-227997.05396916272</v>
      </c>
      <c r="J428" s="3">
        <f t="shared" si="6"/>
        <v>227997.05396916272</v>
      </c>
    </row>
    <row r="429" spans="1:14" x14ac:dyDescent="0.3">
      <c r="A429" s="2" t="s">
        <v>694</v>
      </c>
      <c r="B429" s="2" t="s">
        <v>695</v>
      </c>
      <c r="C429" s="2" t="s">
        <v>158</v>
      </c>
      <c r="D429" s="2" t="s">
        <v>11</v>
      </c>
      <c r="E429" s="2" t="s">
        <v>41</v>
      </c>
      <c r="F429" s="249" t="s">
        <v>843</v>
      </c>
      <c r="G429" s="2" t="s">
        <v>175</v>
      </c>
      <c r="H429" s="7">
        <v>0</v>
      </c>
      <c r="I429" s="221">
        <v>-148843.13564760002</v>
      </c>
      <c r="J429" s="3">
        <f t="shared" si="6"/>
        <v>148843.13564760002</v>
      </c>
    </row>
    <row r="430" spans="1:14" x14ac:dyDescent="0.3">
      <c r="A430" s="2" t="s">
        <v>704</v>
      </c>
      <c r="B430" s="2" t="s">
        <v>705</v>
      </c>
      <c r="C430" s="2" t="s">
        <v>158</v>
      </c>
      <c r="D430" s="2" t="s">
        <v>3</v>
      </c>
      <c r="E430" s="2" t="s">
        <v>41</v>
      </c>
      <c r="F430" s="249"/>
      <c r="G430" s="2" t="s">
        <v>175</v>
      </c>
      <c r="H430" s="7">
        <v>0</v>
      </c>
      <c r="I430" s="221">
        <v>-28888.675200000012</v>
      </c>
      <c r="J430" s="3">
        <f t="shared" si="6"/>
        <v>28888.675200000012</v>
      </c>
      <c r="L430" s="7"/>
      <c r="M430" s="7"/>
      <c r="N430" s="7"/>
    </row>
    <row r="431" spans="1:14" x14ac:dyDescent="0.3">
      <c r="A431" s="223" t="s">
        <v>1109</v>
      </c>
      <c r="B431" s="223" t="s">
        <v>1110</v>
      </c>
      <c r="C431" s="223" t="s">
        <v>107</v>
      </c>
      <c r="D431" s="223" t="s">
        <v>26</v>
      </c>
      <c r="E431" s="223" t="s">
        <v>26</v>
      </c>
      <c r="F431" s="281" t="s">
        <v>845</v>
      </c>
      <c r="G431" s="223" t="s">
        <v>175</v>
      </c>
      <c r="H431" s="224">
        <v>0</v>
      </c>
      <c r="I431" s="225">
        <v>-680074.44000000029</v>
      </c>
      <c r="J431" s="226">
        <f t="shared" si="6"/>
        <v>680074.44000000029</v>
      </c>
    </row>
    <row r="432" spans="1:14" x14ac:dyDescent="0.3">
      <c r="A432" t="s">
        <v>1111</v>
      </c>
      <c r="B432" t="s">
        <v>1112</v>
      </c>
      <c r="C432" t="s">
        <v>107</v>
      </c>
      <c r="D432" t="s">
        <v>26</v>
      </c>
      <c r="E432" t="s">
        <v>26</v>
      </c>
      <c r="F432" s="249" t="s">
        <v>845</v>
      </c>
      <c r="G432" s="2" t="s">
        <v>175</v>
      </c>
      <c r="H432" s="7">
        <v>0</v>
      </c>
      <c r="I432" s="221">
        <v>-11263990.043497428</v>
      </c>
      <c r="J432" s="3">
        <f t="shared" si="6"/>
        <v>11263990.043497428</v>
      </c>
    </row>
    <row r="433" spans="1:10" x14ac:dyDescent="0.3">
      <c r="A433" t="s">
        <v>1113</v>
      </c>
      <c r="B433" t="s">
        <v>1114</v>
      </c>
      <c r="C433" t="s">
        <v>107</v>
      </c>
      <c r="D433" t="s">
        <v>1</v>
      </c>
      <c r="E433" t="s">
        <v>45</v>
      </c>
      <c r="F433" s="249" t="s">
        <v>842</v>
      </c>
      <c r="G433" s="2" t="s">
        <v>175</v>
      </c>
      <c r="H433">
        <v>0</v>
      </c>
      <c r="I433" s="221">
        <v>-11427708.012799999</v>
      </c>
      <c r="J433" s="3">
        <f t="shared" si="6"/>
        <v>11427708.012799999</v>
      </c>
    </row>
    <row r="434" spans="1:10" x14ac:dyDescent="0.3">
      <c r="A434" t="s">
        <v>1115</v>
      </c>
      <c r="B434" t="s">
        <v>1116</v>
      </c>
      <c r="C434" t="s">
        <v>107</v>
      </c>
      <c r="D434" t="s">
        <v>26</v>
      </c>
      <c r="E434" t="s">
        <v>26</v>
      </c>
      <c r="F434" s="249" t="s">
        <v>845</v>
      </c>
      <c r="G434" s="2" t="s">
        <v>175</v>
      </c>
      <c r="H434" s="7">
        <v>0</v>
      </c>
      <c r="I434" s="221">
        <v>-1457506.97</v>
      </c>
      <c r="J434" s="3">
        <f t="shared" si="6"/>
        <v>1457506.97</v>
      </c>
    </row>
    <row r="435" spans="1:10" x14ac:dyDescent="0.3">
      <c r="A435" t="s">
        <v>1117</v>
      </c>
      <c r="B435" t="s">
        <v>1118</v>
      </c>
      <c r="C435" t="s">
        <v>107</v>
      </c>
      <c r="D435" t="s">
        <v>19</v>
      </c>
      <c r="E435" t="s">
        <v>41</v>
      </c>
      <c r="F435" s="249" t="s">
        <v>850</v>
      </c>
      <c r="G435" s="2" t="s">
        <v>175</v>
      </c>
      <c r="H435" s="7">
        <v>0</v>
      </c>
      <c r="I435" s="221">
        <v>-336742.25999999995</v>
      </c>
      <c r="J435" s="3">
        <f t="shared" si="6"/>
        <v>336742.25999999995</v>
      </c>
    </row>
    <row r="436" spans="1:10" x14ac:dyDescent="0.3">
      <c r="A436" t="s">
        <v>750</v>
      </c>
      <c r="B436" t="s">
        <v>751</v>
      </c>
      <c r="C436" t="s">
        <v>107</v>
      </c>
      <c r="D436" t="s">
        <v>19</v>
      </c>
      <c r="E436" t="s">
        <v>41</v>
      </c>
      <c r="F436" s="249" t="s">
        <v>850</v>
      </c>
      <c r="G436" s="2" t="s">
        <v>175</v>
      </c>
      <c r="H436">
        <v>0</v>
      </c>
      <c r="I436" s="221">
        <v>-32985.933926084843</v>
      </c>
      <c r="J436" s="3">
        <f t="shared" si="6"/>
        <v>32985.933926084843</v>
      </c>
    </row>
    <row r="437" spans="1:10" x14ac:dyDescent="0.3">
      <c r="A437" t="s">
        <v>752</v>
      </c>
      <c r="B437" t="s">
        <v>753</v>
      </c>
      <c r="C437" t="s">
        <v>107</v>
      </c>
      <c r="D437" t="s">
        <v>19</v>
      </c>
      <c r="E437" t="s">
        <v>41</v>
      </c>
      <c r="F437" s="249" t="s">
        <v>850</v>
      </c>
      <c r="G437" s="2" t="s">
        <v>175</v>
      </c>
      <c r="H437">
        <v>0</v>
      </c>
      <c r="I437" s="221">
        <v>-23091.114418321577</v>
      </c>
      <c r="J437" s="3">
        <f t="shared" si="6"/>
        <v>23091.114418321577</v>
      </c>
    </row>
    <row r="438" spans="1:10" x14ac:dyDescent="0.3">
      <c r="A438" t="s">
        <v>1119</v>
      </c>
      <c r="B438" t="s">
        <v>1120</v>
      </c>
      <c r="C438" t="s">
        <v>107</v>
      </c>
      <c r="D438" t="s">
        <v>19</v>
      </c>
      <c r="E438" t="s">
        <v>41</v>
      </c>
      <c r="F438" s="249" t="s">
        <v>850</v>
      </c>
      <c r="G438" s="2" t="s">
        <v>175</v>
      </c>
      <c r="H438">
        <v>0</v>
      </c>
      <c r="I438" s="221">
        <v>-725216.84904763056</v>
      </c>
      <c r="J438" s="3">
        <f t="shared" si="6"/>
        <v>725216.84904763056</v>
      </c>
    </row>
    <row r="439" spans="1:10" x14ac:dyDescent="0.3">
      <c r="A439" t="s">
        <v>1121</v>
      </c>
      <c r="B439" t="s">
        <v>1122</v>
      </c>
      <c r="C439" t="s">
        <v>107</v>
      </c>
      <c r="D439" t="s">
        <v>19</v>
      </c>
      <c r="E439" t="s">
        <v>41</v>
      </c>
      <c r="F439" s="249" t="s">
        <v>850</v>
      </c>
      <c r="G439" s="2" t="s">
        <v>175</v>
      </c>
      <c r="H439">
        <v>0</v>
      </c>
      <c r="I439" s="221">
        <v>-24582.460000000003</v>
      </c>
      <c r="J439" s="3">
        <f t="shared" si="6"/>
        <v>24582.460000000003</v>
      </c>
    </row>
    <row r="440" spans="1:10" x14ac:dyDescent="0.3">
      <c r="A440" t="s">
        <v>1123</v>
      </c>
      <c r="B440" t="s">
        <v>1124</v>
      </c>
      <c r="C440" t="s">
        <v>107</v>
      </c>
      <c r="D440" t="s">
        <v>19</v>
      </c>
      <c r="E440" t="s">
        <v>41</v>
      </c>
      <c r="F440" s="249" t="s">
        <v>850</v>
      </c>
      <c r="G440" s="2" t="s">
        <v>175</v>
      </c>
      <c r="H440">
        <v>0</v>
      </c>
      <c r="I440" s="221">
        <v>-7233886.9230798203</v>
      </c>
      <c r="J440" s="3">
        <f t="shared" si="6"/>
        <v>7233886.9230798203</v>
      </c>
    </row>
    <row r="441" spans="1:10" x14ac:dyDescent="0.3">
      <c r="A441" t="s">
        <v>760</v>
      </c>
      <c r="B441" t="s">
        <v>761</v>
      </c>
      <c r="C441" t="s">
        <v>107</v>
      </c>
      <c r="D441" t="s">
        <v>19</v>
      </c>
      <c r="E441" t="s">
        <v>41</v>
      </c>
      <c r="F441" s="249" t="s">
        <v>850</v>
      </c>
      <c r="G441" s="2" t="s">
        <v>175</v>
      </c>
      <c r="H441" s="7">
        <v>0</v>
      </c>
      <c r="I441" s="221">
        <v>-1883740.9732457648</v>
      </c>
      <c r="J441" s="3">
        <f t="shared" si="6"/>
        <v>1883740.9732457648</v>
      </c>
    </row>
    <row r="442" spans="1:10" x14ac:dyDescent="0.3">
      <c r="A442" t="s">
        <v>762</v>
      </c>
      <c r="B442" t="s">
        <v>763</v>
      </c>
      <c r="C442" t="s">
        <v>107</v>
      </c>
      <c r="D442" t="s">
        <v>15</v>
      </c>
      <c r="E442" t="s">
        <v>41</v>
      </c>
      <c r="F442" s="249" t="s">
        <v>848</v>
      </c>
      <c r="G442" s="2" t="s">
        <v>175</v>
      </c>
      <c r="H442" s="7">
        <v>0</v>
      </c>
      <c r="I442" s="221">
        <v>-900000</v>
      </c>
      <c r="J442" s="3">
        <f t="shared" si="6"/>
        <v>900000</v>
      </c>
    </row>
    <row r="443" spans="1:10" x14ac:dyDescent="0.3">
      <c r="A443" t="s">
        <v>764</v>
      </c>
      <c r="B443" t="s">
        <v>765</v>
      </c>
      <c r="C443" t="s">
        <v>107</v>
      </c>
      <c r="D443" t="s">
        <v>15</v>
      </c>
      <c r="E443" t="s">
        <v>41</v>
      </c>
      <c r="F443" s="249" t="s">
        <v>848</v>
      </c>
      <c r="G443" s="2" t="s">
        <v>175</v>
      </c>
      <c r="H443">
        <v>0</v>
      </c>
      <c r="I443" s="221">
        <v>-1154777.0333071921</v>
      </c>
      <c r="J443" s="3">
        <f t="shared" si="6"/>
        <v>1154777.0333071921</v>
      </c>
    </row>
    <row r="444" spans="1:10" x14ac:dyDescent="0.3">
      <c r="A444" t="s">
        <v>798</v>
      </c>
      <c r="B444" t="s">
        <v>799</v>
      </c>
      <c r="C444" t="s">
        <v>107</v>
      </c>
      <c r="D444" t="s">
        <v>15</v>
      </c>
      <c r="E444" t="s">
        <v>41</v>
      </c>
      <c r="F444" s="249" t="s">
        <v>848</v>
      </c>
      <c r="G444" s="2" t="s">
        <v>175</v>
      </c>
      <c r="H444">
        <v>0</v>
      </c>
      <c r="I444" s="221">
        <v>-3771577.0399999958</v>
      </c>
      <c r="J444" s="3">
        <f t="shared" si="6"/>
        <v>3771577.0399999958</v>
      </c>
    </row>
    <row r="445" spans="1:10" x14ac:dyDescent="0.3">
      <c r="A445" t="s">
        <v>781</v>
      </c>
      <c r="B445" t="s">
        <v>782</v>
      </c>
      <c r="C445" t="s">
        <v>107</v>
      </c>
      <c r="F445" s="249"/>
      <c r="G445" s="2" t="s">
        <v>174</v>
      </c>
      <c r="H445" s="7">
        <v>0</v>
      </c>
      <c r="I445" s="221">
        <v>-9453083.7009711824</v>
      </c>
      <c r="J445" s="3">
        <f t="shared" si="6"/>
        <v>9453083.7009711824</v>
      </c>
    </row>
    <row r="446" spans="1:10" x14ac:dyDescent="0.3">
      <c r="A446" t="s">
        <v>1125</v>
      </c>
      <c r="B446" t="s">
        <v>1126</v>
      </c>
      <c r="C446" t="s">
        <v>107</v>
      </c>
      <c r="F446" s="249"/>
      <c r="G446" s="2" t="s">
        <v>173</v>
      </c>
      <c r="H446" s="7">
        <v>0</v>
      </c>
      <c r="I446" s="221">
        <v>-1504618.5</v>
      </c>
      <c r="J446" s="3">
        <f t="shared" si="6"/>
        <v>1504618.5</v>
      </c>
    </row>
    <row r="447" spans="1:10" x14ac:dyDescent="0.3">
      <c r="A447" t="s">
        <v>1127</v>
      </c>
      <c r="B447" t="s">
        <v>1128</v>
      </c>
      <c r="C447" t="s">
        <v>107</v>
      </c>
      <c r="F447" s="249"/>
      <c r="G447" s="2" t="s">
        <v>173</v>
      </c>
      <c r="H447">
        <v>0</v>
      </c>
      <c r="I447" s="221">
        <v>-2849402.9636734715</v>
      </c>
      <c r="J447" s="3">
        <f t="shared" si="6"/>
        <v>2849402.9636734715</v>
      </c>
    </row>
    <row r="448" spans="1:10" x14ac:dyDescent="0.3">
      <c r="A448" t="s">
        <v>1129</v>
      </c>
      <c r="B448" t="s">
        <v>785</v>
      </c>
      <c r="C448" t="s">
        <v>107</v>
      </c>
      <c r="F448" s="249"/>
      <c r="G448" s="2" t="s">
        <v>173</v>
      </c>
      <c r="H448">
        <v>0</v>
      </c>
      <c r="I448" s="221">
        <v>-2250000.0000000005</v>
      </c>
      <c r="J448" s="3">
        <f t="shared" si="6"/>
        <v>2250000.0000000005</v>
      </c>
    </row>
    <row r="449" spans="1:14" x14ac:dyDescent="0.3">
      <c r="A449" t="s">
        <v>1130</v>
      </c>
      <c r="B449" t="s">
        <v>1131</v>
      </c>
      <c r="C449" t="s">
        <v>807</v>
      </c>
      <c r="F449" s="249"/>
      <c r="G449" s="2" t="s">
        <v>173</v>
      </c>
      <c r="H449" s="7">
        <v>0</v>
      </c>
      <c r="I449" s="221">
        <v>-3113278.1971035767</v>
      </c>
      <c r="J449" s="3">
        <f t="shared" si="6"/>
        <v>3113278.1971035767</v>
      </c>
    </row>
    <row r="450" spans="1:14" x14ac:dyDescent="0.3">
      <c r="A450" t="s">
        <v>1132</v>
      </c>
      <c r="B450" t="s">
        <v>1133</v>
      </c>
      <c r="C450" t="s">
        <v>107</v>
      </c>
      <c r="F450" s="249"/>
      <c r="G450" s="2" t="s">
        <v>173</v>
      </c>
      <c r="H450">
        <v>0</v>
      </c>
      <c r="I450" s="221">
        <v>-2000000.000000004</v>
      </c>
      <c r="J450" s="3">
        <f t="shared" si="6"/>
        <v>2000000.000000004</v>
      </c>
    </row>
    <row r="451" spans="1:14" x14ac:dyDescent="0.3">
      <c r="A451" t="s">
        <v>1134</v>
      </c>
      <c r="B451" t="s">
        <v>1135</v>
      </c>
      <c r="C451" t="s">
        <v>807</v>
      </c>
      <c r="F451" s="249"/>
      <c r="G451" s="2" t="s">
        <v>173</v>
      </c>
      <c r="H451" s="7">
        <v>0</v>
      </c>
      <c r="I451" s="221">
        <v>-3009237</v>
      </c>
      <c r="J451" s="3">
        <f t="shared" si="6"/>
        <v>3009237</v>
      </c>
    </row>
    <row r="452" spans="1:14" x14ac:dyDescent="0.3">
      <c r="A452" t="s">
        <v>1136</v>
      </c>
      <c r="B452" t="s">
        <v>1137</v>
      </c>
      <c r="C452" t="s">
        <v>107</v>
      </c>
      <c r="F452" s="249"/>
      <c r="G452" s="2" t="s">
        <v>173</v>
      </c>
      <c r="H452" s="7">
        <v>0</v>
      </c>
      <c r="I452" s="221">
        <v>-942894.25999999931</v>
      </c>
      <c r="J452" s="3">
        <f t="shared" si="6"/>
        <v>942894.25999999931</v>
      </c>
    </row>
    <row r="453" spans="1:14" x14ac:dyDescent="0.3">
      <c r="A453" t="s">
        <v>1138</v>
      </c>
      <c r="B453" t="s">
        <v>1139</v>
      </c>
      <c r="C453" t="s">
        <v>807</v>
      </c>
      <c r="F453" s="249"/>
      <c r="G453" s="2" t="s">
        <v>173</v>
      </c>
      <c r="H453" s="7">
        <v>0</v>
      </c>
      <c r="I453" s="221">
        <v>-539634.88749795302</v>
      </c>
      <c r="J453" s="3">
        <f t="shared" si="6"/>
        <v>539634.88749795302</v>
      </c>
    </row>
    <row r="454" spans="1:14" x14ac:dyDescent="0.3">
      <c r="A454" s="227" t="s">
        <v>1140</v>
      </c>
      <c r="B454" s="228"/>
      <c r="C454" s="228"/>
      <c r="D454" s="228"/>
      <c r="E454" s="228"/>
      <c r="F454" s="228"/>
      <c r="G454" s="228"/>
      <c r="H454" s="258">
        <f>SUM(H5:H453)</f>
        <v>-971065030.87267447</v>
      </c>
      <c r="I454" s="258">
        <f>SUM(I5:I453)</f>
        <v>-870765290.61102188</v>
      </c>
      <c r="J454" s="258">
        <f>SUM(J5:J453)</f>
        <v>-100299740.26165281</v>
      </c>
      <c r="K454" s="7"/>
      <c r="L454" s="7"/>
      <c r="M454" s="3"/>
      <c r="N454" s="3"/>
    </row>
    <row r="455" spans="1:14" x14ac:dyDescent="0.3">
      <c r="G455" s="363" t="s">
        <v>1210</v>
      </c>
      <c r="H455" s="362">
        <f>'Reconcile 2023 Actual GP&amp;Adds'!Q751</f>
        <v>970774182.00999904</v>
      </c>
      <c r="I455" s="362">
        <f>'Reconcile JAK-5 22 GRC'!C8</f>
        <v>870765290.61000001</v>
      </c>
      <c r="J455" s="229"/>
    </row>
    <row r="456" spans="1:14" x14ac:dyDescent="0.3">
      <c r="A456" s="230"/>
      <c r="G456" s="363" t="s">
        <v>1563</v>
      </c>
      <c r="H456" s="362">
        <f>SUM(H454:H455)</f>
        <v>-290848.86267542839</v>
      </c>
      <c r="I456" s="362">
        <f>SUM(I454:I455)</f>
        <v>-1.0218620300292969E-3</v>
      </c>
    </row>
    <row r="460" spans="1:14" x14ac:dyDescent="0.3">
      <c r="A460" s="492" t="s">
        <v>1965</v>
      </c>
    </row>
    <row r="461" spans="1:14" x14ac:dyDescent="0.3">
      <c r="A461" s="2" t="s">
        <v>397</v>
      </c>
      <c r="B461" s="2" t="s">
        <v>398</v>
      </c>
      <c r="C461" s="2" t="s">
        <v>107</v>
      </c>
      <c r="D461" s="2" t="s">
        <v>12</v>
      </c>
      <c r="E461" s="2" t="s">
        <v>45</v>
      </c>
      <c r="F461" s="249"/>
      <c r="G461" s="248" t="s">
        <v>1974</v>
      </c>
      <c r="H461" s="7">
        <v>-44509897.400000006</v>
      </c>
      <c r="I461" s="221">
        <v>-37051853.939228952</v>
      </c>
      <c r="J461" s="3">
        <v>-7458043.460771054</v>
      </c>
    </row>
    <row r="462" spans="1:14" x14ac:dyDescent="0.3">
      <c r="A462" s="2" t="s">
        <v>403</v>
      </c>
      <c r="B462" s="2" t="s">
        <v>404</v>
      </c>
      <c r="C462" s="2" t="s">
        <v>107</v>
      </c>
      <c r="D462" s="2" t="s">
        <v>12</v>
      </c>
      <c r="E462" s="2" t="s">
        <v>45</v>
      </c>
      <c r="F462" s="249"/>
      <c r="G462" s="2" t="s">
        <v>1974</v>
      </c>
      <c r="H462" s="7">
        <v>-158815791.07999998</v>
      </c>
      <c r="I462" s="221">
        <v>-3067957.5151001564</v>
      </c>
      <c r="J462" s="3">
        <v>-155747833.56489983</v>
      </c>
    </row>
  </sheetData>
  <autoFilter ref="A4:K456"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8.6640625" defaultRowHeight="15" x14ac:dyDescent="0.25"/>
  <cols>
    <col min="1" max="1" width="8.6640625" style="82"/>
    <col min="2" max="2" width="4.33203125" style="82" customWidth="1"/>
    <col min="3" max="3" width="24.5546875" style="82" customWidth="1"/>
    <col min="4" max="4" width="8.44140625" style="82" customWidth="1"/>
    <col min="5" max="6" width="12.33203125" style="82" bestFit="1" customWidth="1"/>
    <col min="7" max="7" width="12.88671875" style="82" bestFit="1" customWidth="1"/>
    <col min="8" max="10" width="12.33203125" style="82" bestFit="1" customWidth="1"/>
    <col min="11" max="11" width="4.88671875" style="82" customWidth="1"/>
    <col min="12" max="12" width="11.109375" style="82" bestFit="1" customWidth="1"/>
    <col min="13" max="13" width="11.109375" style="82" customWidth="1"/>
    <col min="14" max="14" width="6.109375" style="82" customWidth="1"/>
    <col min="15" max="15" width="3.5546875" style="82" customWidth="1"/>
    <col min="16" max="16" width="24.33203125" style="82" customWidth="1"/>
    <col min="17" max="17" width="9" style="82" customWidth="1"/>
    <col min="18" max="18" width="12.6640625" style="82" customWidth="1"/>
    <col min="19" max="19" width="13.88671875" style="82" customWidth="1"/>
    <col min="20" max="20" width="12.33203125" style="82" bestFit="1" customWidth="1"/>
    <col min="21" max="21" width="13.44140625" style="82" customWidth="1"/>
    <col min="22" max="22" width="12.44140625" style="82" customWidth="1"/>
    <col min="23" max="23" width="12.33203125" style="82" bestFit="1" customWidth="1"/>
    <col min="24" max="16384" width="8.6640625" style="82"/>
  </cols>
  <sheetData>
    <row r="1" spans="2:23" ht="47.4" customHeight="1" x14ac:dyDescent="0.25">
      <c r="F1" s="380" t="s">
        <v>1592</v>
      </c>
      <c r="S1" s="380" t="s">
        <v>1596</v>
      </c>
    </row>
    <row r="2" spans="2:23" ht="15.6" x14ac:dyDescent="0.3">
      <c r="B2" s="132"/>
      <c r="C2" s="131"/>
      <c r="D2" s="130"/>
      <c r="E2" s="132"/>
      <c r="F2" s="131"/>
      <c r="G2" s="130"/>
      <c r="H2" s="132"/>
      <c r="I2" s="131"/>
      <c r="J2" s="130"/>
      <c r="L2" s="383" t="s">
        <v>27</v>
      </c>
      <c r="M2" s="384"/>
      <c r="O2" s="132"/>
      <c r="P2" s="131"/>
      <c r="Q2" s="130"/>
      <c r="R2" s="489" t="s">
        <v>1596</v>
      </c>
      <c r="S2" s="490"/>
      <c r="T2" s="491"/>
      <c r="U2" s="132"/>
      <c r="V2" s="131"/>
      <c r="W2" s="130"/>
    </row>
    <row r="3" spans="2:23" ht="15.6" x14ac:dyDescent="0.3">
      <c r="B3" s="306" t="s">
        <v>1146</v>
      </c>
      <c r="C3" s="116"/>
      <c r="D3" s="95"/>
      <c r="E3" s="129" t="s">
        <v>107</v>
      </c>
      <c r="F3" s="128"/>
      <c r="G3" s="127"/>
      <c r="H3" s="129" t="s">
        <v>114</v>
      </c>
      <c r="I3" s="128"/>
      <c r="J3" s="127"/>
      <c r="L3" s="385" t="s">
        <v>12</v>
      </c>
      <c r="M3" s="386"/>
      <c r="O3" s="306" t="s">
        <v>1146</v>
      </c>
      <c r="P3" s="116"/>
      <c r="Q3" s="95"/>
      <c r="R3" s="129" t="s">
        <v>107</v>
      </c>
      <c r="S3" s="128"/>
      <c r="T3" s="127"/>
      <c r="U3" s="129" t="s">
        <v>114</v>
      </c>
      <c r="V3" s="128"/>
      <c r="W3" s="127"/>
    </row>
    <row r="4" spans="2:23" ht="15.6" x14ac:dyDescent="0.3">
      <c r="B4" s="117"/>
      <c r="C4" s="116"/>
      <c r="D4" s="95"/>
      <c r="E4" s="126"/>
      <c r="F4" s="125"/>
      <c r="G4" s="124" t="s">
        <v>112</v>
      </c>
      <c r="H4" s="126"/>
      <c r="I4" s="125"/>
      <c r="J4" s="124" t="s">
        <v>112</v>
      </c>
      <c r="L4" s="385" t="s">
        <v>1593</v>
      </c>
      <c r="M4" s="386"/>
      <c r="O4" s="117"/>
      <c r="P4" s="116"/>
      <c r="Q4" s="95"/>
      <c r="R4" s="126"/>
      <c r="S4" s="125"/>
      <c r="T4" s="124" t="s">
        <v>112</v>
      </c>
      <c r="U4" s="126"/>
      <c r="V4" s="125"/>
      <c r="W4" s="124" t="s">
        <v>112</v>
      </c>
    </row>
    <row r="5" spans="2:23" ht="15.6" x14ac:dyDescent="0.3">
      <c r="B5" s="123" t="s">
        <v>108</v>
      </c>
      <c r="C5" s="122"/>
      <c r="D5" s="121"/>
      <c r="E5" s="120" t="s">
        <v>126</v>
      </c>
      <c r="F5" s="119" t="s">
        <v>110</v>
      </c>
      <c r="G5" s="118" t="s">
        <v>113</v>
      </c>
      <c r="H5" s="120" t="s">
        <v>126</v>
      </c>
      <c r="I5" s="119" t="s">
        <v>110</v>
      </c>
      <c r="J5" s="118" t="s">
        <v>113</v>
      </c>
      <c r="L5" s="397" t="s">
        <v>126</v>
      </c>
      <c r="M5" s="398" t="s">
        <v>110</v>
      </c>
      <c r="O5" s="123" t="s">
        <v>108</v>
      </c>
      <c r="P5" s="122"/>
      <c r="Q5" s="121"/>
      <c r="R5" s="120" t="s">
        <v>126</v>
      </c>
      <c r="S5" s="119" t="s">
        <v>110</v>
      </c>
      <c r="T5" s="118" t="s">
        <v>113</v>
      </c>
      <c r="U5" s="120" t="s">
        <v>126</v>
      </c>
      <c r="V5" s="119" t="s">
        <v>110</v>
      </c>
      <c r="W5" s="118" t="s">
        <v>113</v>
      </c>
    </row>
    <row r="6" spans="2:23" x14ac:dyDescent="0.25">
      <c r="B6" s="117"/>
      <c r="C6" s="161" t="s">
        <v>146</v>
      </c>
      <c r="D6" s="95"/>
      <c r="E6" s="162" t="s">
        <v>147</v>
      </c>
      <c r="F6" s="161" t="s">
        <v>148</v>
      </c>
      <c r="G6" s="163" t="s">
        <v>149</v>
      </c>
      <c r="H6" s="162" t="s">
        <v>150</v>
      </c>
      <c r="I6" s="161" t="s">
        <v>151</v>
      </c>
      <c r="J6" s="163" t="s">
        <v>152</v>
      </c>
      <c r="L6" s="399" t="s">
        <v>1594</v>
      </c>
      <c r="M6" s="400" t="s">
        <v>1595</v>
      </c>
      <c r="O6" s="117"/>
      <c r="P6" s="161" t="s">
        <v>146</v>
      </c>
      <c r="Q6" s="95"/>
      <c r="R6" s="162" t="s">
        <v>147</v>
      </c>
      <c r="S6" s="161" t="s">
        <v>148</v>
      </c>
      <c r="T6" s="163" t="s">
        <v>149</v>
      </c>
      <c r="U6" s="162" t="s">
        <v>150</v>
      </c>
      <c r="V6" s="161" t="s">
        <v>151</v>
      </c>
      <c r="W6" s="163" t="s">
        <v>152</v>
      </c>
    </row>
    <row r="7" spans="2:23" x14ac:dyDescent="0.25">
      <c r="B7" s="117"/>
      <c r="C7" s="116"/>
      <c r="D7" s="95"/>
      <c r="E7" s="117"/>
      <c r="F7" s="116"/>
      <c r="G7" s="95"/>
      <c r="H7" s="117"/>
      <c r="I7" s="116"/>
      <c r="J7" s="95"/>
      <c r="L7" s="387"/>
      <c r="M7" s="388"/>
      <c r="O7" s="117"/>
      <c r="P7" s="116"/>
      <c r="Q7" s="95"/>
      <c r="R7" s="117"/>
      <c r="S7" s="116"/>
      <c r="T7" s="95"/>
      <c r="U7" s="117"/>
      <c r="V7" s="116"/>
      <c r="W7" s="95"/>
    </row>
    <row r="8" spans="2:23" x14ac:dyDescent="0.25">
      <c r="B8" s="97">
        <v>1</v>
      </c>
      <c r="C8" s="96" t="s">
        <v>109</v>
      </c>
      <c r="D8" s="95"/>
      <c r="E8" s="94">
        <f>'Rev Req Comparison'!C14/1000000</f>
        <v>682.03640407630314</v>
      </c>
      <c r="F8" s="93">
        <f>'Rev Req Comparison'!D14/1000000</f>
        <v>731.98053513116292</v>
      </c>
      <c r="G8" s="92">
        <f t="shared" ref="G8:G16" si="0">F8-E8</f>
        <v>49.944131054859781</v>
      </c>
      <c r="H8" s="94">
        <f>'Rev Req Comparison'!R14/1000000</f>
        <v>334.4934033409487</v>
      </c>
      <c r="I8" s="93">
        <f>'Rev Req Comparison'!S14/1000000</f>
        <v>327.37986735992092</v>
      </c>
      <c r="J8" s="92">
        <f t="shared" ref="J8:J16" si="1">I8-H8</f>
        <v>-7.1135359810277805</v>
      </c>
      <c r="L8" s="389">
        <f>'Rev Req Comparison'!G14/1000000</f>
        <v>8.2105044700000001</v>
      </c>
      <c r="M8" s="390">
        <f>'Rev Req Comparison'!H14/1000000</f>
        <v>52.951278208205729</v>
      </c>
      <c r="O8" s="97">
        <v>1</v>
      </c>
      <c r="P8" s="96" t="s">
        <v>109</v>
      </c>
      <c r="Q8" s="95"/>
      <c r="R8" s="94">
        <f>E8-L8</f>
        <v>673.8258996063031</v>
      </c>
      <c r="S8" s="93">
        <f>F8-M8</f>
        <v>679.02925692295719</v>
      </c>
      <c r="T8" s="92">
        <f t="shared" ref="T8:T16" si="2">S8-R8</f>
        <v>5.2033573166540918</v>
      </c>
      <c r="U8" s="94">
        <f>H8</f>
        <v>334.4934033409487</v>
      </c>
      <c r="V8" s="93">
        <f>I8</f>
        <v>327.37986735992092</v>
      </c>
      <c r="W8" s="92">
        <f t="shared" ref="W8:W16" si="3">V8-U8</f>
        <v>-7.1135359810277805</v>
      </c>
    </row>
    <row r="9" spans="2:23" x14ac:dyDescent="0.25">
      <c r="B9" s="97">
        <f>B8+1</f>
        <v>2</v>
      </c>
      <c r="C9" s="96" t="s">
        <v>117</v>
      </c>
      <c r="D9" s="95"/>
      <c r="E9" s="115">
        <f>'SEF-23'!D10</f>
        <v>7.1599999999999997E-2</v>
      </c>
      <c r="F9" s="114">
        <f>E9</f>
        <v>7.1599999999999997E-2</v>
      </c>
      <c r="G9" s="111">
        <f t="shared" si="0"/>
        <v>0</v>
      </c>
      <c r="H9" s="113">
        <f>'SEF-24'!D10</f>
        <v>7.1599999999999997E-2</v>
      </c>
      <c r="I9" s="112">
        <f>H9</f>
        <v>7.1599999999999997E-2</v>
      </c>
      <c r="J9" s="111">
        <f t="shared" si="1"/>
        <v>0</v>
      </c>
      <c r="L9" s="391">
        <f>'SEF-23'!D10</f>
        <v>7.1599999999999997E-2</v>
      </c>
      <c r="M9" s="392">
        <f>L9</f>
        <v>7.1599999999999997E-2</v>
      </c>
      <c r="O9" s="97">
        <f>O8+1</f>
        <v>2</v>
      </c>
      <c r="P9" s="96" t="s">
        <v>117</v>
      </c>
      <c r="Q9" s="95"/>
      <c r="R9" s="115">
        <f>E9</f>
        <v>7.1599999999999997E-2</v>
      </c>
      <c r="S9" s="114">
        <f>R9</f>
        <v>7.1599999999999997E-2</v>
      </c>
      <c r="T9" s="111">
        <f t="shared" si="2"/>
        <v>0</v>
      </c>
      <c r="U9" s="113">
        <f>H9</f>
        <v>7.1599999999999997E-2</v>
      </c>
      <c r="V9" s="112">
        <f>U9</f>
        <v>7.1599999999999997E-2</v>
      </c>
      <c r="W9" s="111">
        <f t="shared" si="3"/>
        <v>0</v>
      </c>
    </row>
    <row r="10" spans="2:23" x14ac:dyDescent="0.25">
      <c r="B10" s="97">
        <f t="shared" ref="B10:B23" si="4">B9+1</f>
        <v>3</v>
      </c>
      <c r="C10" s="96" t="s">
        <v>119</v>
      </c>
      <c r="D10" s="95"/>
      <c r="E10" s="107">
        <f>E8*E9</f>
        <v>48.833806531863303</v>
      </c>
      <c r="F10" s="106">
        <f>F8*F9</f>
        <v>52.409806315391265</v>
      </c>
      <c r="G10" s="105">
        <f t="shared" si="0"/>
        <v>3.575999783527962</v>
      </c>
      <c r="H10" s="107">
        <f>H8*H9</f>
        <v>23.949727679211925</v>
      </c>
      <c r="I10" s="106">
        <f>I8*I9</f>
        <v>23.440398502970336</v>
      </c>
      <c r="J10" s="105">
        <f t="shared" si="1"/>
        <v>-0.50932917624158947</v>
      </c>
      <c r="L10" s="401">
        <f t="shared" ref="L10:M10" si="5">L8*L9</f>
        <v>0.58787212005199996</v>
      </c>
      <c r="M10" s="402">
        <f t="shared" si="5"/>
        <v>3.7913115197075302</v>
      </c>
      <c r="O10" s="97">
        <f t="shared" ref="O10:O23" si="6">O9+1</f>
        <v>3</v>
      </c>
      <c r="P10" s="96" t="s">
        <v>119</v>
      </c>
      <c r="Q10" s="95"/>
      <c r="R10" s="107">
        <f>R8*R9</f>
        <v>48.245934411811298</v>
      </c>
      <c r="S10" s="410">
        <f>S8*S9</f>
        <v>48.618494795683731</v>
      </c>
      <c r="T10" s="105">
        <f t="shared" si="2"/>
        <v>0.37256038387243251</v>
      </c>
      <c r="U10" s="107">
        <f>U8*U9</f>
        <v>23.949727679211925</v>
      </c>
      <c r="V10" s="106">
        <f>V8*V9</f>
        <v>23.440398502970336</v>
      </c>
      <c r="W10" s="105">
        <f t="shared" si="3"/>
        <v>-0.50932917624158947</v>
      </c>
    </row>
    <row r="11" spans="2:23" x14ac:dyDescent="0.25">
      <c r="B11" s="97">
        <f t="shared" si="4"/>
        <v>4</v>
      </c>
      <c r="C11" s="96" t="s">
        <v>53</v>
      </c>
      <c r="D11" s="95"/>
      <c r="E11" s="107">
        <f>-('Rev Req Comparison'!C17+'Rev Req Comparison'!C19)/1000000</f>
        <v>30.022505538783982</v>
      </c>
      <c r="F11" s="106">
        <f>-('Rev Req Comparison'!D17+'Rev Req Comparison'!D19)/1000000</f>
        <v>39.694430556760317</v>
      </c>
      <c r="G11" s="105">
        <f t="shared" si="0"/>
        <v>9.671925017976335</v>
      </c>
      <c r="H11" s="107">
        <f>-('Rev Req Comparison'!R17+'Rev Req Comparison'!R19)/1000000</f>
        <v>15.825245001215999</v>
      </c>
      <c r="I11" s="106">
        <f>-('Rev Req Comparison'!S17+'Rev Req Comparison'!S19)/1000000</f>
        <v>16.469203165176452</v>
      </c>
      <c r="J11" s="105">
        <f t="shared" si="1"/>
        <v>0.64395816396045369</v>
      </c>
      <c r="L11" s="393">
        <f>-('Rev Req Comparison'!G17+'Rev Req Comparison'!G19)/1000000</f>
        <v>0.12874787209999999</v>
      </c>
      <c r="M11" s="394">
        <f>-('Rev Req Comparison'!H17+'Rev Req Comparison'!H19)/1000000</f>
        <v>0.97134076962368132</v>
      </c>
      <c r="O11" s="97">
        <f t="shared" si="6"/>
        <v>4</v>
      </c>
      <c r="P11" s="96" t="s">
        <v>53</v>
      </c>
      <c r="Q11" s="95"/>
      <c r="R11" s="107">
        <f>E11-L11</f>
        <v>29.893757666683982</v>
      </c>
      <c r="S11" s="109">
        <f>F11-M11</f>
        <v>38.723089787136637</v>
      </c>
      <c r="T11" s="105">
        <f t="shared" si="2"/>
        <v>8.8293321204526549</v>
      </c>
      <c r="U11" s="107">
        <f>H11</f>
        <v>15.825245001215999</v>
      </c>
      <c r="V11" s="106">
        <f>I11</f>
        <v>16.469203165176452</v>
      </c>
      <c r="W11" s="105">
        <f t="shared" si="3"/>
        <v>0.64395816396045369</v>
      </c>
    </row>
    <row r="12" spans="2:23" x14ac:dyDescent="0.25">
      <c r="B12" s="97">
        <f t="shared" si="4"/>
        <v>5</v>
      </c>
      <c r="C12" s="96" t="s">
        <v>115</v>
      </c>
      <c r="D12" s="95"/>
      <c r="E12" s="110">
        <f>-('Rev Req Comparison'!C18+'Rev Req Comparison'!C20+'Rev Req Comparison'!C23)/1000000</f>
        <v>-9.8580165063731613</v>
      </c>
      <c r="F12" s="109">
        <f>-('Rev Req Comparison'!D18+'Rev Req Comparison'!D20+'Rev Req Comparison'!D23)/1000000</f>
        <v>-15.548517640285038</v>
      </c>
      <c r="G12" s="108">
        <f t="shared" si="0"/>
        <v>-5.6905011339118765</v>
      </c>
      <c r="H12" s="110">
        <f>-('Rev Req Comparison'!R18+'Rev Req Comparison'!R20+'Rev Req Comparison'!R23)/1000000</f>
        <v>-5.4364042138462203</v>
      </c>
      <c r="I12" s="109">
        <f>-('Rev Req Comparison'!S18+'Rev Req Comparison'!S20+'Rev Req Comparison'!S23)/1000000</f>
        <v>-5.8905114300799832</v>
      </c>
      <c r="J12" s="108">
        <f t="shared" si="1"/>
        <v>-0.45410721623376293</v>
      </c>
      <c r="L12" s="406">
        <f>-('Rev Req Comparison'!G18+'Rev Req Comparison'!G20+'Rev Req Comparison'!G23)/1000000</f>
        <v>-7.100430457784998E-2</v>
      </c>
      <c r="M12" s="407">
        <f>-('Rev Req Comparison'!H18+'Rev Req Comparison'!H20+'Rev Req Comparison'!H23)/1000000</f>
        <v>-0.48753565642591473</v>
      </c>
      <c r="O12" s="97">
        <f t="shared" si="6"/>
        <v>5</v>
      </c>
      <c r="P12" s="96" t="s">
        <v>115</v>
      </c>
      <c r="Q12" s="95"/>
      <c r="R12" s="408">
        <f>E12-L12</f>
        <v>-9.7870122017953118</v>
      </c>
      <c r="S12" s="409">
        <f>F12-M12</f>
        <v>-15.060981983859124</v>
      </c>
      <c r="T12" s="108">
        <f t="shared" si="2"/>
        <v>-5.2739697820638121</v>
      </c>
      <c r="U12" s="110">
        <f>H12</f>
        <v>-5.4364042138462203</v>
      </c>
      <c r="V12" s="109">
        <f>I12</f>
        <v>-5.8905114300799832</v>
      </c>
      <c r="W12" s="108">
        <f t="shared" si="3"/>
        <v>-0.45410721623376293</v>
      </c>
    </row>
    <row r="13" spans="2:23" x14ac:dyDescent="0.25">
      <c r="B13" s="97">
        <f t="shared" si="4"/>
        <v>6</v>
      </c>
      <c r="C13" s="96" t="s">
        <v>116</v>
      </c>
      <c r="D13" s="95"/>
      <c r="E13" s="107">
        <f>SUM(E11:E12)</f>
        <v>20.16448903241082</v>
      </c>
      <c r="F13" s="106">
        <f>SUM(F11:F12)</f>
        <v>24.145912916475279</v>
      </c>
      <c r="G13" s="105">
        <f t="shared" si="0"/>
        <v>3.9814238840644585</v>
      </c>
      <c r="H13" s="107">
        <f>SUM(H11:H12)</f>
        <v>10.388840787369778</v>
      </c>
      <c r="I13" s="106">
        <f>SUM(I11:I12)</f>
        <v>10.57869173509647</v>
      </c>
      <c r="J13" s="105">
        <f t="shared" si="1"/>
        <v>0.18985094772669164</v>
      </c>
      <c r="L13" s="401">
        <f t="shared" ref="L13:M13" si="7">SUM(L11:L12)</f>
        <v>5.7743567522150013E-2</v>
      </c>
      <c r="M13" s="402">
        <f t="shared" si="7"/>
        <v>0.48380511319776659</v>
      </c>
      <c r="O13" s="97">
        <f t="shared" si="6"/>
        <v>6</v>
      </c>
      <c r="P13" s="96" t="s">
        <v>116</v>
      </c>
      <c r="Q13" s="95"/>
      <c r="R13" s="107">
        <f>SUM(R11:R12)</f>
        <v>20.106745464888668</v>
      </c>
      <c r="S13" s="410">
        <f>SUM(S11:S12)</f>
        <v>23.662107803277515</v>
      </c>
      <c r="T13" s="105">
        <f t="shared" si="2"/>
        <v>3.5553623383888464</v>
      </c>
      <c r="U13" s="107">
        <f>SUM(U11:U12)</f>
        <v>10.388840787369778</v>
      </c>
      <c r="V13" s="106">
        <f>SUM(V11:V12)</f>
        <v>10.57869173509647</v>
      </c>
      <c r="W13" s="105">
        <f t="shared" si="3"/>
        <v>0.18985094772669164</v>
      </c>
    </row>
    <row r="14" spans="2:23" x14ac:dyDescent="0.25">
      <c r="B14" s="97">
        <f t="shared" si="4"/>
        <v>7</v>
      </c>
      <c r="C14" s="96" t="s">
        <v>120</v>
      </c>
      <c r="D14" s="95"/>
      <c r="E14" s="107">
        <f>E10+E13</f>
        <v>68.998295564274116</v>
      </c>
      <c r="F14" s="106">
        <f>F10+F13</f>
        <v>76.555719231866547</v>
      </c>
      <c r="G14" s="105">
        <f t="shared" si="0"/>
        <v>7.5574236675924311</v>
      </c>
      <c r="H14" s="107">
        <f>H10+H13</f>
        <v>34.338568466581705</v>
      </c>
      <c r="I14" s="106">
        <f>I10+I13</f>
        <v>34.019090238066809</v>
      </c>
      <c r="J14" s="105">
        <f t="shared" si="1"/>
        <v>-0.31947822851489605</v>
      </c>
      <c r="L14" s="393">
        <f t="shared" ref="L14:M14" si="8">L10+L13</f>
        <v>0.64561568757415</v>
      </c>
      <c r="M14" s="394">
        <f t="shared" si="8"/>
        <v>4.2751166329052968</v>
      </c>
      <c r="O14" s="97">
        <f t="shared" si="6"/>
        <v>7</v>
      </c>
      <c r="P14" s="96" t="s">
        <v>120</v>
      </c>
      <c r="Q14" s="95"/>
      <c r="R14" s="107">
        <f>R10+R13</f>
        <v>68.352679876699966</v>
      </c>
      <c r="S14" s="106">
        <f>S10+S13</f>
        <v>72.280602598961252</v>
      </c>
      <c r="T14" s="105">
        <f t="shared" si="2"/>
        <v>3.927922722261286</v>
      </c>
      <c r="U14" s="107">
        <f>U10+U13</f>
        <v>34.338568466581705</v>
      </c>
      <c r="V14" s="106">
        <f>V10+V13</f>
        <v>34.019090238066809</v>
      </c>
      <c r="W14" s="105">
        <f t="shared" si="3"/>
        <v>-0.31947822851489605</v>
      </c>
    </row>
    <row r="15" spans="2:23" x14ac:dyDescent="0.25">
      <c r="B15" s="97">
        <f t="shared" si="4"/>
        <v>8</v>
      </c>
      <c r="C15" s="96" t="s">
        <v>118</v>
      </c>
      <c r="D15" s="95"/>
      <c r="E15" s="104">
        <f>'Rev Req Comparison'!C34</f>
        <v>0.752355</v>
      </c>
      <c r="F15" s="103">
        <f>E15</f>
        <v>0.752355</v>
      </c>
      <c r="G15" s="102">
        <f t="shared" si="0"/>
        <v>0</v>
      </c>
      <c r="H15" s="104">
        <f>'Rev Req Comparison'!R34</f>
        <v>0.75480100000000006</v>
      </c>
      <c r="I15" s="103">
        <f>H15</f>
        <v>0.75480100000000006</v>
      </c>
      <c r="J15" s="102">
        <f t="shared" si="1"/>
        <v>0</v>
      </c>
      <c r="L15" s="387">
        <f>'Rev Req Comparison'!C34</f>
        <v>0.752355</v>
      </c>
      <c r="M15" s="388">
        <f>L15</f>
        <v>0.752355</v>
      </c>
      <c r="O15" s="97">
        <f t="shared" si="6"/>
        <v>8</v>
      </c>
      <c r="P15" s="96" t="s">
        <v>118</v>
      </c>
      <c r="Q15" s="95"/>
      <c r="R15" s="104">
        <f>E15</f>
        <v>0.752355</v>
      </c>
      <c r="S15" s="103">
        <f>R15</f>
        <v>0.752355</v>
      </c>
      <c r="T15" s="102">
        <f t="shared" si="2"/>
        <v>0</v>
      </c>
      <c r="U15" s="104">
        <f>H15</f>
        <v>0.75480100000000006</v>
      </c>
      <c r="V15" s="103">
        <f>U15</f>
        <v>0.75480100000000006</v>
      </c>
      <c r="W15" s="102">
        <f t="shared" si="3"/>
        <v>0</v>
      </c>
    </row>
    <row r="16" spans="2:23" ht="15.6" thickBot="1" x14ac:dyDescent="0.3">
      <c r="B16" s="97">
        <f t="shared" si="4"/>
        <v>9</v>
      </c>
      <c r="C16" s="96" t="s">
        <v>121</v>
      </c>
      <c r="D16" s="95"/>
      <c r="E16" s="101">
        <f>E14/E15</f>
        <v>91.709758776474033</v>
      </c>
      <c r="F16" s="100">
        <f>F14/F15</f>
        <v>101.75478229275615</v>
      </c>
      <c r="G16" s="99">
        <f t="shared" si="0"/>
        <v>10.045023516282114</v>
      </c>
      <c r="H16" s="101">
        <f>ROUNDUP(H14/H15,1)</f>
        <v>45.5</v>
      </c>
      <c r="I16" s="100">
        <f>I14/I15</f>
        <v>45.07027711683849</v>
      </c>
      <c r="J16" s="99">
        <f t="shared" si="1"/>
        <v>-0.42972288316151008</v>
      </c>
      <c r="L16" s="403">
        <f t="shared" ref="L16:M16" si="9">L14/L15</f>
        <v>0.85812639986994177</v>
      </c>
      <c r="M16" s="404">
        <f t="shared" si="9"/>
        <v>5.6823130475710224</v>
      </c>
      <c r="N16" s="83"/>
      <c r="O16" s="97">
        <f t="shared" si="6"/>
        <v>9</v>
      </c>
      <c r="P16" s="96" t="s">
        <v>121</v>
      </c>
      <c r="Q16" s="95"/>
      <c r="R16" s="101">
        <f>R14/R15</f>
        <v>90.851632376604087</v>
      </c>
      <c r="S16" s="100">
        <f>S14/S15</f>
        <v>96.072469245185118</v>
      </c>
      <c r="T16" s="99">
        <f t="shared" si="2"/>
        <v>5.2208368685810314</v>
      </c>
      <c r="U16" s="101">
        <f>ROUNDUP(U14/U15,1)</f>
        <v>45.5</v>
      </c>
      <c r="V16" s="100">
        <f>V14/V15</f>
        <v>45.07027711683849</v>
      </c>
      <c r="W16" s="99">
        <f t="shared" si="3"/>
        <v>-0.42972288316151008</v>
      </c>
    </row>
    <row r="17" spans="2:23" ht="15.6" thickTop="1" x14ac:dyDescent="0.25">
      <c r="B17" s="97">
        <f t="shared" si="4"/>
        <v>10</v>
      </c>
      <c r="C17" s="96" t="s">
        <v>145</v>
      </c>
      <c r="D17" s="95"/>
      <c r="E17" s="94"/>
      <c r="F17" s="93"/>
      <c r="G17" s="160" t="s">
        <v>144</v>
      </c>
      <c r="H17" s="94"/>
      <c r="I17" s="93"/>
      <c r="J17" s="92">
        <f>J23</f>
        <v>-2.2157721263018244</v>
      </c>
      <c r="L17" s="494" t="s">
        <v>1708</v>
      </c>
      <c r="M17" s="495">
        <f>(M16-L16)+T16-G16</f>
        <v>0</v>
      </c>
      <c r="O17" s="97">
        <f t="shared" si="6"/>
        <v>10</v>
      </c>
      <c r="P17" s="96" t="s">
        <v>145</v>
      </c>
      <c r="Q17" s="95"/>
      <c r="R17" s="94"/>
      <c r="S17" s="93"/>
      <c r="T17" s="160" t="s">
        <v>144</v>
      </c>
      <c r="U17" s="94"/>
      <c r="V17" s="93"/>
      <c r="W17" s="92">
        <f>W23</f>
        <v>-2.2157721263018244</v>
      </c>
    </row>
    <row r="18" spans="2:23" x14ac:dyDescent="0.25">
      <c r="B18" s="164">
        <f t="shared" si="4"/>
        <v>11</v>
      </c>
      <c r="C18" s="165" t="s">
        <v>154</v>
      </c>
      <c r="D18" s="166"/>
      <c r="E18" s="167"/>
      <c r="F18" s="168"/>
      <c r="G18" s="169" t="s">
        <v>144</v>
      </c>
      <c r="H18" s="167"/>
      <c r="I18" s="168"/>
      <c r="J18" s="169" t="str">
        <f>IF(J16-J17&gt;0,"Below threshold",J16-J17)</f>
        <v>Below threshold</v>
      </c>
      <c r="L18" s="387"/>
      <c r="M18" s="388"/>
      <c r="O18" s="164">
        <f t="shared" si="6"/>
        <v>11</v>
      </c>
      <c r="P18" s="165" t="s">
        <v>154</v>
      </c>
      <c r="Q18" s="166"/>
      <c r="R18" s="167"/>
      <c r="S18" s="168"/>
      <c r="T18" s="169" t="s">
        <v>144</v>
      </c>
      <c r="U18" s="167"/>
      <c r="V18" s="168"/>
      <c r="W18" s="169" t="str">
        <f>IF(W16-W17&gt;0,"Below threshold",W16-W17)</f>
        <v>Below threshold</v>
      </c>
    </row>
    <row r="19" spans="2:23" x14ac:dyDescent="0.25">
      <c r="B19" s="97">
        <f t="shared" si="4"/>
        <v>12</v>
      </c>
      <c r="C19" s="96"/>
      <c r="D19" s="95"/>
      <c r="E19" s="94"/>
      <c r="F19" s="93"/>
      <c r="G19" s="92"/>
      <c r="H19" s="94"/>
      <c r="I19" s="93"/>
      <c r="J19" s="92"/>
      <c r="L19" s="387"/>
      <c r="M19" s="388"/>
      <c r="O19" s="97">
        <f t="shared" si="6"/>
        <v>12</v>
      </c>
      <c r="P19" s="96"/>
      <c r="Q19" s="95"/>
      <c r="R19" s="94"/>
      <c r="S19" s="93"/>
      <c r="T19" s="92"/>
      <c r="U19" s="94"/>
      <c r="V19" s="93"/>
      <c r="W19" s="92"/>
    </row>
    <row r="20" spans="2:23" x14ac:dyDescent="0.25">
      <c r="B20" s="97">
        <f t="shared" si="4"/>
        <v>13</v>
      </c>
      <c r="C20" s="98" t="s">
        <v>125</v>
      </c>
      <c r="D20" s="95"/>
      <c r="E20" s="94"/>
      <c r="F20" s="93"/>
      <c r="G20" s="92"/>
      <c r="H20" s="94"/>
      <c r="I20" s="93"/>
      <c r="J20" s="92"/>
      <c r="L20" s="387"/>
      <c r="M20" s="388"/>
      <c r="O20" s="97">
        <f t="shared" si="6"/>
        <v>13</v>
      </c>
      <c r="P20" s="98" t="s">
        <v>125</v>
      </c>
      <c r="Q20" s="95"/>
      <c r="R20" s="94"/>
      <c r="S20" s="93"/>
      <c r="T20" s="92"/>
      <c r="U20" s="94"/>
      <c r="V20" s="93"/>
      <c r="W20" s="92"/>
    </row>
    <row r="21" spans="2:23" x14ac:dyDescent="0.25">
      <c r="B21" s="97">
        <f t="shared" si="4"/>
        <v>14</v>
      </c>
      <c r="C21" s="96" t="s">
        <v>124</v>
      </c>
      <c r="D21" s="95"/>
      <c r="F21" s="93"/>
      <c r="G21" s="92">
        <f>'SEF-23'!D13/1000000</f>
        <v>682.03640407630314</v>
      </c>
      <c r="I21" s="93"/>
      <c r="J21" s="92">
        <f>'SEF-24'!D13/1000000</f>
        <v>334.4934033409487</v>
      </c>
      <c r="L21" s="387"/>
      <c r="M21" s="388"/>
      <c r="O21" s="97">
        <f t="shared" si="6"/>
        <v>14</v>
      </c>
      <c r="P21" s="96" t="s">
        <v>124</v>
      </c>
      <c r="Q21" s="95"/>
      <c r="S21" s="93"/>
      <c r="T21" s="92">
        <f>'SEF-23'!D13/1000000</f>
        <v>682.03640407630314</v>
      </c>
      <c r="V21" s="93"/>
      <c r="W21" s="92">
        <f>'SEF-24'!D13/1000000</f>
        <v>334.4934033409487</v>
      </c>
    </row>
    <row r="22" spans="2:23" x14ac:dyDescent="0.25">
      <c r="B22" s="97">
        <f t="shared" si="4"/>
        <v>15</v>
      </c>
      <c r="C22" s="96" t="s">
        <v>123</v>
      </c>
      <c r="D22" s="95"/>
      <c r="F22" s="93"/>
      <c r="G22" s="81">
        <v>5.0000000000000001E-3</v>
      </c>
      <c r="I22" s="93"/>
      <c r="J22" s="81">
        <f>G22</f>
        <v>5.0000000000000001E-3</v>
      </c>
      <c r="L22" s="387"/>
      <c r="M22" s="388"/>
      <c r="O22" s="97">
        <f t="shared" si="6"/>
        <v>15</v>
      </c>
      <c r="P22" s="96" t="s">
        <v>123</v>
      </c>
      <c r="Q22" s="95"/>
      <c r="S22" s="93"/>
      <c r="T22" s="81">
        <v>5.0000000000000001E-3</v>
      </c>
      <c r="V22" s="93"/>
      <c r="W22" s="81">
        <f>T22</f>
        <v>5.0000000000000001E-3</v>
      </c>
    </row>
    <row r="23" spans="2:23" x14ac:dyDescent="0.25">
      <c r="B23" s="97">
        <f t="shared" si="4"/>
        <v>16</v>
      </c>
      <c r="C23" s="96" t="s">
        <v>153</v>
      </c>
      <c r="D23" s="95"/>
      <c r="F23" s="93"/>
      <c r="G23" s="92">
        <f>-G21*G22/E15</f>
        <v>-4.5326767554964293</v>
      </c>
      <c r="I23" s="93"/>
      <c r="J23" s="92">
        <f>-J21*J22/H15</f>
        <v>-2.2157721263018244</v>
      </c>
      <c r="L23" s="387"/>
      <c r="M23" s="388"/>
      <c r="O23" s="97">
        <f t="shared" si="6"/>
        <v>16</v>
      </c>
      <c r="P23" s="96" t="s">
        <v>153</v>
      </c>
      <c r="Q23" s="95"/>
      <c r="S23" s="93"/>
      <c r="T23" s="92">
        <f>-T21*T22/R15</f>
        <v>-4.5326767554964293</v>
      </c>
      <c r="V23" s="93"/>
      <c r="W23" s="92">
        <f>-W21*W22/U15</f>
        <v>-2.2157721263018244</v>
      </c>
    </row>
    <row r="24" spans="2:23" x14ac:dyDescent="0.25">
      <c r="B24" s="91"/>
      <c r="C24" s="90"/>
      <c r="D24" s="89"/>
      <c r="E24" s="88"/>
      <c r="F24" s="87"/>
      <c r="G24" s="294"/>
      <c r="H24" s="88"/>
      <c r="I24" s="87"/>
      <c r="J24" s="294"/>
      <c r="L24" s="395"/>
      <c r="M24" s="396"/>
      <c r="O24" s="91"/>
      <c r="P24" s="90"/>
      <c r="Q24" s="89"/>
      <c r="R24" s="88"/>
      <c r="S24" s="87"/>
      <c r="T24" s="294"/>
      <c r="U24" s="88"/>
      <c r="V24" s="87"/>
      <c r="W24" s="294"/>
    </row>
    <row r="25" spans="2:23" x14ac:dyDescent="0.25">
      <c r="E25" s="83"/>
      <c r="F25" s="83"/>
      <c r="G25" s="83"/>
      <c r="H25" s="83"/>
      <c r="I25" s="83"/>
      <c r="J25" s="83"/>
    </row>
    <row r="26" spans="2:23" x14ac:dyDescent="0.25">
      <c r="E26" s="83"/>
      <c r="F26" s="83"/>
      <c r="G26" s="83"/>
      <c r="H26" s="83"/>
      <c r="I26" s="83"/>
      <c r="J26" s="83"/>
    </row>
    <row r="27" spans="2:23" x14ac:dyDescent="0.25">
      <c r="E27" s="83"/>
      <c r="F27" s="83"/>
      <c r="G27" s="83"/>
      <c r="H27" s="83"/>
      <c r="I27" s="83"/>
      <c r="J27" s="83"/>
    </row>
    <row r="28" spans="2:23" x14ac:dyDescent="0.25">
      <c r="D28" s="86" t="s">
        <v>122</v>
      </c>
      <c r="E28" s="85">
        <f>'Rev Req Comparison'!C29/1000000-E16</f>
        <v>0</v>
      </c>
      <c r="F28" s="85">
        <f>'Rev Req Comparison'!D29/1000000-F16</f>
        <v>0</v>
      </c>
      <c r="G28" s="85">
        <f>'Rev Req Comparison'!E29/1000000-G16</f>
        <v>0</v>
      </c>
      <c r="H28" s="85">
        <f>'Rev Req Comparison'!R29/1000000-H16</f>
        <v>-6.461349969463015E-3</v>
      </c>
      <c r="I28" s="85">
        <f>'Rev Req Comparison'!S29/1000000-I16</f>
        <v>0</v>
      </c>
      <c r="J28" s="84">
        <f>'Rev Req Comparison'!T29/1000000-J16</f>
        <v>6.4613499694448628E-3</v>
      </c>
    </row>
    <row r="29" spans="2:23" x14ac:dyDescent="0.25">
      <c r="E29" s="83"/>
      <c r="F29" s="83"/>
      <c r="G29" s="83"/>
      <c r="H29" s="83"/>
      <c r="I29" s="83"/>
      <c r="J29" s="83"/>
    </row>
    <row r="30" spans="2:23" x14ac:dyDescent="0.25">
      <c r="E30" s="83"/>
      <c r="F30" s="83"/>
      <c r="G30" s="83"/>
      <c r="H30" s="83"/>
      <c r="I30" s="83"/>
      <c r="J30" s="83"/>
    </row>
    <row r="31" spans="2:23" x14ac:dyDescent="0.25">
      <c r="E31" s="83"/>
      <c r="F31" s="83"/>
      <c r="G31" s="83"/>
      <c r="H31" s="83"/>
      <c r="I31" s="83"/>
      <c r="J31" s="83"/>
    </row>
    <row r="32" spans="2:23" x14ac:dyDescent="0.25">
      <c r="E32" s="83"/>
      <c r="F32" s="83"/>
      <c r="G32" s="83"/>
      <c r="H32" s="83"/>
      <c r="I32" s="83"/>
      <c r="J32" s="8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showGridLines="0" zoomScale="80" zoomScaleNormal="80" workbookViewId="0">
      <selection activeCell="L24" sqref="L24"/>
    </sheetView>
  </sheetViews>
  <sheetFormatPr defaultRowHeight="15.6" x14ac:dyDescent="0.3"/>
  <cols>
    <col min="2" max="2" width="5.44140625" style="171" customWidth="1"/>
    <col min="3" max="3" width="15.33203125" bestFit="1" customWidth="1"/>
    <col min="4" max="4" width="14.109375" bestFit="1" customWidth="1"/>
    <col min="5" max="5" width="14.109375" customWidth="1"/>
  </cols>
  <sheetData>
    <row r="2" spans="2:5" x14ac:dyDescent="0.3">
      <c r="B2" s="184" t="s">
        <v>1968</v>
      </c>
      <c r="C2" s="208"/>
      <c r="D2" s="203"/>
      <c r="E2" s="203"/>
    </row>
    <row r="3" spans="2:5" x14ac:dyDescent="0.3">
      <c r="B3" s="187" t="s">
        <v>12</v>
      </c>
      <c r="C3" s="8"/>
      <c r="D3" s="376" t="s">
        <v>1590</v>
      </c>
      <c r="E3" s="204"/>
    </row>
    <row r="4" spans="2:5" x14ac:dyDescent="0.3">
      <c r="B4" s="187"/>
      <c r="C4" s="8"/>
      <c r="D4" s="376" t="s">
        <v>1591</v>
      </c>
      <c r="E4" s="374">
        <v>2023</v>
      </c>
    </row>
    <row r="5" spans="2:5" x14ac:dyDescent="0.3">
      <c r="B5" s="379" t="s">
        <v>111</v>
      </c>
      <c r="C5" s="378"/>
      <c r="D5" s="374" t="s">
        <v>36</v>
      </c>
      <c r="E5" s="374" t="s">
        <v>1588</v>
      </c>
    </row>
    <row r="6" spans="2:5" x14ac:dyDescent="0.3">
      <c r="B6" s="197" t="s">
        <v>52</v>
      </c>
      <c r="C6" s="119" t="s">
        <v>108</v>
      </c>
      <c r="D6" s="118" t="s">
        <v>1586</v>
      </c>
      <c r="E6" s="118" t="s">
        <v>1589</v>
      </c>
    </row>
    <row r="7" spans="2:5" x14ac:dyDescent="0.3">
      <c r="B7" s="187"/>
      <c r="C7" s="96"/>
      <c r="D7" s="377" t="s">
        <v>1587</v>
      </c>
      <c r="E7" s="124"/>
    </row>
    <row r="8" spans="2:5" x14ac:dyDescent="0.3">
      <c r="B8" s="199">
        <v>1</v>
      </c>
      <c r="C8" s="170" t="s">
        <v>107</v>
      </c>
      <c r="D8" s="204"/>
      <c r="E8" s="204"/>
    </row>
    <row r="9" spans="2:5" x14ac:dyDescent="0.3">
      <c r="B9" s="199">
        <v>2</v>
      </c>
      <c r="C9" s="96" t="s">
        <v>126</v>
      </c>
      <c r="D9" s="205">
        <f>'Rev Req Comparison'!L8/1000000</f>
        <v>720.59402840723772</v>
      </c>
      <c r="E9" s="205">
        <f>'Att D Table'!AP13/1000000</f>
        <v>619.13182276791542</v>
      </c>
    </row>
    <row r="10" spans="2:5" x14ac:dyDescent="0.3">
      <c r="B10" s="199">
        <v>3</v>
      </c>
      <c r="C10" s="96" t="s">
        <v>110</v>
      </c>
      <c r="D10" s="205">
        <f>'Rev Req Comparison'!M8/1000000</f>
        <v>741.91332301196383</v>
      </c>
      <c r="E10" s="205">
        <f>'Att D Table'!AO13/1000000</f>
        <v>683.73259660405074</v>
      </c>
    </row>
    <row r="11" spans="2:5" x14ac:dyDescent="0.3">
      <c r="B11" s="199">
        <v>4</v>
      </c>
      <c r="C11" s="96" t="s">
        <v>156</v>
      </c>
      <c r="D11" s="206">
        <f>D10-D9</f>
        <v>21.31929460472611</v>
      </c>
      <c r="E11" s="206">
        <f>E10-E9</f>
        <v>64.600773836135318</v>
      </c>
    </row>
    <row r="12" spans="2:5" x14ac:dyDescent="0.3">
      <c r="B12" s="199">
        <v>5</v>
      </c>
      <c r="C12" s="96"/>
      <c r="D12" s="206"/>
      <c r="E12" s="206"/>
    </row>
    <row r="13" spans="2:5" x14ac:dyDescent="0.3">
      <c r="B13" s="199">
        <v>6</v>
      </c>
      <c r="C13" s="170" t="s">
        <v>114</v>
      </c>
      <c r="D13" s="205"/>
      <c r="E13" s="205"/>
    </row>
    <row r="14" spans="2:5" x14ac:dyDescent="0.3">
      <c r="B14" s="199">
        <v>7</v>
      </c>
      <c r="C14" s="96" t="s">
        <v>126</v>
      </c>
      <c r="D14" s="205">
        <f>'Rev Req Comparison'!R8/1000000</f>
        <v>358.87490813276202</v>
      </c>
      <c r="E14" s="205">
        <f>'Att D Table'!AU13/1000000</f>
        <v>251.63346784310616</v>
      </c>
    </row>
    <row r="15" spans="2:5" x14ac:dyDescent="0.3">
      <c r="B15" s="199">
        <v>8</v>
      </c>
      <c r="C15" s="96" t="s">
        <v>110</v>
      </c>
      <c r="D15" s="205">
        <f>'Rev Req Comparison'!S8/1000000</f>
        <v>365.48871746470292</v>
      </c>
      <c r="E15" s="205">
        <f>'Att D Table'!AT13/1000000</f>
        <v>287.3324342686239</v>
      </c>
    </row>
    <row r="16" spans="2:5" x14ac:dyDescent="0.3">
      <c r="B16" s="199">
        <v>9</v>
      </c>
      <c r="C16" s="96" t="s">
        <v>156</v>
      </c>
      <c r="D16" s="206">
        <f>D15-D14</f>
        <v>6.6138093319408995</v>
      </c>
      <c r="E16" s="206">
        <f>E15-E14</f>
        <v>35.698966425517739</v>
      </c>
    </row>
    <row r="17" spans="2:5" x14ac:dyDescent="0.3">
      <c r="B17" s="199">
        <v>10</v>
      </c>
      <c r="C17" s="8"/>
      <c r="D17" s="206"/>
      <c r="E17" s="206"/>
    </row>
    <row r="18" spans="2:5" x14ac:dyDescent="0.3">
      <c r="B18" s="199">
        <v>11</v>
      </c>
      <c r="C18" s="170" t="s">
        <v>155</v>
      </c>
      <c r="D18" s="190"/>
      <c r="E18" s="190"/>
    </row>
    <row r="19" spans="2:5" x14ac:dyDescent="0.3">
      <c r="B19" s="199">
        <v>12</v>
      </c>
      <c r="C19" s="96" t="s">
        <v>126</v>
      </c>
      <c r="D19" s="200">
        <f>D9+D14</f>
        <v>1079.4689365399997</v>
      </c>
      <c r="E19" s="375">
        <f>-'Source Data - Act v Plan by WBS'!I454/1000000</f>
        <v>870.7652906110219</v>
      </c>
    </row>
    <row r="20" spans="2:5" x14ac:dyDescent="0.3">
      <c r="B20" s="199">
        <v>13</v>
      </c>
      <c r="C20" s="96" t="s">
        <v>110</v>
      </c>
      <c r="D20" s="200">
        <f>D10+D15</f>
        <v>1107.4020404766668</v>
      </c>
      <c r="E20" s="200">
        <f>-'Source Data - Act v Plan by WBS'!H454/1000000</f>
        <v>971.06503087267447</v>
      </c>
    </row>
    <row r="21" spans="2:5" x14ac:dyDescent="0.3">
      <c r="B21" s="199">
        <v>14</v>
      </c>
      <c r="C21" s="96" t="s">
        <v>156</v>
      </c>
      <c r="D21" s="206">
        <f>D20-D19</f>
        <v>27.933103936667067</v>
      </c>
      <c r="E21" s="206">
        <f>E20-E19</f>
        <v>100.29974026165257</v>
      </c>
    </row>
    <row r="22" spans="2:5" x14ac:dyDescent="0.3">
      <c r="B22" s="193"/>
      <c r="C22" s="209"/>
      <c r="D22" s="207"/>
      <c r="E22" s="207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9"/>
  <sheetViews>
    <sheetView showGridLines="0" workbookViewId="0">
      <selection activeCell="C3" sqref="C3"/>
    </sheetView>
  </sheetViews>
  <sheetFormatPr defaultColWidth="9.109375" defaultRowHeight="15" x14ac:dyDescent="0.25"/>
  <cols>
    <col min="1" max="1" width="9.109375" style="171"/>
    <col min="2" max="2" width="2.88671875" style="171" customWidth="1"/>
    <col min="3" max="3" width="6" style="171" bestFit="1" customWidth="1"/>
    <col min="4" max="4" width="57.5546875" style="171" customWidth="1"/>
    <col min="5" max="5" width="12.88671875" style="171" customWidth="1"/>
    <col min="6" max="7" width="11.44140625" style="171" customWidth="1"/>
    <col min="8" max="8" width="12.5546875" style="171" bestFit="1" customWidth="1"/>
    <col min="9" max="9" width="3" style="171" customWidth="1"/>
    <col min="10" max="16384" width="9.109375" style="171"/>
  </cols>
  <sheetData>
    <row r="2" spans="3:10" x14ac:dyDescent="0.25">
      <c r="C2" s="184" t="s">
        <v>1969</v>
      </c>
      <c r="D2" s="185"/>
      <c r="E2" s="185"/>
      <c r="F2" s="185"/>
      <c r="G2" s="185"/>
      <c r="H2" s="186"/>
    </row>
    <row r="3" spans="3:10" ht="15.6" x14ac:dyDescent="0.3">
      <c r="C3" s="187" t="s">
        <v>1958</v>
      </c>
      <c r="D3" s="188"/>
      <c r="E3" s="188"/>
      <c r="F3" s="189" t="s">
        <v>157</v>
      </c>
      <c r="G3" s="189"/>
      <c r="H3" s="196"/>
    </row>
    <row r="4" spans="3:10" ht="15.6" x14ac:dyDescent="0.3">
      <c r="C4" s="197" t="s">
        <v>52</v>
      </c>
      <c r="D4" s="177" t="s">
        <v>108</v>
      </c>
      <c r="E4" s="177"/>
      <c r="F4" s="177" t="s">
        <v>107</v>
      </c>
      <c r="G4" s="177" t="s">
        <v>158</v>
      </c>
      <c r="H4" s="211" t="s">
        <v>155</v>
      </c>
    </row>
    <row r="5" spans="3:10" ht="15.6" x14ac:dyDescent="0.3">
      <c r="C5" s="198"/>
      <c r="D5" s="178"/>
      <c r="E5" s="178"/>
      <c r="F5" s="178"/>
      <c r="G5" s="178"/>
      <c r="H5" s="190"/>
    </row>
    <row r="6" spans="3:10" x14ac:dyDescent="0.25">
      <c r="C6" s="199">
        <v>1</v>
      </c>
      <c r="D6" s="188" t="s">
        <v>159</v>
      </c>
      <c r="E6" s="188"/>
      <c r="F6" s="191">
        <f>'Rev Req Comparison'!N8/1000000</f>
        <v>2.0289112103972022</v>
      </c>
      <c r="G6" s="191">
        <f>'Rev Req Comparison'!T8/1000000</f>
        <v>0.62738224799247433</v>
      </c>
      <c r="H6" s="200">
        <f>SUM(F6:G6)</f>
        <v>2.6562934583896767</v>
      </c>
    </row>
    <row r="7" spans="3:10" x14ac:dyDescent="0.25">
      <c r="C7" s="199">
        <v>2</v>
      </c>
      <c r="D7" s="188" t="s">
        <v>160</v>
      </c>
      <c r="E7" s="188"/>
      <c r="F7" s="192">
        <f>('Rev Req Comparison'!N9+'Rev Req Comparison'!N12)/1000000</f>
        <v>-0.66881859867017557</v>
      </c>
      <c r="G7" s="192">
        <f>('Rev Req Comparison'!T9+'Rev Req Comparison'!T12)/1000000</f>
        <v>-1.5922708647756734E-2</v>
      </c>
      <c r="H7" s="212">
        <f>SUM(F7:G7)</f>
        <v>-0.68474130731793226</v>
      </c>
    </row>
    <row r="8" spans="3:10" x14ac:dyDescent="0.25">
      <c r="C8" s="199">
        <v>3</v>
      </c>
      <c r="D8" s="188" t="s">
        <v>161</v>
      </c>
      <c r="E8" s="188"/>
      <c r="F8" s="192">
        <f>('Rev Req Comparison'!N10+'Rev Req Comparison'!N13)/1000000</f>
        <v>-0.8649003369731767</v>
      </c>
      <c r="G8" s="192">
        <f>('Rev Req Comparison'!T10+'Rev Req Comparison'!T13)/1000000</f>
        <v>-1.2862455773091526</v>
      </c>
      <c r="H8" s="212">
        <f t="shared" ref="H8:H10" si="0">SUM(F8:G8)</f>
        <v>-2.1511459142823295</v>
      </c>
    </row>
    <row r="9" spans="3:10" x14ac:dyDescent="0.25">
      <c r="C9" s="199">
        <v>4</v>
      </c>
      <c r="D9" s="188" t="s">
        <v>164</v>
      </c>
      <c r="E9" s="188"/>
      <c r="F9" s="192">
        <f>-'Rev Req Comparison'!N21/1000000</f>
        <v>4.762680273035377</v>
      </c>
      <c r="G9" s="192">
        <f>-'Rev Req Comparison'!T21/1000000</f>
        <v>0.20105691771511372</v>
      </c>
      <c r="H9" s="212">
        <f t="shared" si="0"/>
        <v>4.963737190750491</v>
      </c>
    </row>
    <row r="10" spans="3:10" x14ac:dyDescent="0.25">
      <c r="C10" s="199">
        <v>5</v>
      </c>
      <c r="D10" s="188" t="s">
        <v>162</v>
      </c>
      <c r="E10" s="188"/>
      <c r="F10" s="192">
        <f>-'Rev Req Comparison'!N23/1000000</f>
        <v>-3.7035679208196656E-2</v>
      </c>
      <c r="G10" s="192">
        <f>-'Rev Req Comparison'!T23/1000000</f>
        <v>5.0467587057256173E-2</v>
      </c>
      <c r="H10" s="212">
        <f t="shared" si="0"/>
        <v>1.3431907849059517E-2</v>
      </c>
    </row>
    <row r="11" spans="3:10" ht="15.6" thickBot="1" x14ac:dyDescent="0.3">
      <c r="C11" s="199">
        <v>6</v>
      </c>
      <c r="D11" s="188" t="s">
        <v>163</v>
      </c>
      <c r="E11" s="188"/>
      <c r="F11" s="180">
        <f>SUM(F6:F10)</f>
        <v>5.2208368685810305</v>
      </c>
      <c r="G11" s="180">
        <f>SUM(G6:G10)</f>
        <v>-0.42326153319206505</v>
      </c>
      <c r="H11" s="201">
        <f>SUM(H6:H10)</f>
        <v>4.7975753353889656</v>
      </c>
      <c r="J11" s="171">
        <f>H11/(('Rev Req Comparison'!C29+'Rev Req Comparison'!R29)/1000000)</f>
        <v>3.4966909872985182E-2</v>
      </c>
    </row>
    <row r="12" spans="3:10" ht="15.6" thickTop="1" x14ac:dyDescent="0.25">
      <c r="C12" s="193"/>
      <c r="D12" s="194"/>
      <c r="E12" s="194"/>
      <c r="F12" s="195"/>
      <c r="G12" s="195"/>
      <c r="H12" s="202"/>
    </row>
    <row r="13" spans="3:10" x14ac:dyDescent="0.25">
      <c r="F13" s="179"/>
      <c r="G13" s="179"/>
      <c r="H13" s="179"/>
    </row>
    <row r="14" spans="3:10" x14ac:dyDescent="0.25">
      <c r="E14" s="181" t="s">
        <v>122</v>
      </c>
      <c r="F14" s="182">
        <f>'Rev Req Comparison'!N29/1000000-F11</f>
        <v>0</v>
      </c>
      <c r="G14" s="182"/>
      <c r="H14" s="183">
        <f>'Rev Req Comparison'!T29/1000000-G11</f>
        <v>0</v>
      </c>
    </row>
    <row r="15" spans="3:10" x14ac:dyDescent="0.25">
      <c r="F15" s="179"/>
      <c r="G15" s="179"/>
      <c r="H15" s="179"/>
    </row>
    <row r="16" spans="3:10" x14ac:dyDescent="0.25">
      <c r="F16" s="179"/>
      <c r="G16" s="179"/>
      <c r="H16" s="179"/>
    </row>
    <row r="17" spans="6:8" x14ac:dyDescent="0.25">
      <c r="F17" s="179"/>
      <c r="G17" s="179"/>
      <c r="H17" s="179"/>
    </row>
    <row r="18" spans="6:8" x14ac:dyDescent="0.25">
      <c r="F18" s="179"/>
      <c r="G18" s="179"/>
      <c r="H18" s="179"/>
    </row>
    <row r="19" spans="6:8" x14ac:dyDescent="0.25">
      <c r="F19" s="179"/>
      <c r="G19" s="179"/>
      <c r="H19" s="179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3" sqref="C13"/>
    </sheetView>
  </sheetViews>
  <sheetFormatPr defaultRowHeight="14.4" x14ac:dyDescent="0.3"/>
  <cols>
    <col min="2" max="2" width="41.5546875" bestFit="1" customWidth="1"/>
    <col min="3" max="3" width="15.33203125" bestFit="1" customWidth="1"/>
    <col min="4" max="5" width="14.33203125" bestFit="1" customWidth="1"/>
    <col min="6" max="6" width="3.5546875" customWidth="1"/>
    <col min="7" max="7" width="14.33203125" bestFit="1" customWidth="1"/>
    <col min="16" max="16" width="41.5546875" bestFit="1" customWidth="1"/>
  </cols>
  <sheetData>
    <row r="1" spans="1:16" ht="15.6" x14ac:dyDescent="0.3">
      <c r="B1" s="45" t="s">
        <v>873</v>
      </c>
    </row>
    <row r="2" spans="1:16" x14ac:dyDescent="0.3">
      <c r="A2" s="61" t="s">
        <v>52</v>
      </c>
    </row>
    <row r="3" spans="1:16" x14ac:dyDescent="0.3">
      <c r="A3" s="19" t="s">
        <v>54</v>
      </c>
      <c r="B3" s="1" t="s">
        <v>84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3">
      <c r="A4" s="26">
        <v>1</v>
      </c>
      <c r="B4" t="s">
        <v>869</v>
      </c>
      <c r="C4" s="7">
        <f>SUMIF('2023 YE Gross Plant Detail'!$B$6:$B$61,'Electric Closings Summary'!$B4,'2023 YE Gross Plant Detail'!$E$6:$E$61)</f>
        <v>17674943.040000662</v>
      </c>
      <c r="D4" s="7">
        <f>SUMIF('2023 YE Accum Depr Detail'!$B$6:$B$61,'Electric Closings Summary'!$B4,'2023 YE Accum Depr Detail'!$E$6:$E$61)</f>
        <v>668168.24326409539</v>
      </c>
      <c r="E4" s="7">
        <f>SUMIF('2023 YE Def Tax Detail'!$B$6:$B$61,'Electric Closings Summary'!$B4,'2023 YE Def Tax Detail'!$E$6:$E$61)</f>
        <v>1141185.4513657968</v>
      </c>
      <c r="G4" s="7">
        <f>SUMIF('2023 YE Depr Expense'!$B$6:$B$62,'Electric Closings Summary'!$B4,'2023 YE Depr Expense'!$E$6:$E$62)</f>
        <v>933763.59176151617</v>
      </c>
    </row>
    <row r="5" spans="1:16" x14ac:dyDescent="0.3">
      <c r="A5" s="26">
        <f>A4+1</f>
        <v>2</v>
      </c>
      <c r="B5" t="s">
        <v>1</v>
      </c>
      <c r="C5" s="7">
        <f>SUMIF('2023 YE Gross Plant Detail'!$B$6:$B$61,'Electric Closings Summary'!$B5,'2023 YE Gross Plant Detail'!$E$6:$E$61)</f>
        <v>163258.24333333335</v>
      </c>
      <c r="D5" s="7">
        <f>SUMIF('2023 YE Accum Depr Detail'!$B$6:$B$61,'Electric Closings Summary'!$B5,'2023 YE Accum Depr Detail'!$E$6:$E$61)</f>
        <v>1713.3318589166668</v>
      </c>
      <c r="E5" s="7">
        <f>SUMIF('2023 YE Def Tax Detail'!$B$6:$B$61,'Electric Closings Summary'!$B5,'2023 YE Def Tax Detail'!$E$6:$E$61)</f>
        <v>7953.1627200601843</v>
      </c>
      <c r="G5" s="7">
        <f>SUMIF('2023 YE Depr Expense'!$B$6:$B$62,'Electric Closings Summary'!$B5,'2023 YE Depr Expense'!$E$6:$E$62)</f>
        <v>14509.210332333334</v>
      </c>
    </row>
    <row r="6" spans="1:16" x14ac:dyDescent="0.3">
      <c r="A6" s="26">
        <f t="shared" ref="A6:A31" si="0">A5+1</f>
        <v>3</v>
      </c>
      <c r="B6" t="s">
        <v>2</v>
      </c>
      <c r="C6" s="7">
        <f>SUMIF('2023 YE Gross Plant Detail'!$B$6:$B$61,'Electric Closings Summary'!$B6,'2023 YE Gross Plant Detail'!$E$6:$E$61)</f>
        <v>5006137.7654166659</v>
      </c>
      <c r="D6" s="7">
        <f>SUMIF('2023 YE Accum Depr Detail'!$B$6:$B$61,'Electric Closings Summary'!$B6,'2023 YE Accum Depr Detail'!$E$6:$E$61)</f>
        <v>89858.451288883618</v>
      </c>
      <c r="E6" s="7">
        <f>SUMIF('2023 YE Def Tax Detail'!$B$6:$B$61,'Electric Closings Summary'!$B6,'2023 YE Def Tax Detail'!$E$6:$E$61)</f>
        <v>107382.38246529897</v>
      </c>
      <c r="G6" s="7">
        <f>SUMIF('2023 YE Depr Expense'!$B$6:$B$62,'Electric Closings Summary'!$B6,'2023 YE Depr Expense'!$E$6:$E$62)</f>
        <v>169609.75651247142</v>
      </c>
    </row>
    <row r="7" spans="1:16" x14ac:dyDescent="0.3">
      <c r="A7" s="26">
        <f t="shared" si="0"/>
        <v>4</v>
      </c>
      <c r="B7" t="s">
        <v>4</v>
      </c>
      <c r="C7" s="7">
        <f>SUMIF('2023 YE Gross Plant Detail'!$B$6:$B$61,'Electric Closings Summary'!$B7,'2023 YE Gross Plant Detail'!$E$6:$E$61)</f>
        <v>-14236237.534166669</v>
      </c>
      <c r="D7" s="7">
        <f>SUMIF('2023 YE Accum Depr Detail'!$B$6:$B$61,'Electric Closings Summary'!$B7,'2023 YE Accum Depr Detail'!$E$6:$E$61)</f>
        <v>-414628.32214930793</v>
      </c>
      <c r="E7" s="7">
        <f>SUMIF('2023 YE Def Tax Detail'!$B$6:$B$61,'Electric Closings Summary'!$B7,'2023 YE Def Tax Detail'!$E$6:$E$61)</f>
        <v>-60662.983759304043</v>
      </c>
      <c r="G7" s="7">
        <f>SUMIF('2023 YE Depr Expense'!$B$6:$B$62,'Electric Closings Summary'!$B7,'2023 YE Depr Expense'!$E$6:$E$62)</f>
        <v>-631668.08080489072</v>
      </c>
      <c r="P7" s="2"/>
    </row>
    <row r="8" spans="1:16" x14ac:dyDescent="0.3">
      <c r="A8" s="26">
        <f t="shared" si="0"/>
        <v>5</v>
      </c>
      <c r="B8" t="s">
        <v>6</v>
      </c>
      <c r="C8" s="7">
        <f>SUMIF('2023 YE Gross Plant Detail'!$B$6:$B$61,'Electric Closings Summary'!$B8,'2023 YE Gross Plant Detail'!$E$6:$E$61)</f>
        <v>79257830.225416675</v>
      </c>
      <c r="D8" s="7">
        <f>SUMIF('2023 YE Accum Depr Detail'!$B$6:$B$61,'Electric Closings Summary'!$B8,'2023 YE Accum Depr Detail'!$E$6:$E$61)</f>
        <v>2261286.2438486847</v>
      </c>
      <c r="E8" s="7">
        <f>SUMIF('2023 YE Def Tax Detail'!$B$6:$B$61,'Electric Closings Summary'!$B8,'2023 YE Def Tax Detail'!$E$6:$E$61)</f>
        <v>799870.02381538227</v>
      </c>
      <c r="G8" s="7">
        <f>SUMIF('2023 YE Depr Expense'!$B$6:$B$62,'Electric Closings Summary'!$B8,'2023 YE Depr Expense'!$E$6:$E$62)</f>
        <v>3262097.4905843786</v>
      </c>
      <c r="P8" s="2"/>
    </row>
    <row r="9" spans="1:16" x14ac:dyDescent="0.3">
      <c r="A9" s="26">
        <f t="shared" si="0"/>
        <v>6</v>
      </c>
      <c r="B9" t="s">
        <v>7</v>
      </c>
      <c r="C9" s="7">
        <f>SUMIF('2023 YE Gross Plant Detail'!$B$6:$B$61,'Electric Closings Summary'!$B9,'2023 YE Gross Plant Detail'!$E$6:$E$61)</f>
        <v>2832.6887500000003</v>
      </c>
      <c r="D9" s="7">
        <f>SUMIF('2023 YE Accum Depr Detail'!$B$6:$B$61,'Electric Closings Summary'!$B9,'2023 YE Accum Depr Detail'!$E$6:$E$61)</f>
        <v>285.57772366386803</v>
      </c>
      <c r="E9" s="7">
        <f>SUMIF('2023 YE Def Tax Detail'!$B$6:$B$61,'Electric Closings Summary'!$B9,'2023 YE Def Tax Detail'!$E$6:$E$61)</f>
        <v>65.394046855606078</v>
      </c>
      <c r="G9" s="7">
        <f>SUMIF('2023 YE Depr Expense'!$B$6:$B$62,'Electric Closings Summary'!$B9,'2023 YE Depr Expense'!$E$6:$E$62)</f>
        <v>204.80034065348721</v>
      </c>
      <c r="P9" s="2"/>
    </row>
    <row r="10" spans="1:16" x14ac:dyDescent="0.3">
      <c r="A10" s="26">
        <f t="shared" si="0"/>
        <v>7</v>
      </c>
      <c r="B10" t="s">
        <v>8</v>
      </c>
      <c r="C10" s="7">
        <f>SUMIF('2023 YE Gross Plant Detail'!$B$6:$B$61,'Electric Closings Summary'!$B10,'2023 YE Gross Plant Detail'!$E$6:$E$61)</f>
        <v>9261.4049999999825</v>
      </c>
      <c r="D10" s="7">
        <f>SUMIF('2023 YE Accum Depr Detail'!$B$6:$B$61,'Electric Closings Summary'!$B10,'2023 YE Accum Depr Detail'!$E$6:$E$61)</f>
        <v>1067.5246145833332</v>
      </c>
      <c r="E10" s="7">
        <f>SUMIF('2023 YE Def Tax Detail'!$B$6:$B$61,'Electric Closings Summary'!$B10,'2023 YE Def Tax Detail'!$E$6:$E$61)</f>
        <v>6830.9920522102666</v>
      </c>
      <c r="G10" s="7">
        <f>SUMIF('2023 YE Depr Expense'!$B$6:$B$62,'Electric Closings Summary'!$B10,'2023 YE Depr Expense'!$E$6:$E$62)</f>
        <v>770.07891666666524</v>
      </c>
      <c r="P10" s="2"/>
    </row>
    <row r="11" spans="1:16" x14ac:dyDescent="0.3">
      <c r="A11" s="26">
        <f t="shared" si="0"/>
        <v>8</v>
      </c>
      <c r="B11" t="s">
        <v>9</v>
      </c>
      <c r="C11" s="7">
        <f>SUMIF('2023 YE Gross Plant Detail'!$B$6:$B$61,'Electric Closings Summary'!$B11,'2023 YE Gross Plant Detail'!$E$6:$E$61)</f>
        <v>5179821.9019085001</v>
      </c>
      <c r="D11" s="7">
        <f>SUMIF('2023 YE Accum Depr Detail'!$B$6:$B$61,'Electric Closings Summary'!$B11,'2023 YE Accum Depr Detail'!$E$6:$E$61)</f>
        <v>1015983.7057397708</v>
      </c>
      <c r="E11" s="7">
        <f>SUMIF('2023 YE Def Tax Detail'!$B$6:$B$61,'Electric Closings Summary'!$B11,'2023 YE Def Tax Detail'!$E$6:$E$61)</f>
        <v>379675.07577025512</v>
      </c>
      <c r="G11" s="7">
        <f>SUMIF('2023 YE Depr Expense'!$B$6:$B$62,'Electric Closings Summary'!$B11,'2023 YE Depr Expense'!$E$6:$E$62)</f>
        <v>1133177.3872265001</v>
      </c>
      <c r="P11" s="2"/>
    </row>
    <row r="12" spans="1:16" x14ac:dyDescent="0.3">
      <c r="A12" s="26">
        <f t="shared" si="0"/>
        <v>9</v>
      </c>
      <c r="B12" t="s">
        <v>10</v>
      </c>
      <c r="C12" s="7">
        <f>SUMIF('2023 YE Gross Plant Detail'!$B$6:$B$61,'Electric Closings Summary'!$B12,'2023 YE Gross Plant Detail'!$E$6:$E$61)</f>
        <v>105587700.83374995</v>
      </c>
      <c r="D12" s="7">
        <f>SUMIF('2023 YE Accum Depr Detail'!$B$6:$B$61,'Electric Closings Summary'!$B12,'2023 YE Accum Depr Detail'!$E$6:$E$61)</f>
        <v>2790029.4703639331</v>
      </c>
      <c r="E12" s="7">
        <f>SUMIF('2023 YE Def Tax Detail'!$B$6:$B$61,'Electric Closings Summary'!$B12,'2023 YE Def Tax Detail'!$E$6:$E$61)</f>
        <v>1400751.509383799</v>
      </c>
      <c r="G12" s="7">
        <f>SUMIF('2023 YE Depr Expense'!$B$6:$B$62,'Electric Closings Summary'!$B12,'2023 YE Depr Expense'!$E$6:$E$62)</f>
        <v>3739639.2920287163</v>
      </c>
      <c r="P12" s="2"/>
    </row>
    <row r="13" spans="1:16" x14ac:dyDescent="0.3">
      <c r="A13" s="26">
        <f t="shared" si="0"/>
        <v>10</v>
      </c>
      <c r="B13" t="s">
        <v>12</v>
      </c>
      <c r="C13" s="7">
        <f>SUMIF('2023 YE Gross Plant Detail'!$B$6:$B$61,'Electric Closings Summary'!$B13,'2023 YE Gross Plant Detail'!$E$6:$E$61)</f>
        <v>54183824.50166665</v>
      </c>
      <c r="D13" s="7">
        <f>SUMIF('2023 YE Accum Depr Detail'!$B$6:$B$61,'Electric Closings Summary'!$B13,'2023 YE Accum Depr Detail'!$E$6:$E$61)</f>
        <v>177488.0274752673</v>
      </c>
      <c r="E13" s="7">
        <f>SUMIF('2023 YE Def Tax Detail'!$B$6:$B$61,'Electric Closings Summary'!$B13,'2023 YE Def Tax Detail'!$E$6:$E$61)</f>
        <v>1055058.2659856556</v>
      </c>
      <c r="G13" s="7">
        <f>SUMIF('2023 YE Depr Expense'!$B$6:$B$62,'Electric Closings Summary'!$B13,'2023 YE Depr Expense'!$E$6:$E$62)</f>
        <v>1229545.2780046598</v>
      </c>
      <c r="P13" s="2"/>
    </row>
    <row r="14" spans="1:16" x14ac:dyDescent="0.3">
      <c r="A14" s="26">
        <f t="shared" si="0"/>
        <v>11</v>
      </c>
      <c r="B14" t="s">
        <v>819</v>
      </c>
      <c r="C14" s="7">
        <f>SUMIF('2023 YE Gross Plant Detail'!$B$6:$B$61,'Electric Closings Summary'!$B14,'2023 YE Gross Plant Detail'!$E$6:$E$61)</f>
        <v>277146.53916666663</v>
      </c>
      <c r="D14" s="7">
        <f>SUMIF('2023 YE Accum Depr Detail'!$B$6:$B$61,'Electric Closings Summary'!$B14,'2023 YE Accum Depr Detail'!$E$6:$E$61)</f>
        <v>1991.4332651684733</v>
      </c>
      <c r="E14" s="7">
        <f>SUMIF('2023 YE Def Tax Detail'!$B$6:$B$61,'Electric Closings Summary'!$B14,'2023 YE Def Tax Detail'!$E$6:$E$61)</f>
        <v>-20644.571249068267</v>
      </c>
      <c r="G14" s="7">
        <f>SUMIF('2023 YE Depr Expense'!$B$6:$B$62,'Electric Closings Summary'!$B14,'2023 YE Depr Expense'!$E$6:$E$62)</f>
        <v>9665.3951794521654</v>
      </c>
      <c r="P14" s="2"/>
    </row>
    <row r="15" spans="1:16" x14ac:dyDescent="0.3">
      <c r="A15" s="26">
        <f t="shared" si="0"/>
        <v>12</v>
      </c>
      <c r="B15" t="s">
        <v>14</v>
      </c>
      <c r="C15" s="7">
        <f>SUMIF('2023 YE Gross Plant Detail'!$B$6:$B$61,'Electric Closings Summary'!$B15,'2023 YE Gross Plant Detail'!$E$6:$E$61)</f>
        <v>-3595.8600000000006</v>
      </c>
      <c r="D15" s="7">
        <f>SUMIF('2023 YE Accum Depr Detail'!$B$6:$B$61,'Electric Closings Summary'!$B15,'2023 YE Accum Depr Detail'!$E$6:$E$61)</f>
        <v>-328.52681395833332</v>
      </c>
      <c r="E15" s="7">
        <f>SUMIF('2023 YE Def Tax Detail'!$B$6:$B$61,'Electric Closings Summary'!$B15,'2023 YE Def Tax Detail'!$E$6:$E$61)</f>
        <v>-16.704245347448644</v>
      </c>
      <c r="G15" s="7">
        <f>SUMIF('2023 YE Depr Expense'!$B$6:$B$62,'Electric Closings Summary'!$B15,'2023 YE Depr Expense'!$E$6:$E$62)</f>
        <v>-265.55426099999994</v>
      </c>
      <c r="P15" s="2"/>
    </row>
    <row r="16" spans="1:16" x14ac:dyDescent="0.3">
      <c r="A16" s="26">
        <f t="shared" si="0"/>
        <v>13</v>
      </c>
      <c r="B16" t="s">
        <v>15</v>
      </c>
      <c r="C16" s="7">
        <f>SUMIF('2023 YE Gross Plant Detail'!$B$6:$B$61,'Electric Closings Summary'!$B16,'2023 YE Gross Plant Detail'!$E$6:$E$61)</f>
        <v>160280782.9966667</v>
      </c>
      <c r="D16" s="7">
        <f>SUMIF('2023 YE Accum Depr Detail'!$B$6:$B$61,'Electric Closings Summary'!$B16,'2023 YE Accum Depr Detail'!$E$6:$E$61)</f>
        <v>4536779.9114811895</v>
      </c>
      <c r="E16" s="7">
        <f>SUMIF('2023 YE Def Tax Detail'!$B$6:$B$61,'Electric Closings Summary'!$B16,'2023 YE Def Tax Detail'!$E$6:$E$61)</f>
        <v>1655045.275893853</v>
      </c>
      <c r="G16" s="7">
        <f>SUMIF('2023 YE Depr Expense'!$B$6:$B$62,'Electric Closings Summary'!$B16,'2023 YE Depr Expense'!$E$6:$E$62)</f>
        <v>6109532.7676543705</v>
      </c>
      <c r="P16" s="2"/>
    </row>
    <row r="17" spans="1:16" x14ac:dyDescent="0.3">
      <c r="A17" s="26">
        <f t="shared" si="0"/>
        <v>14</v>
      </c>
      <c r="B17" t="s">
        <v>16</v>
      </c>
      <c r="C17" s="7">
        <f>SUMIF('2023 YE Gross Plant Detail'!$B$6:$B$61,'Electric Closings Summary'!$B17,'2023 YE Gross Plant Detail'!$E$6:$E$61)</f>
        <v>-29641.090000000007</v>
      </c>
      <c r="D17" s="7">
        <f>SUMIF('2023 YE Accum Depr Detail'!$B$6:$B$61,'Electric Closings Summary'!$B17,'2023 YE Accum Depr Detail'!$E$6:$E$61)</f>
        <v>-8031.040493055556</v>
      </c>
      <c r="E17" s="7">
        <f>SUMIF('2023 YE Def Tax Detail'!$B$6:$B$61,'Electric Closings Summary'!$B17,'2023 YE Def Tax Detail'!$E$6:$E$61)</f>
        <v>-756.94879326502291</v>
      </c>
      <c r="G17" s="7">
        <f>SUMIF('2023 YE Depr Expense'!$B$6:$B$62,'Electric Closings Summary'!$B17,'2023 YE Depr Expense'!$E$6:$E$62)</f>
        <v>-6422.2361666666666</v>
      </c>
      <c r="P17" s="2"/>
    </row>
    <row r="18" spans="1:16" x14ac:dyDescent="0.3">
      <c r="A18" s="26">
        <f t="shared" si="0"/>
        <v>15</v>
      </c>
      <c r="B18" t="s">
        <v>17</v>
      </c>
      <c r="C18" s="7">
        <f>SUMIF('2023 YE Gross Plant Detail'!$B$6:$B$61,'Electric Closings Summary'!$B18,'2023 YE Gross Plant Detail'!$E$6:$E$61)</f>
        <v>6755776.7903169971</v>
      </c>
      <c r="D18" s="7">
        <f>SUMIF('2023 YE Accum Depr Detail'!$B$6:$B$61,'Electric Closings Summary'!$B18,'2023 YE Accum Depr Detail'!$E$6:$E$61)</f>
        <v>1683700.2802522394</v>
      </c>
      <c r="E18" s="7">
        <f>SUMIF('2023 YE Def Tax Detail'!$B$6:$B$61,'Electric Closings Summary'!$B18,'2023 YE Def Tax Detail'!$E$6:$E$61)</f>
        <v>215405.83529136807</v>
      </c>
      <c r="G18" s="7">
        <f>SUMIF('2023 YE Depr Expense'!$B$6:$B$62,'Electric Closings Summary'!$B18,'2023 YE Depr Expense'!$E$6:$E$62)</f>
        <v>1287180.9076563481</v>
      </c>
      <c r="P18" s="2"/>
    </row>
    <row r="19" spans="1:16" x14ac:dyDescent="0.3">
      <c r="A19" s="26">
        <f t="shared" si="0"/>
        <v>16</v>
      </c>
      <c r="B19" t="s">
        <v>18</v>
      </c>
      <c r="C19" s="7">
        <f>SUMIF('2023 YE Gross Plant Detail'!$B$6:$B$61,'Electric Closings Summary'!$B19,'2023 YE Gross Plant Detail'!$E$6:$E$61)</f>
        <v>0</v>
      </c>
      <c r="D19" s="7">
        <f>SUMIF('2023 YE Accum Depr Detail'!$B$6:$B$61,'Electric Closings Summary'!$B19,'2023 YE Accum Depr Detail'!$E$6:$E$61)</f>
        <v>0</v>
      </c>
      <c r="E19" s="7">
        <f>SUMIF('2023 YE Def Tax Detail'!$B$6:$B$61,'Electric Closings Summary'!$B19,'2023 YE Def Tax Detail'!$E$6:$E$61)</f>
        <v>0</v>
      </c>
      <c r="G19" s="7">
        <f>SUMIF('2023 YE Depr Expense'!$B$6:$B$62,'Electric Closings Summary'!$B19,'2023 YE Depr Expense'!$E$6:$E$62)</f>
        <v>0</v>
      </c>
      <c r="P19" s="2"/>
    </row>
    <row r="20" spans="1:16" x14ac:dyDescent="0.3">
      <c r="A20" s="26">
        <f t="shared" si="0"/>
        <v>17</v>
      </c>
      <c r="B20" t="s">
        <v>19</v>
      </c>
      <c r="C20" s="7">
        <f>SUMIF('2023 YE Gross Plant Detail'!$B$6:$B$61,'Electric Closings Summary'!$B20,'2023 YE Gross Plant Detail'!$E$6:$E$61)</f>
        <v>2677726.1862499998</v>
      </c>
      <c r="D20" s="7">
        <f>SUMIF('2023 YE Accum Depr Detail'!$B$6:$B$61,'Electric Closings Summary'!$B20,'2023 YE Accum Depr Detail'!$E$6:$E$61)</f>
        <v>79875.919268406564</v>
      </c>
      <c r="E20" s="7">
        <f>SUMIF('2023 YE Def Tax Detail'!$B$6:$B$61,'Electric Closings Summary'!$B20,'2023 YE Def Tax Detail'!$E$6:$E$61)</f>
        <v>126527.70782320583</v>
      </c>
      <c r="G20" s="7">
        <f>SUMIF('2023 YE Depr Expense'!$B$6:$B$62,'Electric Closings Summary'!$B20,'2023 YE Depr Expense'!$E$6:$E$62)</f>
        <v>111013.69658944389</v>
      </c>
      <c r="P20" s="2"/>
    </row>
    <row r="21" spans="1:16" x14ac:dyDescent="0.3">
      <c r="A21" s="26">
        <f t="shared" si="0"/>
        <v>18</v>
      </c>
      <c r="B21" t="s">
        <v>22</v>
      </c>
      <c r="C21" s="7">
        <f>SUMIF('2023 YE Gross Plant Detail'!$B$6:$B$61,'Electric Closings Summary'!$B21,'2023 YE Gross Plant Detail'!$E$6:$E$61)</f>
        <v>14435849.020000001</v>
      </c>
      <c r="D21" s="7">
        <f>SUMIF('2023 YE Accum Depr Detail'!$B$6:$B$61,'Electric Closings Summary'!$B21,'2023 YE Accum Depr Detail'!$E$6:$E$61)</f>
        <v>1378362.3740106877</v>
      </c>
      <c r="E21" s="7">
        <f>SUMIF('2023 YE Def Tax Detail'!$B$6:$B$61,'Electric Closings Summary'!$B21,'2023 YE Def Tax Detail'!$E$6:$E$61)</f>
        <v>-12983.695394158094</v>
      </c>
      <c r="G21" s="7">
        <f>SUMIF('2023 YE Depr Expense'!$B$6:$B$62,'Electric Closings Summary'!$B21,'2023 YE Depr Expense'!$E$6:$E$62)</f>
        <v>1788962.5898035003</v>
      </c>
      <c r="P21" s="2"/>
    </row>
    <row r="22" spans="1:16" x14ac:dyDescent="0.3">
      <c r="A22" s="26">
        <f t="shared" si="0"/>
        <v>19</v>
      </c>
      <c r="B22" t="s">
        <v>85</v>
      </c>
      <c r="C22" s="7">
        <f>SUMIF('2023 YE Gross Plant Detail'!$B$6:$B$61,'Electric Closings Summary'!$B22,'2023 YE Gross Plant Detail'!$E$6:$E$61)</f>
        <v>57027650.548933409</v>
      </c>
      <c r="D22" s="7">
        <f>SUMIF('2023 YE Accum Depr Detail'!$B$6:$B$61,'Electric Closings Summary'!$B22,'2023 YE Accum Depr Detail'!$E$6:$E$61)</f>
        <v>3049232.5407993486</v>
      </c>
      <c r="E22" s="7">
        <f>SUMIF('2023 YE Def Tax Detail'!$B$6:$B$61,'Electric Closings Summary'!$B22,'2023 YE Def Tax Detail'!$E$6:$E$61)</f>
        <v>1946357.8381379549</v>
      </c>
      <c r="G22" s="7">
        <f>SUMIF('2023 YE Depr Expense'!$B$6:$B$62,'Electric Closings Summary'!$B22,'2023 YE Depr Expense'!$E$6:$E$62)</f>
        <v>7221749.7544332426</v>
      </c>
      <c r="P22" s="2"/>
    </row>
    <row r="23" spans="1:16" x14ac:dyDescent="0.3">
      <c r="A23" s="26">
        <f t="shared" si="0"/>
        <v>20</v>
      </c>
      <c r="B23" t="s">
        <v>23</v>
      </c>
      <c r="C23" s="7">
        <f>SUMIF('2023 YE Gross Plant Detail'!$B$6:$B$61,'Electric Closings Summary'!$B23,'2023 YE Gross Plant Detail'!$E$6:$E$61)</f>
        <v>34271524.095000081</v>
      </c>
      <c r="D23" s="7">
        <f>SUMIF('2023 YE Accum Depr Detail'!$B$6:$B$61,'Electric Closings Summary'!$B23,'2023 YE Accum Depr Detail'!$E$6:$E$61)</f>
        <v>942974.88288525585</v>
      </c>
      <c r="E23" s="7">
        <f>SUMIF('2023 YE Def Tax Detail'!$B$6:$B$61,'Electric Closings Summary'!$B23,'2023 YE Def Tax Detail'!$E$6:$E$61)</f>
        <v>686173.00898094219</v>
      </c>
      <c r="G23" s="7">
        <f>SUMIF('2023 YE Depr Expense'!$B$6:$B$62,'Electric Closings Summary'!$B23,'2023 YE Depr Expense'!$E$6:$E$62)</f>
        <v>1633228.3674291214</v>
      </c>
      <c r="P23" s="2"/>
    </row>
    <row r="24" spans="1:16" x14ac:dyDescent="0.3">
      <c r="A24" s="26">
        <f t="shared" si="0"/>
        <v>21</v>
      </c>
      <c r="B24" t="s">
        <v>50</v>
      </c>
      <c r="C24" s="7">
        <f>SUMIF('2023 YE Gross Plant Detail'!$B$6:$B$61,'Electric Closings Summary'!$B24,'2023 YE Gross Plant Detail'!$E$6:$E$61)</f>
        <v>71143812.659166664</v>
      </c>
      <c r="D24" s="7">
        <f>SUMIF('2023 YE Accum Depr Detail'!$B$6:$B$61,'Electric Closings Summary'!$B24,'2023 YE Accum Depr Detail'!$E$6:$E$61)</f>
        <v>2529677.1644083103</v>
      </c>
      <c r="E24" s="7">
        <f>SUMIF('2023 YE Def Tax Detail'!$B$6:$B$61,'Electric Closings Summary'!$B24,'2023 YE Def Tax Detail'!$E$6:$E$61)</f>
        <v>2619136.8856605999</v>
      </c>
      <c r="G24" s="7">
        <f>SUMIF('2023 YE Depr Expense'!$B$6:$B$62,'Electric Closings Summary'!$B24,'2023 YE Depr Expense'!$E$6:$E$62)</f>
        <v>3424141.0999305411</v>
      </c>
      <c r="P24" s="2"/>
    </row>
    <row r="25" spans="1:16" x14ac:dyDescent="0.3">
      <c r="A25" s="26">
        <f t="shared" si="0"/>
        <v>22</v>
      </c>
      <c r="B25" s="8" t="s">
        <v>26</v>
      </c>
      <c r="C25" s="7">
        <f>SUMIF('2023 YE Gross Plant Detail'!$B$6:$B$61,'Electric Closings Summary'!$B25,'2023 YE Gross Plant Detail'!$E$6:$E$61)</f>
        <v>184845384.86876714</v>
      </c>
      <c r="D25" s="7">
        <f>SUMIF('2023 YE Accum Depr Detail'!$B$6:$B$61,'Electric Closings Summary'!$B25,'2023 YE Accum Depr Detail'!$E$6:$E$61)</f>
        <v>11306219.526852932</v>
      </c>
      <c r="E25" s="7">
        <f>SUMIF('2023 YE Def Tax Detail'!$B$6:$B$61,'Electric Closings Summary'!$B25,'2023 YE Def Tax Detail'!$E$6:$E$61)</f>
        <v>5317526.0435637468</v>
      </c>
      <c r="G25" s="7">
        <f>SUMIF('2023 YE Depr Expense'!$B$6:$B$62,'Electric Closings Summary'!$B25,'2023 YE Depr Expense'!$E$6:$E$62)</f>
        <v>12907250.881063156</v>
      </c>
      <c r="P25" s="2"/>
    </row>
    <row r="26" spans="1:16" x14ac:dyDescent="0.3">
      <c r="A26" s="26">
        <f t="shared" si="0"/>
        <v>23</v>
      </c>
      <c r="B26" s="77" t="s">
        <v>31</v>
      </c>
      <c r="C26" s="7">
        <f>SUMIF('2023 YE Gross Plant Detail'!$B$6:$B$61,'Electric Closings Summary'!$B26,'2023 YE Gross Plant Detail'!$E$6:$E$61)</f>
        <v>2061746.6195833334</v>
      </c>
      <c r="D26" s="7">
        <f>SUMIF('2023 YE Accum Depr Detail'!$B$6:$B$61,'Electric Closings Summary'!$B26,'2023 YE Accum Depr Detail'!$E$6:$E$61)</f>
        <v>23249.906689138377</v>
      </c>
      <c r="E26" s="7">
        <f>SUMIF('2023 YE Def Tax Detail'!$B$6:$B$61,'Electric Closings Summary'!$B26,'2023 YE Def Tax Detail'!$E$6:$E$61)</f>
        <v>34077.986262483762</v>
      </c>
      <c r="G26" s="7">
        <f>SUMIF('2023 YE Depr Expense'!$B$6:$B$62,'Electric Closings Summary'!$B26,'2023 YE Depr Expense'!$E$6:$E$62)</f>
        <v>49182.104828243551</v>
      </c>
      <c r="P26" s="2"/>
    </row>
    <row r="27" spans="1:16" x14ac:dyDescent="0.3">
      <c r="A27" s="26">
        <f t="shared" si="0"/>
        <v>24</v>
      </c>
      <c r="B27" t="s">
        <v>28</v>
      </c>
      <c r="C27" s="7">
        <f>SUMIF('2023 YE Gross Plant Detail'!$B$6:$B$61,'Electric Closings Summary'!$B27,'2023 YE Gross Plant Detail'!$E$6:$E$61)</f>
        <v>1834414.8974999997</v>
      </c>
      <c r="D27" s="7">
        <f>SUMIF('2023 YE Accum Depr Detail'!$B$6:$B$61,'Electric Closings Summary'!$B27,'2023 YE Accum Depr Detail'!$E$6:$E$61)</f>
        <v>2068.0370027919971</v>
      </c>
      <c r="E27" s="7">
        <f>SUMIF('2023 YE Def Tax Detail'!$B$6:$B$61,'Electric Closings Summary'!$B27,'2023 YE Def Tax Detail'!$E$6:$E$61)</f>
        <v>262480.79237658833</v>
      </c>
      <c r="G27" s="7">
        <f>SUMIF('2023 YE Depr Expense'!$B$6:$B$62,'Electric Closings Summary'!$B27,'2023 YE Depr Expense'!$E$6:$E$62)</f>
        <v>49632.888067007923</v>
      </c>
      <c r="P27" s="2"/>
    </row>
    <row r="28" spans="1:16" x14ac:dyDescent="0.3">
      <c r="A28" s="26">
        <f t="shared" si="0"/>
        <v>25</v>
      </c>
      <c r="B28" t="s">
        <v>870</v>
      </c>
      <c r="C28" s="7">
        <f>SUMIF('2023 YE Gross Plant Detail'!$B$6:$B$61,'Electric Closings Summary'!$B28,'2023 YE Gross Plant Detail'!$E$6:$E$61)</f>
        <v>0</v>
      </c>
      <c r="D28" s="7">
        <f>SUMIF('2023 YE Accum Depr Detail'!$B$6:$B$61,'Electric Closings Summary'!$B28,'2023 YE Accum Depr Detail'!$E$6:$E$61)</f>
        <v>0</v>
      </c>
      <c r="E28" s="7">
        <f>SUMIF('2023 YE Def Tax Detail'!$B$6:$B$61,'Electric Closings Summary'!$B28,'2023 YE Def Tax Detail'!$E$6:$E$61)</f>
        <v>0</v>
      </c>
      <c r="G28" s="7">
        <f>SUMIF('2023 YE Depr Expense'!$B$6:$B$62,'Electric Closings Summary'!$B28,'2023 YE Depr Expense'!$E$6:$E$62)</f>
        <v>0</v>
      </c>
      <c r="P28" s="2"/>
    </row>
    <row r="29" spans="1:16" x14ac:dyDescent="0.3">
      <c r="A29" s="26">
        <f t="shared" si="0"/>
        <v>26</v>
      </c>
      <c r="B29" t="s">
        <v>29</v>
      </c>
      <c r="C29" s="7">
        <f>SUMIF('2023 YE Gross Plant Detail'!$B$6:$B$61,'Electric Closings Summary'!$B29,'2023 YE Gross Plant Detail'!$E$6:$E$61)</f>
        <v>6530908.2300000004</v>
      </c>
      <c r="D29" s="7">
        <f>SUMIF('2023 YE Accum Depr Detail'!$B$6:$B$61,'Electric Closings Summary'!$B29,'2023 YE Accum Depr Detail'!$E$6:$E$61)</f>
        <v>36730.138531472228</v>
      </c>
      <c r="E29" s="7">
        <f>SUMIF('2023 YE Def Tax Detail'!$B$6:$B$61,'Electric Closings Summary'!$B29,'2023 YE Def Tax Detail'!$E$6:$E$61)</f>
        <v>109217.79629341209</v>
      </c>
      <c r="G29" s="7">
        <f>SUMIF('2023 YE Depr Expense'!$B$6:$B$62,'Electric Closings Summary'!$B29,'2023 YE Depr Expense'!$E$6:$E$62)</f>
        <v>168872.81168816669</v>
      </c>
      <c r="P29" s="2"/>
    </row>
    <row r="30" spans="1:16" x14ac:dyDescent="0.3">
      <c r="A30" s="26">
        <f t="shared" si="0"/>
        <v>27</v>
      </c>
      <c r="B30" s="6" t="s">
        <v>30</v>
      </c>
      <c r="C30" s="12">
        <f>SUMIF('2023 YE Gross Plant Detail'!$B$6:$B$61,'Electric Closings Summary'!$B30,'2023 YE Gross Plant Detail'!$E$6:$E$61)</f>
        <v>1158287.94120375</v>
      </c>
      <c r="D30" s="12">
        <f>SUMIF('2023 YE Accum Depr Detail'!$B$6:$B$61,'Electric Closings Summary'!$B30,'2023 YE Accum Depr Detail'!$E$6:$E$61)</f>
        <v>199416.3005986122</v>
      </c>
      <c r="E30" s="12">
        <f>SUMIF('2023 YE Def Tax Detail'!$B$6:$B$61,'Electric Closings Summary'!$B30,'2023 YE Def Tax Detail'!$E$6:$E$61)</f>
        <v>96472.838539197008</v>
      </c>
      <c r="F30" s="6"/>
      <c r="G30" s="12">
        <f>SUMIF('2023 YE Depr Expense'!$B$6:$B$62,'Electric Closings Summary'!$B30,'2023 YE Depr Expense'!$E$6:$E$62)</f>
        <v>241726.87243741119</v>
      </c>
      <c r="P30" s="2"/>
    </row>
    <row r="31" spans="1:16" x14ac:dyDescent="0.3">
      <c r="A31" s="26">
        <f t="shared" si="0"/>
        <v>28</v>
      </c>
      <c r="B31" s="77" t="s">
        <v>32</v>
      </c>
      <c r="C31" s="3">
        <f>SUM(C4:C30)</f>
        <v>796097147.51363051</v>
      </c>
      <c r="D31" s="3">
        <f t="shared" ref="D31:E31" si="1">SUM(D4:D30)</f>
        <v>32353171.102767028</v>
      </c>
      <c r="E31" s="3">
        <f t="shared" si="1"/>
        <v>17872129.362987526</v>
      </c>
      <c r="G31" s="3">
        <f>SUM(G4:G30)</f>
        <v>44847101.151235349</v>
      </c>
      <c r="P31" s="2"/>
    </row>
    <row r="32" spans="1:16" x14ac:dyDescent="0.3">
      <c r="G32" s="3">
        <f>G31-'2023 YE Depr Expense'!E62</f>
        <v>0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4" x14ac:dyDescent="0.3"/>
  <cols>
    <col min="2" max="2" width="41.5546875" bestFit="1" customWidth="1"/>
    <col min="3" max="3" width="15.33203125" bestFit="1" customWidth="1"/>
    <col min="4" max="5" width="14.33203125" bestFit="1" customWidth="1"/>
    <col min="6" max="6" width="3.5546875" customWidth="1"/>
    <col min="7" max="7" width="14.33203125" bestFit="1" customWidth="1"/>
    <col min="16" max="16" width="41.5546875" bestFit="1" customWidth="1"/>
  </cols>
  <sheetData>
    <row r="1" spans="1:16" ht="15.6" x14ac:dyDescent="0.3">
      <c r="B1" s="45" t="s">
        <v>873</v>
      </c>
    </row>
    <row r="2" spans="1:16" x14ac:dyDescent="0.3">
      <c r="A2" s="61" t="s">
        <v>52</v>
      </c>
    </row>
    <row r="3" spans="1:16" x14ac:dyDescent="0.3">
      <c r="A3" s="19" t="s">
        <v>54</v>
      </c>
      <c r="B3" s="1" t="s">
        <v>84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3">
      <c r="A4" s="26">
        <v>1</v>
      </c>
      <c r="B4" t="s">
        <v>869</v>
      </c>
      <c r="C4" s="7">
        <f>SUMIF('2023 YE Gross Plant Detail'!$G$6:$G$61,'Gas Closings Summary'!$B4,'2023 YE Gross Plant Detail'!$J$6:$J$61)</f>
        <v>12375459.039999334</v>
      </c>
      <c r="D4" s="7">
        <f>SUMIF('2023 YE Accum Depr Detail'!$G$6:$G$61,'Gas Closings Summary'!$B4,'2023 YE Accum Depr Detail'!$J$6:$J$61)</f>
        <v>422752.50924828887</v>
      </c>
      <c r="E4" s="7">
        <f>SUMIF('2023 YE Def Tax Detail'!$G$6:$G$61,'Gas Closings Summary'!$B4,'2023 YE Def Tax Detail'!$J$6:$J$61)</f>
        <v>1034127.9506777159</v>
      </c>
      <c r="G4" s="7">
        <f>SUMIF('2023 YE Depr Expense'!$G$6:$G$62,'Gas Closings Summary'!$B4,'2023 YE Depr Expense'!$J$6:$J$62)</f>
        <v>732113.12367298314</v>
      </c>
    </row>
    <row r="5" spans="1:16" x14ac:dyDescent="0.3">
      <c r="A5" s="26">
        <f>A4+1</f>
        <v>2</v>
      </c>
      <c r="B5" t="s">
        <v>3</v>
      </c>
      <c r="C5" s="7">
        <f>SUMIF('2023 YE Gross Plant Detail'!$G$6:$G$61,'Gas Closings Summary'!$B5,'2023 YE Gross Plant Detail'!$J$6:$J$61)</f>
        <v>5736257.5908333333</v>
      </c>
      <c r="D5" s="7">
        <f>SUMIF('2023 YE Accum Depr Detail'!$G$6:$G$61,'Gas Closings Summary'!$B5,'2023 YE Accum Depr Detail'!$J$6:$J$61)</f>
        <v>127484.82421287484</v>
      </c>
      <c r="E5" s="7">
        <f>SUMIF('2023 YE Def Tax Detail'!$G$6:$G$61,'Gas Closings Summary'!$B5,'2023 YE Def Tax Detail'!$J$6:$J$61)</f>
        <v>264050.65786646964</v>
      </c>
      <c r="G5" s="7">
        <f>SUMIF('2023 YE Depr Expense'!$G$6:$G$62,'Gas Closings Summary'!$B5,'2023 YE Depr Expense'!$J$6:$J$62)</f>
        <v>181980.89940942632</v>
      </c>
    </row>
    <row r="6" spans="1:16" x14ac:dyDescent="0.3">
      <c r="A6" s="26">
        <f t="shared" ref="A6:A22" si="0">A5+1</f>
        <v>3</v>
      </c>
      <c r="B6" t="s">
        <v>5</v>
      </c>
      <c r="C6" s="7">
        <f>SUMIF('2023 YE Gross Plant Detail'!$G$6:$G$61,'Gas Closings Summary'!$B6,'2023 YE Gross Plant Detail'!$J$6:$J$61)</f>
        <v>-1568587.6816666666</v>
      </c>
      <c r="D6" s="7">
        <f>SUMIF('2023 YE Accum Depr Detail'!$G$6:$G$61,'Gas Closings Summary'!$B6,'2023 YE Accum Depr Detail'!$J$6:$J$61)</f>
        <v>-52607.404029384103</v>
      </c>
      <c r="E6" s="7">
        <f>SUMIF('2023 YE Def Tax Detail'!$G$6:$G$61,'Gas Closings Summary'!$B6,'2023 YE Def Tax Detail'!$J$6:$J$61)</f>
        <v>-31370.699667204364</v>
      </c>
      <c r="G6" s="7">
        <f>SUMIF('2023 YE Depr Expense'!$G$6:$G$62,'Gas Closings Summary'!$B6,'2023 YE Depr Expense'!$J$6:$J$62)</f>
        <v>-53328.032734999993</v>
      </c>
      <c r="P6" s="2"/>
    </row>
    <row r="7" spans="1:16" x14ac:dyDescent="0.3">
      <c r="A7" s="26">
        <f t="shared" si="0"/>
        <v>4</v>
      </c>
      <c r="B7" t="s">
        <v>6</v>
      </c>
      <c r="C7" s="7">
        <f>SUMIF('2023 YE Gross Plant Detail'!$G$6:$G$61,'Gas Closings Summary'!$B7,'2023 YE Gross Plant Detail'!$J$6:$J$61)</f>
        <v>20101.651250000003</v>
      </c>
      <c r="D7" s="7">
        <f>SUMIF('2023 YE Accum Depr Detail'!$G$6:$G$61,'Gas Closings Summary'!$B7,'2023 YE Accum Depr Detail'!$J$6:$J$61)</f>
        <v>634.7029489966045</v>
      </c>
      <c r="E7" s="7">
        <f>SUMIF('2023 YE Def Tax Detail'!$G$6:$G$61,'Gas Closings Summary'!$B7,'2023 YE Def Tax Detail'!$J$6:$J$61)</f>
        <v>615.79252405677221</v>
      </c>
      <c r="G7" s="7">
        <f>SUMIF('2023 YE Depr Expense'!$G$6:$G$62,'Gas Closings Summary'!$B7,'2023 YE Depr Expense'!$J$6:$J$62)</f>
        <v>833.44953175874252</v>
      </c>
      <c r="P7" s="2"/>
    </row>
    <row r="8" spans="1:16" x14ac:dyDescent="0.3">
      <c r="A8" s="26">
        <f t="shared" si="0"/>
        <v>5</v>
      </c>
      <c r="B8" t="s">
        <v>7</v>
      </c>
      <c r="C8" s="7">
        <f>SUMIF('2023 YE Gross Plant Detail'!$G$6:$G$61,'Gas Closings Summary'!$B8,'2023 YE Gross Plant Detail'!$J$6:$J$61)</f>
        <v>118640878.05041665</v>
      </c>
      <c r="D8" s="7">
        <f>SUMIF('2023 YE Accum Depr Detail'!$G$6:$G$61,'Gas Closings Summary'!$B8,'2023 YE Accum Depr Detail'!$J$6:$J$61)</f>
        <v>3263642.4379582289</v>
      </c>
      <c r="E8" s="7">
        <f>SUMIF('2023 YE Def Tax Detail'!$G$6:$G$61,'Gas Closings Summary'!$B8,'2023 YE Def Tax Detail'!$J$6:$J$61)</f>
        <v>4462663.8953570956</v>
      </c>
      <c r="G8" s="7">
        <f>SUMIF('2023 YE Depr Expense'!$G$6:$G$62,'Gas Closings Summary'!$B8,'2023 YE Depr Expense'!$J$6:$J$62)</f>
        <v>4530169.9028064189</v>
      </c>
      <c r="P8" s="2"/>
    </row>
    <row r="9" spans="1:16" x14ac:dyDescent="0.3">
      <c r="A9" s="26">
        <f t="shared" si="0"/>
        <v>6</v>
      </c>
      <c r="B9" t="s">
        <v>9</v>
      </c>
      <c r="C9" s="7">
        <f>SUMIF('2023 YE Gross Plant Detail'!$G$6:$G$61,'Gas Closings Summary'!$B9,'2023 YE Gross Plant Detail'!$J$6:$J$61)</f>
        <v>2675534.3339248337</v>
      </c>
      <c r="D9" s="7">
        <f>SUMIF('2023 YE Accum Depr Detail'!$G$6:$G$61,'Gas Closings Summary'!$B9,'2023 YE Accum Depr Detail'!$J$6:$J$61)</f>
        <v>524786.24533661804</v>
      </c>
      <c r="E9" s="7">
        <f>SUMIF('2023 YE Def Tax Detail'!$G$6:$G$61,'Gas Closings Summary'!$B9,'2023 YE Def Tax Detail'!$J$6:$J$61)</f>
        <v>196113.63483067774</v>
      </c>
      <c r="G9" s="7">
        <f>SUMIF('2023 YE Depr Expense'!$G$6:$G$62,'Gas Closings Summary'!$B9,'2023 YE Depr Expense'!$J$6:$J$62)</f>
        <v>585320.31860683346</v>
      </c>
      <c r="P9" s="2"/>
    </row>
    <row r="10" spans="1:16" x14ac:dyDescent="0.3">
      <c r="A10" s="26">
        <f t="shared" si="0"/>
        <v>7</v>
      </c>
      <c r="B10" t="s">
        <v>11</v>
      </c>
      <c r="C10" s="7">
        <f>SUMIF('2023 YE Gross Plant Detail'!$G$6:$G$61,'Gas Closings Summary'!$B10,'2023 YE Gross Plant Detail'!$J$6:$J$61)</f>
        <v>23739315.732083339</v>
      </c>
      <c r="D10" s="7">
        <f>SUMIF('2023 YE Accum Depr Detail'!$G$6:$G$61,'Gas Closings Summary'!$B10,'2023 YE Accum Depr Detail'!$J$6:$J$61)</f>
        <v>627814.93933698232</v>
      </c>
      <c r="E10" s="7">
        <f>SUMIF('2023 YE Def Tax Detail'!$G$6:$G$61,'Gas Closings Summary'!$B10,'2023 YE Def Tax Detail'!$J$6:$J$61)</f>
        <v>949428.75361364952</v>
      </c>
      <c r="G10" s="7">
        <f>SUMIF('2023 YE Depr Expense'!$G$6:$G$62,'Gas Closings Summary'!$B10,'2023 YE Depr Expense'!$J$6:$J$62)</f>
        <v>943299.32068860729</v>
      </c>
      <c r="P10" s="2"/>
    </row>
    <row r="11" spans="1:16" x14ac:dyDescent="0.3">
      <c r="A11" s="26">
        <f t="shared" si="0"/>
        <v>8</v>
      </c>
      <c r="B11" t="s">
        <v>13</v>
      </c>
      <c r="C11" s="7">
        <f>SUMIF('2023 YE Gross Plant Detail'!$G$6:$G$61,'Gas Closings Summary'!$B11,'2023 YE Gross Plant Detail'!$J$6:$J$61)</f>
        <v>19090948.870416671</v>
      </c>
      <c r="D11" s="7">
        <f>SUMIF('2023 YE Accum Depr Detail'!$G$6:$G$61,'Gas Closings Summary'!$B11,'2023 YE Accum Depr Detail'!$J$6:$J$61)</f>
        <v>471735.11641573103</v>
      </c>
      <c r="E11" s="7">
        <f>SUMIF('2023 YE Def Tax Detail'!$G$6:$G$61,'Gas Closings Summary'!$B11,'2023 YE Def Tax Detail'!$J$6:$J$61)</f>
        <v>729457.39143396297</v>
      </c>
      <c r="G11" s="7">
        <f>SUMIF('2023 YE Depr Expense'!$G$6:$G$62,'Gas Closings Summary'!$B11,'2023 YE Depr Expense'!$J$6:$J$62)</f>
        <v>656078.70053785166</v>
      </c>
      <c r="P11" s="2"/>
    </row>
    <row r="12" spans="1:16" x14ac:dyDescent="0.3">
      <c r="A12" s="26">
        <f t="shared" si="0"/>
        <v>9</v>
      </c>
      <c r="B12" t="s">
        <v>17</v>
      </c>
      <c r="C12" s="7">
        <f>SUMIF('2023 YE Gross Plant Detail'!$G$6:$G$61,'Gas Closings Summary'!$B12,'2023 YE Gross Plant Detail'!$J$6:$J$61)</f>
        <v>3523713.8280163319</v>
      </c>
      <c r="D12" s="7">
        <f>SUMIF('2023 YE Accum Depr Detail'!$G$6:$G$61,'Gas Closings Summary'!$B12,'2023 YE Accum Depr Detail'!$J$6:$J$61)</f>
        <v>894532.64940980601</v>
      </c>
      <c r="E12" s="7">
        <f>SUMIF('2023 YE Def Tax Detail'!$G$6:$G$61,'Gas Closings Summary'!$B12,'2023 YE Def Tax Detail'!$J$6:$J$61)</f>
        <v>107561.08483241909</v>
      </c>
      <c r="G12" s="7">
        <f>SUMIF('2023 YE Depr Expense'!$G$6:$G$62,'Gas Closings Summary'!$B12,'2023 YE Depr Expense'!$J$6:$J$62)</f>
        <v>681578.4361085688</v>
      </c>
      <c r="P12" s="2"/>
    </row>
    <row r="13" spans="1:16" x14ac:dyDescent="0.3">
      <c r="A13" s="26">
        <f t="shared" si="0"/>
        <v>10</v>
      </c>
      <c r="B13" t="s">
        <v>20</v>
      </c>
      <c r="C13" s="7">
        <f>SUMIF('2023 YE Gross Plant Detail'!$G$6:$G$61,'Gas Closings Summary'!$B13,'2023 YE Gross Plant Detail'!$J$6:$J$61)</f>
        <v>1560532.325</v>
      </c>
      <c r="D13" s="7">
        <f>SUMIF('2023 YE Accum Depr Detail'!$G$6:$G$61,'Gas Closings Summary'!$B13,'2023 YE Accum Depr Detail'!$J$6:$J$61)</f>
        <v>2530.2505838263887</v>
      </c>
      <c r="E13" s="7">
        <f>SUMIF('2023 YE Def Tax Detail'!$G$6:$G$61,'Gas Closings Summary'!$B13,'2023 YE Def Tax Detail'!$J$6:$J$61)</f>
        <v>16464.086238965152</v>
      </c>
      <c r="G13" s="7">
        <f>SUMIF('2023 YE Depr Expense'!$G$6:$G$62,'Gas Closings Summary'!$B13,'2023 YE Depr Expense'!$J$6:$J$62)</f>
        <v>9050.9312311666654</v>
      </c>
      <c r="P13" s="2"/>
    </row>
    <row r="14" spans="1:16" x14ac:dyDescent="0.3">
      <c r="A14" s="26">
        <f t="shared" si="0"/>
        <v>11</v>
      </c>
      <c r="B14" t="s">
        <v>21</v>
      </c>
      <c r="C14" s="7">
        <f>SUMIF('2023 YE Gross Plant Detail'!$G$6:$G$61,'Gas Closings Summary'!$B14,'2023 YE Gross Plant Detail'!$J$6:$J$61)</f>
        <v>506294.4120833333</v>
      </c>
      <c r="D14" s="7">
        <f>SUMIF('2023 YE Accum Depr Detail'!$G$6:$G$61,'Gas Closings Summary'!$B14,'2023 YE Accum Depr Detail'!$J$6:$J$61)</f>
        <v>20370.790299451386</v>
      </c>
      <c r="E14" s="7">
        <f>SUMIF('2023 YE Def Tax Detail'!$G$6:$G$61,'Gas Closings Summary'!$B14,'2023 YE Def Tax Detail'!$J$6:$J$61)</f>
        <v>10175.062828016216</v>
      </c>
      <c r="G14" s="7">
        <f>SUMIF('2023 YE Depr Expense'!$G$6:$G$62,'Gas Closings Summary'!$B14,'2023 YE Depr Expense'!$J$6:$J$62)</f>
        <v>15917.254481833334</v>
      </c>
      <c r="P14" s="2"/>
    </row>
    <row r="15" spans="1:16" x14ac:dyDescent="0.3">
      <c r="A15" s="26">
        <f t="shared" si="0"/>
        <v>12</v>
      </c>
      <c r="B15" t="s">
        <v>85</v>
      </c>
      <c r="C15" s="7">
        <f>SUMIF('2023 YE Gross Plant Detail'!$G$6:$G$61,'Gas Closings Summary'!$B15,'2023 YE Gross Plant Detail'!$J$6:$J$61)</f>
        <v>17892030.681483246</v>
      </c>
      <c r="D15" s="7">
        <f>SUMIF('2023 YE Accum Depr Detail'!$G$6:$G$61,'Gas Closings Summary'!$B15,'2023 YE Accum Depr Detail'!$J$6:$J$61)</f>
        <v>1271514.4225139413</v>
      </c>
      <c r="E15" s="7">
        <f>SUMIF('2023 YE Def Tax Detail'!$G$6:$G$61,'Gas Closings Summary'!$B15,'2023 YE Def Tax Detail'!$J$6:$J$61)</f>
        <v>925235.31432993058</v>
      </c>
      <c r="G15" s="7">
        <f>SUMIF('2023 YE Depr Expense'!$G$6:$G$62,'Gas Closings Summary'!$B15,'2023 YE Depr Expense'!$J$6:$J$62)</f>
        <v>2562103.0115419044</v>
      </c>
      <c r="P15" s="2"/>
    </row>
    <row r="16" spans="1:16" x14ac:dyDescent="0.3">
      <c r="A16" s="26">
        <f t="shared" si="0"/>
        <v>13</v>
      </c>
      <c r="B16" t="s">
        <v>24</v>
      </c>
      <c r="C16" s="7">
        <f>SUMIF('2023 YE Gross Plant Detail'!$G$6:$G$61,'Gas Closings Summary'!$B16,'2023 YE Gross Plant Detail'!$J$6:$J$61)</f>
        <v>48534662.120833345</v>
      </c>
      <c r="D16" s="7">
        <f>SUMIF('2023 YE Accum Depr Detail'!$G$6:$G$61,'Gas Closings Summary'!$B16,'2023 YE Accum Depr Detail'!$J$6:$J$61)</f>
        <v>819483.89911246474</v>
      </c>
      <c r="E16" s="7">
        <f>SUMIF('2023 YE Def Tax Detail'!$G$6:$G$61,'Gas Closings Summary'!$B16,'2023 YE Def Tax Detail'!$J$6:$J$61)</f>
        <v>1890061.7372362106</v>
      </c>
      <c r="G16" s="7">
        <f>SUMIF('2023 YE Depr Expense'!$G$6:$G$62,'Gas Closings Summary'!$B16,'2023 YE Depr Expense'!$J$6:$J$62)</f>
        <v>1326797.8207572035</v>
      </c>
      <c r="P16" s="2"/>
    </row>
    <row r="17" spans="1:16" x14ac:dyDescent="0.3">
      <c r="A17" s="26">
        <f t="shared" si="0"/>
        <v>14</v>
      </c>
      <c r="B17" t="s">
        <v>25</v>
      </c>
      <c r="C17" s="7">
        <f>SUMIF('2023 YE Gross Plant Detail'!$G$6:$G$61,'Gas Closings Summary'!$B17,'2023 YE Gross Plant Detail'!$J$6:$J$61)</f>
        <v>60557014.25833334</v>
      </c>
      <c r="D17" s="7">
        <f>SUMIF('2023 YE Accum Depr Detail'!$G$6:$G$61,'Gas Closings Summary'!$B17,'2023 YE Accum Depr Detail'!$J$6:$J$61)</f>
        <v>1303797.2430099526</v>
      </c>
      <c r="E17" s="7">
        <f>SUMIF('2023 YE Def Tax Detail'!$G$6:$G$61,'Gas Closings Summary'!$B17,'2023 YE Def Tax Detail'!$J$6:$J$61)</f>
        <v>2815729.3854248286</v>
      </c>
      <c r="G17" s="7">
        <f>SUMIF('2023 YE Depr Expense'!$G$6:$G$62,'Gas Closings Summary'!$B17,'2023 YE Depr Expense'!$J$6:$J$62)</f>
        <v>1884037.7668192282</v>
      </c>
      <c r="P17" s="2"/>
    </row>
    <row r="18" spans="1:16" x14ac:dyDescent="0.3">
      <c r="A18" s="26">
        <f t="shared" si="0"/>
        <v>15</v>
      </c>
      <c r="B18" t="s">
        <v>50</v>
      </c>
      <c r="C18" s="7">
        <f>SUMIF('2023 YE Gross Plant Detail'!$G$6:$G$61,'Gas Closings Summary'!$B18,'2023 YE Gross Plant Detail'!$J$6:$J$61)</f>
        <v>21865008.785833333</v>
      </c>
      <c r="D18" s="7">
        <f>SUMIF('2023 YE Accum Depr Detail'!$G$6:$G$61,'Gas Closings Summary'!$B18,'2023 YE Accum Depr Detail'!$J$6:$J$61)</f>
        <v>950232.76538122701</v>
      </c>
      <c r="E18" s="7">
        <f>SUMIF('2023 YE Def Tax Detail'!$G$6:$G$61,'Gas Closings Summary'!$B18,'2023 YE Def Tax Detail'!$J$6:$J$61)</f>
        <v>1073249.3370517879</v>
      </c>
      <c r="G18" s="7">
        <f>SUMIF('2023 YE Depr Expense'!$G$6:$G$62,'Gas Closings Summary'!$B18,'2023 YE Depr Expense'!$J$6:$J$62)</f>
        <v>1025279.7349748376</v>
      </c>
      <c r="P18" s="2"/>
    </row>
    <row r="19" spans="1:16" x14ac:dyDescent="0.3">
      <c r="A19" s="26">
        <f t="shared" si="0"/>
        <v>16</v>
      </c>
      <c r="B19" t="s">
        <v>26</v>
      </c>
      <c r="C19" s="7">
        <f>SUMIF('2023 YE Gross Plant Detail'!$G$6:$G$61,'Gas Closings Summary'!$B19,'2023 YE Gross Plant Detail'!$J$6:$J$61)</f>
        <v>29741262.788316168</v>
      </c>
      <c r="D19" s="7">
        <f>SUMIF('2023 YE Accum Depr Detail'!$G$6:$G$61,'Gas Closings Summary'!$B19,'2023 YE Accum Depr Detail'!$J$6:$J$61)</f>
        <v>2742667.0232619201</v>
      </c>
      <c r="E19" s="7">
        <f>SUMIF('2023 YE Def Tax Detail'!$G$6:$G$61,'Gas Closings Summary'!$B19,'2023 YE Def Tax Detail'!$J$6:$J$61)</f>
        <v>1218647.5287606472</v>
      </c>
      <c r="G19" s="7">
        <f>SUMIF('2023 YE Depr Expense'!$G$6:$G$62,'Gas Closings Summary'!$B19,'2023 YE Depr Expense'!$J$6:$J$62)</f>
        <v>3001779.9752537399</v>
      </c>
      <c r="P19" s="2"/>
    </row>
    <row r="20" spans="1:16" x14ac:dyDescent="0.3">
      <c r="A20" s="26">
        <f t="shared" si="0"/>
        <v>17</v>
      </c>
      <c r="B20" t="s">
        <v>870</v>
      </c>
      <c r="C20" s="7">
        <f>SUMIF('2023 YE Gross Plant Detail'!$G$6:$G$61,'Gas Closings Summary'!$B20,'2023 YE Gross Plant Detail'!$J$6:$J$61)</f>
        <v>0</v>
      </c>
      <c r="D20" s="7">
        <f>SUMIF('2023 YE Accum Depr Detail'!$G$6:$G$61,'Gas Closings Summary'!$B20,'2023 YE Accum Depr Detail'!$J$6:$J$61)</f>
        <v>0</v>
      </c>
      <c r="E20" s="7">
        <f>SUMIF('2023 YE Def Tax Detail'!$G$6:$G$61,'Gas Closings Summary'!$B20,'2023 YE Def Tax Detail'!$J$6:$J$61)</f>
        <v>0</v>
      </c>
      <c r="G20" s="7">
        <f>SUMIF('2023 YE Depr Expense'!$G$6:$G$62,'Gas Closings Summary'!$B20,'2023 YE Depr Expense'!$J$6:$J$62)</f>
        <v>0</v>
      </c>
      <c r="P20" s="2"/>
    </row>
    <row r="21" spans="1:16" x14ac:dyDescent="0.3">
      <c r="A21" s="26">
        <f t="shared" si="0"/>
        <v>18</v>
      </c>
      <c r="B21" s="6" t="s">
        <v>30</v>
      </c>
      <c r="C21" s="12">
        <f>SUMIF('2023 YE Gross Plant Detail'!$G$6:$G$61,'Gas Closings Summary'!$B21,'2023 YE Gross Plant Detail'!$J$6:$J$61)</f>
        <v>598290.67754625005</v>
      </c>
      <c r="D21" s="12">
        <f>SUMIF('2023 YE Accum Depr Detail'!$G$6:$G$61,'Gas Closings Summary'!$B21,'2023 YE Accum Depr Detail'!$J$6:$J$61)</f>
        <v>103004.53743386005</v>
      </c>
      <c r="E21" s="12">
        <f>SUMIF('2023 YE Def Tax Detail'!$G$6:$G$61,'Gas Closings Summary'!$B21,'2023 YE Def Tax Detail'!$J$6:$J$61)</f>
        <v>49831.132554520023</v>
      </c>
      <c r="G21" s="12">
        <f>SUMIF('2023 YE Depr Expense'!$G$6:$G$62,'Gas Closings Summary'!$B21,'2023 YE Depr Expense'!$J$6:$J$62)</f>
        <v>124859.22467725546</v>
      </c>
      <c r="P21" s="2"/>
    </row>
    <row r="22" spans="1:16" x14ac:dyDescent="0.3">
      <c r="A22" s="26">
        <f t="shared" si="0"/>
        <v>19</v>
      </c>
      <c r="B22" s="77" t="s">
        <v>106</v>
      </c>
      <c r="C22" s="3">
        <f>SUM(C4:C21)</f>
        <v>365488717.4647029</v>
      </c>
      <c r="D22" s="3">
        <f>SUM(D4:D21)</f>
        <v>13494376.952434786</v>
      </c>
      <c r="E22" s="3">
        <f>SUM(E4:E21)</f>
        <v>15712042.045893751</v>
      </c>
      <c r="G22" s="3">
        <f>SUM(G4:G21)</f>
        <v>18207871.838364616</v>
      </c>
      <c r="P22" s="2"/>
    </row>
    <row r="23" spans="1:16" x14ac:dyDescent="0.3">
      <c r="G23" s="3">
        <f>G22-'2023 YE Depr Expense'!J62</f>
        <v>0</v>
      </c>
      <c r="P23" s="2"/>
    </row>
    <row r="24" spans="1:16" x14ac:dyDescent="0.3">
      <c r="P24" s="2"/>
    </row>
    <row r="25" spans="1:16" x14ac:dyDescent="0.3">
      <c r="P25" s="2"/>
    </row>
    <row r="26" spans="1:16" x14ac:dyDescent="0.3">
      <c r="P26" s="2"/>
    </row>
    <row r="27" spans="1:16" x14ac:dyDescent="0.3">
      <c r="P27" s="2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7" sqref="L17"/>
    </sheetView>
  </sheetViews>
  <sheetFormatPr defaultColWidth="8.88671875" defaultRowHeight="14.4" x14ac:dyDescent="0.3"/>
  <cols>
    <col min="1" max="1" width="8.88671875" style="15"/>
    <col min="2" max="2" width="39.88671875" style="15" bestFit="1" customWidth="1"/>
    <col min="3" max="3" width="20.44140625" style="15" bestFit="1" customWidth="1"/>
    <col min="4" max="4" width="17.33203125" style="15" bestFit="1" customWidth="1"/>
    <col min="5" max="5" width="16.109375" style="15" bestFit="1" customWidth="1"/>
    <col min="6" max="6" width="5.109375" style="15" customWidth="1"/>
    <col min="7" max="7" width="15" style="15" bestFit="1" customWidth="1"/>
    <col min="8" max="8" width="16.109375" style="15" bestFit="1" customWidth="1"/>
    <col min="9" max="9" width="5.109375" style="15" customWidth="1"/>
    <col min="10" max="10" width="8.88671875" style="15"/>
    <col min="11" max="11" width="39.88671875" style="15" bestFit="1" customWidth="1"/>
    <col min="12" max="12" width="20.44140625" style="15" bestFit="1" customWidth="1"/>
    <col min="13" max="13" width="17.33203125" style="15" bestFit="1" customWidth="1"/>
    <col min="14" max="14" width="16.109375" style="15" bestFit="1" customWidth="1"/>
    <col min="15" max="15" width="5.109375" style="15" customWidth="1"/>
    <col min="16" max="16" width="8.88671875" style="15"/>
    <col min="17" max="17" width="39.88671875" style="15" customWidth="1"/>
    <col min="18" max="18" width="20.44140625" style="15" customWidth="1"/>
    <col min="19" max="19" width="17.33203125" style="15" customWidth="1"/>
    <col min="20" max="20" width="15.6640625" style="15" customWidth="1"/>
    <col min="21" max="21" width="7.88671875" style="15" customWidth="1"/>
    <col min="22" max="22" width="17.6640625" style="15" customWidth="1"/>
    <col min="23" max="24" width="11.5546875" style="15" customWidth="1"/>
    <col min="25" max="25" width="18.88671875" style="15" customWidth="1"/>
    <col min="26" max="27" width="8.88671875" style="15"/>
    <col min="28" max="28" width="14.44140625" style="15" bestFit="1" customWidth="1"/>
    <col min="29" max="29" width="13.44140625" style="15" bestFit="1" customWidth="1"/>
    <col min="30" max="16384" width="8.88671875" style="15"/>
  </cols>
  <sheetData>
    <row r="2" spans="1:25" ht="18" x14ac:dyDescent="0.35">
      <c r="B2" s="65" t="s">
        <v>1954</v>
      </c>
      <c r="C2" s="62"/>
      <c r="D2" s="16"/>
      <c r="E2" s="16"/>
      <c r="F2" s="63"/>
      <c r="I2" s="63"/>
      <c r="K2" s="65" t="s">
        <v>1955</v>
      </c>
      <c r="L2" s="62"/>
      <c r="M2" s="16"/>
      <c r="N2" s="16"/>
      <c r="O2" s="63"/>
      <c r="Q2" s="65" t="s">
        <v>103</v>
      </c>
      <c r="R2" s="62"/>
      <c r="S2" s="16"/>
      <c r="T2" s="16"/>
    </row>
    <row r="3" spans="1:25" ht="18" x14ac:dyDescent="0.35">
      <c r="B3" s="65"/>
      <c r="C3" s="62"/>
      <c r="D3" s="16"/>
      <c r="E3" s="16"/>
      <c r="F3" s="63"/>
      <c r="I3" s="63"/>
      <c r="K3" s="65"/>
      <c r="L3" s="62"/>
      <c r="M3" s="16"/>
      <c r="N3" s="16"/>
      <c r="O3" s="63"/>
      <c r="Q3" s="65"/>
      <c r="R3" s="62"/>
      <c r="S3" s="16"/>
      <c r="T3" s="16"/>
    </row>
    <row r="4" spans="1:25" x14ac:dyDescent="0.3">
      <c r="C4" s="61" t="s">
        <v>102</v>
      </c>
      <c r="D4" s="16" t="s">
        <v>1143</v>
      </c>
      <c r="E4" s="17"/>
      <c r="F4" s="63"/>
      <c r="I4" s="63"/>
      <c r="L4" s="61" t="s">
        <v>102</v>
      </c>
      <c r="M4" s="16" t="s">
        <v>1143</v>
      </c>
      <c r="N4" s="17"/>
      <c r="O4" s="63"/>
      <c r="R4" s="61" t="s">
        <v>102</v>
      </c>
      <c r="S4" s="16" t="s">
        <v>1143</v>
      </c>
      <c r="T4" s="17"/>
    </row>
    <row r="5" spans="1:25" ht="15.6" x14ac:dyDescent="0.3">
      <c r="A5" s="61" t="s">
        <v>52</v>
      </c>
      <c r="C5" s="18" t="s">
        <v>1209</v>
      </c>
      <c r="D5" s="18" t="s">
        <v>1209</v>
      </c>
      <c r="E5" s="18" t="s">
        <v>105</v>
      </c>
      <c r="F5" s="63"/>
      <c r="G5" s="16" t="s">
        <v>12</v>
      </c>
      <c r="H5" s="381"/>
      <c r="I5" s="63"/>
      <c r="J5" s="61" t="s">
        <v>52</v>
      </c>
      <c r="L5" s="18" t="s">
        <v>1209</v>
      </c>
      <c r="M5" s="18" t="s">
        <v>1209</v>
      </c>
      <c r="N5" s="18" t="s">
        <v>105</v>
      </c>
      <c r="O5" s="63"/>
      <c r="P5" s="61" t="s">
        <v>52</v>
      </c>
      <c r="R5" s="18" t="s">
        <v>1209</v>
      </c>
      <c r="S5" s="18" t="s">
        <v>1209</v>
      </c>
      <c r="T5" s="18" t="s">
        <v>105</v>
      </c>
    </row>
    <row r="6" spans="1:25" x14ac:dyDescent="0.3">
      <c r="A6" s="19" t="s">
        <v>54</v>
      </c>
      <c r="B6" s="75"/>
      <c r="C6" s="19" t="s">
        <v>1207</v>
      </c>
      <c r="D6" s="19" t="s">
        <v>1208</v>
      </c>
      <c r="E6" s="19" t="s">
        <v>104</v>
      </c>
      <c r="F6" s="76"/>
      <c r="G6" s="454" t="s">
        <v>126</v>
      </c>
      <c r="H6" s="19" t="s">
        <v>110</v>
      </c>
      <c r="I6" s="76"/>
      <c r="J6" s="19" t="s">
        <v>54</v>
      </c>
      <c r="K6" s="75"/>
      <c r="L6" s="19" t="s">
        <v>1207</v>
      </c>
      <c r="M6" s="19" t="s">
        <v>1208</v>
      </c>
      <c r="N6" s="19" t="s">
        <v>104</v>
      </c>
      <c r="O6" s="76"/>
      <c r="P6" s="19" t="s">
        <v>54</v>
      </c>
      <c r="Q6" s="75"/>
      <c r="R6" s="19" t="s">
        <v>1207</v>
      </c>
      <c r="S6" s="19" t="s">
        <v>1208</v>
      </c>
      <c r="T6" s="19" t="s">
        <v>104</v>
      </c>
      <c r="V6" s="20"/>
    </row>
    <row r="7" spans="1:25" x14ac:dyDescent="0.3">
      <c r="A7" s="26">
        <v>1</v>
      </c>
      <c r="B7" s="52" t="s">
        <v>95</v>
      </c>
      <c r="C7" s="18"/>
      <c r="D7" s="18"/>
      <c r="E7" s="18"/>
      <c r="F7" s="63"/>
      <c r="I7" s="63"/>
      <c r="J7" s="26">
        <v>1</v>
      </c>
      <c r="K7" s="52" t="s">
        <v>95</v>
      </c>
      <c r="L7" s="18"/>
      <c r="M7" s="18"/>
      <c r="N7" s="18"/>
      <c r="O7" s="63"/>
      <c r="P7" s="26">
        <v>1</v>
      </c>
      <c r="Q7" s="52" t="s">
        <v>95</v>
      </c>
      <c r="R7" s="18"/>
      <c r="S7" s="18"/>
      <c r="T7" s="18"/>
      <c r="V7" s="20"/>
    </row>
    <row r="8" spans="1:25" x14ac:dyDescent="0.3">
      <c r="A8" s="26">
        <f>A7+1</f>
        <v>2</v>
      </c>
      <c r="B8" s="15" t="s">
        <v>55</v>
      </c>
      <c r="C8" s="173">
        <f>'2022 GRC SEF-23 Adds'!I96</f>
        <v>728952322.59723783</v>
      </c>
      <c r="D8" s="173">
        <f>'Electric Closings Summary'!C31</f>
        <v>796097147.51363051</v>
      </c>
      <c r="E8" s="173">
        <f t="shared" ref="E8:E13" si="0">(D8-C8)*C$32/C$34</f>
        <v>6390027.9309816724</v>
      </c>
      <c r="F8" s="63"/>
      <c r="G8" s="382">
        <f>'Calc Program Gross Plant'!$O$22</f>
        <v>8358294.1899999995</v>
      </c>
      <c r="H8" s="382">
        <f>'Electric Closings Summary'!C13</f>
        <v>54183824.50166665</v>
      </c>
      <c r="I8" s="63"/>
      <c r="J8" s="26">
        <f>J7+1</f>
        <v>2</v>
      </c>
      <c r="K8" s="15" t="s">
        <v>55</v>
      </c>
      <c r="L8" s="173">
        <f>C8-G8</f>
        <v>720594028.40723777</v>
      </c>
      <c r="M8" s="173">
        <f>D8-H8</f>
        <v>741913323.01196384</v>
      </c>
      <c r="N8" s="173">
        <f t="shared" ref="N8:N13" si="1">(M8-L8)*L$32/L$34</f>
        <v>2028911.2103972021</v>
      </c>
      <c r="O8" s="63"/>
      <c r="P8" s="26">
        <f>P7+1</f>
        <v>2</v>
      </c>
      <c r="Q8" s="15" t="s">
        <v>55</v>
      </c>
      <c r="R8" s="173">
        <f>'2022 GRC SEF-24 Adds'!I96</f>
        <v>358874908.13276201</v>
      </c>
      <c r="S8" s="173">
        <f>'Gas Closings Summary'!C22</f>
        <v>365488717.4647029</v>
      </c>
      <c r="T8" s="173">
        <f t="shared" ref="T8:T13" si="2">(S8-R8)*R$32/R$34</f>
        <v>627382.24799247435</v>
      </c>
      <c r="V8" s="359">
        <f>S8+D8</f>
        <v>1161585864.9783335</v>
      </c>
      <c r="W8" s="360" t="s">
        <v>1561</v>
      </c>
      <c r="X8" s="360"/>
      <c r="Y8" s="361">
        <f>'Reconcile 2023 Actual GP&amp;Adds'!B747</f>
        <v>1161585864.978333</v>
      </c>
    </row>
    <row r="9" spans="1:25" x14ac:dyDescent="0.3">
      <c r="A9" s="26">
        <f t="shared" ref="A9:A34" si="3">A8+1</f>
        <v>3</v>
      </c>
      <c r="B9" s="15" t="s">
        <v>56</v>
      </c>
      <c r="C9" s="21">
        <f>'2022 GRC SEF-23 Adds'!I97</f>
        <v>-27237621.228534006</v>
      </c>
      <c r="D9" s="21">
        <f>-'Electric Closings Summary'!D31</f>
        <v>-32353171.102767028</v>
      </c>
      <c r="E9" s="21">
        <f t="shared" si="0"/>
        <v>-486835.83015343075</v>
      </c>
      <c r="F9" s="63"/>
      <c r="G9" s="21">
        <f>-'Calc Program Accum Depreciation'!$O$22</f>
        <v>-17655.300000000003</v>
      </c>
      <c r="H9" s="21">
        <f>-'Electric Closings Summary'!D13</f>
        <v>-177488.0274752673</v>
      </c>
      <c r="I9" s="63"/>
      <c r="J9" s="26">
        <f t="shared" ref="J9:J34" si="4">J8+1</f>
        <v>3</v>
      </c>
      <c r="K9" s="15" t="s">
        <v>56</v>
      </c>
      <c r="L9" s="21">
        <f t="shared" ref="L9:L13" si="5">C9-G9</f>
        <v>-27219965.928534005</v>
      </c>
      <c r="M9" s="21">
        <f t="shared" ref="M9:M13" si="6">D9-H9</f>
        <v>-32175683.07529176</v>
      </c>
      <c r="N9" s="21">
        <f t="shared" si="1"/>
        <v>-471624.89477421599</v>
      </c>
      <c r="O9" s="63"/>
      <c r="P9" s="26">
        <f t="shared" ref="P9:P34" si="7">P8+1</f>
        <v>3</v>
      </c>
      <c r="Q9" s="15" t="s">
        <v>56</v>
      </c>
      <c r="R9" s="21">
        <f>'2022 GRC SEF-24 Adds'!I97</f>
        <v>-13228601.641466003</v>
      </c>
      <c r="S9" s="21">
        <f>-'Gas Closings Summary'!D22</f>
        <v>-13494376.952434786</v>
      </c>
      <c r="T9" s="21">
        <f t="shared" si="2"/>
        <v>-25211.297103958317</v>
      </c>
    </row>
    <row r="10" spans="1:25" x14ac:dyDescent="0.3">
      <c r="A10" s="26">
        <f t="shared" si="3"/>
        <v>4</v>
      </c>
      <c r="B10" s="15" t="s">
        <v>57</v>
      </c>
      <c r="C10" s="22">
        <f>'2022 GRC SEF-23 Adds'!I98</f>
        <v>-12669342.306336001</v>
      </c>
      <c r="D10" s="22">
        <f>-'Electric Closings Summary'!E31</f>
        <v>-17872129.362987526</v>
      </c>
      <c r="E10" s="21">
        <f t="shared" si="0"/>
        <v>-495138.00434136699</v>
      </c>
      <c r="F10" s="63"/>
      <c r="G10" s="21">
        <v>-130134.42000000001</v>
      </c>
      <c r="H10" s="21">
        <f>-'Electric Closings Summary'!E13</f>
        <v>-1055058.2659856556</v>
      </c>
      <c r="I10" s="63"/>
      <c r="J10" s="26">
        <f t="shared" si="4"/>
        <v>4</v>
      </c>
      <c r="K10" s="15" t="s">
        <v>57</v>
      </c>
      <c r="L10" s="22">
        <f t="shared" si="5"/>
        <v>-12539207.886336001</v>
      </c>
      <c r="M10" s="22">
        <f t="shared" si="6"/>
        <v>-16817071.097001869</v>
      </c>
      <c r="N10" s="21">
        <f t="shared" si="1"/>
        <v>-407115.00007799</v>
      </c>
      <c r="O10" s="63"/>
      <c r="P10" s="26">
        <f t="shared" si="7"/>
        <v>4</v>
      </c>
      <c r="Q10" s="15" t="s">
        <v>57</v>
      </c>
      <c r="R10" s="22">
        <f>'2022 GRC SEF-24 Adds'!I98</f>
        <v>-5569572.8036639998</v>
      </c>
      <c r="S10" s="22">
        <f>-'Gas Closings Summary'!E22</f>
        <v>-15712042.045893751</v>
      </c>
      <c r="T10" s="21">
        <f t="shared" si="2"/>
        <v>-962108.95023145201</v>
      </c>
    </row>
    <row r="11" spans="1:25" x14ac:dyDescent="0.3">
      <c r="A11" s="26">
        <f t="shared" si="3"/>
        <v>5</v>
      </c>
      <c r="B11" s="15" t="s">
        <v>58</v>
      </c>
      <c r="C11" s="22">
        <v>0</v>
      </c>
      <c r="D11" s="22">
        <v>0</v>
      </c>
      <c r="E11" s="21">
        <f t="shared" si="0"/>
        <v>0</v>
      </c>
      <c r="F11" s="63"/>
      <c r="I11" s="63"/>
      <c r="J11" s="26">
        <f t="shared" si="4"/>
        <v>5</v>
      </c>
      <c r="K11" s="15" t="s">
        <v>58</v>
      </c>
      <c r="L11" s="22">
        <f t="shared" si="5"/>
        <v>0</v>
      </c>
      <c r="M11" s="22">
        <f t="shared" si="6"/>
        <v>0</v>
      </c>
      <c r="N11" s="21">
        <f t="shared" si="1"/>
        <v>0</v>
      </c>
      <c r="O11" s="63"/>
      <c r="P11" s="26">
        <f t="shared" si="7"/>
        <v>5</v>
      </c>
      <c r="Q11" s="15" t="s">
        <v>58</v>
      </c>
      <c r="R11" s="22">
        <v>0</v>
      </c>
      <c r="S11" s="22">
        <v>0</v>
      </c>
      <c r="T11" s="21">
        <f t="shared" si="2"/>
        <v>0</v>
      </c>
    </row>
    <row r="12" spans="1:25" x14ac:dyDescent="0.3">
      <c r="A12" s="26">
        <f t="shared" si="3"/>
        <v>6</v>
      </c>
      <c r="B12" s="15" t="s">
        <v>59</v>
      </c>
      <c r="C12" s="22">
        <f>'2022 GRC SEF-23 Retires'!J32</f>
        <v>7224733.0119979996</v>
      </c>
      <c r="D12" s="23">
        <f>'2023 Retirement Depr Adj'!F13</f>
        <v>5152670.594475029</v>
      </c>
      <c r="E12" s="21">
        <f t="shared" si="0"/>
        <v>-197193.7038959596</v>
      </c>
      <c r="F12" s="63"/>
      <c r="I12" s="63"/>
      <c r="J12" s="26">
        <f t="shared" si="4"/>
        <v>6</v>
      </c>
      <c r="K12" s="15" t="s">
        <v>59</v>
      </c>
      <c r="L12" s="22">
        <f t="shared" si="5"/>
        <v>7224733.0119979996</v>
      </c>
      <c r="M12" s="23">
        <f t="shared" si="6"/>
        <v>5152670.594475029</v>
      </c>
      <c r="N12" s="21">
        <f t="shared" si="1"/>
        <v>-197193.7038959596</v>
      </c>
      <c r="O12" s="63"/>
      <c r="P12" s="26">
        <f t="shared" si="7"/>
        <v>6</v>
      </c>
      <c r="Q12" s="15" t="s">
        <v>59</v>
      </c>
      <c r="R12" s="22">
        <f>'2022 GRC SEF-24 Retires'!J32</f>
        <v>1640749.1780020001</v>
      </c>
      <c r="S12" s="23">
        <f>'2023 Retirement Depr Adj'!F23</f>
        <v>1738668.6731881651</v>
      </c>
      <c r="T12" s="21">
        <f t="shared" si="2"/>
        <v>9288.5884562015835</v>
      </c>
    </row>
    <row r="13" spans="1:25" x14ac:dyDescent="0.3">
      <c r="A13" s="26">
        <f t="shared" si="3"/>
        <v>7</v>
      </c>
      <c r="B13" s="15" t="s">
        <v>60</v>
      </c>
      <c r="C13" s="22">
        <f>'2022 GRC SEF-23 Retires'!J33+'2022 GRC SEF-23 Retires'!J34</f>
        <v>-14233687.99806273</v>
      </c>
      <c r="D13" s="23">
        <f>'2023 Retirement Depr Adj'!F15+'2023 Retirement Depr Adj'!F16</f>
        <v>-19043982.511188123</v>
      </c>
      <c r="E13" s="21">
        <f t="shared" si="0"/>
        <v>-457785.33689518669</v>
      </c>
      <c r="F13" s="63"/>
      <c r="I13" s="63"/>
      <c r="J13" s="26">
        <f t="shared" si="4"/>
        <v>7</v>
      </c>
      <c r="K13" s="15" t="s">
        <v>60</v>
      </c>
      <c r="L13" s="22">
        <f t="shared" si="5"/>
        <v>-14233687.99806273</v>
      </c>
      <c r="M13" s="23">
        <f t="shared" si="6"/>
        <v>-19043982.511188123</v>
      </c>
      <c r="N13" s="21">
        <f t="shared" si="1"/>
        <v>-457785.33689518669</v>
      </c>
      <c r="O13" s="63"/>
      <c r="P13" s="26">
        <f t="shared" si="7"/>
        <v>7</v>
      </c>
      <c r="Q13" s="15" t="s">
        <v>60</v>
      </c>
      <c r="R13" s="22">
        <f>'2022 GRC SEF-24 Retires'!J33+'2022 GRC SEF-24 Retires'!J34-'2022 GRC SEF-24 Retires'!J34</f>
        <v>-7224079.5246852636</v>
      </c>
      <c r="S13" s="23">
        <f>'2023 Retirement Depr Adj'!F25+'2023 Retirement Depr Adj'!F26</f>
        <v>-10641099.779641626</v>
      </c>
      <c r="T13" s="21">
        <f t="shared" si="2"/>
        <v>-324136.62707770069</v>
      </c>
      <c r="U13"/>
      <c r="V13"/>
    </row>
    <row r="14" spans="1:25" ht="15" thickBot="1" x14ac:dyDescent="0.35">
      <c r="A14" s="26">
        <f t="shared" si="3"/>
        <v>8</v>
      </c>
      <c r="B14" s="53" t="s">
        <v>96</v>
      </c>
      <c r="C14" s="54">
        <f>SUM(C8:C13)</f>
        <v>682036404.07630312</v>
      </c>
      <c r="D14" s="54">
        <f>SUM(D8:D13)</f>
        <v>731980535.13116288</v>
      </c>
      <c r="E14" s="54">
        <f>SUM(E8:E13)</f>
        <v>4753075.0556957284</v>
      </c>
      <c r="F14" s="172">
        <f>(D14-C14)*$C$32/$C$34-E14</f>
        <v>0</v>
      </c>
      <c r="G14" s="54">
        <f>SUM(G8:G13)</f>
        <v>8210504.4699999997</v>
      </c>
      <c r="H14" s="54">
        <f>SUM(H8:H13)</f>
        <v>52951278.20820573</v>
      </c>
      <c r="I14" s="172"/>
      <c r="J14" s="26">
        <f t="shared" si="4"/>
        <v>8</v>
      </c>
      <c r="K14" s="53" t="s">
        <v>96</v>
      </c>
      <c r="L14" s="54">
        <f>SUM(L8:L13)</f>
        <v>673825899.6063031</v>
      </c>
      <c r="M14" s="54">
        <f>SUM(M8:M13)</f>
        <v>679029256.92295706</v>
      </c>
      <c r="N14" s="54">
        <f>SUM(N8:N13)</f>
        <v>495192.27475384972</v>
      </c>
      <c r="O14" s="172"/>
      <c r="P14" s="26">
        <f t="shared" si="7"/>
        <v>8</v>
      </c>
      <c r="Q14" s="53" t="s">
        <v>96</v>
      </c>
      <c r="R14" s="54">
        <f>SUM(R8:R13)</f>
        <v>334493403.3409487</v>
      </c>
      <c r="S14" s="54">
        <f>SUM(S8:S13)</f>
        <v>327379867.35992092</v>
      </c>
      <c r="T14" s="54">
        <f>SUM(T8:T13)</f>
        <v>-674786.03796443506</v>
      </c>
      <c r="U14" s="175">
        <f>(S14-R14)*$R$32/$R$34-T14</f>
        <v>5.8207660913467407E-9</v>
      </c>
    </row>
    <row r="15" spans="1:25" x14ac:dyDescent="0.3">
      <c r="A15" s="26">
        <f t="shared" si="3"/>
        <v>9</v>
      </c>
      <c r="B15" s="56"/>
      <c r="C15" s="57"/>
      <c r="D15" s="57"/>
      <c r="E15" s="55"/>
      <c r="F15" s="64"/>
      <c r="I15" s="64"/>
      <c r="J15" s="26">
        <f t="shared" si="4"/>
        <v>9</v>
      </c>
      <c r="K15" s="56"/>
      <c r="L15" s="57"/>
      <c r="M15" s="57"/>
      <c r="N15" s="55"/>
      <c r="O15" s="64"/>
      <c r="P15" s="26">
        <f t="shared" si="7"/>
        <v>9</v>
      </c>
      <c r="Q15" s="56"/>
      <c r="R15" s="57"/>
      <c r="S15" s="57"/>
      <c r="T15" s="55"/>
      <c r="U15" s="56"/>
    </row>
    <row r="16" spans="1:25" x14ac:dyDescent="0.3">
      <c r="A16" s="26">
        <f t="shared" si="3"/>
        <v>10</v>
      </c>
      <c r="B16" s="52" t="s">
        <v>97</v>
      </c>
      <c r="E16" s="25"/>
      <c r="F16" s="63"/>
      <c r="I16" s="63"/>
      <c r="J16" s="26">
        <f t="shared" si="4"/>
        <v>10</v>
      </c>
      <c r="K16" s="52" t="s">
        <v>97</v>
      </c>
      <c r="N16" s="25"/>
      <c r="O16" s="63"/>
      <c r="P16" s="26">
        <f t="shared" si="7"/>
        <v>10</v>
      </c>
      <c r="Q16" s="52" t="s">
        <v>97</v>
      </c>
      <c r="T16" s="25"/>
      <c r="U16" s="176"/>
    </row>
    <row r="17" spans="1:29" x14ac:dyDescent="0.3">
      <c r="A17" s="26">
        <f t="shared" si="3"/>
        <v>11</v>
      </c>
      <c r="B17" s="15" t="s">
        <v>61</v>
      </c>
      <c r="C17" s="21">
        <f>-'2022 GRC SEF-23 Adds'!I88</f>
        <v>-39430019.821441993</v>
      </c>
      <c r="D17" s="21">
        <f>-'Electric Closings Summary'!G31</f>
        <v>-44847101.151235349</v>
      </c>
      <c r="E17" s="24">
        <f>(D17-C17)/C$34</f>
        <v>-7200166.5833195187</v>
      </c>
      <c r="F17" s="63"/>
      <c r="G17" s="21">
        <f>-'Calc Program Deprec Exp'!$F$22*0.79</f>
        <v>-128747.87209999999</v>
      </c>
      <c r="H17" s="21">
        <f>-'Electric Closings Summary'!G13*0.79</f>
        <v>-971340.76962368132</v>
      </c>
      <c r="I17" s="63"/>
      <c r="J17" s="26">
        <f t="shared" si="4"/>
        <v>11</v>
      </c>
      <c r="K17" s="15" t="s">
        <v>61</v>
      </c>
      <c r="L17" s="21">
        <f t="shared" ref="L17:L20" si="8">C17-G17</f>
        <v>-39301271.94934199</v>
      </c>
      <c r="M17" s="21">
        <f t="shared" ref="M17:M20" si="9">D17-H17</f>
        <v>-43875760.381611668</v>
      </c>
      <c r="N17" s="24">
        <f>(M17-L17)/L$34</f>
        <v>-6080226.000052738</v>
      </c>
      <c r="O17" s="63"/>
      <c r="P17" s="26">
        <f t="shared" si="7"/>
        <v>11</v>
      </c>
      <c r="Q17" s="15" t="s">
        <v>61</v>
      </c>
      <c r="R17" s="21">
        <f>-'2022 GRC SEF-24 Adds'!I88</f>
        <v>-17881280.898557998</v>
      </c>
      <c r="S17" s="21">
        <f>-'Gas Closings Summary'!G22</f>
        <v>-18207871.838364616</v>
      </c>
      <c r="T17" s="24">
        <f>(S17-R17)/R$34</f>
        <v>-432684.82660544669</v>
      </c>
      <c r="U17" s="176"/>
    </row>
    <row r="18" spans="1:29" x14ac:dyDescent="0.3">
      <c r="A18" s="26">
        <f t="shared" si="3"/>
        <v>12</v>
      </c>
      <c r="B18" s="15" t="s">
        <v>62</v>
      </c>
      <c r="C18" s="22">
        <f>-'2022 GRC SEF-23 Adds'!I92</f>
        <v>8280304.1625028178</v>
      </c>
      <c r="D18" s="22">
        <f>D17*-C33</f>
        <v>9417891.2417594232</v>
      </c>
      <c r="E18" s="24">
        <f>(D18-C18)/C$34</f>
        <v>1512034.9824970996</v>
      </c>
      <c r="F18" s="63"/>
      <c r="G18" s="21">
        <f>-G17*0.21</f>
        <v>27037.053140999997</v>
      </c>
      <c r="H18" s="21">
        <f>-H17*0.21</f>
        <v>203981.56162097308</v>
      </c>
      <c r="I18" s="63"/>
      <c r="J18" s="26">
        <f t="shared" si="4"/>
        <v>12</v>
      </c>
      <c r="K18" s="15" t="s">
        <v>62</v>
      </c>
      <c r="L18" s="22">
        <f t="shared" si="8"/>
        <v>8253267.1093618181</v>
      </c>
      <c r="M18" s="22">
        <f t="shared" si="9"/>
        <v>9213909.6801384501</v>
      </c>
      <c r="N18" s="24">
        <f>(M18-L18)/L$34</f>
        <v>1276847.4600110746</v>
      </c>
      <c r="O18" s="63"/>
      <c r="P18" s="26">
        <f t="shared" si="7"/>
        <v>12</v>
      </c>
      <c r="Q18" s="15" t="s">
        <v>62</v>
      </c>
      <c r="R18" s="22">
        <f>-'2022 GRC SEF-24 Adds'!I92</f>
        <v>3755068.9886971796</v>
      </c>
      <c r="S18" s="22">
        <f>S17*-R33</f>
        <v>3823653.0860565691</v>
      </c>
      <c r="T18" s="24">
        <f>(S18-R18)/R$34</f>
        <v>90863.813587143537</v>
      </c>
      <c r="U18" s="176"/>
      <c r="AB18" s="21"/>
      <c r="AC18" s="405"/>
    </row>
    <row r="19" spans="1:29" x14ac:dyDescent="0.3">
      <c r="A19" s="26">
        <f t="shared" si="3"/>
        <v>13</v>
      </c>
      <c r="B19" s="15" t="s">
        <v>63</v>
      </c>
      <c r="C19" s="22">
        <f>-'2022 GRC SEF-23 Retires'!J20</f>
        <v>9407514.2826580107</v>
      </c>
      <c r="D19" s="23">
        <f>-'2023 Retirement Depr Adj'!C13</f>
        <v>5152670.594475029</v>
      </c>
      <c r="E19" s="24">
        <f>(D19-C19)/C$34</f>
        <v>-5655367.0649932306</v>
      </c>
      <c r="F19" s="63"/>
      <c r="I19" s="63"/>
      <c r="J19" s="26">
        <f t="shared" si="4"/>
        <v>13</v>
      </c>
      <c r="K19" s="15" t="s">
        <v>63</v>
      </c>
      <c r="L19" s="22">
        <f t="shared" si="8"/>
        <v>9407514.2826580107</v>
      </c>
      <c r="M19" s="23">
        <f t="shared" si="9"/>
        <v>5152670.594475029</v>
      </c>
      <c r="N19" s="24">
        <f>(M19-L19)/L$34</f>
        <v>-5655367.0649932306</v>
      </c>
      <c r="O19" s="63"/>
      <c r="P19" s="26">
        <f t="shared" si="7"/>
        <v>13</v>
      </c>
      <c r="Q19" s="15" t="s">
        <v>63</v>
      </c>
      <c r="R19" s="22">
        <f>-'2022 GRC SEF-24 Retires'!J16</f>
        <v>2056035.8973419995</v>
      </c>
      <c r="S19" s="23">
        <f>'2023 Retirement Depr Adj'!F23</f>
        <v>1738668.6731881651</v>
      </c>
      <c r="T19" s="24">
        <f>(S19-R19)/R$34</f>
        <v>-420464.76376400451</v>
      </c>
      <c r="U19" s="176"/>
    </row>
    <row r="20" spans="1:29" x14ac:dyDescent="0.3">
      <c r="A20" s="26">
        <f t="shared" si="3"/>
        <v>14</v>
      </c>
      <c r="B20" s="15" t="s">
        <v>64</v>
      </c>
      <c r="C20" s="22">
        <f>-'2022 GRC SEF-23 Retires'!J27</f>
        <v>-2074592.5999582589</v>
      </c>
      <c r="D20" s="23">
        <f>SUM('2023 Retirement Depr Adj'!C15:C17)</f>
        <v>2210870.6328982385</v>
      </c>
      <c r="E20" s="24">
        <f>(D20-C20)/C$34</f>
        <v>5696065.331999518</v>
      </c>
      <c r="F20" s="63"/>
      <c r="I20" s="63"/>
      <c r="J20" s="26">
        <f t="shared" si="4"/>
        <v>14</v>
      </c>
      <c r="K20" s="15" t="s">
        <v>64</v>
      </c>
      <c r="L20" s="22">
        <f t="shared" si="8"/>
        <v>-2074592.5999582589</v>
      </c>
      <c r="M20" s="23">
        <f t="shared" si="9"/>
        <v>2210870.6328982385</v>
      </c>
      <c r="N20" s="24">
        <f>(M20-L20)/L$34</f>
        <v>5696065.331999518</v>
      </c>
      <c r="O20" s="63"/>
      <c r="P20" s="26">
        <f t="shared" si="7"/>
        <v>14</v>
      </c>
      <c r="Q20" s="15" t="s">
        <v>64</v>
      </c>
      <c r="R20" s="22">
        <f>-'2022 GRC SEF-24 Retires'!J27</f>
        <v>-109876.9497417392</v>
      </c>
      <c r="S20" s="23">
        <f>SUM('2023 Retirement Depr Adj'!C25:C27)</f>
        <v>313739.15431103786</v>
      </c>
      <c r="T20" s="24">
        <f>(S20-R20)/R$34</f>
        <v>561228.85906719393</v>
      </c>
      <c r="U20" s="176"/>
      <c r="AB20" s="21"/>
    </row>
    <row r="21" spans="1:29" x14ac:dyDescent="0.3">
      <c r="A21" s="26">
        <f t="shared" si="3"/>
        <v>15</v>
      </c>
      <c r="B21" s="58" t="s">
        <v>99</v>
      </c>
      <c r="C21" s="59">
        <f>SUM(C17:C20)</f>
        <v>-23816793.976239424</v>
      </c>
      <c r="D21" s="59">
        <f>SUM(D17:D20)</f>
        <v>-28065668.682102654</v>
      </c>
      <c r="E21" s="59">
        <f>SUM(E17:E20)</f>
        <v>-5647433.3338161316</v>
      </c>
      <c r="F21" s="63"/>
      <c r="G21" s="59">
        <f>SUM(G17:G20)</f>
        <v>-101710.818959</v>
      </c>
      <c r="H21" s="59">
        <f>SUM(H17:H20)</f>
        <v>-767359.20800270827</v>
      </c>
      <c r="I21" s="63"/>
      <c r="J21" s="26">
        <f t="shared" si="4"/>
        <v>15</v>
      </c>
      <c r="K21" s="58" t="s">
        <v>99</v>
      </c>
      <c r="L21" s="59">
        <f>SUM(L17:L20)</f>
        <v>-23715083.157280419</v>
      </c>
      <c r="M21" s="59">
        <f>SUM(M17:M20)</f>
        <v>-27298309.474099953</v>
      </c>
      <c r="N21" s="59">
        <f>SUM(N17:N20)</f>
        <v>-4762680.2730353773</v>
      </c>
      <c r="O21" s="63"/>
      <c r="P21" s="26">
        <f t="shared" si="7"/>
        <v>15</v>
      </c>
      <c r="Q21" s="58" t="s">
        <v>99</v>
      </c>
      <c r="R21" s="59">
        <f>SUM(R17:R20)</f>
        <v>-12180052.962260559</v>
      </c>
      <c r="S21" s="59">
        <f>SUM(S17:S20)</f>
        <v>-12331810.924808843</v>
      </c>
      <c r="T21" s="59">
        <f>SUM(T17:T20)</f>
        <v>-201056.91771511373</v>
      </c>
      <c r="U21" s="176"/>
    </row>
    <row r="22" spans="1:29" x14ac:dyDescent="0.3">
      <c r="A22" s="26">
        <f t="shared" si="3"/>
        <v>16</v>
      </c>
      <c r="F22" s="63"/>
      <c r="I22" s="63"/>
      <c r="J22" s="26">
        <f t="shared" si="4"/>
        <v>16</v>
      </c>
      <c r="O22" s="63"/>
      <c r="P22" s="26">
        <f t="shared" si="7"/>
        <v>16</v>
      </c>
      <c r="U22" s="176"/>
    </row>
    <row r="23" spans="1:29" x14ac:dyDescent="0.3">
      <c r="A23" s="26">
        <f t="shared" si="3"/>
        <v>17</v>
      </c>
      <c r="B23" s="15" t="s">
        <v>100</v>
      </c>
      <c r="C23" s="22">
        <f>C14*C31*C33</f>
        <v>3652304.9438286028</v>
      </c>
      <c r="D23" s="22">
        <f>D14*C31*C33</f>
        <v>3919755.7656273772</v>
      </c>
      <c r="E23" s="24">
        <f>(D23-C23)/C$34</f>
        <v>355484.87322975777</v>
      </c>
      <c r="F23" s="63"/>
      <c r="G23" s="21">
        <f>G14*C31*C33</f>
        <v>43967.251436849991</v>
      </c>
      <c r="H23" s="21">
        <f>H14*C31*C33</f>
        <v>283554.09480494162</v>
      </c>
      <c r="I23" s="63"/>
      <c r="J23" s="26">
        <f t="shared" si="4"/>
        <v>17</v>
      </c>
      <c r="K23" s="15" t="s">
        <v>100</v>
      </c>
      <c r="L23" s="22">
        <f>C23-G23</f>
        <v>3608337.6923917527</v>
      </c>
      <c r="M23" s="22">
        <f>D23-H23</f>
        <v>3636201.6708224355</v>
      </c>
      <c r="N23" s="24">
        <f>(M23-L23)/L$34</f>
        <v>37035.679208196656</v>
      </c>
      <c r="O23" s="63"/>
      <c r="P23" s="26">
        <f t="shared" si="7"/>
        <v>17</v>
      </c>
      <c r="Q23" s="15" t="s">
        <v>100</v>
      </c>
      <c r="R23" s="22">
        <f>R14*R31*R33</f>
        <v>1791212.1748907804</v>
      </c>
      <c r="S23" s="22">
        <f>S14*R31*R33</f>
        <v>1753119.1897123763</v>
      </c>
      <c r="T23" s="24">
        <f>(S23-R23)/R$34</f>
        <v>-50467.587057256176</v>
      </c>
      <c r="U23" s="176"/>
      <c r="AB23" s="21"/>
    </row>
    <row r="24" spans="1:29" ht="15" thickBot="1" x14ac:dyDescent="0.35">
      <c r="A24" s="26">
        <f t="shared" si="3"/>
        <v>18</v>
      </c>
      <c r="B24" s="53" t="s">
        <v>98</v>
      </c>
      <c r="C24" s="54">
        <f>C21+C23</f>
        <v>-20164489.032410823</v>
      </c>
      <c r="D24" s="54">
        <f>D21+D23</f>
        <v>-24145912.916475277</v>
      </c>
      <c r="E24" s="54">
        <f>E21+E23</f>
        <v>-5291948.4605863737</v>
      </c>
      <c r="F24" s="63"/>
      <c r="G24" s="54">
        <f>G21+G23</f>
        <v>-57743.567522150006</v>
      </c>
      <c r="H24" s="54">
        <f>H21+H23</f>
        <v>-483805.11319776665</v>
      </c>
      <c r="I24" s="63"/>
      <c r="J24" s="26">
        <f t="shared" si="4"/>
        <v>18</v>
      </c>
      <c r="K24" s="53" t="s">
        <v>98</v>
      </c>
      <c r="L24" s="54">
        <f>L21+L23</f>
        <v>-20106745.464888666</v>
      </c>
      <c r="M24" s="54">
        <f>M21+M23</f>
        <v>-23662107.803277519</v>
      </c>
      <c r="N24" s="54">
        <f>N21+N23</f>
        <v>-4725644.5938271806</v>
      </c>
      <c r="O24" s="63"/>
      <c r="P24" s="26">
        <f t="shared" si="7"/>
        <v>18</v>
      </c>
      <c r="Q24" s="53" t="s">
        <v>98</v>
      </c>
      <c r="R24" s="54">
        <f>R21+R23</f>
        <v>-10388840.787369778</v>
      </c>
      <c r="S24" s="54">
        <f>S21+S23</f>
        <v>-10578691.735096466</v>
      </c>
      <c r="T24" s="54">
        <f>T21+T23</f>
        <v>-251524.5047723699</v>
      </c>
      <c r="U24" s="176"/>
    </row>
    <row r="25" spans="1:29" x14ac:dyDescent="0.3">
      <c r="A25" s="26">
        <f t="shared" si="3"/>
        <v>19</v>
      </c>
      <c r="C25" s="21"/>
      <c r="D25" s="21"/>
      <c r="E25" s="21"/>
      <c r="F25" s="63"/>
      <c r="I25" s="63"/>
      <c r="J25" s="26">
        <f t="shared" si="4"/>
        <v>19</v>
      </c>
      <c r="L25" s="21"/>
      <c r="M25" s="21"/>
      <c r="N25" s="21"/>
      <c r="O25" s="63"/>
      <c r="P25" s="26">
        <f t="shared" si="7"/>
        <v>19</v>
      </c>
      <c r="R25" s="21"/>
      <c r="S25" s="21"/>
      <c r="T25" s="21"/>
      <c r="U25" s="176"/>
    </row>
    <row r="26" spans="1:29" x14ac:dyDescent="0.3">
      <c r="A26" s="26">
        <f t="shared" si="3"/>
        <v>20</v>
      </c>
      <c r="B26" s="15" t="s">
        <v>101</v>
      </c>
      <c r="C26" s="22">
        <f>C14*C32</f>
        <v>48833806.531863302</v>
      </c>
      <c r="D26" s="22">
        <f>D14*C32</f>
        <v>52409806.315391257</v>
      </c>
      <c r="E26" s="22"/>
      <c r="F26" s="172">
        <f>(D26-C26)/C34-E14</f>
        <v>0</v>
      </c>
      <c r="G26" s="21">
        <f>G14*C32</f>
        <v>587872.12005199993</v>
      </c>
      <c r="H26" s="21">
        <f>H14*C32</f>
        <v>3791311.5197075303</v>
      </c>
      <c r="I26" s="172"/>
      <c r="J26" s="26">
        <f t="shared" si="4"/>
        <v>20</v>
      </c>
      <c r="K26" s="15" t="s">
        <v>101</v>
      </c>
      <c r="L26" s="22">
        <f>C26-G26</f>
        <v>48245934.4118113</v>
      </c>
      <c r="M26" s="22">
        <f>D26-H26</f>
        <v>48618494.795683727</v>
      </c>
      <c r="N26" s="22"/>
      <c r="O26" s="172"/>
      <c r="P26" s="26">
        <f t="shared" si="7"/>
        <v>20</v>
      </c>
      <c r="Q26" s="15" t="s">
        <v>101</v>
      </c>
      <c r="R26" s="22">
        <f>R14*R32</f>
        <v>23949727.679211926</v>
      </c>
      <c r="S26" s="22">
        <f>S14*R32</f>
        <v>23440398.502970338</v>
      </c>
      <c r="T26" s="22"/>
      <c r="U26" s="175">
        <f>(S26-R26)/R34-T14</f>
        <v>7.5669959187507629E-9</v>
      </c>
    </row>
    <row r="27" spans="1:29" ht="15" thickBot="1" x14ac:dyDescent="0.35">
      <c r="A27" s="26">
        <f t="shared" si="3"/>
        <v>21</v>
      </c>
      <c r="B27" s="53" t="s">
        <v>65</v>
      </c>
      <c r="C27" s="54">
        <f>C26-C24</f>
        <v>68998295.564274132</v>
      </c>
      <c r="D27" s="54">
        <f>D26-D24</f>
        <v>76555719.231866539</v>
      </c>
      <c r="E27" s="22"/>
      <c r="F27" s="172">
        <f>E27/C34</f>
        <v>0</v>
      </c>
      <c r="G27" s="54">
        <f>G26-G24</f>
        <v>645615.68757414992</v>
      </c>
      <c r="H27" s="54">
        <f>H26-H24</f>
        <v>4275116.632905297</v>
      </c>
      <c r="I27" s="172"/>
      <c r="J27" s="26">
        <f t="shared" si="4"/>
        <v>21</v>
      </c>
      <c r="K27" s="53" t="s">
        <v>65</v>
      </c>
      <c r="L27" s="54">
        <f>L26-L24</f>
        <v>68352679.876699969</v>
      </c>
      <c r="M27" s="54">
        <f>M26-M24</f>
        <v>72280602.598961249</v>
      </c>
      <c r="N27" s="22"/>
      <c r="O27" s="172"/>
      <c r="P27" s="26">
        <f t="shared" si="7"/>
        <v>21</v>
      </c>
      <c r="Q27" s="53" t="s">
        <v>65</v>
      </c>
      <c r="R27" s="54">
        <f>R26-R24</f>
        <v>34338568.466581702</v>
      </c>
      <c r="S27" s="54">
        <f>S26-S24</f>
        <v>34019090.238066807</v>
      </c>
      <c r="T27" s="22"/>
      <c r="U27" s="175">
        <f>T27/R34</f>
        <v>0</v>
      </c>
    </row>
    <row r="28" spans="1:29" x14ac:dyDescent="0.3">
      <c r="A28" s="26">
        <f t="shared" si="3"/>
        <v>22</v>
      </c>
      <c r="C28" s="21"/>
      <c r="D28" s="21"/>
      <c r="E28" s="21"/>
      <c r="F28" s="63"/>
      <c r="G28" s="21"/>
      <c r="H28" s="21"/>
      <c r="I28" s="63"/>
      <c r="J28" s="26">
        <f t="shared" si="4"/>
        <v>22</v>
      </c>
      <c r="L28" s="21"/>
      <c r="M28" s="21"/>
      <c r="N28" s="21"/>
      <c r="O28" s="63"/>
      <c r="P28" s="26">
        <f t="shared" si="7"/>
        <v>22</v>
      </c>
      <c r="R28" s="21"/>
      <c r="S28" s="21"/>
      <c r="T28" s="21"/>
      <c r="U28" s="176"/>
      <c r="W28"/>
      <c r="X28"/>
    </row>
    <row r="29" spans="1:29" ht="15" thickBot="1" x14ac:dyDescent="0.35">
      <c r="A29" s="26">
        <f t="shared" si="3"/>
        <v>23</v>
      </c>
      <c r="B29" s="60" t="s">
        <v>66</v>
      </c>
      <c r="C29" s="174">
        <f>C27/C34</f>
        <v>91709758.776474044</v>
      </c>
      <c r="D29" s="174">
        <f>D27/C34</f>
        <v>101754782.29275613</v>
      </c>
      <c r="E29" s="174">
        <f>E14-E24</f>
        <v>10045023.516282102</v>
      </c>
      <c r="F29" s="172">
        <f>(D29-C29)-E29</f>
        <v>-2.0489096641540527E-8</v>
      </c>
      <c r="G29" s="174">
        <f>G27/C34</f>
        <v>858126.39986994164</v>
      </c>
      <c r="H29" s="174">
        <f>H27/C34</f>
        <v>5682313.047571023</v>
      </c>
      <c r="I29" s="172"/>
      <c r="J29" s="26">
        <f t="shared" si="4"/>
        <v>23</v>
      </c>
      <c r="K29" s="60" t="s">
        <v>66</v>
      </c>
      <c r="L29" s="174">
        <f>L27/L34</f>
        <v>90851632.376604095</v>
      </c>
      <c r="M29" s="174">
        <f>M27/L34</f>
        <v>96072469.245185122</v>
      </c>
      <c r="N29" s="174">
        <f>N14-N24</f>
        <v>5220836.8685810305</v>
      </c>
      <c r="O29" s="172"/>
      <c r="P29" s="26">
        <f t="shared" si="7"/>
        <v>23</v>
      </c>
      <c r="Q29" s="60" t="s">
        <v>66</v>
      </c>
      <c r="R29" s="174">
        <f>R27/R34</f>
        <v>45493538.650030538</v>
      </c>
      <c r="S29" s="174">
        <f>S27/R34</f>
        <v>45070277.116838485</v>
      </c>
      <c r="T29" s="174">
        <f>T14-T24</f>
        <v>-423261.5331920652</v>
      </c>
      <c r="U29" s="175">
        <f>(S29-R29)-T29</f>
        <v>1.1757947504520416E-8</v>
      </c>
      <c r="W29"/>
      <c r="X29"/>
    </row>
    <row r="30" spans="1:29" ht="15" thickTop="1" x14ac:dyDescent="0.3">
      <c r="A30" s="26">
        <f t="shared" si="3"/>
        <v>24</v>
      </c>
      <c r="E30" s="304"/>
      <c r="F30" s="63"/>
      <c r="I30" s="63"/>
      <c r="J30" s="26">
        <f t="shared" si="4"/>
        <v>24</v>
      </c>
      <c r="N30" s="304"/>
      <c r="O30" s="63"/>
      <c r="P30" s="26">
        <f t="shared" si="7"/>
        <v>24</v>
      </c>
    </row>
    <row r="31" spans="1:29" x14ac:dyDescent="0.3">
      <c r="A31" s="26">
        <f t="shared" si="3"/>
        <v>25</v>
      </c>
      <c r="B31" s="15" t="s">
        <v>67</v>
      </c>
      <c r="C31" s="27">
        <f>'SEF-23'!D9</f>
        <v>2.5499999999999998E-2</v>
      </c>
      <c r="E31" s="210"/>
      <c r="F31" s="63"/>
      <c r="I31" s="63"/>
      <c r="J31" s="26">
        <f t="shared" si="4"/>
        <v>25</v>
      </c>
      <c r="K31" s="15" t="s">
        <v>67</v>
      </c>
      <c r="L31" s="27">
        <f>C31</f>
        <v>2.5499999999999998E-2</v>
      </c>
      <c r="N31" s="210"/>
      <c r="O31" s="63"/>
      <c r="P31" s="26">
        <f t="shared" si="7"/>
        <v>25</v>
      </c>
      <c r="Q31" s="15" t="s">
        <v>67</v>
      </c>
      <c r="R31" s="27">
        <f>'SEF-24'!D9</f>
        <v>2.5499999999999998E-2</v>
      </c>
      <c r="T31" s="210"/>
      <c r="U31" s="210"/>
    </row>
    <row r="32" spans="1:29" x14ac:dyDescent="0.3">
      <c r="A32" s="26">
        <f t="shared" si="3"/>
        <v>26</v>
      </c>
      <c r="B32" s="15" t="s">
        <v>68</v>
      </c>
      <c r="C32" s="27">
        <f>'SEF-23'!D10</f>
        <v>7.1599999999999997E-2</v>
      </c>
      <c r="F32" s="63"/>
      <c r="I32" s="63"/>
      <c r="J32" s="26">
        <f t="shared" si="4"/>
        <v>26</v>
      </c>
      <c r="K32" s="15" t="s">
        <v>68</v>
      </c>
      <c r="L32" s="27">
        <f t="shared" ref="L32:L34" si="10">C32</f>
        <v>7.1599999999999997E-2</v>
      </c>
      <c r="O32" s="63"/>
      <c r="P32" s="26">
        <f t="shared" si="7"/>
        <v>26</v>
      </c>
      <c r="Q32" s="15" t="s">
        <v>68</v>
      </c>
      <c r="R32" s="27">
        <f>'SEF-24'!D10</f>
        <v>7.1599999999999997E-2</v>
      </c>
    </row>
    <row r="33" spans="1:18" x14ac:dyDescent="0.3">
      <c r="A33" s="26">
        <f t="shared" si="3"/>
        <v>27</v>
      </c>
      <c r="B33" s="15" t="s">
        <v>69</v>
      </c>
      <c r="C33" s="27">
        <f>'SEF-23'!C11</f>
        <v>0.21</v>
      </c>
      <c r="F33" s="63"/>
      <c r="I33" s="63"/>
      <c r="J33" s="26">
        <f t="shared" si="4"/>
        <v>27</v>
      </c>
      <c r="K33" s="15" t="s">
        <v>69</v>
      </c>
      <c r="L33" s="27">
        <f t="shared" si="10"/>
        <v>0.21</v>
      </c>
      <c r="O33" s="63"/>
      <c r="P33" s="26">
        <f t="shared" si="7"/>
        <v>27</v>
      </c>
      <c r="Q33" s="15" t="s">
        <v>69</v>
      </c>
      <c r="R33" s="27">
        <f>'SEF-24'!C11</f>
        <v>0.21</v>
      </c>
    </row>
    <row r="34" spans="1:18" x14ac:dyDescent="0.3">
      <c r="A34" s="26">
        <f t="shared" si="3"/>
        <v>28</v>
      </c>
      <c r="B34" s="15" t="s">
        <v>70</v>
      </c>
      <c r="C34" s="80">
        <f>'SEF-23'!C12</f>
        <v>0.752355</v>
      </c>
      <c r="F34" s="63"/>
      <c r="I34" s="63"/>
      <c r="J34" s="26">
        <f t="shared" si="4"/>
        <v>28</v>
      </c>
      <c r="K34" s="15" t="s">
        <v>70</v>
      </c>
      <c r="L34" s="27">
        <f t="shared" si="10"/>
        <v>0.752355</v>
      </c>
      <c r="O34" s="63"/>
      <c r="P34" s="26">
        <f t="shared" si="7"/>
        <v>28</v>
      </c>
      <c r="Q34" s="15" t="s">
        <v>70</v>
      </c>
      <c r="R34" s="80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I96" sqref="I96"/>
    </sheetView>
  </sheetViews>
  <sheetFormatPr defaultRowHeight="14.4" x14ac:dyDescent="0.3"/>
  <cols>
    <col min="1" max="1" width="4.6640625" bestFit="1" customWidth="1"/>
    <col min="2" max="2" width="45.33203125" bestFit="1" customWidth="1"/>
    <col min="3" max="3" width="4.44140625" bestFit="1" customWidth="1"/>
    <col min="4" max="4" width="13.33203125" bestFit="1" customWidth="1"/>
    <col min="5" max="5" width="11.6640625" bestFit="1" customWidth="1"/>
    <col min="6" max="7" width="15.6640625" bestFit="1" customWidth="1"/>
    <col min="8" max="8" width="15.88671875" bestFit="1" customWidth="1"/>
    <col min="9" max="10" width="15.6640625" bestFit="1" customWidth="1"/>
    <col min="11" max="11" width="19.33203125" bestFit="1" customWidth="1"/>
  </cols>
  <sheetData>
    <row r="1" spans="1:11" x14ac:dyDescent="0.3">
      <c r="A1" s="307"/>
      <c r="B1" s="308" t="s">
        <v>127</v>
      </c>
      <c r="C1" s="308"/>
      <c r="D1" s="308"/>
      <c r="E1" s="308"/>
      <c r="F1" s="309"/>
      <c r="J1" t="s">
        <v>1195</v>
      </c>
      <c r="K1" s="310"/>
    </row>
    <row r="2" spans="1:11" ht="15" thickBot="1" x14ac:dyDescent="0.35">
      <c r="A2" s="307"/>
      <c r="B2" s="308" t="s">
        <v>129</v>
      </c>
      <c r="C2" s="308"/>
      <c r="D2" s="308"/>
      <c r="E2" s="308"/>
      <c r="F2" s="309"/>
      <c r="J2" t="s">
        <v>1196</v>
      </c>
      <c r="K2" s="311"/>
    </row>
    <row r="3" spans="1:11" x14ac:dyDescent="0.3">
      <c r="A3" s="307"/>
      <c r="B3" s="308" t="s">
        <v>130</v>
      </c>
      <c r="C3" s="308"/>
      <c r="D3" s="308"/>
      <c r="E3" s="308"/>
      <c r="F3" s="309"/>
      <c r="G3" s="312"/>
    </row>
    <row r="4" spans="1:11" x14ac:dyDescent="0.3">
      <c r="A4" s="307"/>
      <c r="B4" s="313" t="s">
        <v>1148</v>
      </c>
      <c r="C4" s="308"/>
      <c r="D4" s="308"/>
      <c r="E4" s="308"/>
      <c r="F4" s="309"/>
      <c r="G4" s="308"/>
    </row>
    <row r="5" spans="1:11" x14ac:dyDescent="0.3">
      <c r="A5" s="314"/>
      <c r="B5" s="315"/>
      <c r="C5" s="315"/>
      <c r="D5" s="316"/>
      <c r="E5" s="316" t="s">
        <v>1150</v>
      </c>
      <c r="F5" s="316"/>
      <c r="G5" s="316" t="s">
        <v>1150</v>
      </c>
      <c r="H5" s="316"/>
      <c r="I5" s="316" t="s">
        <v>1151</v>
      </c>
      <c r="J5" s="316"/>
      <c r="K5" s="316" t="s">
        <v>1151</v>
      </c>
    </row>
    <row r="6" spans="1:11" x14ac:dyDescent="0.3">
      <c r="A6" s="315"/>
      <c r="B6" s="315" t="s">
        <v>131</v>
      </c>
      <c r="C6" s="315"/>
      <c r="D6" s="316"/>
      <c r="E6" s="316"/>
      <c r="F6" s="316"/>
      <c r="G6" s="316"/>
      <c r="H6" s="316"/>
      <c r="I6" s="316"/>
      <c r="J6" s="316"/>
      <c r="K6" s="316"/>
    </row>
    <row r="7" spans="1:11" x14ac:dyDescent="0.3">
      <c r="A7" s="315"/>
      <c r="B7" s="315"/>
      <c r="C7" s="315"/>
      <c r="D7" s="316"/>
      <c r="E7" s="316" t="s">
        <v>1152</v>
      </c>
      <c r="F7" s="316">
        <v>2022</v>
      </c>
      <c r="G7" s="316" t="s">
        <v>1153</v>
      </c>
      <c r="H7" s="316">
        <v>2023</v>
      </c>
      <c r="I7" s="316" t="s">
        <v>1153</v>
      </c>
      <c r="J7" s="316">
        <v>2024</v>
      </c>
      <c r="K7" s="316" t="s">
        <v>1153</v>
      </c>
    </row>
    <row r="8" spans="1:11" x14ac:dyDescent="0.3">
      <c r="A8" s="315"/>
      <c r="B8" s="315"/>
      <c r="C8" s="317"/>
      <c r="D8" s="318" t="s">
        <v>1154</v>
      </c>
      <c r="E8" s="316" t="s">
        <v>1153</v>
      </c>
      <c r="F8" s="316" t="s">
        <v>1155</v>
      </c>
      <c r="G8" s="316" t="s">
        <v>1156</v>
      </c>
      <c r="H8" s="316" t="s">
        <v>1157</v>
      </c>
      <c r="I8" s="316" t="s">
        <v>1156</v>
      </c>
      <c r="J8" s="316" t="s">
        <v>1158</v>
      </c>
      <c r="K8" s="316" t="s">
        <v>1156</v>
      </c>
    </row>
    <row r="9" spans="1:11" x14ac:dyDescent="0.3">
      <c r="A9" s="316" t="s">
        <v>132</v>
      </c>
      <c r="B9" s="5"/>
      <c r="C9" s="319"/>
      <c r="D9" s="319" t="s">
        <v>1159</v>
      </c>
      <c r="E9" s="316" t="s">
        <v>1160</v>
      </c>
      <c r="F9" s="316" t="s">
        <v>1161</v>
      </c>
      <c r="G9" s="316" t="s">
        <v>1162</v>
      </c>
      <c r="H9" s="316" t="s">
        <v>1161</v>
      </c>
      <c r="I9" s="316" t="s">
        <v>1163</v>
      </c>
      <c r="J9" s="316" t="s">
        <v>1161</v>
      </c>
      <c r="K9" s="316" t="s">
        <v>1163</v>
      </c>
    </row>
    <row r="10" spans="1:11" x14ac:dyDescent="0.3">
      <c r="A10" s="320" t="s">
        <v>1164</v>
      </c>
      <c r="B10" s="320" t="s">
        <v>1165</v>
      </c>
      <c r="C10" s="320"/>
      <c r="D10" s="320" t="s">
        <v>1166</v>
      </c>
      <c r="E10" s="320" t="s">
        <v>1167</v>
      </c>
      <c r="F10" s="320" t="s">
        <v>1166</v>
      </c>
      <c r="G10" s="320" t="s">
        <v>1157</v>
      </c>
      <c r="H10" s="320" t="s">
        <v>1166</v>
      </c>
      <c r="I10" s="320" t="s">
        <v>1157</v>
      </c>
      <c r="J10" s="320" t="s">
        <v>1166</v>
      </c>
      <c r="K10" s="320" t="s">
        <v>1158</v>
      </c>
    </row>
    <row r="11" spans="1:11" ht="18" x14ac:dyDescent="0.35">
      <c r="A11" s="316">
        <v>1</v>
      </c>
      <c r="B11" s="321" t="s">
        <v>1168</v>
      </c>
      <c r="C11" s="319" t="s">
        <v>1197</v>
      </c>
      <c r="D11" s="319"/>
      <c r="E11" s="315"/>
      <c r="F11" s="315"/>
      <c r="G11" s="315"/>
      <c r="H11" s="315"/>
      <c r="I11" s="315"/>
      <c r="J11" s="315"/>
      <c r="K11" s="315"/>
    </row>
    <row r="12" spans="1:11" x14ac:dyDescent="0.3">
      <c r="A12" s="316">
        <v>2</v>
      </c>
      <c r="B12" s="315" t="s">
        <v>1198</v>
      </c>
      <c r="C12" s="315"/>
      <c r="D12" s="322">
        <v>0</v>
      </c>
      <c r="E12" s="322">
        <v>0</v>
      </c>
      <c r="F12" s="322">
        <v>3273093.5500000003</v>
      </c>
      <c r="G12" s="322">
        <v>3273093.5500000003</v>
      </c>
      <c r="H12" s="323">
        <v>9840603.2199999969</v>
      </c>
      <c r="I12" s="323">
        <v>13113696.769999998</v>
      </c>
      <c r="J12" s="323">
        <v>18030677.910000019</v>
      </c>
      <c r="K12" s="323">
        <v>31144374.680000015</v>
      </c>
    </row>
    <row r="13" spans="1:11" x14ac:dyDescent="0.3">
      <c r="A13" s="316">
        <v>3</v>
      </c>
      <c r="B13" s="315" t="s">
        <v>1199</v>
      </c>
      <c r="C13" s="315"/>
      <c r="D13" s="322">
        <v>0</v>
      </c>
      <c r="E13" s="322">
        <v>0</v>
      </c>
      <c r="F13" s="322">
        <v>1623965.1964619998</v>
      </c>
      <c r="G13" s="322">
        <v>1623965.1964619998</v>
      </c>
      <c r="H13" s="323">
        <v>578426.5767839998</v>
      </c>
      <c r="I13" s="323">
        <v>2202391.7732459996</v>
      </c>
      <c r="J13" s="323">
        <v>2489754.1390260002</v>
      </c>
      <c r="K13" s="323">
        <v>4692145.9122719998</v>
      </c>
    </row>
    <row r="14" spans="1:11" x14ac:dyDescent="0.3">
      <c r="A14" s="316">
        <v>4</v>
      </c>
      <c r="B14" s="315" t="s">
        <v>1200</v>
      </c>
      <c r="C14" s="315"/>
      <c r="D14" s="322">
        <v>0</v>
      </c>
      <c r="E14" s="322">
        <v>0</v>
      </c>
      <c r="F14" s="322">
        <v>190269.56</v>
      </c>
      <c r="G14" s="322">
        <v>190269.56</v>
      </c>
      <c r="H14" s="323">
        <v>588293.76</v>
      </c>
      <c r="I14" s="323">
        <v>778563.32000000007</v>
      </c>
      <c r="J14" s="323">
        <v>2170084.3599999994</v>
      </c>
      <c r="K14" s="323">
        <v>2948647.6799999997</v>
      </c>
    </row>
    <row r="15" spans="1:11" x14ac:dyDescent="0.3">
      <c r="A15" s="316">
        <v>5</v>
      </c>
      <c r="B15" s="315" t="s">
        <v>1201</v>
      </c>
      <c r="C15" s="315"/>
      <c r="D15" s="324">
        <v>0</v>
      </c>
      <c r="E15" s="324">
        <v>0</v>
      </c>
      <c r="F15" s="324">
        <v>1796060.637504</v>
      </c>
      <c r="G15" s="324">
        <v>1796060.637504</v>
      </c>
      <c r="H15" s="325">
        <v>3837403.1659739995</v>
      </c>
      <c r="I15" s="325">
        <v>5633463.8034779998</v>
      </c>
      <c r="J15" s="325">
        <v>4340981.5388940005</v>
      </c>
      <c r="K15" s="325">
        <v>9974445.3423720002</v>
      </c>
    </row>
    <row r="16" spans="1:11" x14ac:dyDescent="0.3">
      <c r="A16" s="316">
        <v>6</v>
      </c>
      <c r="B16" s="315" t="s">
        <v>1173</v>
      </c>
      <c r="C16" s="315"/>
      <c r="D16" s="322">
        <v>0</v>
      </c>
      <c r="E16" s="322">
        <v>0</v>
      </c>
      <c r="F16" s="322">
        <v>6883388.9439660003</v>
      </c>
      <c r="G16" s="322">
        <v>6883388.9439660003</v>
      </c>
      <c r="H16" s="323">
        <v>14844726.722757995</v>
      </c>
      <c r="I16" s="323">
        <v>21728115.666723996</v>
      </c>
      <c r="J16" s="323">
        <v>27031497.947920021</v>
      </c>
      <c r="K16" s="323">
        <v>48759613.614644013</v>
      </c>
    </row>
    <row r="17" spans="1:11" x14ac:dyDescent="0.3">
      <c r="A17" s="316">
        <v>7</v>
      </c>
      <c r="B17" s="315"/>
      <c r="C17" s="315"/>
      <c r="D17" s="322"/>
      <c r="E17" s="322"/>
      <c r="F17" s="322"/>
      <c r="G17" s="322"/>
      <c r="H17" s="323"/>
      <c r="I17" s="323"/>
      <c r="J17" s="323"/>
      <c r="K17" s="323"/>
    </row>
    <row r="18" spans="1:11" x14ac:dyDescent="0.3">
      <c r="A18" s="316">
        <v>8</v>
      </c>
      <c r="B18" s="315" t="s">
        <v>1174</v>
      </c>
      <c r="C18" s="315"/>
      <c r="D18" s="322">
        <v>0</v>
      </c>
      <c r="E18" s="322">
        <v>0</v>
      </c>
      <c r="F18" s="322">
        <v>6883388.9439660003</v>
      </c>
      <c r="G18" s="322">
        <v>6883388.9439660003</v>
      </c>
      <c r="H18" s="323">
        <v>14844726.722757995</v>
      </c>
      <c r="I18" s="323">
        <v>21728115.666723996</v>
      </c>
      <c r="J18" s="323">
        <v>27031497.947920021</v>
      </c>
      <c r="K18" s="323">
        <v>48759613.614644013</v>
      </c>
    </row>
    <row r="19" spans="1:11" x14ac:dyDescent="0.3">
      <c r="A19" s="316">
        <v>9</v>
      </c>
      <c r="B19" s="315"/>
      <c r="C19" s="315"/>
      <c r="D19" s="322"/>
      <c r="E19" s="322"/>
      <c r="F19" s="322"/>
      <c r="G19" s="322"/>
      <c r="H19" s="323"/>
      <c r="I19" s="323"/>
      <c r="J19" s="323"/>
      <c r="K19" s="323"/>
    </row>
    <row r="20" spans="1:11" x14ac:dyDescent="0.3">
      <c r="A20" s="316">
        <v>10</v>
      </c>
      <c r="B20" s="315" t="s">
        <v>1175</v>
      </c>
      <c r="C20" s="326">
        <v>0.21</v>
      </c>
      <c r="D20" s="324">
        <v>0</v>
      </c>
      <c r="E20" s="324">
        <v>0</v>
      </c>
      <c r="F20" s="324">
        <v>-1445511.6782328601</v>
      </c>
      <c r="G20" s="324">
        <v>-1445511.6782328601</v>
      </c>
      <c r="H20" s="325">
        <v>-3117392.611779179</v>
      </c>
      <c r="I20" s="325">
        <v>-4562904.2900120392</v>
      </c>
      <c r="J20" s="325">
        <v>-5676614.5690632043</v>
      </c>
      <c r="K20" s="325">
        <v>-10239518.859075243</v>
      </c>
    </row>
    <row r="21" spans="1:11" x14ac:dyDescent="0.3">
      <c r="A21" s="316">
        <v>11</v>
      </c>
      <c r="B21" s="315"/>
      <c r="C21" s="315"/>
      <c r="D21" s="322"/>
      <c r="E21" s="322"/>
      <c r="F21" s="322"/>
      <c r="G21" s="322"/>
      <c r="H21" s="323"/>
      <c r="I21" s="323"/>
      <c r="J21" s="323"/>
      <c r="K21" s="323"/>
    </row>
    <row r="22" spans="1:11" ht="15" thickBot="1" x14ac:dyDescent="0.35">
      <c r="A22" s="316">
        <v>12</v>
      </c>
      <c r="B22" s="230" t="s">
        <v>1176</v>
      </c>
      <c r="C22" s="315"/>
      <c r="D22" s="327">
        <v>0</v>
      </c>
      <c r="E22" s="327">
        <v>0</v>
      </c>
      <c r="F22" s="327">
        <v>-5437877.2657331405</v>
      </c>
      <c r="G22" s="327">
        <v>-5437877.2657331405</v>
      </c>
      <c r="H22" s="328">
        <v>-11727334.110978816</v>
      </c>
      <c r="I22" s="328">
        <v>-17165211.376711957</v>
      </c>
      <c r="J22" s="328">
        <v>-21354883.378856815</v>
      </c>
      <c r="K22" s="328">
        <v>-38520094.755568773</v>
      </c>
    </row>
    <row r="23" spans="1:11" ht="15" thickTop="1" x14ac:dyDescent="0.3">
      <c r="A23" s="316">
        <v>13</v>
      </c>
      <c r="B23" s="315"/>
      <c r="C23" s="315"/>
      <c r="D23" s="322"/>
      <c r="E23" s="322"/>
      <c r="F23" s="322"/>
      <c r="G23" s="322"/>
      <c r="H23" s="323"/>
      <c r="I23" s="323"/>
      <c r="J23" s="323"/>
      <c r="K23" s="323"/>
    </row>
    <row r="24" spans="1:11" x14ac:dyDescent="0.3">
      <c r="A24" s="316">
        <v>14</v>
      </c>
      <c r="B24" s="315" t="s">
        <v>1202</v>
      </c>
      <c r="C24" s="315"/>
      <c r="D24" s="322">
        <v>0</v>
      </c>
      <c r="E24" s="322">
        <v>0</v>
      </c>
      <c r="F24" s="322">
        <v>275144876.54060608</v>
      </c>
      <c r="G24" s="322">
        <v>275144876.54060608</v>
      </c>
      <c r="H24" s="323">
        <v>156248807.7365998</v>
      </c>
      <c r="I24" s="323">
        <v>431393684.27720588</v>
      </c>
      <c r="J24" s="323">
        <v>519951689.80276006</v>
      </c>
      <c r="K24" s="323">
        <v>951345374.07996595</v>
      </c>
    </row>
    <row r="25" spans="1:11" x14ac:dyDescent="0.3">
      <c r="A25" s="316">
        <v>15</v>
      </c>
      <c r="B25" s="315" t="s">
        <v>1178</v>
      </c>
      <c r="C25" s="315"/>
      <c r="D25" s="322">
        <v>0</v>
      </c>
      <c r="E25" s="322">
        <v>0</v>
      </c>
      <c r="F25" s="322">
        <v>-6883388.9439660003</v>
      </c>
      <c r="G25" s="322">
        <v>-6883388.9439660003</v>
      </c>
      <c r="H25" s="323">
        <v>-9398218.0489399992</v>
      </c>
      <c r="I25" s="323">
        <v>-16281606.992906</v>
      </c>
      <c r="J25" s="323">
        <v>-35005245.804460004</v>
      </c>
      <c r="K25" s="323">
        <v>-51286852.797366001</v>
      </c>
    </row>
    <row r="26" spans="1:11" x14ac:dyDescent="0.3">
      <c r="A26" s="316">
        <v>16</v>
      </c>
      <c r="B26" s="315" t="s">
        <v>49</v>
      </c>
      <c r="C26" s="315"/>
      <c r="D26" s="324">
        <v>0</v>
      </c>
      <c r="E26" s="324">
        <v>0</v>
      </c>
      <c r="F26" s="325">
        <v>-2634322.4648799994</v>
      </c>
      <c r="G26" s="325">
        <v>-2634322.4648799994</v>
      </c>
      <c r="H26" s="325">
        <v>-5049179.8292279989</v>
      </c>
      <c r="I26" s="325">
        <v>-7683502.2941079987</v>
      </c>
      <c r="J26" s="325">
        <v>-12452260.163154002</v>
      </c>
      <c r="K26" s="325">
        <v>-20135762.457262002</v>
      </c>
    </row>
    <row r="27" spans="1:11" x14ac:dyDescent="0.3">
      <c r="A27" s="316">
        <v>17</v>
      </c>
      <c r="B27" s="230" t="s">
        <v>1179</v>
      </c>
      <c r="C27" s="315"/>
      <c r="D27" s="322">
        <v>0</v>
      </c>
      <c r="E27" s="322">
        <v>0</v>
      </c>
      <c r="F27" s="323">
        <v>265627165.13176009</v>
      </c>
      <c r="G27" s="323">
        <v>265627165.13176009</v>
      </c>
      <c r="H27" s="323">
        <v>141801409.85843182</v>
      </c>
      <c r="I27" s="323">
        <v>407428574.99019194</v>
      </c>
      <c r="J27" s="323">
        <v>472494183.83514607</v>
      </c>
      <c r="K27" s="323">
        <v>879922758.82533789</v>
      </c>
    </row>
    <row r="28" spans="1:11" x14ac:dyDescent="0.3">
      <c r="A28" s="316">
        <v>18</v>
      </c>
      <c r="B28" s="315"/>
      <c r="C28" s="315"/>
      <c r="D28" s="322"/>
      <c r="E28" s="322"/>
      <c r="F28" s="322"/>
      <c r="G28" s="322"/>
      <c r="H28" s="329"/>
      <c r="I28" s="329"/>
      <c r="J28" s="329"/>
      <c r="K28" s="329"/>
    </row>
    <row r="29" spans="1:11" ht="18" x14ac:dyDescent="0.35">
      <c r="A29" s="316">
        <v>19</v>
      </c>
      <c r="B29" s="321" t="s">
        <v>1180</v>
      </c>
      <c r="C29" s="315"/>
      <c r="D29" s="322"/>
      <c r="E29" s="322"/>
      <c r="F29" s="322"/>
      <c r="G29" s="322"/>
      <c r="H29" s="329"/>
      <c r="I29" s="329"/>
      <c r="J29" s="329"/>
      <c r="K29" s="329"/>
    </row>
    <row r="30" spans="1:11" x14ac:dyDescent="0.3">
      <c r="A30" s="316">
        <v>20</v>
      </c>
      <c r="B30" s="315" t="s">
        <v>1198</v>
      </c>
      <c r="C30" s="315"/>
      <c r="D30" s="322">
        <v>0</v>
      </c>
      <c r="E30" s="322">
        <v>0</v>
      </c>
      <c r="F30" s="322">
        <v>124018.31999999996</v>
      </c>
      <c r="G30" s="322">
        <v>124018.31999999996</v>
      </c>
      <c r="H30" s="323">
        <v>97835.560000000245</v>
      </c>
      <c r="I30" s="323">
        <v>221853.88000000021</v>
      </c>
      <c r="J30" s="323">
        <v>241632.77999999971</v>
      </c>
      <c r="K30" s="323">
        <v>463486.65999999992</v>
      </c>
    </row>
    <row r="31" spans="1:11" x14ac:dyDescent="0.3">
      <c r="A31" s="316">
        <v>21</v>
      </c>
      <c r="B31" s="315" t="s">
        <v>1199</v>
      </c>
      <c r="C31" s="315"/>
      <c r="D31" s="322">
        <v>0</v>
      </c>
      <c r="E31" s="322">
        <v>0</v>
      </c>
      <c r="F31" s="322">
        <v>0</v>
      </c>
      <c r="G31" s="322">
        <v>0</v>
      </c>
      <c r="H31" s="323">
        <v>0</v>
      </c>
      <c r="I31" s="323">
        <v>0</v>
      </c>
      <c r="J31" s="323">
        <v>0</v>
      </c>
      <c r="K31" s="323">
        <v>0</v>
      </c>
    </row>
    <row r="32" spans="1:11" x14ac:dyDescent="0.3">
      <c r="A32" s="316">
        <v>22</v>
      </c>
      <c r="B32" s="315" t="s">
        <v>1200</v>
      </c>
      <c r="C32" s="315"/>
      <c r="D32" s="322">
        <v>0</v>
      </c>
      <c r="E32" s="322">
        <v>0</v>
      </c>
      <c r="F32" s="322">
        <v>7346.88</v>
      </c>
      <c r="G32" s="322">
        <v>7346.88</v>
      </c>
      <c r="H32" s="323">
        <v>40307.040000000001</v>
      </c>
      <c r="I32" s="323">
        <v>47653.919999999998</v>
      </c>
      <c r="J32" s="323">
        <v>71876.820000000007</v>
      </c>
      <c r="K32" s="323">
        <v>119530.74</v>
      </c>
    </row>
    <row r="33" spans="1:11" x14ac:dyDescent="0.3">
      <c r="A33" s="316">
        <v>23</v>
      </c>
      <c r="B33" s="315" t="s">
        <v>1201</v>
      </c>
      <c r="C33" s="315"/>
      <c r="D33" s="324">
        <v>0</v>
      </c>
      <c r="E33" s="324">
        <v>0</v>
      </c>
      <c r="F33" s="324">
        <v>0</v>
      </c>
      <c r="G33" s="324">
        <v>0</v>
      </c>
      <c r="H33" s="325">
        <v>0</v>
      </c>
      <c r="I33" s="325">
        <v>0</v>
      </c>
      <c r="J33" s="325">
        <v>0</v>
      </c>
      <c r="K33" s="325">
        <v>0</v>
      </c>
    </row>
    <row r="34" spans="1:11" x14ac:dyDescent="0.3">
      <c r="A34" s="316">
        <v>24</v>
      </c>
      <c r="B34" s="315" t="s">
        <v>1173</v>
      </c>
      <c r="C34" s="315"/>
      <c r="D34" s="322">
        <v>0</v>
      </c>
      <c r="E34" s="322">
        <v>0</v>
      </c>
      <c r="F34" s="322">
        <v>131365.19999999995</v>
      </c>
      <c r="G34" s="322">
        <v>131365.19999999995</v>
      </c>
      <c r="H34" s="323">
        <v>138142.60000000024</v>
      </c>
      <c r="I34" s="323">
        <v>269507.80000000022</v>
      </c>
      <c r="J34" s="323">
        <v>313509.59999999974</v>
      </c>
      <c r="K34" s="323">
        <v>583017.39999999991</v>
      </c>
    </row>
    <row r="35" spans="1:11" x14ac:dyDescent="0.3">
      <c r="A35" s="316">
        <v>25</v>
      </c>
      <c r="B35" s="315"/>
      <c r="C35" s="315"/>
      <c r="D35" s="322"/>
      <c r="E35" s="322"/>
      <c r="F35" s="322"/>
      <c r="G35" s="322"/>
      <c r="H35" s="323"/>
      <c r="I35" s="323"/>
      <c r="J35" s="323"/>
      <c r="K35" s="323"/>
    </row>
    <row r="36" spans="1:11" x14ac:dyDescent="0.3">
      <c r="A36" s="316">
        <v>26</v>
      </c>
      <c r="B36" s="315" t="s">
        <v>1174</v>
      </c>
      <c r="C36" s="315"/>
      <c r="D36" s="322">
        <v>0</v>
      </c>
      <c r="E36" s="322">
        <v>0</v>
      </c>
      <c r="F36" s="322">
        <v>131365.19999999995</v>
      </c>
      <c r="G36" s="322">
        <v>131365.19999999995</v>
      </c>
      <c r="H36" s="323">
        <v>138142.60000000024</v>
      </c>
      <c r="I36" s="323">
        <v>269507.80000000022</v>
      </c>
      <c r="J36" s="323">
        <v>313509.59999999974</v>
      </c>
      <c r="K36" s="323">
        <v>583017.39999999991</v>
      </c>
    </row>
    <row r="37" spans="1:11" x14ac:dyDescent="0.3">
      <c r="A37" s="316">
        <v>27</v>
      </c>
      <c r="B37" s="315"/>
      <c r="C37" s="315"/>
      <c r="D37" s="322"/>
      <c r="E37" s="322"/>
      <c r="F37" s="322"/>
      <c r="G37" s="322"/>
      <c r="H37" s="323"/>
      <c r="I37" s="323"/>
      <c r="J37" s="323"/>
      <c r="K37" s="323"/>
    </row>
    <row r="38" spans="1:11" x14ac:dyDescent="0.3">
      <c r="A38" s="316">
        <v>28</v>
      </c>
      <c r="B38" s="315" t="s">
        <v>1175</v>
      </c>
      <c r="C38" s="326">
        <v>0.21</v>
      </c>
      <c r="D38" s="324">
        <v>0</v>
      </c>
      <c r="E38" s="324">
        <v>0</v>
      </c>
      <c r="F38" s="324">
        <v>-27586.691999999988</v>
      </c>
      <c r="G38" s="324">
        <v>-27586.691999999988</v>
      </c>
      <c r="H38" s="325">
        <v>-29009.946000000051</v>
      </c>
      <c r="I38" s="325">
        <v>-56596.638000000043</v>
      </c>
      <c r="J38" s="325">
        <v>-65837.015999999945</v>
      </c>
      <c r="K38" s="325">
        <v>-122433.65399999998</v>
      </c>
    </row>
    <row r="39" spans="1:11" x14ac:dyDescent="0.3">
      <c r="A39" s="316">
        <v>29</v>
      </c>
      <c r="B39" s="315"/>
      <c r="C39" s="315"/>
      <c r="D39" s="322"/>
      <c r="E39" s="322"/>
      <c r="F39" s="322"/>
      <c r="G39" s="322"/>
      <c r="H39" s="323"/>
      <c r="I39" s="323"/>
      <c r="J39" s="323"/>
      <c r="K39" s="323"/>
    </row>
    <row r="40" spans="1:11" ht="15" thickBot="1" x14ac:dyDescent="0.35">
      <c r="A40" s="316">
        <v>30</v>
      </c>
      <c r="B40" s="230" t="s">
        <v>1176</v>
      </c>
      <c r="C40" s="315"/>
      <c r="D40" s="327">
        <v>0</v>
      </c>
      <c r="E40" s="327">
        <v>0</v>
      </c>
      <c r="F40" s="327">
        <v>-103778.50799999997</v>
      </c>
      <c r="G40" s="327">
        <v>-103778.50799999997</v>
      </c>
      <c r="H40" s="328">
        <v>-109132.65400000018</v>
      </c>
      <c r="I40" s="328">
        <v>-212911.16200000019</v>
      </c>
      <c r="J40" s="328">
        <v>-247672.5839999998</v>
      </c>
      <c r="K40" s="328">
        <v>-460583.74599999993</v>
      </c>
    </row>
    <row r="41" spans="1:11" ht="15" thickTop="1" x14ac:dyDescent="0.3">
      <c r="A41" s="316">
        <v>31</v>
      </c>
      <c r="B41" s="315"/>
      <c r="C41" s="315"/>
      <c r="D41" s="322"/>
      <c r="E41" s="322"/>
      <c r="F41" s="322"/>
      <c r="G41" s="322"/>
      <c r="H41" s="323"/>
      <c r="I41" s="323"/>
      <c r="J41" s="323"/>
      <c r="K41" s="323"/>
    </row>
    <row r="42" spans="1:11" x14ac:dyDescent="0.3">
      <c r="A42" s="316">
        <v>32</v>
      </c>
      <c r="B42" s="315" t="s">
        <v>1202</v>
      </c>
      <c r="C42" s="315"/>
      <c r="D42" s="322">
        <v>0</v>
      </c>
      <c r="E42" s="322">
        <v>0</v>
      </c>
      <c r="F42" s="322">
        <v>4064845.8499999996</v>
      </c>
      <c r="G42" s="322">
        <v>4064845.8499999996</v>
      </c>
      <c r="H42" s="323">
        <v>4047296.6800000016</v>
      </c>
      <c r="I42" s="323">
        <v>8112142.5300000012</v>
      </c>
      <c r="J42" s="323">
        <v>8832345.3599999994</v>
      </c>
      <c r="K42" s="323">
        <v>16944487.890000001</v>
      </c>
    </row>
    <row r="43" spans="1:11" x14ac:dyDescent="0.3">
      <c r="A43" s="316">
        <v>33</v>
      </c>
      <c r="B43" s="315" t="s">
        <v>1178</v>
      </c>
      <c r="C43" s="315"/>
      <c r="D43" s="322">
        <v>0</v>
      </c>
      <c r="E43" s="322">
        <v>0</v>
      </c>
      <c r="F43" s="322">
        <v>-131365.19999999992</v>
      </c>
      <c r="G43" s="322">
        <v>-131365.19999999992</v>
      </c>
      <c r="H43" s="323">
        <v>-111605.50000000009</v>
      </c>
      <c r="I43" s="323">
        <v>-242970.7</v>
      </c>
      <c r="J43" s="323">
        <v>-419360.21</v>
      </c>
      <c r="K43" s="323">
        <v>-662330.91</v>
      </c>
    </row>
    <row r="44" spans="1:11" x14ac:dyDescent="0.3">
      <c r="A44" s="316">
        <v>34</v>
      </c>
      <c r="B44" s="315" t="s">
        <v>49</v>
      </c>
      <c r="C44" s="315"/>
      <c r="D44" s="324">
        <v>0</v>
      </c>
      <c r="E44" s="324">
        <v>0</v>
      </c>
      <c r="F44" s="324">
        <v>-12153.700000000004</v>
      </c>
      <c r="G44" s="324">
        <v>-12153.700000000004</v>
      </c>
      <c r="H44" s="325">
        <v>-50860.449999999975</v>
      </c>
      <c r="I44" s="325">
        <v>-63014.14999999998</v>
      </c>
      <c r="J44" s="325">
        <v>-150990.09000000003</v>
      </c>
      <c r="K44" s="325">
        <v>-214004.24</v>
      </c>
    </row>
    <row r="45" spans="1:11" x14ac:dyDescent="0.3">
      <c r="A45" s="316">
        <v>35</v>
      </c>
      <c r="B45" s="230" t="s">
        <v>1179</v>
      </c>
      <c r="C45" s="315"/>
      <c r="D45" s="322">
        <v>0</v>
      </c>
      <c r="E45" s="322">
        <v>0</v>
      </c>
      <c r="F45" s="322">
        <v>3921326.9499999997</v>
      </c>
      <c r="G45" s="322">
        <v>3921326.9499999997</v>
      </c>
      <c r="H45" s="323">
        <v>3884830.7300000014</v>
      </c>
      <c r="I45" s="323">
        <v>7806157.6800000006</v>
      </c>
      <c r="J45" s="323">
        <v>8261995.0599999987</v>
      </c>
      <c r="K45" s="323">
        <v>16068152.74</v>
      </c>
    </row>
    <row r="46" spans="1:11" x14ac:dyDescent="0.3">
      <c r="A46" s="316">
        <v>36</v>
      </c>
      <c r="B46" s="315"/>
      <c r="C46" s="315"/>
      <c r="D46" s="322"/>
      <c r="E46" s="322"/>
      <c r="F46" s="322"/>
      <c r="G46" s="322"/>
      <c r="H46" s="329"/>
      <c r="I46" s="329"/>
      <c r="J46" s="329"/>
      <c r="K46" s="329"/>
    </row>
    <row r="47" spans="1:11" ht="18" x14ac:dyDescent="0.35">
      <c r="A47" s="316">
        <v>37</v>
      </c>
      <c r="B47" s="321" t="s">
        <v>1181</v>
      </c>
      <c r="C47" s="315"/>
      <c r="D47" s="322"/>
      <c r="E47" s="322"/>
      <c r="F47" s="322"/>
      <c r="G47" s="322"/>
      <c r="H47" s="329"/>
      <c r="I47" s="329"/>
      <c r="J47" s="329"/>
      <c r="K47" s="329"/>
    </row>
    <row r="48" spans="1:11" x14ac:dyDescent="0.3">
      <c r="A48" s="316">
        <v>38</v>
      </c>
      <c r="B48" s="315" t="s">
        <v>1198</v>
      </c>
      <c r="C48" s="315"/>
      <c r="D48" s="322">
        <v>0</v>
      </c>
      <c r="E48" s="322">
        <v>0</v>
      </c>
      <c r="F48" s="323">
        <v>305733.2</v>
      </c>
      <c r="G48" s="323">
        <v>305733.2</v>
      </c>
      <c r="H48" s="323">
        <v>2603562.1599999997</v>
      </c>
      <c r="I48" s="323">
        <v>2909295.36</v>
      </c>
      <c r="J48" s="323">
        <v>2487783.1100000008</v>
      </c>
      <c r="K48" s="323">
        <v>5397078.4700000007</v>
      </c>
    </row>
    <row r="49" spans="1:11" x14ac:dyDescent="0.3">
      <c r="A49" s="316">
        <v>39</v>
      </c>
      <c r="B49" s="315" t="s">
        <v>1199</v>
      </c>
      <c r="C49" s="315"/>
      <c r="D49" s="322">
        <v>0</v>
      </c>
      <c r="E49" s="322">
        <v>0</v>
      </c>
      <c r="F49" s="323">
        <v>0</v>
      </c>
      <c r="G49" s="323">
        <v>0</v>
      </c>
      <c r="H49" s="323">
        <v>0</v>
      </c>
      <c r="I49" s="323">
        <v>0</v>
      </c>
      <c r="J49" s="323">
        <v>8266.4296259999992</v>
      </c>
      <c r="K49" s="323">
        <v>8266.4296259999992</v>
      </c>
    </row>
    <row r="50" spans="1:11" x14ac:dyDescent="0.3">
      <c r="A50" s="316">
        <v>40</v>
      </c>
      <c r="B50" s="315" t="s">
        <v>1200</v>
      </c>
      <c r="C50" s="315"/>
      <c r="D50" s="322">
        <v>0</v>
      </c>
      <c r="E50" s="322">
        <v>0</v>
      </c>
      <c r="F50" s="323">
        <v>0</v>
      </c>
      <c r="G50" s="323">
        <v>0</v>
      </c>
      <c r="H50" s="323">
        <v>0</v>
      </c>
      <c r="I50" s="323">
        <v>0</v>
      </c>
      <c r="J50" s="323">
        <v>0</v>
      </c>
      <c r="K50" s="323">
        <v>0</v>
      </c>
    </row>
    <row r="51" spans="1:11" x14ac:dyDescent="0.3">
      <c r="A51" s="316">
        <v>41</v>
      </c>
      <c r="B51" s="315" t="s">
        <v>1201</v>
      </c>
      <c r="C51" s="315"/>
      <c r="D51" s="324">
        <v>0</v>
      </c>
      <c r="E51" s="324">
        <v>0</v>
      </c>
      <c r="F51" s="325">
        <v>0</v>
      </c>
      <c r="G51" s="325">
        <v>0</v>
      </c>
      <c r="H51" s="325">
        <v>0</v>
      </c>
      <c r="I51" s="325">
        <v>0</v>
      </c>
      <c r="J51" s="325">
        <v>384929.94607200002</v>
      </c>
      <c r="K51" s="325">
        <v>384929.94607200002</v>
      </c>
    </row>
    <row r="52" spans="1:11" x14ac:dyDescent="0.3">
      <c r="A52" s="316">
        <v>42</v>
      </c>
      <c r="B52" s="315" t="s">
        <v>1173</v>
      </c>
      <c r="C52" s="315"/>
      <c r="D52" s="322">
        <v>0</v>
      </c>
      <c r="E52" s="322">
        <v>0</v>
      </c>
      <c r="F52" s="323">
        <v>305733.2</v>
      </c>
      <c r="G52" s="323">
        <v>305733.2</v>
      </c>
      <c r="H52" s="323">
        <v>2603562.1599999997</v>
      </c>
      <c r="I52" s="323">
        <v>2909295.36</v>
      </c>
      <c r="J52" s="323">
        <v>2880979.485698001</v>
      </c>
      <c r="K52" s="323">
        <v>5790274.8456980009</v>
      </c>
    </row>
    <row r="53" spans="1:11" x14ac:dyDescent="0.3">
      <c r="A53" s="316">
        <v>43</v>
      </c>
      <c r="B53" s="315"/>
      <c r="C53" s="315"/>
      <c r="D53" s="322"/>
      <c r="E53" s="322"/>
      <c r="F53" s="323"/>
      <c r="G53" s="323"/>
      <c r="H53" s="323"/>
      <c r="I53" s="323"/>
      <c r="J53" s="323"/>
      <c r="K53" s="323"/>
    </row>
    <row r="54" spans="1:11" x14ac:dyDescent="0.3">
      <c r="A54" s="316">
        <v>44</v>
      </c>
      <c r="B54" s="315" t="s">
        <v>1174</v>
      </c>
      <c r="C54" s="315"/>
      <c r="D54" s="322">
        <v>0</v>
      </c>
      <c r="E54" s="322">
        <v>0</v>
      </c>
      <c r="F54" s="323">
        <v>305733.2</v>
      </c>
      <c r="G54" s="323">
        <v>305733.2</v>
      </c>
      <c r="H54" s="323">
        <v>2603562.1599999997</v>
      </c>
      <c r="I54" s="323">
        <v>2909295.36</v>
      </c>
      <c r="J54" s="323">
        <v>2880979.485698001</v>
      </c>
      <c r="K54" s="323">
        <v>5790274.8456980009</v>
      </c>
    </row>
    <row r="55" spans="1:11" x14ac:dyDescent="0.3">
      <c r="A55" s="316">
        <v>45</v>
      </c>
      <c r="B55" s="315"/>
      <c r="C55" s="315"/>
      <c r="D55" s="322"/>
      <c r="E55" s="322"/>
      <c r="F55" s="323"/>
      <c r="G55" s="323"/>
      <c r="H55" s="323"/>
      <c r="I55" s="323"/>
      <c r="J55" s="323"/>
      <c r="K55" s="323"/>
    </row>
    <row r="56" spans="1:11" x14ac:dyDescent="0.3">
      <c r="A56" s="316">
        <v>46</v>
      </c>
      <c r="B56" s="315" t="s">
        <v>1175</v>
      </c>
      <c r="C56" s="326">
        <v>0.21</v>
      </c>
      <c r="D56" s="324">
        <v>0</v>
      </c>
      <c r="E56" s="324">
        <v>0</v>
      </c>
      <c r="F56" s="325">
        <v>-64203.972000000002</v>
      </c>
      <c r="G56" s="325">
        <v>-64203.972000000002</v>
      </c>
      <c r="H56" s="325">
        <v>-546748.05359999987</v>
      </c>
      <c r="I56" s="325">
        <v>-610952.02559999994</v>
      </c>
      <c r="J56" s="325">
        <v>-605005.69199658022</v>
      </c>
      <c r="K56" s="325">
        <v>-1215957.71759658</v>
      </c>
    </row>
    <row r="57" spans="1:11" x14ac:dyDescent="0.3">
      <c r="A57" s="316">
        <v>47</v>
      </c>
      <c r="B57" s="315"/>
      <c r="C57" s="315"/>
      <c r="D57" s="322"/>
      <c r="E57" s="322"/>
      <c r="F57" s="323"/>
      <c r="G57" s="323"/>
      <c r="H57" s="323"/>
      <c r="I57" s="323"/>
      <c r="J57" s="323"/>
      <c r="K57" s="323"/>
    </row>
    <row r="58" spans="1:11" ht="15" thickBot="1" x14ac:dyDescent="0.35">
      <c r="A58" s="316">
        <v>48</v>
      </c>
      <c r="B58" s="230" t="s">
        <v>1176</v>
      </c>
      <c r="C58" s="315"/>
      <c r="D58" s="327">
        <v>0</v>
      </c>
      <c r="E58" s="327">
        <v>0</v>
      </c>
      <c r="F58" s="328">
        <v>-241529.228</v>
      </c>
      <c r="G58" s="328">
        <v>-241529.228</v>
      </c>
      <c r="H58" s="328">
        <v>-2056814.1063999999</v>
      </c>
      <c r="I58" s="328">
        <v>-2298343.3344000001</v>
      </c>
      <c r="J58" s="328">
        <v>-2275973.7937014205</v>
      </c>
      <c r="K58" s="328">
        <v>-4574317.1281014206</v>
      </c>
    </row>
    <row r="59" spans="1:11" ht="15" thickTop="1" x14ac:dyDescent="0.3">
      <c r="A59" s="316">
        <v>49</v>
      </c>
      <c r="B59" s="315"/>
      <c r="C59" s="315"/>
      <c r="D59" s="322"/>
      <c r="E59" s="322"/>
      <c r="F59" s="323"/>
      <c r="G59" s="323"/>
      <c r="H59" s="323"/>
      <c r="I59" s="323"/>
      <c r="J59" s="323"/>
      <c r="K59" s="323"/>
    </row>
    <row r="60" spans="1:11" x14ac:dyDescent="0.3">
      <c r="A60" s="316">
        <v>50</v>
      </c>
      <c r="B60" s="315" t="s">
        <v>1202</v>
      </c>
      <c r="C60" s="315"/>
      <c r="D60" s="322">
        <v>0</v>
      </c>
      <c r="E60" s="322">
        <v>0</v>
      </c>
      <c r="F60" s="323">
        <v>52149803.800000004</v>
      </c>
      <c r="G60" s="323">
        <v>52149803.800000004</v>
      </c>
      <c r="H60" s="323">
        <v>24986915.770000003</v>
      </c>
      <c r="I60" s="323">
        <v>77136719.570000008</v>
      </c>
      <c r="J60" s="323">
        <v>113711032.41329603</v>
      </c>
      <c r="K60" s="323">
        <v>190847751.98329604</v>
      </c>
    </row>
    <row r="61" spans="1:11" x14ac:dyDescent="0.3">
      <c r="A61" s="316">
        <v>51</v>
      </c>
      <c r="B61" s="315" t="s">
        <v>1178</v>
      </c>
      <c r="C61" s="315"/>
      <c r="D61" s="322">
        <v>0</v>
      </c>
      <c r="E61" s="322">
        <v>0</v>
      </c>
      <c r="F61" s="323">
        <v>-305733.2</v>
      </c>
      <c r="G61" s="323">
        <v>-305733.2</v>
      </c>
      <c r="H61" s="323">
        <v>-1322746.5400000003</v>
      </c>
      <c r="I61" s="323">
        <v>-1628479.7400000002</v>
      </c>
      <c r="J61" s="323">
        <v>-3862878.1017119996</v>
      </c>
      <c r="K61" s="323">
        <v>-5491357.8417119998</v>
      </c>
    </row>
    <row r="62" spans="1:11" x14ac:dyDescent="0.3">
      <c r="A62" s="316">
        <v>52</v>
      </c>
      <c r="B62" s="315" t="s">
        <v>49</v>
      </c>
      <c r="C62" s="315"/>
      <c r="D62" s="324">
        <v>0</v>
      </c>
      <c r="E62" s="324">
        <v>0</v>
      </c>
      <c r="F62" s="325">
        <v>-483369.39</v>
      </c>
      <c r="G62" s="325">
        <v>-483369.39</v>
      </c>
      <c r="H62" s="325">
        <v>-725942.25000000012</v>
      </c>
      <c r="I62" s="325">
        <v>-1209311.6400000001</v>
      </c>
      <c r="J62" s="325">
        <v>-3246538.5508959997</v>
      </c>
      <c r="K62" s="325">
        <v>-4455850.1908959998</v>
      </c>
    </row>
    <row r="63" spans="1:11" x14ac:dyDescent="0.3">
      <c r="A63" s="316">
        <v>53</v>
      </c>
      <c r="B63" s="230" t="s">
        <v>1179</v>
      </c>
      <c r="C63" s="315"/>
      <c r="D63" s="322">
        <v>0</v>
      </c>
      <c r="E63" s="322">
        <v>0</v>
      </c>
      <c r="F63" s="323">
        <v>51360701.210000001</v>
      </c>
      <c r="G63" s="323">
        <v>51360701.210000001</v>
      </c>
      <c r="H63" s="323">
        <v>22938226.980000004</v>
      </c>
      <c r="I63" s="323">
        <v>74298928.190000013</v>
      </c>
      <c r="J63" s="323">
        <v>106601615.76068802</v>
      </c>
      <c r="K63" s="323">
        <v>180900543.95068803</v>
      </c>
    </row>
    <row r="64" spans="1:11" x14ac:dyDescent="0.3">
      <c r="A64" s="316">
        <v>54</v>
      </c>
      <c r="B64" s="315"/>
      <c r="C64" s="315"/>
      <c r="D64" s="322"/>
      <c r="E64" s="322"/>
      <c r="F64" s="329"/>
      <c r="G64" s="329"/>
      <c r="H64" s="329"/>
      <c r="I64" s="322"/>
      <c r="J64" s="322"/>
      <c r="K64" s="322"/>
    </row>
    <row r="65" spans="1:11" ht="18" x14ac:dyDescent="0.35">
      <c r="A65" s="316">
        <v>55</v>
      </c>
      <c r="B65" s="321" t="s">
        <v>26</v>
      </c>
      <c r="C65" s="315"/>
      <c r="D65" s="322"/>
      <c r="E65" s="322"/>
      <c r="F65" s="322"/>
      <c r="G65" s="322"/>
      <c r="H65" s="322"/>
      <c r="I65" s="322"/>
      <c r="J65" s="322"/>
      <c r="K65" s="322"/>
    </row>
    <row r="66" spans="1:11" x14ac:dyDescent="0.3">
      <c r="A66" s="316">
        <v>56</v>
      </c>
      <c r="B66" s="315" t="s">
        <v>1198</v>
      </c>
      <c r="C66" s="315"/>
      <c r="D66" s="322">
        <v>0</v>
      </c>
      <c r="E66" s="322">
        <v>0</v>
      </c>
      <c r="F66" s="322">
        <v>856213.49000000034</v>
      </c>
      <c r="G66" s="322">
        <v>856213.49000000034</v>
      </c>
      <c r="H66" s="322">
        <v>4000634.0700000003</v>
      </c>
      <c r="I66" s="322">
        <v>4856847.5600000005</v>
      </c>
      <c r="J66" s="322">
        <v>3367889.5700000022</v>
      </c>
      <c r="K66" s="322">
        <v>8224737.1300000027</v>
      </c>
    </row>
    <row r="67" spans="1:11" x14ac:dyDescent="0.3">
      <c r="A67" s="316">
        <v>57</v>
      </c>
      <c r="B67" s="315" t="s">
        <v>1199</v>
      </c>
      <c r="C67" s="315"/>
      <c r="D67" s="322">
        <v>0</v>
      </c>
      <c r="E67" s="322">
        <v>0</v>
      </c>
      <c r="F67" s="322">
        <v>37040.739959999999</v>
      </c>
      <c r="G67" s="322">
        <v>37040.739959999999</v>
      </c>
      <c r="H67" s="322">
        <v>268195.00570799998</v>
      </c>
      <c r="I67" s="322">
        <v>305235.74566799996</v>
      </c>
      <c r="J67" s="322">
        <v>388831.84666200064</v>
      </c>
      <c r="K67" s="322">
        <v>694067.5923300006</v>
      </c>
    </row>
    <row r="68" spans="1:11" x14ac:dyDescent="0.3">
      <c r="A68" s="316">
        <v>58</v>
      </c>
      <c r="B68" s="315" t="s">
        <v>1200</v>
      </c>
      <c r="C68" s="315"/>
      <c r="D68" s="322">
        <v>0</v>
      </c>
      <c r="E68" s="322">
        <v>0</v>
      </c>
      <c r="F68" s="323">
        <v>856872.86</v>
      </c>
      <c r="G68" s="323">
        <v>856872.86</v>
      </c>
      <c r="H68" s="323">
        <v>2010015.4100000001</v>
      </c>
      <c r="I68" s="323">
        <v>2866888.27</v>
      </c>
      <c r="J68" s="323">
        <v>3447073.4500000007</v>
      </c>
      <c r="K68" s="323">
        <v>6313961.7200000007</v>
      </c>
    </row>
    <row r="69" spans="1:11" x14ac:dyDescent="0.3">
      <c r="A69" s="316">
        <v>59</v>
      </c>
      <c r="B69" s="315" t="s">
        <v>1201</v>
      </c>
      <c r="C69" s="315"/>
      <c r="D69" s="324">
        <v>0</v>
      </c>
      <c r="E69" s="324">
        <v>0</v>
      </c>
      <c r="F69" s="325">
        <v>959799.34339799988</v>
      </c>
      <c r="G69" s="325">
        <v>959799.34339799988</v>
      </c>
      <c r="H69" s="325">
        <v>5534330.0756519986</v>
      </c>
      <c r="I69" s="325">
        <v>6494129.4190499987</v>
      </c>
      <c r="J69" s="325">
        <v>8775367.555962</v>
      </c>
      <c r="K69" s="325">
        <v>15269496.975011999</v>
      </c>
    </row>
    <row r="70" spans="1:11" x14ac:dyDescent="0.3">
      <c r="A70" s="316">
        <v>60</v>
      </c>
      <c r="B70" s="315" t="s">
        <v>1173</v>
      </c>
      <c r="C70" s="315"/>
      <c r="D70" s="322">
        <v>0</v>
      </c>
      <c r="E70" s="322">
        <v>0</v>
      </c>
      <c r="F70" s="323">
        <v>2709926.4333580006</v>
      </c>
      <c r="G70" s="323">
        <v>2709926.4333580006</v>
      </c>
      <c r="H70" s="323">
        <v>11813174.561359998</v>
      </c>
      <c r="I70" s="323">
        <v>14523100.994717998</v>
      </c>
      <c r="J70" s="323">
        <v>15979162.422624003</v>
      </c>
      <c r="K70" s="323">
        <v>30502263.417342003</v>
      </c>
    </row>
    <row r="71" spans="1:11" x14ac:dyDescent="0.3">
      <c r="A71" s="316">
        <v>61</v>
      </c>
      <c r="B71" s="315"/>
      <c r="C71" s="315"/>
      <c r="D71" s="322"/>
      <c r="E71" s="322"/>
      <c r="F71" s="322"/>
      <c r="G71" s="322"/>
      <c r="H71" s="322"/>
      <c r="I71" s="322"/>
      <c r="J71" s="322"/>
      <c r="K71" s="322"/>
    </row>
    <row r="72" spans="1:11" x14ac:dyDescent="0.3">
      <c r="A72" s="316">
        <v>62</v>
      </c>
      <c r="B72" s="315" t="s">
        <v>1174</v>
      </c>
      <c r="C72" s="315"/>
      <c r="D72" s="322">
        <v>0</v>
      </c>
      <c r="E72" s="322">
        <v>0</v>
      </c>
      <c r="F72" s="323">
        <v>2709926.4333580006</v>
      </c>
      <c r="G72" s="323">
        <v>2709926.4333580006</v>
      </c>
      <c r="H72" s="323">
        <v>11813174.561359998</v>
      </c>
      <c r="I72" s="323">
        <v>14523100.994717998</v>
      </c>
      <c r="J72" s="323">
        <v>15979162.422624003</v>
      </c>
      <c r="K72" s="323">
        <v>30502263.417342003</v>
      </c>
    </row>
    <row r="73" spans="1:11" x14ac:dyDescent="0.3">
      <c r="A73" s="316">
        <v>63</v>
      </c>
      <c r="B73" s="315"/>
      <c r="C73" s="315"/>
      <c r="D73" s="322">
        <v>0</v>
      </c>
      <c r="E73" s="322">
        <v>0</v>
      </c>
      <c r="F73" s="323">
        <v>0</v>
      </c>
      <c r="G73" s="323">
        <v>0</v>
      </c>
      <c r="H73" s="323">
        <v>0</v>
      </c>
      <c r="I73" s="323">
        <v>0</v>
      </c>
      <c r="J73" s="323">
        <v>0</v>
      </c>
      <c r="K73" s="323">
        <v>0</v>
      </c>
    </row>
    <row r="74" spans="1:11" x14ac:dyDescent="0.3">
      <c r="A74" s="316">
        <v>64</v>
      </c>
      <c r="B74" s="315" t="s">
        <v>1175</v>
      </c>
      <c r="C74" s="326">
        <v>0.21</v>
      </c>
      <c r="D74" s="324">
        <v>0</v>
      </c>
      <c r="E74" s="324">
        <v>0</v>
      </c>
      <c r="F74" s="325">
        <v>-569084.55100518011</v>
      </c>
      <c r="G74" s="325">
        <v>-569084.55100518011</v>
      </c>
      <c r="H74" s="325">
        <v>-2480766.6578855994</v>
      </c>
      <c r="I74" s="325">
        <v>-3049851.2088907794</v>
      </c>
      <c r="J74" s="325">
        <v>-3355624.1087510404</v>
      </c>
      <c r="K74" s="325">
        <v>-6405475.3176418208</v>
      </c>
    </row>
    <row r="75" spans="1:11" x14ac:dyDescent="0.3">
      <c r="A75" s="316">
        <v>65</v>
      </c>
      <c r="B75" s="315"/>
      <c r="C75" s="315"/>
      <c r="D75" s="322"/>
      <c r="E75" s="322"/>
      <c r="F75" s="323"/>
      <c r="G75" s="323"/>
      <c r="H75" s="323"/>
      <c r="I75" s="323"/>
      <c r="J75" s="323"/>
      <c r="K75" s="323"/>
    </row>
    <row r="76" spans="1:11" ht="15" thickBot="1" x14ac:dyDescent="0.35">
      <c r="A76" s="316">
        <v>66</v>
      </c>
      <c r="B76" s="230" t="s">
        <v>1176</v>
      </c>
      <c r="C76" s="315"/>
      <c r="D76" s="327">
        <v>0</v>
      </c>
      <c r="E76" s="327">
        <v>0</v>
      </c>
      <c r="F76" s="328">
        <v>-2140841.8823528206</v>
      </c>
      <c r="G76" s="328">
        <v>-2140841.8823528206</v>
      </c>
      <c r="H76" s="328">
        <v>-9332407.903474398</v>
      </c>
      <c r="I76" s="328">
        <v>-11473249.785827219</v>
      </c>
      <c r="J76" s="328">
        <v>-12623538.313872963</v>
      </c>
      <c r="K76" s="328">
        <v>-24096788.099700183</v>
      </c>
    </row>
    <row r="77" spans="1:11" ht="15" thickTop="1" x14ac:dyDescent="0.3">
      <c r="A77" s="316">
        <v>67</v>
      </c>
      <c r="B77" s="315"/>
      <c r="C77" s="315"/>
      <c r="D77" s="322"/>
      <c r="E77" s="322"/>
      <c r="F77" s="329"/>
      <c r="G77" s="329"/>
      <c r="H77" s="329"/>
      <c r="I77" s="329"/>
      <c r="J77" s="329"/>
      <c r="K77" s="329"/>
    </row>
    <row r="78" spans="1:11" x14ac:dyDescent="0.3">
      <c r="A78" s="316">
        <v>68</v>
      </c>
      <c r="B78" s="315" t="s">
        <v>1202</v>
      </c>
      <c r="C78" s="315"/>
      <c r="D78" s="322">
        <v>0</v>
      </c>
      <c r="E78" s="322">
        <v>0</v>
      </c>
      <c r="F78" s="323">
        <v>156886692.06526393</v>
      </c>
      <c r="G78" s="323">
        <v>156886692.06526393</v>
      </c>
      <c r="H78" s="323">
        <v>55423084.15476805</v>
      </c>
      <c r="I78" s="323">
        <v>212309776.22003198</v>
      </c>
      <c r="J78" s="323">
        <v>144501948.05288196</v>
      </c>
      <c r="K78" s="323">
        <v>356811724.27291393</v>
      </c>
    </row>
    <row r="79" spans="1:11" x14ac:dyDescent="0.3">
      <c r="A79" s="316">
        <v>69</v>
      </c>
      <c r="B79" s="315" t="s">
        <v>1178</v>
      </c>
      <c r="C79" s="315"/>
      <c r="D79" s="322">
        <v>0</v>
      </c>
      <c r="E79" s="322">
        <v>0</v>
      </c>
      <c r="F79" s="323">
        <v>-2709926.4333579992</v>
      </c>
      <c r="G79" s="323">
        <v>-2709926.4333579992</v>
      </c>
      <c r="H79" s="323">
        <v>-6374637.362270005</v>
      </c>
      <c r="I79" s="323">
        <v>-9084563.7956280038</v>
      </c>
      <c r="J79" s="323">
        <v>-22358467.786538001</v>
      </c>
      <c r="K79" s="323">
        <v>-31443031.582166005</v>
      </c>
    </row>
    <row r="80" spans="1:11" x14ac:dyDescent="0.3">
      <c r="A80" s="316">
        <v>70</v>
      </c>
      <c r="B80" s="315" t="s">
        <v>49</v>
      </c>
      <c r="C80" s="315"/>
      <c r="D80" s="324">
        <v>0</v>
      </c>
      <c r="E80" s="324">
        <v>0</v>
      </c>
      <c r="F80" s="325">
        <v>-1612462.0256759999</v>
      </c>
      <c r="G80" s="325">
        <v>-1612462.0256759999</v>
      </c>
      <c r="H80" s="325">
        <v>-2101052.1965520009</v>
      </c>
      <c r="I80" s="325">
        <v>-3713514.2222280009</v>
      </c>
      <c r="J80" s="325">
        <v>-5394091.8467019992</v>
      </c>
      <c r="K80" s="325">
        <v>-9107606.0689300001</v>
      </c>
    </row>
    <row r="81" spans="1:11" x14ac:dyDescent="0.3">
      <c r="A81" s="316">
        <v>71</v>
      </c>
      <c r="B81" s="230" t="s">
        <v>1179</v>
      </c>
      <c r="C81" s="315"/>
      <c r="D81" s="322">
        <v>0</v>
      </c>
      <c r="E81" s="322">
        <v>0</v>
      </c>
      <c r="F81" s="323">
        <v>152564303.6062299</v>
      </c>
      <c r="G81" s="323">
        <v>152564303.6062299</v>
      </c>
      <c r="H81" s="323">
        <v>46947394.595946044</v>
      </c>
      <c r="I81" s="323">
        <v>199511698.20217597</v>
      </c>
      <c r="J81" s="323">
        <v>116749388.41964196</v>
      </c>
      <c r="K81" s="323">
        <v>316261086.62181795</v>
      </c>
    </row>
    <row r="82" spans="1:11" x14ac:dyDescent="0.3">
      <c r="A82" s="316">
        <v>72</v>
      </c>
      <c r="B82" s="315"/>
      <c r="C82" s="315"/>
      <c r="D82" s="322"/>
      <c r="E82" s="322"/>
      <c r="F82" s="329"/>
      <c r="G82" s="329"/>
      <c r="H82" s="329"/>
      <c r="I82" s="329"/>
      <c r="J82" s="329"/>
      <c r="K82" s="329"/>
    </row>
    <row r="83" spans="1:11" ht="18" x14ac:dyDescent="0.35">
      <c r="A83" s="316">
        <v>73</v>
      </c>
      <c r="B83" s="321" t="s">
        <v>1182</v>
      </c>
      <c r="C83" s="315"/>
      <c r="D83" s="322"/>
      <c r="E83" s="322"/>
      <c r="F83" s="329"/>
      <c r="G83" s="329"/>
      <c r="H83" s="329"/>
      <c r="I83" s="329"/>
      <c r="J83" s="329"/>
      <c r="K83" s="329"/>
    </row>
    <row r="84" spans="1:11" x14ac:dyDescent="0.3">
      <c r="A84" s="316">
        <v>74</v>
      </c>
      <c r="B84" s="315" t="s">
        <v>1198</v>
      </c>
      <c r="C84" s="315"/>
      <c r="D84" s="322">
        <v>0</v>
      </c>
      <c r="E84" s="322">
        <v>0</v>
      </c>
      <c r="F84" s="323">
        <v>4559058.5600000005</v>
      </c>
      <c r="G84" s="323">
        <v>4559058.5600000005</v>
      </c>
      <c r="H84" s="323">
        <v>16542635.009999998</v>
      </c>
      <c r="I84" s="323">
        <v>21101693.57</v>
      </c>
      <c r="J84" s="323">
        <v>24127983.37000002</v>
      </c>
      <c r="K84" s="323">
        <v>45229676.94000002</v>
      </c>
    </row>
    <row r="85" spans="1:11" x14ac:dyDescent="0.3">
      <c r="A85" s="316">
        <v>75</v>
      </c>
      <c r="B85" s="315" t="s">
        <v>1199</v>
      </c>
      <c r="C85" s="315"/>
      <c r="D85" s="322">
        <v>0</v>
      </c>
      <c r="E85" s="322">
        <v>0</v>
      </c>
      <c r="F85" s="323">
        <v>1661005.9364219997</v>
      </c>
      <c r="G85" s="323">
        <v>1661005.9364219997</v>
      </c>
      <c r="H85" s="323">
        <v>846621.58249199972</v>
      </c>
      <c r="I85" s="323">
        <v>2507627.5189139992</v>
      </c>
      <c r="J85" s="323">
        <v>2886852.415314001</v>
      </c>
      <c r="K85" s="323">
        <v>5394479.9342280002</v>
      </c>
    </row>
    <row r="86" spans="1:11" x14ac:dyDescent="0.3">
      <c r="A86" s="316">
        <v>76</v>
      </c>
      <c r="B86" s="315" t="s">
        <v>1200</v>
      </c>
      <c r="C86" s="315"/>
      <c r="D86" s="322">
        <v>0</v>
      </c>
      <c r="E86" s="322">
        <v>0</v>
      </c>
      <c r="F86" s="323">
        <v>1054489.3</v>
      </c>
      <c r="G86" s="323">
        <v>1054489.3</v>
      </c>
      <c r="H86" s="323">
        <v>2638616.21</v>
      </c>
      <c r="I86" s="323">
        <v>3693105.51</v>
      </c>
      <c r="J86" s="323">
        <v>5689034.6299999999</v>
      </c>
      <c r="K86" s="323">
        <v>9382140.1400000006</v>
      </c>
    </row>
    <row r="87" spans="1:11" x14ac:dyDescent="0.3">
      <c r="A87" s="316">
        <v>77</v>
      </c>
      <c r="B87" s="315" t="s">
        <v>1201</v>
      </c>
      <c r="C87" s="315"/>
      <c r="D87" s="324">
        <v>0</v>
      </c>
      <c r="E87" s="324">
        <v>0</v>
      </c>
      <c r="F87" s="325">
        <v>2755859.9809019999</v>
      </c>
      <c r="G87" s="325">
        <v>2755859.9809019999</v>
      </c>
      <c r="H87" s="325">
        <v>9371733.2416259982</v>
      </c>
      <c r="I87" s="325">
        <v>12127593.222527998</v>
      </c>
      <c r="J87" s="325">
        <v>13501279.040927999</v>
      </c>
      <c r="K87" s="325">
        <v>25628872.263455994</v>
      </c>
    </row>
    <row r="88" spans="1:11" x14ac:dyDescent="0.3">
      <c r="A88" s="316">
        <v>78</v>
      </c>
      <c r="B88" s="315" t="s">
        <v>1173</v>
      </c>
      <c r="C88" s="315"/>
      <c r="D88" s="322">
        <v>0</v>
      </c>
      <c r="E88" s="322">
        <v>0</v>
      </c>
      <c r="F88" s="323">
        <v>10030413.777324</v>
      </c>
      <c r="G88" s="323">
        <v>10030413.777324</v>
      </c>
      <c r="H88" s="323">
        <v>29399606.044117998</v>
      </c>
      <c r="I88" s="323">
        <v>39430019.821441993</v>
      </c>
      <c r="J88" s="323">
        <v>46205149.456242017</v>
      </c>
      <c r="K88" s="323">
        <v>85635169.277684018</v>
      </c>
    </row>
    <row r="89" spans="1:11" x14ac:dyDescent="0.3">
      <c r="A89" s="316">
        <v>79</v>
      </c>
      <c r="B89" s="315"/>
      <c r="C89" s="315"/>
      <c r="D89" s="322"/>
      <c r="E89" s="322"/>
      <c r="F89" s="323"/>
      <c r="G89" s="323"/>
      <c r="H89" s="323"/>
      <c r="I89" s="323"/>
      <c r="J89" s="323"/>
      <c r="K89" s="323"/>
    </row>
    <row r="90" spans="1:11" x14ac:dyDescent="0.3">
      <c r="A90" s="316">
        <v>80</v>
      </c>
      <c r="B90" s="315" t="s">
        <v>1174</v>
      </c>
      <c r="C90" s="315"/>
      <c r="D90" s="322">
        <v>0</v>
      </c>
      <c r="E90" s="322">
        <v>0</v>
      </c>
      <c r="F90" s="323">
        <v>10030413.777324</v>
      </c>
      <c r="G90" s="323">
        <v>10030413.777324</v>
      </c>
      <c r="H90" s="323">
        <v>29399606.044117998</v>
      </c>
      <c r="I90" s="323">
        <v>39430019.821441993</v>
      </c>
      <c r="J90" s="323">
        <v>46205149.456242017</v>
      </c>
      <c r="K90" s="323">
        <v>85635169.277684018</v>
      </c>
    </row>
    <row r="91" spans="1:11" x14ac:dyDescent="0.3">
      <c r="A91" s="316">
        <v>81</v>
      </c>
      <c r="B91" s="315"/>
      <c r="C91" s="315"/>
      <c r="D91" s="322"/>
      <c r="E91" s="322"/>
      <c r="F91" s="323"/>
      <c r="G91" s="323"/>
      <c r="H91" s="323"/>
      <c r="I91" s="323"/>
      <c r="J91" s="323"/>
      <c r="K91" s="323"/>
    </row>
    <row r="92" spans="1:11" x14ac:dyDescent="0.3">
      <c r="A92" s="316">
        <v>82</v>
      </c>
      <c r="B92" s="315" t="s">
        <v>1175</v>
      </c>
      <c r="C92" s="326">
        <v>0.21</v>
      </c>
      <c r="D92" s="324">
        <v>0</v>
      </c>
      <c r="E92" s="324">
        <v>0</v>
      </c>
      <c r="F92" s="325">
        <v>-2106386.8932380402</v>
      </c>
      <c r="G92" s="325">
        <v>-2106386.8932380402</v>
      </c>
      <c r="H92" s="325">
        <v>-6173917.2692647791</v>
      </c>
      <c r="I92" s="325">
        <v>-8280304.1625028178</v>
      </c>
      <c r="J92" s="325">
        <v>-9703081.3858108241</v>
      </c>
      <c r="K92" s="325">
        <v>-17983385.548313644</v>
      </c>
    </row>
    <row r="93" spans="1:11" x14ac:dyDescent="0.3">
      <c r="A93" s="316">
        <v>83</v>
      </c>
      <c r="B93" s="315"/>
      <c r="C93" s="315"/>
      <c r="D93" s="322"/>
      <c r="E93" s="322"/>
      <c r="F93" s="323"/>
      <c r="G93" s="323"/>
      <c r="H93" s="323"/>
      <c r="I93" s="323"/>
      <c r="J93" s="323"/>
      <c r="K93" s="323"/>
    </row>
    <row r="94" spans="1:11" ht="15" thickBot="1" x14ac:dyDescent="0.35">
      <c r="A94" s="316">
        <v>84</v>
      </c>
      <c r="B94" s="230" t="s">
        <v>1176</v>
      </c>
      <c r="C94" s="315"/>
      <c r="D94" s="327">
        <v>0</v>
      </c>
      <c r="E94" s="327">
        <v>0</v>
      </c>
      <c r="F94" s="328">
        <v>-7924026.8840859607</v>
      </c>
      <c r="G94" s="328">
        <v>-7924026.8840859607</v>
      </c>
      <c r="H94" s="328">
        <v>-23225688.774853218</v>
      </c>
      <c r="I94" s="328">
        <v>-31149715.658939175</v>
      </c>
      <c r="J94" s="328">
        <v>-36502068.070431195</v>
      </c>
      <c r="K94" s="328">
        <v>-67651783.729370371</v>
      </c>
    </row>
    <row r="95" spans="1:11" ht="15" thickTop="1" x14ac:dyDescent="0.3">
      <c r="A95" s="316">
        <v>85</v>
      </c>
      <c r="B95" s="315"/>
      <c r="C95" s="315"/>
      <c r="D95" s="322"/>
      <c r="E95" s="322"/>
      <c r="F95" s="323"/>
      <c r="G95" s="323"/>
      <c r="H95" s="323"/>
      <c r="I95" s="323"/>
      <c r="J95" s="323"/>
      <c r="K95" s="323"/>
    </row>
    <row r="96" spans="1:11" x14ac:dyDescent="0.3">
      <c r="A96" s="316">
        <v>86</v>
      </c>
      <c r="B96" s="315" t="s">
        <v>1202</v>
      </c>
      <c r="C96" s="315"/>
      <c r="D96" s="322">
        <v>0</v>
      </c>
      <c r="E96" s="322">
        <v>0</v>
      </c>
      <c r="F96" s="323">
        <v>488246218.25586998</v>
      </c>
      <c r="G96" s="323">
        <v>488246218.25586998</v>
      </c>
      <c r="H96" s="323">
        <v>240706104.34136784</v>
      </c>
      <c r="I96" s="323">
        <v>728952322.59723783</v>
      </c>
      <c r="J96" s="323">
        <v>786997015.62893796</v>
      </c>
      <c r="K96" s="323">
        <v>1515949338.2261758</v>
      </c>
    </row>
    <row r="97" spans="1:11" x14ac:dyDescent="0.3">
      <c r="A97" s="316">
        <v>87</v>
      </c>
      <c r="B97" s="315" t="s">
        <v>1178</v>
      </c>
      <c r="C97" s="315"/>
      <c r="D97" s="322">
        <v>0</v>
      </c>
      <c r="E97" s="322">
        <v>0</v>
      </c>
      <c r="F97" s="323">
        <v>-10030413.777323999</v>
      </c>
      <c r="G97" s="323">
        <v>-10030413.777323999</v>
      </c>
      <c r="H97" s="323">
        <v>-17207207.451210003</v>
      </c>
      <c r="I97" s="323">
        <v>-27237621.228534006</v>
      </c>
      <c r="J97" s="323">
        <v>-61645951.902710006</v>
      </c>
      <c r="K97" s="323">
        <v>-88883573.131244004</v>
      </c>
    </row>
    <row r="98" spans="1:11" x14ac:dyDescent="0.3">
      <c r="A98" s="316">
        <v>88</v>
      </c>
      <c r="B98" s="315" t="s">
        <v>49</v>
      </c>
      <c r="C98" s="315"/>
      <c r="D98" s="324">
        <v>0</v>
      </c>
      <c r="E98" s="324">
        <v>0</v>
      </c>
      <c r="F98" s="325">
        <v>-4742307.5805559997</v>
      </c>
      <c r="G98" s="325">
        <v>-4742307.5805559997</v>
      </c>
      <c r="H98" s="325">
        <v>-7927034.7257800009</v>
      </c>
      <c r="I98" s="325">
        <v>-12669342.306336001</v>
      </c>
      <c r="J98" s="325">
        <v>-21243880.650752001</v>
      </c>
      <c r="K98" s="325">
        <v>-33913222.957088001</v>
      </c>
    </row>
    <row r="99" spans="1:11" x14ac:dyDescent="0.3">
      <c r="A99" s="316">
        <v>89</v>
      </c>
      <c r="B99" s="230" t="s">
        <v>1179</v>
      </c>
      <c r="C99" s="315"/>
      <c r="D99" s="322">
        <v>0</v>
      </c>
      <c r="E99" s="322">
        <v>0</v>
      </c>
      <c r="F99" s="323">
        <v>473473496.89798999</v>
      </c>
      <c r="G99" s="323">
        <v>473473496.89798999</v>
      </c>
      <c r="H99" s="323">
        <v>215571862.16437784</v>
      </c>
      <c r="I99" s="323">
        <v>689045359.0623678</v>
      </c>
      <c r="J99" s="323">
        <v>704107183.07547605</v>
      </c>
      <c r="K99" s="323">
        <v>1393152542.1378438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32" sqref="J32"/>
    </sheetView>
  </sheetViews>
  <sheetFormatPr defaultColWidth="8.88671875" defaultRowHeight="14.4" x14ac:dyDescent="0.3"/>
  <cols>
    <col min="1" max="1" width="8.88671875" style="330"/>
    <col min="2" max="2" width="55.5546875" style="330" bestFit="1" customWidth="1"/>
    <col min="3" max="3" width="4.6640625" style="330" customWidth="1"/>
    <col min="4" max="4" width="16.6640625" style="330" bestFit="1" customWidth="1"/>
    <col min="5" max="11" width="17.44140625" style="330" customWidth="1"/>
    <col min="12" max="12" width="19.33203125" style="330" bestFit="1" customWidth="1"/>
    <col min="13" max="14" width="17.44140625" customWidth="1"/>
    <col min="15" max="31" width="17.44140625" style="330" customWidth="1"/>
    <col min="32" max="16384" width="8.88671875" style="330"/>
  </cols>
  <sheetData>
    <row r="1" spans="1:12" x14ac:dyDescent="0.3">
      <c r="A1" s="307" t="s">
        <v>127</v>
      </c>
      <c r="B1" s="308"/>
      <c r="L1" s="310" t="s">
        <v>1195</v>
      </c>
    </row>
    <row r="2" spans="1:12" ht="15" thickBot="1" x14ac:dyDescent="0.35">
      <c r="A2" s="307" t="s">
        <v>129</v>
      </c>
      <c r="B2" s="308"/>
      <c r="L2" s="311" t="s">
        <v>1203</v>
      </c>
    </row>
    <row r="3" spans="1:12" x14ac:dyDescent="0.3">
      <c r="A3" s="307" t="s">
        <v>130</v>
      </c>
      <c r="B3" s="308"/>
    </row>
    <row r="4" spans="1:12" x14ac:dyDescent="0.3">
      <c r="A4" s="307"/>
      <c r="B4" s="313"/>
    </row>
    <row r="5" spans="1:12" x14ac:dyDescent="0.3">
      <c r="A5" s="314" t="s">
        <v>131</v>
      </c>
      <c r="E5" s="331"/>
      <c r="F5" s="331"/>
      <c r="G5" s="331"/>
      <c r="H5" s="331"/>
      <c r="I5" s="331"/>
      <c r="J5" s="331"/>
      <c r="K5" s="331"/>
      <c r="L5" s="331"/>
    </row>
    <row r="6" spans="1:12" x14ac:dyDescent="0.3">
      <c r="E6" s="332" t="s">
        <v>1150</v>
      </c>
      <c r="F6" s="332"/>
      <c r="G6" s="332" t="s">
        <v>1150</v>
      </c>
      <c r="H6" s="332"/>
      <c r="I6" s="332" t="s">
        <v>1151</v>
      </c>
      <c r="J6" s="332"/>
      <c r="K6" s="332" t="s">
        <v>1151</v>
      </c>
      <c r="L6" s="332"/>
    </row>
    <row r="7" spans="1:12" x14ac:dyDescent="0.3">
      <c r="E7" s="331" t="s">
        <v>1152</v>
      </c>
      <c r="F7" s="331" t="s">
        <v>1152</v>
      </c>
      <c r="G7" s="331">
        <v>2022</v>
      </c>
      <c r="H7" s="331" t="s">
        <v>1153</v>
      </c>
      <c r="I7" s="331">
        <v>2023</v>
      </c>
      <c r="J7" s="331" t="s">
        <v>1153</v>
      </c>
      <c r="K7" s="331">
        <v>2024</v>
      </c>
      <c r="L7" s="331" t="s">
        <v>1153</v>
      </c>
    </row>
    <row r="8" spans="1:12" x14ac:dyDescent="0.3">
      <c r="C8" s="333"/>
      <c r="D8" s="334"/>
      <c r="E8" s="331" t="s">
        <v>1154</v>
      </c>
      <c r="F8" s="331" t="s">
        <v>1153</v>
      </c>
      <c r="G8" s="331" t="s">
        <v>1155</v>
      </c>
      <c r="H8" s="331" t="s">
        <v>1156</v>
      </c>
      <c r="I8" s="331" t="s">
        <v>1157</v>
      </c>
      <c r="J8" s="331" t="s">
        <v>1156</v>
      </c>
      <c r="K8" s="331" t="s">
        <v>1158</v>
      </c>
      <c r="L8" s="331" t="s">
        <v>1156</v>
      </c>
    </row>
    <row r="9" spans="1:12" x14ac:dyDescent="0.3">
      <c r="A9" s="331" t="s">
        <v>132</v>
      </c>
      <c r="B9" s="335"/>
      <c r="C9" s="336"/>
      <c r="D9" s="336"/>
      <c r="E9" s="331" t="s">
        <v>1159</v>
      </c>
      <c r="F9" s="331" t="s">
        <v>1160</v>
      </c>
      <c r="G9" s="331" t="s">
        <v>1161</v>
      </c>
      <c r="H9" s="331" t="s">
        <v>1162</v>
      </c>
      <c r="I9" s="331" t="s">
        <v>1161</v>
      </c>
      <c r="J9" s="331" t="s">
        <v>1163</v>
      </c>
      <c r="K9" s="331" t="s">
        <v>1161</v>
      </c>
      <c r="L9" s="331" t="s">
        <v>1163</v>
      </c>
    </row>
    <row r="10" spans="1:12" x14ac:dyDescent="0.3">
      <c r="A10" s="337" t="s">
        <v>1164</v>
      </c>
      <c r="B10" s="337" t="s">
        <v>1165</v>
      </c>
      <c r="C10" s="337"/>
      <c r="D10" s="337"/>
      <c r="E10" s="337" t="s">
        <v>1166</v>
      </c>
      <c r="F10" s="337" t="s">
        <v>1167</v>
      </c>
      <c r="G10" s="337" t="s">
        <v>1166</v>
      </c>
      <c r="H10" s="337" t="s">
        <v>1157</v>
      </c>
      <c r="I10" s="337" t="s">
        <v>1166</v>
      </c>
      <c r="J10" s="337" t="s">
        <v>1157</v>
      </c>
      <c r="K10" s="337" t="s">
        <v>1166</v>
      </c>
      <c r="L10" s="337" t="s">
        <v>1158</v>
      </c>
    </row>
    <row r="11" spans="1:12" x14ac:dyDescent="0.3">
      <c r="A11" s="331">
        <v>1</v>
      </c>
      <c r="B11" s="338"/>
      <c r="C11" s="336"/>
      <c r="D11" s="336"/>
      <c r="E11" s="336"/>
      <c r="F11" s="336"/>
    </row>
    <row r="12" spans="1:12" x14ac:dyDescent="0.3">
      <c r="A12" s="331">
        <v>2</v>
      </c>
      <c r="B12" s="330" t="s">
        <v>1198</v>
      </c>
      <c r="D12" s="339">
        <v>0</v>
      </c>
      <c r="E12" s="340">
        <v>0</v>
      </c>
      <c r="F12" s="340">
        <v>0</v>
      </c>
      <c r="G12" s="340">
        <v>-2916126.0900000008</v>
      </c>
      <c r="H12" s="340">
        <v>-2916126.0900000008</v>
      </c>
      <c r="I12" s="340">
        <v>-6221238.26000001</v>
      </c>
      <c r="J12" s="340">
        <v>-9137364.3500000108</v>
      </c>
      <c r="K12" s="340">
        <v>-3602864.8999999873</v>
      </c>
      <c r="L12" s="340">
        <v>-12740229.249999998</v>
      </c>
    </row>
    <row r="13" spans="1:12" x14ac:dyDescent="0.3">
      <c r="A13" s="331">
        <v>3</v>
      </c>
      <c r="B13" s="330" t="s">
        <v>1199</v>
      </c>
      <c r="D13" s="339">
        <v>0</v>
      </c>
      <c r="E13" s="340">
        <v>0</v>
      </c>
      <c r="F13" s="340">
        <v>0</v>
      </c>
      <c r="G13" s="340">
        <v>-27499.076892000001</v>
      </c>
      <c r="H13" s="340">
        <v>-27499.076892000001</v>
      </c>
      <c r="I13" s="340">
        <v>-169791.72163799999</v>
      </c>
      <c r="J13" s="340">
        <v>-197290.79853</v>
      </c>
      <c r="K13" s="340">
        <v>-147196.12118400002</v>
      </c>
      <c r="L13" s="340">
        <v>-344486.91971400002</v>
      </c>
    </row>
    <row r="14" spans="1:12" x14ac:dyDescent="0.3">
      <c r="A14" s="331">
        <v>4</v>
      </c>
      <c r="B14" s="330" t="s">
        <v>1200</v>
      </c>
      <c r="D14" s="339">
        <v>0</v>
      </c>
      <c r="E14" s="340">
        <v>0</v>
      </c>
      <c r="F14" s="340">
        <v>0</v>
      </c>
      <c r="G14" s="340">
        <v>-30109.61</v>
      </c>
      <c r="H14" s="340">
        <v>-30109.61</v>
      </c>
      <c r="I14" s="340">
        <v>-42469.2</v>
      </c>
      <c r="J14" s="340">
        <v>-72578.81</v>
      </c>
      <c r="K14" s="340">
        <v>-42469.2</v>
      </c>
      <c r="L14" s="340">
        <v>-115048.01</v>
      </c>
    </row>
    <row r="15" spans="1:12" x14ac:dyDescent="0.3">
      <c r="A15" s="331">
        <v>5</v>
      </c>
      <c r="B15" s="330" t="s">
        <v>1201</v>
      </c>
      <c r="D15" s="341">
        <v>0</v>
      </c>
      <c r="E15" s="342">
        <v>0</v>
      </c>
      <c r="F15" s="342">
        <v>0</v>
      </c>
      <c r="G15" s="342">
        <v>-137.18157599999998</v>
      </c>
      <c r="H15" s="342">
        <v>-137.18157599999998</v>
      </c>
      <c r="I15" s="342">
        <v>-143.14255199999999</v>
      </c>
      <c r="J15" s="342">
        <v>-280.32412799999997</v>
      </c>
      <c r="K15" s="342">
        <v>-143.14255200000002</v>
      </c>
      <c r="L15" s="342">
        <v>-423.46668</v>
      </c>
    </row>
    <row r="16" spans="1:12" x14ac:dyDescent="0.3">
      <c r="A16" s="331">
        <v>6</v>
      </c>
      <c r="B16" s="343" t="s">
        <v>1184</v>
      </c>
      <c r="D16" s="344">
        <v>0</v>
      </c>
      <c r="E16" s="345">
        <v>0</v>
      </c>
      <c r="F16" s="345">
        <v>0</v>
      </c>
      <c r="G16" s="345">
        <v>-2973871.9584680009</v>
      </c>
      <c r="H16" s="345">
        <v>-2973871.9584680009</v>
      </c>
      <c r="I16" s="345">
        <v>-6433642.3241900094</v>
      </c>
      <c r="J16" s="345">
        <v>-9407514.2826580107</v>
      </c>
      <c r="K16" s="345">
        <v>-3792673.3637359873</v>
      </c>
      <c r="L16" s="345">
        <v>-13200187.646393998</v>
      </c>
    </row>
    <row r="17" spans="1:15" x14ac:dyDescent="0.3">
      <c r="A17" s="331">
        <v>7</v>
      </c>
      <c r="B17" s="343" t="s">
        <v>1204</v>
      </c>
      <c r="D17" s="344">
        <v>0</v>
      </c>
      <c r="E17" s="340">
        <v>0</v>
      </c>
      <c r="F17" s="345">
        <v>0</v>
      </c>
      <c r="G17" s="340">
        <v>0</v>
      </c>
      <c r="H17" s="345">
        <v>0</v>
      </c>
      <c r="I17" s="340">
        <v>0</v>
      </c>
      <c r="J17" s="345">
        <v>0</v>
      </c>
      <c r="K17" s="340">
        <v>0</v>
      </c>
      <c r="L17" s="345">
        <v>0</v>
      </c>
    </row>
    <row r="18" spans="1:15" x14ac:dyDescent="0.3">
      <c r="A18" s="331">
        <v>8</v>
      </c>
      <c r="B18" s="343" t="s">
        <v>1205</v>
      </c>
      <c r="D18" s="344">
        <v>0</v>
      </c>
      <c r="E18" s="340">
        <v>0</v>
      </c>
      <c r="F18" s="345">
        <v>0</v>
      </c>
      <c r="G18" s="340">
        <v>0</v>
      </c>
      <c r="H18" s="345">
        <v>0</v>
      </c>
      <c r="I18" s="340">
        <v>0</v>
      </c>
      <c r="J18" s="345">
        <v>0</v>
      </c>
      <c r="K18" s="340">
        <v>0</v>
      </c>
      <c r="L18" s="345">
        <v>0</v>
      </c>
    </row>
    <row r="19" spans="1:15" x14ac:dyDescent="0.3">
      <c r="A19" s="331">
        <v>9</v>
      </c>
      <c r="B19" s="343" t="s">
        <v>1206</v>
      </c>
      <c r="D19" s="341">
        <v>0</v>
      </c>
      <c r="E19" s="342">
        <v>0</v>
      </c>
      <c r="F19" s="342">
        <v>0</v>
      </c>
      <c r="G19" s="342">
        <v>0</v>
      </c>
      <c r="H19" s="342">
        <v>0</v>
      </c>
      <c r="I19" s="342">
        <v>0</v>
      </c>
      <c r="J19" s="342">
        <v>0</v>
      </c>
      <c r="K19" s="342">
        <v>0</v>
      </c>
      <c r="L19" s="342">
        <v>0</v>
      </c>
    </row>
    <row r="20" spans="1:15" x14ac:dyDescent="0.3">
      <c r="A20" s="331">
        <v>10</v>
      </c>
      <c r="B20" s="343" t="s">
        <v>1188</v>
      </c>
      <c r="D20" s="339">
        <v>0</v>
      </c>
      <c r="E20" s="340">
        <v>0</v>
      </c>
      <c r="F20" s="340">
        <v>0</v>
      </c>
      <c r="G20" s="340">
        <v>-2973871.9584680009</v>
      </c>
      <c r="H20" s="340">
        <v>-2973871.9584680009</v>
      </c>
      <c r="I20" s="340">
        <v>-6433642.3241900094</v>
      </c>
      <c r="J20" s="340">
        <v>-9407514.2826580107</v>
      </c>
      <c r="K20" s="340">
        <v>-3792673.3637359873</v>
      </c>
      <c r="L20" s="340">
        <v>-13200187.646393998</v>
      </c>
    </row>
    <row r="21" spans="1:15" x14ac:dyDescent="0.3">
      <c r="A21" s="331">
        <v>11</v>
      </c>
      <c r="D21" s="339"/>
      <c r="E21" s="340"/>
      <c r="F21" s="340"/>
      <c r="G21" s="340"/>
      <c r="H21" s="340"/>
      <c r="I21" s="340"/>
      <c r="J21" s="340"/>
      <c r="K21" s="340"/>
      <c r="L21" s="340"/>
    </row>
    <row r="22" spans="1:15" x14ac:dyDescent="0.3">
      <c r="A22" s="331">
        <v>12</v>
      </c>
      <c r="B22" s="330" t="s">
        <v>1174</v>
      </c>
      <c r="D22" s="339">
        <v>0</v>
      </c>
      <c r="E22" s="340">
        <v>0</v>
      </c>
      <c r="F22" s="340">
        <v>0</v>
      </c>
      <c r="G22" s="340">
        <v>-2973871.9584680009</v>
      </c>
      <c r="H22" s="340">
        <v>-2973871.9584680009</v>
      </c>
      <c r="I22" s="340">
        <v>-6433642.3241900094</v>
      </c>
      <c r="J22" s="340">
        <v>-9407514.2826580107</v>
      </c>
      <c r="K22" s="340">
        <v>-3792673.3637359873</v>
      </c>
      <c r="L22" s="340">
        <v>-13200187.646393998</v>
      </c>
    </row>
    <row r="23" spans="1:15" x14ac:dyDescent="0.3">
      <c r="A23" s="331">
        <v>13</v>
      </c>
      <c r="D23" s="339"/>
      <c r="E23" s="340"/>
      <c r="F23" s="340"/>
      <c r="G23" s="340"/>
      <c r="H23" s="340"/>
      <c r="I23" s="340"/>
      <c r="J23" s="340"/>
      <c r="K23" s="340"/>
      <c r="L23" s="340"/>
    </row>
    <row r="24" spans="1:15" x14ac:dyDescent="0.3">
      <c r="A24" s="331">
        <v>14</v>
      </c>
      <c r="B24" s="330" t="s">
        <v>1175</v>
      </c>
      <c r="C24" s="346">
        <v>0.21</v>
      </c>
      <c r="D24" s="344">
        <v>0</v>
      </c>
      <c r="E24" s="345">
        <v>0</v>
      </c>
      <c r="F24" s="345">
        <v>0</v>
      </c>
      <c r="G24" s="345">
        <v>624513.11127828015</v>
      </c>
      <c r="H24" s="345">
        <v>624513.11127828015</v>
      </c>
      <c r="I24" s="345">
        <v>1351064.8880799019</v>
      </c>
      <c r="J24" s="345">
        <v>1975577.9993581821</v>
      </c>
      <c r="K24" s="345">
        <v>796461.40638455737</v>
      </c>
      <c r="L24" s="345">
        <v>2772039.4057427393</v>
      </c>
    </row>
    <row r="25" spans="1:15" x14ac:dyDescent="0.3">
      <c r="A25" s="331">
        <v>15</v>
      </c>
      <c r="B25" s="330" t="s">
        <v>1189</v>
      </c>
      <c r="C25" s="346"/>
      <c r="D25" s="344">
        <v>0</v>
      </c>
      <c r="E25" s="345">
        <v>0</v>
      </c>
      <c r="F25" s="345">
        <v>0</v>
      </c>
      <c r="G25" s="345">
        <v>399107.57837995887</v>
      </c>
      <c r="H25" s="345">
        <v>399107.57837995887</v>
      </c>
      <c r="I25" s="345">
        <v>426432.45898801833</v>
      </c>
      <c r="J25" s="345">
        <v>825540.0373679772</v>
      </c>
      <c r="K25" s="345">
        <v>116933.38469486125</v>
      </c>
      <c r="L25" s="345">
        <v>942473.42206283845</v>
      </c>
    </row>
    <row r="26" spans="1:15" x14ac:dyDescent="0.3">
      <c r="A26" s="331">
        <v>16</v>
      </c>
      <c r="B26" s="330" t="s">
        <v>1190</v>
      </c>
      <c r="C26" s="346"/>
      <c r="D26" s="344">
        <v>0</v>
      </c>
      <c r="E26" s="345">
        <v>0</v>
      </c>
      <c r="F26" s="345">
        <v>0</v>
      </c>
      <c r="G26" s="345">
        <v>-648388.07391119981</v>
      </c>
      <c r="H26" s="345">
        <v>-648388.07391119981</v>
      </c>
      <c r="I26" s="345">
        <v>-78137.362856700318</v>
      </c>
      <c r="J26" s="345">
        <v>-726525.43676790013</v>
      </c>
      <c r="K26" s="345">
        <v>-656931.5863849197</v>
      </c>
      <c r="L26" s="345">
        <v>-1383457.0231528198</v>
      </c>
    </row>
    <row r="27" spans="1:15" x14ac:dyDescent="0.3">
      <c r="A27" s="331">
        <v>17</v>
      </c>
      <c r="B27" s="330" t="s">
        <v>1191</v>
      </c>
      <c r="C27" s="346"/>
      <c r="D27" s="347">
        <v>0</v>
      </c>
      <c r="E27" s="347">
        <v>0</v>
      </c>
      <c r="F27" s="347">
        <v>0</v>
      </c>
      <c r="G27" s="348">
        <v>375232.61574703921</v>
      </c>
      <c r="H27" s="348">
        <v>375232.61574703921</v>
      </c>
      <c r="I27" s="348">
        <v>1699359.9842112199</v>
      </c>
      <c r="J27" s="348">
        <v>2074592.5999582589</v>
      </c>
      <c r="K27" s="348">
        <v>256463.20469449891</v>
      </c>
      <c r="L27" s="348">
        <v>2331055.8046527579</v>
      </c>
    </row>
    <row r="28" spans="1:15" x14ac:dyDescent="0.3">
      <c r="A28" s="331">
        <v>18</v>
      </c>
      <c r="D28" s="339"/>
      <c r="E28" s="340"/>
      <c r="F28" s="340"/>
      <c r="G28" s="340"/>
      <c r="H28" s="340"/>
      <c r="I28" s="340"/>
      <c r="J28" s="340"/>
      <c r="K28" s="340"/>
      <c r="L28" s="340"/>
    </row>
    <row r="29" spans="1:15" ht="15" thickBot="1" x14ac:dyDescent="0.35">
      <c r="A29" s="331">
        <v>19</v>
      </c>
      <c r="B29" s="330" t="s">
        <v>1176</v>
      </c>
      <c r="D29" s="349">
        <v>0</v>
      </c>
      <c r="E29" s="350">
        <v>0</v>
      </c>
      <c r="F29" s="350">
        <v>0</v>
      </c>
      <c r="G29" s="350">
        <v>2598639.3427209617</v>
      </c>
      <c r="H29" s="350">
        <v>2598639.3427209617</v>
      </c>
      <c r="I29" s="350">
        <v>4734282.3399787899</v>
      </c>
      <c r="J29" s="350">
        <v>7332921.682699752</v>
      </c>
      <c r="K29" s="350">
        <v>3536210.1590414885</v>
      </c>
      <c r="L29" s="350">
        <v>10869131.84174124</v>
      </c>
    </row>
    <row r="30" spans="1:15" ht="15" thickTop="1" x14ac:dyDescent="0.3">
      <c r="A30" s="331">
        <v>20</v>
      </c>
      <c r="D30" s="339"/>
      <c r="E30" s="340"/>
      <c r="F30" s="340"/>
      <c r="G30" s="340"/>
      <c r="H30" s="340"/>
      <c r="I30" s="340"/>
      <c r="J30" s="340"/>
      <c r="K30" s="340"/>
      <c r="L30" s="340"/>
    </row>
    <row r="31" spans="1:15" x14ac:dyDescent="0.3">
      <c r="A31" s="331">
        <v>21</v>
      </c>
      <c r="B31" s="343" t="s">
        <v>1192</v>
      </c>
      <c r="D31" s="339"/>
      <c r="E31" s="340"/>
      <c r="F31" s="340"/>
      <c r="G31" s="340"/>
      <c r="H31" s="340"/>
      <c r="I31" s="340"/>
      <c r="J31" s="340"/>
      <c r="K31" s="340"/>
      <c r="L31" s="340"/>
    </row>
    <row r="32" spans="1:15" x14ac:dyDescent="0.3">
      <c r="A32" s="331">
        <v>22</v>
      </c>
      <c r="B32" s="343" t="s">
        <v>1193</v>
      </c>
      <c r="D32" s="339">
        <v>0</v>
      </c>
      <c r="E32" s="340">
        <v>0</v>
      </c>
      <c r="F32" s="340">
        <v>0</v>
      </c>
      <c r="G32" s="340">
        <v>2973871.9584680009</v>
      </c>
      <c r="H32" s="340">
        <v>2973871.9584680009</v>
      </c>
      <c r="I32" s="340">
        <v>4250861.0535299983</v>
      </c>
      <c r="J32" s="340">
        <v>7224733.0119979996</v>
      </c>
      <c r="K32" s="340">
        <v>11531408.077932002</v>
      </c>
      <c r="L32" s="340">
        <v>18756141.089930002</v>
      </c>
      <c r="O32" s="351"/>
    </row>
    <row r="33" spans="1:12" x14ac:dyDescent="0.3">
      <c r="A33" s="331">
        <v>23</v>
      </c>
      <c r="B33" s="343" t="s">
        <v>47</v>
      </c>
      <c r="D33" s="344">
        <v>0</v>
      </c>
      <c r="E33" s="345">
        <v>0</v>
      </c>
      <c r="F33" s="345">
        <v>0</v>
      </c>
      <c r="G33" s="345">
        <v>-9204702.5529085696</v>
      </c>
      <c r="H33" s="345">
        <v>-9204702.5529085696</v>
      </c>
      <c r="I33" s="345">
        <v>-4247453.0412445068</v>
      </c>
      <c r="J33" s="345">
        <v>-13452155.594153076</v>
      </c>
      <c r="K33" s="345">
        <v>-8769988.962394014</v>
      </c>
      <c r="L33" s="345">
        <v>-22222144.55654709</v>
      </c>
    </row>
    <row r="34" spans="1:12" x14ac:dyDescent="0.3">
      <c r="A34" s="331">
        <v>24</v>
      </c>
      <c r="B34" s="343" t="s">
        <v>79</v>
      </c>
      <c r="D34" s="344">
        <v>0</v>
      </c>
      <c r="E34" s="345">
        <v>0</v>
      </c>
      <c r="F34" s="345">
        <v>0</v>
      </c>
      <c r="G34" s="345">
        <v>-399107.57837995887</v>
      </c>
      <c r="H34" s="345">
        <v>-399107.57837995887</v>
      </c>
      <c r="I34" s="345">
        <v>-382424.82552969456</v>
      </c>
      <c r="J34" s="345">
        <v>-781532.40390965343</v>
      </c>
      <c r="K34" s="345">
        <v>-878515.61561004817</v>
      </c>
      <c r="L34" s="345">
        <v>-1660048.0195197016</v>
      </c>
    </row>
    <row r="35" spans="1:12" x14ac:dyDescent="0.3">
      <c r="A35" s="331">
        <v>25</v>
      </c>
      <c r="B35" s="343" t="s">
        <v>1194</v>
      </c>
      <c r="D35" s="347">
        <v>0</v>
      </c>
      <c r="E35" s="348">
        <v>0</v>
      </c>
      <c r="F35" s="348">
        <v>0</v>
      </c>
      <c r="G35" s="348">
        <v>-6629938.1728205271</v>
      </c>
      <c r="H35" s="348">
        <v>-6629938.1728205271</v>
      </c>
      <c r="I35" s="348">
        <v>-379016.81324420311</v>
      </c>
      <c r="J35" s="348">
        <v>-7008954.9860647302</v>
      </c>
      <c r="K35" s="348">
        <v>1882903.4999279398</v>
      </c>
      <c r="L35" s="348">
        <v>-5126051.4861367904</v>
      </c>
    </row>
    <row r="36" spans="1:12" x14ac:dyDescent="0.3">
      <c r="A36" s="331">
        <v>26</v>
      </c>
      <c r="D36" s="339"/>
      <c r="E36" s="339"/>
      <c r="F36" s="339"/>
      <c r="G36" s="339"/>
      <c r="H36" s="339"/>
      <c r="I36" s="339"/>
      <c r="J36" s="339"/>
      <c r="K36" s="339"/>
      <c r="L36" s="339"/>
    </row>
    <row r="37" spans="1:12" x14ac:dyDescent="0.3">
      <c r="A37" s="331">
        <v>27</v>
      </c>
      <c r="D37" s="339"/>
      <c r="E37" s="339"/>
      <c r="F37" s="339"/>
      <c r="G37" s="339"/>
      <c r="H37" s="339"/>
      <c r="I37" s="339"/>
      <c r="J37" s="339"/>
      <c r="K37" s="339"/>
      <c r="L37" s="339"/>
    </row>
    <row r="38" spans="1:12" x14ac:dyDescent="0.3">
      <c r="A38" s="331">
        <v>28</v>
      </c>
      <c r="B38" s="343" t="s">
        <v>33</v>
      </c>
      <c r="C38" s="352" t="s">
        <v>34</v>
      </c>
      <c r="D38" s="353"/>
      <c r="E38" s="354">
        <v>0.34060000000000001</v>
      </c>
      <c r="F38" s="355"/>
      <c r="G38" s="339"/>
      <c r="H38" s="339"/>
      <c r="I38" s="339"/>
      <c r="J38" s="339"/>
      <c r="K38" s="339"/>
      <c r="L38" s="339"/>
    </row>
    <row r="39" spans="1:12" x14ac:dyDescent="0.3">
      <c r="A39" s="331">
        <v>29</v>
      </c>
      <c r="C39" s="352" t="s">
        <v>35</v>
      </c>
      <c r="D39" s="353"/>
      <c r="E39" s="354">
        <v>0.65939999999999999</v>
      </c>
      <c r="F39" s="355"/>
      <c r="G39" s="339"/>
      <c r="H39" s="339"/>
      <c r="I39" s="339"/>
      <c r="J39" s="339"/>
      <c r="K39" s="339"/>
      <c r="L39" s="339"/>
    </row>
    <row r="40" spans="1:12" x14ac:dyDescent="0.3">
      <c r="D40" s="339"/>
      <c r="E40" s="339"/>
      <c r="F40" s="339"/>
      <c r="G40" s="339"/>
      <c r="H40" s="339"/>
      <c r="I40" s="339"/>
      <c r="J40" s="339"/>
      <c r="K40" s="339"/>
      <c r="L40" s="339"/>
    </row>
    <row r="41" spans="1:12" x14ac:dyDescent="0.3">
      <c r="D41" s="340"/>
      <c r="E41" s="340"/>
      <c r="F41" s="340"/>
      <c r="G41" s="340"/>
      <c r="H41" s="340"/>
      <c r="I41" s="340"/>
      <c r="J41" s="340"/>
      <c r="K41" s="340"/>
      <c r="L41" s="340"/>
    </row>
    <row r="43" spans="1:12" x14ac:dyDescent="0.3">
      <c r="E43" s="339"/>
      <c r="F43" s="339"/>
      <c r="G43" s="339"/>
      <c r="H43" s="339"/>
      <c r="I43" s="339"/>
      <c r="J43" s="339"/>
      <c r="K43" s="339"/>
      <c r="L43" s="339"/>
    </row>
    <row r="45" spans="1:12" x14ac:dyDescent="0.3">
      <c r="I45" s="339"/>
      <c r="K45" s="3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I88" sqref="I88"/>
    </sheetView>
  </sheetViews>
  <sheetFormatPr defaultRowHeight="14.4" x14ac:dyDescent="0.3"/>
  <cols>
    <col min="1" max="1" width="4.6640625" bestFit="1" customWidth="1"/>
    <col min="2" max="2" width="45.33203125" bestFit="1" customWidth="1"/>
    <col min="3" max="3" width="4.44140625" bestFit="1" customWidth="1"/>
    <col min="4" max="4" width="13.33203125" bestFit="1" customWidth="1"/>
    <col min="5" max="5" width="11.6640625" bestFit="1" customWidth="1"/>
    <col min="6" max="7" width="15.6640625" bestFit="1" customWidth="1"/>
    <col min="8" max="8" width="14.6640625" bestFit="1" customWidth="1"/>
    <col min="9" max="10" width="15.6640625" bestFit="1" customWidth="1"/>
    <col min="11" max="11" width="19.33203125" bestFit="1" customWidth="1"/>
  </cols>
  <sheetData>
    <row r="1" spans="1:11" x14ac:dyDescent="0.3">
      <c r="A1" s="307" t="s">
        <v>127</v>
      </c>
      <c r="B1" s="308"/>
      <c r="C1" s="308"/>
      <c r="D1" s="308"/>
      <c r="E1" s="308"/>
      <c r="F1" s="309"/>
      <c r="K1" s="310" t="s">
        <v>1147</v>
      </c>
    </row>
    <row r="2" spans="1:11" ht="15" thickBot="1" x14ac:dyDescent="0.35">
      <c r="A2" s="307" t="s">
        <v>129</v>
      </c>
      <c r="B2" s="308"/>
      <c r="C2" s="308"/>
      <c r="D2" s="308"/>
      <c r="E2" s="308"/>
      <c r="F2" s="309"/>
      <c r="K2" s="311" t="s">
        <v>1149</v>
      </c>
    </row>
    <row r="3" spans="1:11" x14ac:dyDescent="0.3">
      <c r="A3" s="307" t="s">
        <v>130</v>
      </c>
      <c r="B3" s="308"/>
      <c r="C3" s="308"/>
      <c r="D3" s="308"/>
      <c r="E3" s="308"/>
      <c r="F3" s="309"/>
      <c r="G3" s="312"/>
    </row>
    <row r="4" spans="1:11" x14ac:dyDescent="0.3">
      <c r="A4" s="307"/>
      <c r="B4" s="313" t="s">
        <v>1148</v>
      </c>
      <c r="C4" s="308"/>
      <c r="D4" s="308"/>
      <c r="E4" s="308"/>
      <c r="F4" s="309"/>
      <c r="G4" s="308"/>
    </row>
    <row r="5" spans="1:11" x14ac:dyDescent="0.3">
      <c r="A5" s="314" t="s">
        <v>143</v>
      </c>
      <c r="B5" s="315"/>
      <c r="C5" s="315"/>
      <c r="D5" s="316"/>
      <c r="E5" s="316" t="s">
        <v>1150</v>
      </c>
      <c r="F5" s="316"/>
      <c r="G5" s="316" t="s">
        <v>1150</v>
      </c>
      <c r="H5" s="316"/>
      <c r="I5" s="316" t="s">
        <v>1151</v>
      </c>
      <c r="J5" s="316"/>
      <c r="K5" s="316" t="s">
        <v>1151</v>
      </c>
    </row>
    <row r="6" spans="1:11" x14ac:dyDescent="0.3">
      <c r="A6" s="315"/>
      <c r="B6" s="315"/>
      <c r="C6" s="315"/>
      <c r="D6" s="316"/>
      <c r="E6" s="316"/>
      <c r="F6" s="316"/>
      <c r="G6" s="316"/>
      <c r="H6" s="316"/>
      <c r="I6" s="316"/>
      <c r="J6" s="316"/>
      <c r="K6" s="316"/>
    </row>
    <row r="7" spans="1:11" x14ac:dyDescent="0.3">
      <c r="A7" s="315"/>
      <c r="B7" s="315"/>
      <c r="C7" s="315"/>
      <c r="D7" s="316"/>
      <c r="E7" s="316" t="s">
        <v>1152</v>
      </c>
      <c r="F7" s="316">
        <v>2022</v>
      </c>
      <c r="G7" s="316" t="s">
        <v>1153</v>
      </c>
      <c r="H7" s="316">
        <v>2023</v>
      </c>
      <c r="I7" s="316" t="s">
        <v>1153</v>
      </c>
      <c r="J7" s="316">
        <v>2024</v>
      </c>
      <c r="K7" s="316" t="s">
        <v>1153</v>
      </c>
    </row>
    <row r="8" spans="1:11" x14ac:dyDescent="0.3">
      <c r="A8" s="315"/>
      <c r="B8" s="315"/>
      <c r="C8" s="317"/>
      <c r="D8" s="318" t="s">
        <v>1154</v>
      </c>
      <c r="E8" s="316" t="s">
        <v>1153</v>
      </c>
      <c r="F8" s="316" t="s">
        <v>1155</v>
      </c>
      <c r="G8" s="316" t="s">
        <v>1156</v>
      </c>
      <c r="H8" s="316" t="s">
        <v>1157</v>
      </c>
      <c r="I8" s="316" t="s">
        <v>1156</v>
      </c>
      <c r="J8" s="316" t="s">
        <v>1158</v>
      </c>
      <c r="K8" s="316" t="s">
        <v>1156</v>
      </c>
    </row>
    <row r="9" spans="1:11" x14ac:dyDescent="0.3">
      <c r="A9" s="316" t="s">
        <v>132</v>
      </c>
      <c r="B9" s="5"/>
      <c r="C9" s="319"/>
      <c r="D9" s="319" t="s">
        <v>1159</v>
      </c>
      <c r="E9" s="316" t="s">
        <v>1160</v>
      </c>
      <c r="F9" s="316" t="s">
        <v>1161</v>
      </c>
      <c r="G9" s="316" t="s">
        <v>1162</v>
      </c>
      <c r="H9" s="316" t="s">
        <v>1161</v>
      </c>
      <c r="I9" s="316" t="s">
        <v>1163</v>
      </c>
      <c r="J9" s="316" t="s">
        <v>1161</v>
      </c>
      <c r="K9" s="316" t="s">
        <v>1163</v>
      </c>
    </row>
    <row r="10" spans="1:11" x14ac:dyDescent="0.3">
      <c r="A10" s="320" t="s">
        <v>1164</v>
      </c>
      <c r="B10" s="320" t="s">
        <v>1165</v>
      </c>
      <c r="C10" s="320"/>
      <c r="D10" s="320" t="s">
        <v>1166</v>
      </c>
      <c r="E10" s="320" t="s">
        <v>1167</v>
      </c>
      <c r="F10" s="320" t="s">
        <v>1166</v>
      </c>
      <c r="G10" s="320" t="s">
        <v>1157</v>
      </c>
      <c r="H10" s="320" t="s">
        <v>1166</v>
      </c>
      <c r="I10" s="320" t="s">
        <v>1157</v>
      </c>
      <c r="J10" s="320" t="s">
        <v>1166</v>
      </c>
      <c r="K10" s="320" t="s">
        <v>1158</v>
      </c>
    </row>
    <row r="11" spans="1:11" ht="18" x14ac:dyDescent="0.35">
      <c r="A11" s="316">
        <v>1</v>
      </c>
      <c r="B11" s="321" t="s">
        <v>1168</v>
      </c>
      <c r="C11" s="319"/>
      <c r="D11" s="319"/>
      <c r="E11" s="315"/>
      <c r="F11" s="315"/>
      <c r="G11" s="315"/>
      <c r="H11" s="315"/>
      <c r="I11" s="315"/>
      <c r="J11" s="315"/>
      <c r="K11" s="315"/>
    </row>
    <row r="12" spans="1:11" x14ac:dyDescent="0.3">
      <c r="A12" s="316">
        <v>2</v>
      </c>
      <c r="B12" s="315" t="s">
        <v>1169</v>
      </c>
      <c r="C12" s="315"/>
      <c r="D12" s="322">
        <v>0</v>
      </c>
      <c r="E12" s="322">
        <v>0</v>
      </c>
      <c r="F12" s="322">
        <v>1447082.16</v>
      </c>
      <c r="G12" s="322">
        <v>1447082.16</v>
      </c>
      <c r="H12" s="323">
        <v>3938648.669999999</v>
      </c>
      <c r="I12" s="323">
        <v>5385730.8299999991</v>
      </c>
      <c r="J12" s="323">
        <v>8049741.3200000031</v>
      </c>
      <c r="K12" s="323">
        <v>13435472.150000002</v>
      </c>
    </row>
    <row r="13" spans="1:11" x14ac:dyDescent="0.3">
      <c r="A13" s="316">
        <v>3</v>
      </c>
      <c r="B13" s="315" t="s">
        <v>1170</v>
      </c>
      <c r="C13" s="315"/>
      <c r="D13" s="322">
        <v>0</v>
      </c>
      <c r="E13" s="322">
        <v>0</v>
      </c>
      <c r="F13" s="322">
        <v>838827.03353800008</v>
      </c>
      <c r="G13" s="322">
        <v>838827.03353800008</v>
      </c>
      <c r="H13" s="323">
        <v>298774.78321599995</v>
      </c>
      <c r="I13" s="323">
        <v>1137601.816754</v>
      </c>
      <c r="J13" s="323">
        <v>1286033.1509740001</v>
      </c>
      <c r="K13" s="323">
        <v>2423634.9677280001</v>
      </c>
    </row>
    <row r="14" spans="1:11" x14ac:dyDescent="0.3">
      <c r="A14" s="316">
        <v>4</v>
      </c>
      <c r="B14" s="315" t="s">
        <v>1171</v>
      </c>
      <c r="C14" s="315"/>
      <c r="D14" s="322">
        <v>0</v>
      </c>
      <c r="E14" s="322">
        <v>0</v>
      </c>
      <c r="F14" s="322">
        <v>1295.3399999999999</v>
      </c>
      <c r="G14" s="322">
        <v>1295.3399999999999</v>
      </c>
      <c r="H14" s="323">
        <v>2628.66</v>
      </c>
      <c r="I14" s="323">
        <v>3924</v>
      </c>
      <c r="J14" s="323">
        <v>2706.42</v>
      </c>
      <c r="K14" s="323">
        <v>6630.42</v>
      </c>
    </row>
    <row r="15" spans="1:11" x14ac:dyDescent="0.3">
      <c r="A15" s="316">
        <v>5</v>
      </c>
      <c r="B15" s="315" t="s">
        <v>1172</v>
      </c>
      <c r="C15" s="315"/>
      <c r="D15" s="324">
        <v>0</v>
      </c>
      <c r="E15" s="324">
        <v>0</v>
      </c>
      <c r="F15" s="324">
        <v>927719.52249600005</v>
      </c>
      <c r="G15" s="324">
        <v>927719.52249600005</v>
      </c>
      <c r="H15" s="325">
        <v>1982134.5440260004</v>
      </c>
      <c r="I15" s="325">
        <v>2909854.0665220004</v>
      </c>
      <c r="J15" s="325">
        <v>2242247.9711060002</v>
      </c>
      <c r="K15" s="325">
        <v>5152102.0376280006</v>
      </c>
    </row>
    <row r="16" spans="1:11" x14ac:dyDescent="0.3">
      <c r="A16" s="316">
        <v>6</v>
      </c>
      <c r="B16" s="315" t="s">
        <v>1173</v>
      </c>
      <c r="C16" s="315"/>
      <c r="D16" s="322">
        <v>0</v>
      </c>
      <c r="E16" s="322">
        <v>0</v>
      </c>
      <c r="F16" s="322">
        <v>3214924.0560339997</v>
      </c>
      <c r="G16" s="322">
        <v>3214924.0560339997</v>
      </c>
      <c r="H16" s="323">
        <v>6222186.6572419992</v>
      </c>
      <c r="I16" s="323">
        <v>9437110.7132759988</v>
      </c>
      <c r="J16" s="323">
        <v>11580728.862080004</v>
      </c>
      <c r="K16" s="323">
        <v>21017839.575356003</v>
      </c>
    </row>
    <row r="17" spans="1:11" x14ac:dyDescent="0.3">
      <c r="A17" s="316">
        <v>7</v>
      </c>
      <c r="B17" s="315"/>
      <c r="C17" s="315"/>
      <c r="D17" s="322"/>
      <c r="E17" s="322"/>
      <c r="F17" s="322"/>
      <c r="G17" s="322"/>
      <c r="H17" s="323"/>
      <c r="I17" s="323"/>
      <c r="J17" s="323"/>
      <c r="K17" s="323"/>
    </row>
    <row r="18" spans="1:11" x14ac:dyDescent="0.3">
      <c r="A18" s="316">
        <v>8</v>
      </c>
      <c r="B18" s="315" t="s">
        <v>1174</v>
      </c>
      <c r="C18" s="315"/>
      <c r="D18" s="322">
        <v>0</v>
      </c>
      <c r="E18" s="322">
        <v>0</v>
      </c>
      <c r="F18" s="322">
        <v>3214924.0560339997</v>
      </c>
      <c r="G18" s="322">
        <v>3214924.0560339997</v>
      </c>
      <c r="H18" s="323">
        <v>6222186.6572419992</v>
      </c>
      <c r="I18" s="323">
        <v>9437110.7132759988</v>
      </c>
      <c r="J18" s="323">
        <v>11580728.862080004</v>
      </c>
      <c r="K18" s="323">
        <v>21017839.575356003</v>
      </c>
    </row>
    <row r="19" spans="1:11" x14ac:dyDescent="0.3">
      <c r="A19" s="316">
        <v>9</v>
      </c>
      <c r="B19" s="315"/>
      <c r="C19" s="315"/>
      <c r="D19" s="322">
        <v>0</v>
      </c>
      <c r="E19" s="322">
        <v>0</v>
      </c>
      <c r="F19" s="322">
        <v>0</v>
      </c>
      <c r="G19" s="322">
        <v>0</v>
      </c>
      <c r="H19" s="323">
        <v>0</v>
      </c>
      <c r="I19" s="323">
        <v>0</v>
      </c>
      <c r="J19" s="323">
        <v>0</v>
      </c>
      <c r="K19" s="323">
        <v>0</v>
      </c>
    </row>
    <row r="20" spans="1:11" x14ac:dyDescent="0.3">
      <c r="A20" s="316">
        <v>10</v>
      </c>
      <c r="B20" s="315" t="s">
        <v>1175</v>
      </c>
      <c r="C20" s="326">
        <v>0.21</v>
      </c>
      <c r="D20" s="324">
        <v>0</v>
      </c>
      <c r="E20" s="324">
        <v>0</v>
      </c>
      <c r="F20" s="324">
        <v>-675134.05176713993</v>
      </c>
      <c r="G20" s="324">
        <v>-675134.05176713993</v>
      </c>
      <c r="H20" s="325">
        <v>-1306659.1980208198</v>
      </c>
      <c r="I20" s="325">
        <v>-1981793.2497879597</v>
      </c>
      <c r="J20" s="325">
        <v>-2431953.061036801</v>
      </c>
      <c r="K20" s="325">
        <v>-4413746.3108247602</v>
      </c>
    </row>
    <row r="21" spans="1:11" x14ac:dyDescent="0.3">
      <c r="A21" s="316">
        <v>11</v>
      </c>
      <c r="B21" s="315"/>
      <c r="C21" s="315"/>
      <c r="D21" s="322"/>
      <c r="E21" s="322"/>
      <c r="F21" s="322"/>
      <c r="G21" s="322"/>
      <c r="H21" s="323"/>
      <c r="I21" s="323"/>
      <c r="J21" s="323"/>
      <c r="K21" s="323"/>
    </row>
    <row r="22" spans="1:11" ht="15" thickBot="1" x14ac:dyDescent="0.35">
      <c r="A22" s="316">
        <v>12</v>
      </c>
      <c r="B22" s="230" t="s">
        <v>1176</v>
      </c>
      <c r="C22" s="315"/>
      <c r="D22" s="327">
        <v>0</v>
      </c>
      <c r="E22" s="327">
        <v>0</v>
      </c>
      <c r="F22" s="327">
        <v>-2539790.00426686</v>
      </c>
      <c r="G22" s="327">
        <v>-2539790.00426686</v>
      </c>
      <c r="H22" s="328">
        <v>-4915527.4592211796</v>
      </c>
      <c r="I22" s="328">
        <v>-7455317.4634880386</v>
      </c>
      <c r="J22" s="328">
        <v>-9148775.8010432031</v>
      </c>
      <c r="K22" s="328">
        <v>-16604093.264531244</v>
      </c>
    </row>
    <row r="23" spans="1:11" ht="15" thickTop="1" x14ac:dyDescent="0.3">
      <c r="A23" s="316">
        <v>13</v>
      </c>
      <c r="B23" s="315"/>
      <c r="C23" s="315"/>
      <c r="D23" s="322"/>
      <c r="E23" s="322"/>
      <c r="F23" s="322"/>
      <c r="G23" s="322"/>
      <c r="H23" s="323"/>
      <c r="I23" s="323"/>
      <c r="J23" s="323"/>
      <c r="K23" s="323"/>
    </row>
    <row r="24" spans="1:11" x14ac:dyDescent="0.3">
      <c r="A24" s="316">
        <v>14</v>
      </c>
      <c r="B24" s="315" t="s">
        <v>1177</v>
      </c>
      <c r="C24" s="315"/>
      <c r="D24" s="322">
        <v>0</v>
      </c>
      <c r="E24" s="322">
        <v>0</v>
      </c>
      <c r="F24" s="322">
        <v>123742113.26939401</v>
      </c>
      <c r="G24" s="322">
        <v>123742113.26939401</v>
      </c>
      <c r="H24" s="323">
        <v>58558976.493400007</v>
      </c>
      <c r="I24" s="323">
        <v>182301089.76279402</v>
      </c>
      <c r="J24" s="323">
        <v>213051242.67724001</v>
      </c>
      <c r="K24" s="323">
        <v>395352332.44003403</v>
      </c>
    </row>
    <row r="25" spans="1:11" x14ac:dyDescent="0.3">
      <c r="A25" s="316">
        <v>15</v>
      </c>
      <c r="B25" s="315" t="s">
        <v>1178</v>
      </c>
      <c r="C25" s="315"/>
      <c r="D25" s="322">
        <v>0</v>
      </c>
      <c r="E25" s="322">
        <v>0</v>
      </c>
      <c r="F25" s="322">
        <v>-3214924.0560340001</v>
      </c>
      <c r="G25" s="322">
        <v>-3214924.0560340001</v>
      </c>
      <c r="H25" s="323">
        <v>-4147223.9910600004</v>
      </c>
      <c r="I25" s="323">
        <v>-7362148.0470940005</v>
      </c>
      <c r="J25" s="323">
        <v>-15191827.695540005</v>
      </c>
      <c r="K25" s="323">
        <v>-22553975.742634006</v>
      </c>
    </row>
    <row r="26" spans="1:11" x14ac:dyDescent="0.3">
      <c r="A26" s="316">
        <v>16</v>
      </c>
      <c r="B26" s="315" t="s">
        <v>49</v>
      </c>
      <c r="C26" s="315"/>
      <c r="D26" s="324">
        <v>0</v>
      </c>
      <c r="E26" s="324">
        <v>0</v>
      </c>
      <c r="F26" s="325">
        <v>-1026111.84512</v>
      </c>
      <c r="G26" s="325">
        <v>-1026111.84512</v>
      </c>
      <c r="H26" s="325">
        <v>-2552947.7107720003</v>
      </c>
      <c r="I26" s="325">
        <v>-3579059.555892</v>
      </c>
      <c r="J26" s="325">
        <v>-5979722.9368460011</v>
      </c>
      <c r="K26" s="325">
        <v>-9558782.492738001</v>
      </c>
    </row>
    <row r="27" spans="1:11" x14ac:dyDescent="0.3">
      <c r="A27" s="316">
        <v>17</v>
      </c>
      <c r="B27" s="230" t="s">
        <v>1179</v>
      </c>
      <c r="C27" s="315"/>
      <c r="D27" s="322">
        <v>0</v>
      </c>
      <c r="E27" s="322">
        <v>0</v>
      </c>
      <c r="F27" s="323">
        <v>119501077.36824001</v>
      </c>
      <c r="G27" s="323">
        <v>119501077.36824001</v>
      </c>
      <c r="H27" s="323">
        <v>51858804.791568004</v>
      </c>
      <c r="I27" s="323">
        <v>171359882.15980804</v>
      </c>
      <c r="J27" s="323">
        <v>191879692.04485402</v>
      </c>
      <c r="K27" s="323">
        <v>363239574.20466202</v>
      </c>
    </row>
    <row r="28" spans="1:11" x14ac:dyDescent="0.3">
      <c r="A28" s="316">
        <v>18</v>
      </c>
      <c r="B28" s="315"/>
      <c r="C28" s="315"/>
      <c r="D28" s="322"/>
      <c r="E28" s="322"/>
      <c r="F28" s="322"/>
      <c r="G28" s="322"/>
      <c r="H28" s="329"/>
      <c r="I28" s="329"/>
      <c r="J28" s="329"/>
      <c r="K28" s="329"/>
    </row>
    <row r="29" spans="1:11" ht="18" x14ac:dyDescent="0.35">
      <c r="A29" s="316">
        <v>19</v>
      </c>
      <c r="B29" s="321" t="s">
        <v>1180</v>
      </c>
      <c r="C29" s="315"/>
      <c r="D29" s="322"/>
      <c r="E29" s="322"/>
      <c r="F29" s="322"/>
      <c r="G29" s="322"/>
      <c r="H29" s="329"/>
      <c r="I29" s="329"/>
      <c r="J29" s="329"/>
      <c r="K29" s="329"/>
    </row>
    <row r="30" spans="1:11" x14ac:dyDescent="0.3">
      <c r="A30" s="316">
        <v>20</v>
      </c>
      <c r="B30" s="315" t="s">
        <v>1169</v>
      </c>
      <c r="C30" s="315"/>
      <c r="D30" s="322">
        <v>0</v>
      </c>
      <c r="E30" s="322">
        <v>0</v>
      </c>
      <c r="F30" s="322">
        <v>1340113.0399999996</v>
      </c>
      <c r="G30" s="322">
        <v>1340113.0399999996</v>
      </c>
      <c r="H30" s="323">
        <v>2078844.5500000007</v>
      </c>
      <c r="I30" s="323">
        <v>3418957.5900000003</v>
      </c>
      <c r="J30" s="323">
        <v>2327081.959999992</v>
      </c>
      <c r="K30" s="323">
        <v>5746039.5499999924</v>
      </c>
    </row>
    <row r="31" spans="1:11" x14ac:dyDescent="0.3">
      <c r="A31" s="316">
        <v>21</v>
      </c>
      <c r="B31" s="315" t="s">
        <v>1170</v>
      </c>
      <c r="C31" s="315"/>
      <c r="D31" s="322">
        <v>0</v>
      </c>
      <c r="E31" s="322">
        <v>0</v>
      </c>
      <c r="F31" s="322">
        <v>0</v>
      </c>
      <c r="G31" s="322">
        <v>0</v>
      </c>
      <c r="H31" s="323">
        <v>0</v>
      </c>
      <c r="I31" s="323">
        <v>0</v>
      </c>
      <c r="J31" s="323">
        <v>0</v>
      </c>
      <c r="K31" s="323">
        <v>0</v>
      </c>
    </row>
    <row r="32" spans="1:11" x14ac:dyDescent="0.3">
      <c r="A32" s="316">
        <v>22</v>
      </c>
      <c r="B32" s="315" t="s">
        <v>1171</v>
      </c>
      <c r="C32" s="315"/>
      <c r="D32" s="322">
        <v>0</v>
      </c>
      <c r="E32" s="322">
        <v>0</v>
      </c>
      <c r="F32" s="322">
        <v>0</v>
      </c>
      <c r="G32" s="322">
        <v>0</v>
      </c>
      <c r="H32" s="323">
        <v>0</v>
      </c>
      <c r="I32" s="323">
        <v>0</v>
      </c>
      <c r="J32" s="323">
        <v>0</v>
      </c>
      <c r="K32" s="323">
        <v>0</v>
      </c>
    </row>
    <row r="33" spans="1:11" x14ac:dyDescent="0.3">
      <c r="A33" s="316">
        <v>23</v>
      </c>
      <c r="B33" s="315" t="s">
        <v>1172</v>
      </c>
      <c r="C33" s="315"/>
      <c r="D33" s="324">
        <v>0</v>
      </c>
      <c r="E33" s="324">
        <v>0</v>
      </c>
      <c r="F33" s="324">
        <v>0</v>
      </c>
      <c r="G33" s="324">
        <v>0</v>
      </c>
      <c r="H33" s="325">
        <v>0</v>
      </c>
      <c r="I33" s="325">
        <v>0</v>
      </c>
      <c r="J33" s="325">
        <v>0</v>
      </c>
      <c r="K33" s="325">
        <v>0</v>
      </c>
    </row>
    <row r="34" spans="1:11" x14ac:dyDescent="0.3">
      <c r="A34" s="316">
        <v>24</v>
      </c>
      <c r="B34" s="315" t="s">
        <v>1173</v>
      </c>
      <c r="C34" s="315"/>
      <c r="D34" s="322">
        <v>0</v>
      </c>
      <c r="E34" s="322">
        <v>0</v>
      </c>
      <c r="F34" s="322">
        <v>1340113.0399999996</v>
      </c>
      <c r="G34" s="322">
        <v>1340113.0399999996</v>
      </c>
      <c r="H34" s="323">
        <v>2078844.5500000007</v>
      </c>
      <c r="I34" s="323">
        <v>3418957.5900000003</v>
      </c>
      <c r="J34" s="323">
        <v>2327081.959999992</v>
      </c>
      <c r="K34" s="323">
        <v>5746039.5499999924</v>
      </c>
    </row>
    <row r="35" spans="1:11" x14ac:dyDescent="0.3">
      <c r="A35" s="316">
        <v>25</v>
      </c>
      <c r="B35" s="315"/>
      <c r="C35" s="315"/>
      <c r="D35" s="322"/>
      <c r="E35" s="322"/>
      <c r="F35" s="322"/>
      <c r="G35" s="322"/>
      <c r="H35" s="323"/>
      <c r="I35" s="323"/>
      <c r="J35" s="323"/>
      <c r="K35" s="323"/>
    </row>
    <row r="36" spans="1:11" x14ac:dyDescent="0.3">
      <c r="A36" s="316">
        <v>26</v>
      </c>
      <c r="B36" s="315" t="s">
        <v>1174</v>
      </c>
      <c r="C36" s="315"/>
      <c r="D36" s="322">
        <v>0</v>
      </c>
      <c r="E36" s="322">
        <v>0</v>
      </c>
      <c r="F36" s="322">
        <v>1340113.0399999996</v>
      </c>
      <c r="G36" s="322">
        <v>1340113.0399999996</v>
      </c>
      <c r="H36" s="323">
        <v>2078844.5500000007</v>
      </c>
      <c r="I36" s="323">
        <v>3418957.5900000003</v>
      </c>
      <c r="J36" s="323">
        <v>2327081.959999992</v>
      </c>
      <c r="K36" s="323">
        <v>5746039.5499999924</v>
      </c>
    </row>
    <row r="37" spans="1:11" x14ac:dyDescent="0.3">
      <c r="A37" s="316">
        <v>27</v>
      </c>
      <c r="B37" s="315"/>
      <c r="C37" s="315"/>
      <c r="D37" s="322"/>
      <c r="E37" s="322"/>
      <c r="F37" s="322"/>
      <c r="G37" s="322"/>
      <c r="H37" s="323"/>
      <c r="I37" s="323"/>
      <c r="J37" s="323"/>
      <c r="K37" s="323"/>
    </row>
    <row r="38" spans="1:11" x14ac:dyDescent="0.3">
      <c r="A38" s="316">
        <v>28</v>
      </c>
      <c r="B38" s="315" t="s">
        <v>1175</v>
      </c>
      <c r="C38" s="326">
        <v>0.21</v>
      </c>
      <c r="D38" s="324">
        <v>0</v>
      </c>
      <c r="E38" s="324">
        <v>0</v>
      </c>
      <c r="F38" s="324">
        <v>-281423.73839999991</v>
      </c>
      <c r="G38" s="324">
        <v>-281423.73839999991</v>
      </c>
      <c r="H38" s="325">
        <v>-436557.35550000012</v>
      </c>
      <c r="I38" s="325">
        <v>-717981.09390000009</v>
      </c>
      <c r="J38" s="325">
        <v>-488687.21159999829</v>
      </c>
      <c r="K38" s="325">
        <v>-1206668.3054999984</v>
      </c>
    </row>
    <row r="39" spans="1:11" x14ac:dyDescent="0.3">
      <c r="A39" s="316">
        <v>29</v>
      </c>
      <c r="B39" s="315"/>
      <c r="C39" s="315"/>
      <c r="D39" s="322"/>
      <c r="E39" s="322"/>
      <c r="F39" s="322"/>
      <c r="G39" s="322"/>
      <c r="H39" s="323"/>
      <c r="I39" s="323"/>
      <c r="J39" s="323"/>
      <c r="K39" s="323"/>
    </row>
    <row r="40" spans="1:11" ht="15" thickBot="1" x14ac:dyDescent="0.35">
      <c r="A40" s="316">
        <v>30</v>
      </c>
      <c r="B40" s="230" t="s">
        <v>1176</v>
      </c>
      <c r="C40" s="315"/>
      <c r="D40" s="327">
        <v>0</v>
      </c>
      <c r="E40" s="327">
        <v>0</v>
      </c>
      <c r="F40" s="327">
        <v>-1058689.3015999997</v>
      </c>
      <c r="G40" s="327">
        <v>-1058689.3015999997</v>
      </c>
      <c r="H40" s="328">
        <v>-1642287.1945000007</v>
      </c>
      <c r="I40" s="328">
        <v>-2700976.4961000001</v>
      </c>
      <c r="J40" s="328">
        <v>-1838394.7483999939</v>
      </c>
      <c r="K40" s="328">
        <v>-4539371.2444999944</v>
      </c>
    </row>
    <row r="41" spans="1:11" ht="15" thickTop="1" x14ac:dyDescent="0.3">
      <c r="A41" s="316">
        <v>31</v>
      </c>
      <c r="B41" s="315"/>
      <c r="C41" s="315"/>
      <c r="D41" s="322"/>
      <c r="E41" s="322"/>
      <c r="F41" s="322"/>
      <c r="G41" s="322"/>
      <c r="H41" s="323"/>
      <c r="I41" s="323"/>
      <c r="J41" s="323"/>
      <c r="K41" s="323"/>
    </row>
    <row r="42" spans="1:11" x14ac:dyDescent="0.3">
      <c r="A42" s="316">
        <v>32</v>
      </c>
      <c r="B42" s="315" t="s">
        <v>1177</v>
      </c>
      <c r="C42" s="315"/>
      <c r="D42" s="322">
        <v>0</v>
      </c>
      <c r="E42" s="322">
        <v>0</v>
      </c>
      <c r="F42" s="322">
        <v>120233571.84</v>
      </c>
      <c r="G42" s="322">
        <v>120233571.84</v>
      </c>
      <c r="H42" s="323">
        <v>6769603.1400000006</v>
      </c>
      <c r="I42" s="323">
        <v>127003174.98</v>
      </c>
      <c r="J42" s="323">
        <v>85663988.109999999</v>
      </c>
      <c r="K42" s="323">
        <v>212667163.09</v>
      </c>
    </row>
    <row r="43" spans="1:11" x14ac:dyDescent="0.3">
      <c r="A43" s="316">
        <v>33</v>
      </c>
      <c r="B43" s="315" t="s">
        <v>1178</v>
      </c>
      <c r="C43" s="315"/>
      <c r="D43" s="322">
        <v>0</v>
      </c>
      <c r="E43" s="322">
        <v>0</v>
      </c>
      <c r="F43" s="322">
        <v>-1340113.0399999998</v>
      </c>
      <c r="G43" s="322">
        <v>-1340113.0399999998</v>
      </c>
      <c r="H43" s="323">
        <v>-1679780.6700000016</v>
      </c>
      <c r="I43" s="323">
        <v>-3019893.7100000014</v>
      </c>
      <c r="J43" s="323">
        <v>-4258615.8499999996</v>
      </c>
      <c r="K43" s="323">
        <v>-7278509.5600000005</v>
      </c>
    </row>
    <row r="44" spans="1:11" x14ac:dyDescent="0.3">
      <c r="A44" s="316">
        <v>34</v>
      </c>
      <c r="B44" s="315" t="s">
        <v>49</v>
      </c>
      <c r="C44" s="315"/>
      <c r="D44" s="324">
        <v>0</v>
      </c>
      <c r="E44" s="324">
        <v>0</v>
      </c>
      <c r="F44" s="324">
        <v>-665426.30999999994</v>
      </c>
      <c r="G44" s="324">
        <v>-665426.30999999994</v>
      </c>
      <c r="H44" s="325">
        <v>-566950.43999999983</v>
      </c>
      <c r="I44" s="325">
        <v>-1232376.7499999998</v>
      </c>
      <c r="J44" s="325">
        <v>-1606280.4200000011</v>
      </c>
      <c r="K44" s="325">
        <v>-2838657.1700000009</v>
      </c>
    </row>
    <row r="45" spans="1:11" x14ac:dyDescent="0.3">
      <c r="A45" s="316">
        <v>35</v>
      </c>
      <c r="B45" s="230" t="s">
        <v>1179</v>
      </c>
      <c r="C45" s="315"/>
      <c r="D45" s="322">
        <v>0</v>
      </c>
      <c r="E45" s="322">
        <v>0</v>
      </c>
      <c r="F45" s="322">
        <v>118228032.48999999</v>
      </c>
      <c r="G45" s="322">
        <v>118228032.48999999</v>
      </c>
      <c r="H45" s="323">
        <v>4522872.0299999993</v>
      </c>
      <c r="I45" s="323">
        <v>122750904.52</v>
      </c>
      <c r="J45" s="323">
        <v>79799091.840000004</v>
      </c>
      <c r="K45" s="323">
        <v>202549996.36000001</v>
      </c>
    </row>
    <row r="46" spans="1:11" x14ac:dyDescent="0.3">
      <c r="A46" s="316">
        <v>36</v>
      </c>
      <c r="B46" s="315"/>
      <c r="C46" s="315"/>
      <c r="D46" s="322"/>
      <c r="E46" s="322"/>
      <c r="F46" s="322"/>
      <c r="G46" s="322"/>
      <c r="H46" s="329"/>
      <c r="I46" s="329"/>
      <c r="J46" s="329"/>
      <c r="K46" s="329"/>
    </row>
    <row r="47" spans="1:11" ht="18" x14ac:dyDescent="0.35">
      <c r="A47" s="316">
        <v>37</v>
      </c>
      <c r="B47" s="321" t="s">
        <v>1181</v>
      </c>
      <c r="C47" s="315"/>
      <c r="D47" s="322"/>
      <c r="E47" s="322"/>
      <c r="F47" s="322"/>
      <c r="G47" s="322"/>
      <c r="H47" s="329"/>
      <c r="I47" s="329"/>
      <c r="J47" s="329"/>
      <c r="K47" s="329"/>
    </row>
    <row r="48" spans="1:11" x14ac:dyDescent="0.3">
      <c r="A48" s="316">
        <v>38</v>
      </c>
      <c r="B48" s="315" t="s">
        <v>1169</v>
      </c>
      <c r="C48" s="315"/>
      <c r="D48" s="322">
        <v>0</v>
      </c>
      <c r="E48" s="322">
        <v>0</v>
      </c>
      <c r="F48" s="323">
        <v>16135.4</v>
      </c>
      <c r="G48" s="323">
        <v>16135.4</v>
      </c>
      <c r="H48" s="323">
        <v>16618.120000000003</v>
      </c>
      <c r="I48" s="323">
        <v>32753.52</v>
      </c>
      <c r="J48" s="323">
        <v>0</v>
      </c>
      <c r="K48" s="323">
        <v>32753.52</v>
      </c>
    </row>
    <row r="49" spans="1:11" x14ac:dyDescent="0.3">
      <c r="A49" s="316">
        <v>39</v>
      </c>
      <c r="B49" s="315" t="s">
        <v>1170</v>
      </c>
      <c r="C49" s="315"/>
      <c r="D49" s="322">
        <v>0</v>
      </c>
      <c r="E49" s="322">
        <v>0</v>
      </c>
      <c r="F49" s="323">
        <v>0</v>
      </c>
      <c r="G49" s="323">
        <v>0</v>
      </c>
      <c r="H49" s="323">
        <v>0</v>
      </c>
      <c r="I49" s="323">
        <v>0</v>
      </c>
      <c r="J49" s="323">
        <v>4269.8603739999999</v>
      </c>
      <c r="K49" s="323">
        <v>4269.8603739999999</v>
      </c>
    </row>
    <row r="50" spans="1:11" x14ac:dyDescent="0.3">
      <c r="A50" s="316">
        <v>40</v>
      </c>
      <c r="B50" s="315" t="s">
        <v>1171</v>
      </c>
      <c r="C50" s="315"/>
      <c r="D50" s="322">
        <v>0</v>
      </c>
      <c r="E50" s="322">
        <v>0</v>
      </c>
      <c r="F50" s="323">
        <v>0</v>
      </c>
      <c r="G50" s="323">
        <v>0</v>
      </c>
      <c r="H50" s="323">
        <v>0</v>
      </c>
      <c r="I50" s="323">
        <v>0</v>
      </c>
      <c r="J50" s="323">
        <v>0</v>
      </c>
      <c r="K50" s="323">
        <v>0</v>
      </c>
    </row>
    <row r="51" spans="1:11" x14ac:dyDescent="0.3">
      <c r="A51" s="316">
        <v>41</v>
      </c>
      <c r="B51" s="315" t="s">
        <v>1172</v>
      </c>
      <c r="C51" s="315"/>
      <c r="D51" s="324">
        <v>0</v>
      </c>
      <c r="E51" s="324">
        <v>0</v>
      </c>
      <c r="F51" s="325">
        <v>0</v>
      </c>
      <c r="G51" s="325">
        <v>0</v>
      </c>
      <c r="H51" s="325">
        <v>0</v>
      </c>
      <c r="I51" s="325">
        <v>0</v>
      </c>
      <c r="J51" s="325">
        <v>198827.93392800001</v>
      </c>
      <c r="K51" s="325">
        <v>198827.93392800001</v>
      </c>
    </row>
    <row r="52" spans="1:11" x14ac:dyDescent="0.3">
      <c r="A52" s="316">
        <v>42</v>
      </c>
      <c r="B52" s="315" t="s">
        <v>1173</v>
      </c>
      <c r="C52" s="315"/>
      <c r="D52" s="322">
        <v>0</v>
      </c>
      <c r="E52" s="322">
        <v>0</v>
      </c>
      <c r="F52" s="323">
        <v>16135.4</v>
      </c>
      <c r="G52" s="323">
        <v>16135.4</v>
      </c>
      <c r="H52" s="323">
        <v>16618.120000000003</v>
      </c>
      <c r="I52" s="323">
        <v>32753.52</v>
      </c>
      <c r="J52" s="323">
        <v>203097.79430200002</v>
      </c>
      <c r="K52" s="323">
        <v>235851.31430200001</v>
      </c>
    </row>
    <row r="53" spans="1:11" x14ac:dyDescent="0.3">
      <c r="A53" s="316">
        <v>43</v>
      </c>
      <c r="B53" s="315"/>
      <c r="C53" s="315"/>
      <c r="D53" s="322"/>
      <c r="E53" s="322"/>
      <c r="F53" s="323"/>
      <c r="G53" s="323"/>
      <c r="H53" s="323"/>
      <c r="I53" s="323"/>
      <c r="J53" s="323"/>
      <c r="K53" s="323"/>
    </row>
    <row r="54" spans="1:11" x14ac:dyDescent="0.3">
      <c r="A54" s="316">
        <v>44</v>
      </c>
      <c r="B54" s="315" t="s">
        <v>1174</v>
      </c>
      <c r="C54" s="315"/>
      <c r="D54" s="322">
        <v>0</v>
      </c>
      <c r="E54" s="322">
        <v>0</v>
      </c>
      <c r="F54" s="323">
        <v>16135.4</v>
      </c>
      <c r="G54" s="323">
        <v>16135.4</v>
      </c>
      <c r="H54" s="323">
        <v>16618.120000000003</v>
      </c>
      <c r="I54" s="323">
        <v>32753.52</v>
      </c>
      <c r="J54" s="323">
        <v>203097.79430200002</v>
      </c>
      <c r="K54" s="323">
        <v>235851.31430200001</v>
      </c>
    </row>
    <row r="55" spans="1:11" x14ac:dyDescent="0.3">
      <c r="A55" s="316">
        <v>45</v>
      </c>
      <c r="B55" s="315"/>
      <c r="C55" s="315"/>
      <c r="D55" s="322"/>
      <c r="E55" s="322"/>
      <c r="F55" s="323"/>
      <c r="G55" s="323"/>
      <c r="H55" s="323"/>
      <c r="I55" s="323"/>
      <c r="J55" s="323"/>
      <c r="K55" s="323"/>
    </row>
    <row r="56" spans="1:11" x14ac:dyDescent="0.3">
      <c r="A56" s="316">
        <v>46</v>
      </c>
      <c r="B56" s="315" t="s">
        <v>1175</v>
      </c>
      <c r="C56" s="326">
        <v>0.21</v>
      </c>
      <c r="D56" s="324">
        <v>0</v>
      </c>
      <c r="E56" s="324">
        <v>0</v>
      </c>
      <c r="F56" s="325">
        <v>-3388.4339999999997</v>
      </c>
      <c r="G56" s="325">
        <v>-3388.4339999999997</v>
      </c>
      <c r="H56" s="325">
        <v>-3489.8052000000002</v>
      </c>
      <c r="I56" s="325">
        <v>-6878.2392</v>
      </c>
      <c r="J56" s="325">
        <v>-42650.53680342</v>
      </c>
      <c r="K56" s="325">
        <v>-49528.776003420004</v>
      </c>
    </row>
    <row r="57" spans="1:11" x14ac:dyDescent="0.3">
      <c r="A57" s="316">
        <v>47</v>
      </c>
      <c r="B57" s="315"/>
      <c r="C57" s="315"/>
      <c r="D57" s="322"/>
      <c r="E57" s="322"/>
      <c r="F57" s="323"/>
      <c r="G57" s="323"/>
      <c r="H57" s="323"/>
      <c r="I57" s="323"/>
      <c r="J57" s="323"/>
      <c r="K57" s="323"/>
    </row>
    <row r="58" spans="1:11" ht="15" thickBot="1" x14ac:dyDescent="0.35">
      <c r="A58" s="316">
        <v>48</v>
      </c>
      <c r="B58" s="230" t="s">
        <v>1176</v>
      </c>
      <c r="C58" s="315"/>
      <c r="D58" s="327">
        <v>0</v>
      </c>
      <c r="E58" s="327">
        <v>0</v>
      </c>
      <c r="F58" s="328">
        <v>-12746.966</v>
      </c>
      <c r="G58" s="328">
        <v>-12746.966</v>
      </c>
      <c r="H58" s="328">
        <v>-13128.314800000002</v>
      </c>
      <c r="I58" s="328">
        <v>-25875.2808</v>
      </c>
      <c r="J58" s="328">
        <v>-160447.25749858003</v>
      </c>
      <c r="K58" s="328">
        <v>-186322.53829858001</v>
      </c>
    </row>
    <row r="59" spans="1:11" ht="15" thickTop="1" x14ac:dyDescent="0.3">
      <c r="A59" s="316">
        <v>49</v>
      </c>
      <c r="B59" s="315"/>
      <c r="C59" s="315"/>
      <c r="D59" s="322"/>
      <c r="E59" s="322"/>
      <c r="F59" s="323"/>
      <c r="G59" s="323"/>
      <c r="H59" s="323"/>
      <c r="I59" s="323"/>
      <c r="J59" s="323"/>
      <c r="K59" s="323"/>
    </row>
    <row r="60" spans="1:11" x14ac:dyDescent="0.3">
      <c r="A60" s="316">
        <v>50</v>
      </c>
      <c r="B60" s="315" t="s">
        <v>1177</v>
      </c>
      <c r="C60" s="315"/>
      <c r="D60" s="322">
        <v>0</v>
      </c>
      <c r="E60" s="322">
        <v>0</v>
      </c>
      <c r="F60" s="323">
        <v>1256366.2</v>
      </c>
      <c r="G60" s="323">
        <v>1256366.2</v>
      </c>
      <c r="H60" s="323">
        <v>0</v>
      </c>
      <c r="I60" s="323">
        <v>1256366.2</v>
      </c>
      <c r="J60" s="323">
        <v>2055930.3467039999</v>
      </c>
      <c r="K60" s="323">
        <v>3312296.5467039999</v>
      </c>
    </row>
    <row r="61" spans="1:11" x14ac:dyDescent="0.3">
      <c r="A61" s="316">
        <v>51</v>
      </c>
      <c r="B61" s="315" t="s">
        <v>1178</v>
      </c>
      <c r="C61" s="315"/>
      <c r="D61" s="322">
        <v>0</v>
      </c>
      <c r="E61" s="322">
        <v>0</v>
      </c>
      <c r="F61" s="323">
        <v>-16135.4</v>
      </c>
      <c r="G61" s="323">
        <v>-16135.4</v>
      </c>
      <c r="H61" s="323">
        <v>-16376.760000000004</v>
      </c>
      <c r="I61" s="323">
        <v>-32512.160000000003</v>
      </c>
      <c r="J61" s="323">
        <v>-91237.418288000001</v>
      </c>
      <c r="K61" s="323">
        <v>-123749.578288</v>
      </c>
    </row>
    <row r="62" spans="1:11" x14ac:dyDescent="0.3">
      <c r="A62" s="316">
        <v>52</v>
      </c>
      <c r="B62" s="315" t="s">
        <v>49</v>
      </c>
      <c r="C62" s="315"/>
      <c r="D62" s="324">
        <v>0</v>
      </c>
      <c r="E62" s="324">
        <v>0</v>
      </c>
      <c r="F62" s="325">
        <v>-6505.43</v>
      </c>
      <c r="G62" s="325">
        <v>-6505.43</v>
      </c>
      <c r="H62" s="325">
        <v>-5636.8000000000011</v>
      </c>
      <c r="I62" s="325">
        <v>-12142.230000000001</v>
      </c>
      <c r="J62" s="325">
        <v>-74473.43910399999</v>
      </c>
      <c r="K62" s="325">
        <v>-86615.669103999986</v>
      </c>
    </row>
    <row r="63" spans="1:11" x14ac:dyDescent="0.3">
      <c r="A63" s="316">
        <v>53</v>
      </c>
      <c r="B63" s="230" t="s">
        <v>1179</v>
      </c>
      <c r="C63" s="315"/>
      <c r="D63" s="322">
        <v>0</v>
      </c>
      <c r="E63" s="322">
        <v>0</v>
      </c>
      <c r="F63" s="323">
        <v>1233725.3700000001</v>
      </c>
      <c r="G63" s="323">
        <v>1233725.3700000001</v>
      </c>
      <c r="H63" s="323">
        <v>-22013.560000000005</v>
      </c>
      <c r="I63" s="323">
        <v>1211711.81</v>
      </c>
      <c r="J63" s="323">
        <v>1890219.4893120001</v>
      </c>
      <c r="K63" s="323">
        <v>3101931.2993119997</v>
      </c>
    </row>
    <row r="64" spans="1:11" x14ac:dyDescent="0.3">
      <c r="A64" s="316">
        <v>54</v>
      </c>
      <c r="B64" s="315"/>
      <c r="C64" s="315"/>
      <c r="D64" s="322"/>
      <c r="E64" s="322"/>
      <c r="F64" s="329"/>
      <c r="G64" s="329"/>
      <c r="H64" s="329"/>
      <c r="I64" s="322"/>
      <c r="J64" s="322"/>
      <c r="K64" s="322"/>
    </row>
    <row r="65" spans="1:11" ht="18" x14ac:dyDescent="0.35">
      <c r="A65" s="316">
        <v>55</v>
      </c>
      <c r="B65" s="321" t="s">
        <v>26</v>
      </c>
      <c r="C65" s="315"/>
      <c r="D65" s="322"/>
      <c r="E65" s="322"/>
      <c r="F65" s="322"/>
      <c r="G65" s="322"/>
      <c r="H65" s="322"/>
      <c r="I65" s="322"/>
      <c r="J65" s="322"/>
      <c r="K65" s="322"/>
    </row>
    <row r="66" spans="1:11" x14ac:dyDescent="0.3">
      <c r="A66" s="316">
        <v>56</v>
      </c>
      <c r="B66" s="315" t="s">
        <v>1169</v>
      </c>
      <c r="C66" s="315"/>
      <c r="D66" s="322">
        <v>0</v>
      </c>
      <c r="E66" s="322">
        <v>0</v>
      </c>
      <c r="F66" s="322">
        <v>152201.17000000004</v>
      </c>
      <c r="G66" s="322">
        <v>152201.17000000004</v>
      </c>
      <c r="H66" s="322">
        <v>651335.60000000009</v>
      </c>
      <c r="I66" s="322">
        <v>803536.77000000014</v>
      </c>
      <c r="J66" s="322">
        <v>547635.70999999985</v>
      </c>
      <c r="K66" s="322">
        <v>1351172.48</v>
      </c>
    </row>
    <row r="67" spans="1:11" x14ac:dyDescent="0.3">
      <c r="A67" s="316">
        <v>57</v>
      </c>
      <c r="B67" s="315" t="s">
        <v>1170</v>
      </c>
      <c r="C67" s="315"/>
      <c r="D67" s="322">
        <v>0</v>
      </c>
      <c r="E67" s="322">
        <v>0</v>
      </c>
      <c r="F67" s="322">
        <v>19132.660039999999</v>
      </c>
      <c r="G67" s="322">
        <v>19132.660039999999</v>
      </c>
      <c r="H67" s="322">
        <v>138530.814292</v>
      </c>
      <c r="I67" s="322">
        <v>157663.47433199998</v>
      </c>
      <c r="J67" s="322">
        <v>200843.38333800036</v>
      </c>
      <c r="K67" s="322">
        <v>358506.85767000035</v>
      </c>
    </row>
    <row r="68" spans="1:11" x14ac:dyDescent="0.3">
      <c r="A68" s="316">
        <v>58</v>
      </c>
      <c r="B68" s="315" t="s">
        <v>1171</v>
      </c>
      <c r="C68" s="315"/>
      <c r="D68" s="322">
        <v>0</v>
      </c>
      <c r="E68" s="322">
        <v>0</v>
      </c>
      <c r="F68" s="323">
        <v>15725.449999999999</v>
      </c>
      <c r="G68" s="323">
        <v>15725.449999999999</v>
      </c>
      <c r="H68" s="323">
        <v>661119.55000000005</v>
      </c>
      <c r="I68" s="323">
        <v>676845</v>
      </c>
      <c r="J68" s="323">
        <v>487562.7200000002</v>
      </c>
      <c r="K68" s="323">
        <v>1164407.7200000002</v>
      </c>
    </row>
    <row r="69" spans="1:11" x14ac:dyDescent="0.3">
      <c r="A69" s="316">
        <v>59</v>
      </c>
      <c r="B69" s="315" t="s">
        <v>1172</v>
      </c>
      <c r="C69" s="315"/>
      <c r="D69" s="324">
        <v>0</v>
      </c>
      <c r="E69" s="324">
        <v>0</v>
      </c>
      <c r="F69" s="325">
        <v>495765.32660200004</v>
      </c>
      <c r="G69" s="325">
        <v>495765.32660200004</v>
      </c>
      <c r="H69" s="325">
        <v>2858648.5043479996</v>
      </c>
      <c r="I69" s="325">
        <v>3354413.8309499999</v>
      </c>
      <c r="J69" s="325">
        <v>4532742.1740380004</v>
      </c>
      <c r="K69" s="325">
        <v>7887156.0049879998</v>
      </c>
    </row>
    <row r="70" spans="1:11" x14ac:dyDescent="0.3">
      <c r="A70" s="316">
        <v>60</v>
      </c>
      <c r="B70" s="315" t="s">
        <v>1173</v>
      </c>
      <c r="C70" s="315"/>
      <c r="D70" s="322">
        <v>0</v>
      </c>
      <c r="E70" s="322">
        <v>0</v>
      </c>
      <c r="F70" s="323">
        <v>682824.60664200014</v>
      </c>
      <c r="G70" s="323">
        <v>682824.60664200014</v>
      </c>
      <c r="H70" s="323">
        <v>4309634.4686399996</v>
      </c>
      <c r="I70" s="323">
        <v>4992459.075282</v>
      </c>
      <c r="J70" s="323">
        <v>5768783.9873760007</v>
      </c>
      <c r="K70" s="323">
        <v>10761243.062658001</v>
      </c>
    </row>
    <row r="71" spans="1:11" x14ac:dyDescent="0.3">
      <c r="A71" s="316">
        <v>61</v>
      </c>
      <c r="B71" s="315"/>
      <c r="C71" s="315"/>
      <c r="D71" s="322"/>
      <c r="E71" s="322"/>
      <c r="F71" s="322"/>
      <c r="G71" s="322"/>
      <c r="H71" s="322"/>
      <c r="I71" s="322"/>
      <c r="J71" s="322"/>
      <c r="K71" s="322"/>
    </row>
    <row r="72" spans="1:11" x14ac:dyDescent="0.3">
      <c r="A72" s="316">
        <v>62</v>
      </c>
      <c r="B72" s="315" t="s">
        <v>1174</v>
      </c>
      <c r="C72" s="315"/>
      <c r="D72" s="322">
        <v>0</v>
      </c>
      <c r="E72" s="322">
        <v>0</v>
      </c>
      <c r="F72" s="323">
        <v>682824.60664200014</v>
      </c>
      <c r="G72" s="323">
        <v>682824.60664200014</v>
      </c>
      <c r="H72" s="323">
        <v>4309634.4686399996</v>
      </c>
      <c r="I72" s="323">
        <v>4992459.075282</v>
      </c>
      <c r="J72" s="323">
        <v>5768783.9873760007</v>
      </c>
      <c r="K72" s="323">
        <v>10761243.062658001</v>
      </c>
    </row>
    <row r="73" spans="1:11" x14ac:dyDescent="0.3">
      <c r="A73" s="316">
        <v>63</v>
      </c>
      <c r="B73" s="315"/>
      <c r="C73" s="315"/>
      <c r="D73" s="322"/>
      <c r="E73" s="322"/>
      <c r="F73" s="323"/>
      <c r="G73" s="323"/>
      <c r="H73" s="323"/>
      <c r="I73" s="323"/>
      <c r="J73" s="323"/>
      <c r="K73" s="323"/>
    </row>
    <row r="74" spans="1:11" x14ac:dyDescent="0.3">
      <c r="A74" s="316">
        <v>64</v>
      </c>
      <c r="B74" s="315" t="s">
        <v>1175</v>
      </c>
      <c r="C74" s="326">
        <v>0.21</v>
      </c>
      <c r="D74" s="324">
        <v>0</v>
      </c>
      <c r="E74" s="324">
        <v>0</v>
      </c>
      <c r="F74" s="325">
        <v>-143393.16739482002</v>
      </c>
      <c r="G74" s="325">
        <v>-143393.16739482002</v>
      </c>
      <c r="H74" s="325">
        <v>-905023.23841439991</v>
      </c>
      <c r="I74" s="325">
        <v>-1048416.4058092199</v>
      </c>
      <c r="J74" s="325">
        <v>-1211444.6373489602</v>
      </c>
      <c r="K74" s="325">
        <v>-2259861.0431581801</v>
      </c>
    </row>
    <row r="75" spans="1:11" x14ac:dyDescent="0.3">
      <c r="A75" s="316">
        <v>65</v>
      </c>
      <c r="B75" s="315"/>
      <c r="C75" s="315"/>
      <c r="D75" s="322"/>
      <c r="E75" s="322"/>
      <c r="F75" s="323"/>
      <c r="G75" s="323"/>
      <c r="H75" s="323"/>
      <c r="I75" s="323"/>
      <c r="J75" s="323"/>
      <c r="K75" s="323"/>
    </row>
    <row r="76" spans="1:11" ht="15" thickBot="1" x14ac:dyDescent="0.35">
      <c r="A76" s="316">
        <v>66</v>
      </c>
      <c r="B76" s="230" t="s">
        <v>1176</v>
      </c>
      <c r="C76" s="315"/>
      <c r="D76" s="327">
        <v>0</v>
      </c>
      <c r="E76" s="327">
        <v>0</v>
      </c>
      <c r="F76" s="328">
        <v>-539431.43924718013</v>
      </c>
      <c r="G76" s="328">
        <v>-539431.43924718013</v>
      </c>
      <c r="H76" s="328">
        <v>-3404611.2302255998</v>
      </c>
      <c r="I76" s="328">
        <v>-3944042.6694727801</v>
      </c>
      <c r="J76" s="328">
        <v>-4557339.3500270406</v>
      </c>
      <c r="K76" s="328">
        <v>-8501382.0194998197</v>
      </c>
    </row>
    <row r="77" spans="1:11" ht="15" thickTop="1" x14ac:dyDescent="0.3">
      <c r="A77" s="316">
        <v>67</v>
      </c>
      <c r="B77" s="315"/>
      <c r="C77" s="315"/>
      <c r="D77" s="322"/>
      <c r="E77" s="322"/>
      <c r="F77" s="329"/>
      <c r="G77" s="329"/>
      <c r="H77" s="329"/>
      <c r="I77" s="329"/>
      <c r="J77" s="329"/>
      <c r="K77" s="329"/>
    </row>
    <row r="78" spans="1:11" x14ac:dyDescent="0.3">
      <c r="A78" s="316">
        <v>68</v>
      </c>
      <c r="B78" s="315" t="s">
        <v>1177</v>
      </c>
      <c r="C78" s="315"/>
      <c r="D78" s="322">
        <v>0</v>
      </c>
      <c r="E78" s="322">
        <v>0</v>
      </c>
      <c r="F78" s="323">
        <v>29948655.494736001</v>
      </c>
      <c r="G78" s="323">
        <v>29948655.494736001</v>
      </c>
      <c r="H78" s="323">
        <v>18365621.695232004</v>
      </c>
      <c r="I78" s="323">
        <v>48314277.189968005</v>
      </c>
      <c r="J78" s="323">
        <v>48559199.787118003</v>
      </c>
      <c r="K78" s="323">
        <v>96873476.977086008</v>
      </c>
    </row>
    <row r="79" spans="1:11" x14ac:dyDescent="0.3">
      <c r="A79" s="316">
        <v>69</v>
      </c>
      <c r="B79" s="315" t="s">
        <v>1178</v>
      </c>
      <c r="C79" s="315"/>
      <c r="D79" s="322">
        <v>0</v>
      </c>
      <c r="E79" s="322">
        <v>0</v>
      </c>
      <c r="F79" s="323">
        <v>-682824.60664199991</v>
      </c>
      <c r="G79" s="323">
        <v>-682824.60664199991</v>
      </c>
      <c r="H79" s="323">
        <v>-2131223.117730001</v>
      </c>
      <c r="I79" s="323">
        <v>-2814047.7243720009</v>
      </c>
      <c r="J79" s="323">
        <v>-7944094.2734619956</v>
      </c>
      <c r="K79" s="323">
        <v>-10758141.997833997</v>
      </c>
    </row>
    <row r="80" spans="1:11" x14ac:dyDescent="0.3">
      <c r="A80" s="316">
        <v>70</v>
      </c>
      <c r="B80" s="315" t="s">
        <v>49</v>
      </c>
      <c r="C80" s="315"/>
      <c r="D80" s="324">
        <v>0</v>
      </c>
      <c r="E80" s="324">
        <v>0</v>
      </c>
      <c r="F80" s="325">
        <v>-253046.63432400001</v>
      </c>
      <c r="G80" s="325">
        <v>-253046.63432400001</v>
      </c>
      <c r="H80" s="325">
        <v>-492947.63344800007</v>
      </c>
      <c r="I80" s="325">
        <v>-745994.26777200005</v>
      </c>
      <c r="J80" s="325">
        <v>-1323038.6732980001</v>
      </c>
      <c r="K80" s="325">
        <v>-2069032.9410700002</v>
      </c>
    </row>
    <row r="81" spans="1:11" x14ac:dyDescent="0.3">
      <c r="A81" s="316">
        <v>71</v>
      </c>
      <c r="B81" s="230" t="s">
        <v>1179</v>
      </c>
      <c r="C81" s="315"/>
      <c r="D81" s="322">
        <v>0</v>
      </c>
      <c r="E81" s="322">
        <v>0</v>
      </c>
      <c r="F81" s="323">
        <v>29012784.253770001</v>
      </c>
      <c r="G81" s="323">
        <v>29012784.253770001</v>
      </c>
      <c r="H81" s="323">
        <v>15741450.944054004</v>
      </c>
      <c r="I81" s="323">
        <v>44754235.197824009</v>
      </c>
      <c r="J81" s="323">
        <v>39292066.840358004</v>
      </c>
      <c r="K81" s="323">
        <v>84046302.038182005</v>
      </c>
    </row>
    <row r="82" spans="1:11" x14ac:dyDescent="0.3">
      <c r="A82" s="316">
        <v>72</v>
      </c>
      <c r="B82" s="315"/>
      <c r="C82" s="315"/>
      <c r="D82" s="322"/>
      <c r="E82" s="322"/>
      <c r="F82" s="329"/>
      <c r="G82" s="329"/>
      <c r="H82" s="329"/>
      <c r="I82" s="329"/>
      <c r="J82" s="329"/>
      <c r="K82" s="329"/>
    </row>
    <row r="83" spans="1:11" ht="18" x14ac:dyDescent="0.35">
      <c r="A83" s="316">
        <v>73</v>
      </c>
      <c r="B83" s="321" t="s">
        <v>1182</v>
      </c>
      <c r="C83" s="315"/>
      <c r="D83" s="322"/>
      <c r="E83" s="322"/>
      <c r="F83" s="329"/>
      <c r="G83" s="329"/>
      <c r="H83" s="329"/>
      <c r="I83" s="329"/>
      <c r="J83" s="329"/>
      <c r="K83" s="329"/>
    </row>
    <row r="84" spans="1:11" x14ac:dyDescent="0.3">
      <c r="A84" s="316">
        <v>74</v>
      </c>
      <c r="B84" s="315" t="s">
        <v>1169</v>
      </c>
      <c r="C84" s="315"/>
      <c r="D84" s="322">
        <v>0</v>
      </c>
      <c r="E84" s="322">
        <v>0</v>
      </c>
      <c r="F84" s="323">
        <v>2955531.7699999996</v>
      </c>
      <c r="G84" s="323">
        <v>2955531.7699999996</v>
      </c>
      <c r="H84" s="323">
        <v>6685446.9399999995</v>
      </c>
      <c r="I84" s="323">
        <v>9640978.709999999</v>
      </c>
      <c r="J84" s="323">
        <v>10924458.989999995</v>
      </c>
      <c r="K84" s="323">
        <v>20565437.699999996</v>
      </c>
    </row>
    <row r="85" spans="1:11" x14ac:dyDescent="0.3">
      <c r="A85" s="316">
        <v>75</v>
      </c>
      <c r="B85" s="315" t="s">
        <v>1170</v>
      </c>
      <c r="C85" s="315"/>
      <c r="D85" s="322">
        <v>0</v>
      </c>
      <c r="E85" s="322">
        <v>0</v>
      </c>
      <c r="F85" s="323">
        <v>857959.69357800006</v>
      </c>
      <c r="G85" s="323">
        <v>857959.69357800006</v>
      </c>
      <c r="H85" s="323">
        <v>437305.59750799998</v>
      </c>
      <c r="I85" s="323">
        <v>1295265.2910859999</v>
      </c>
      <c r="J85" s="323">
        <v>1491146.3946860004</v>
      </c>
      <c r="K85" s="323">
        <v>2786411.6857720003</v>
      </c>
    </row>
    <row r="86" spans="1:11" x14ac:dyDescent="0.3">
      <c r="A86" s="316">
        <v>76</v>
      </c>
      <c r="B86" s="315" t="s">
        <v>1171</v>
      </c>
      <c r="C86" s="315"/>
      <c r="D86" s="322">
        <v>0</v>
      </c>
      <c r="E86" s="322">
        <v>0</v>
      </c>
      <c r="F86" s="323">
        <v>17020.789999999997</v>
      </c>
      <c r="G86" s="323">
        <v>17020.789999999997</v>
      </c>
      <c r="H86" s="323">
        <v>663748.21000000008</v>
      </c>
      <c r="I86" s="323">
        <v>680769.00000000012</v>
      </c>
      <c r="J86" s="323">
        <v>490269.14000000019</v>
      </c>
      <c r="K86" s="323">
        <v>1171038.1400000004</v>
      </c>
    </row>
    <row r="87" spans="1:11" x14ac:dyDescent="0.3">
      <c r="A87" s="316">
        <v>77</v>
      </c>
      <c r="B87" s="315" t="s">
        <v>1172</v>
      </c>
      <c r="C87" s="315"/>
      <c r="D87" s="324">
        <v>0</v>
      </c>
      <c r="E87" s="324">
        <v>0</v>
      </c>
      <c r="F87" s="325">
        <v>1423484.8490980002</v>
      </c>
      <c r="G87" s="325">
        <v>1423484.8490980002</v>
      </c>
      <c r="H87" s="325">
        <v>4840783.048374</v>
      </c>
      <c r="I87" s="325">
        <v>6264267.8974719997</v>
      </c>
      <c r="J87" s="325">
        <v>6973818.0790720005</v>
      </c>
      <c r="K87" s="325">
        <v>13238085.976544</v>
      </c>
    </row>
    <row r="88" spans="1:11" x14ac:dyDescent="0.3">
      <c r="A88" s="316">
        <v>78</v>
      </c>
      <c r="B88" s="315" t="s">
        <v>1173</v>
      </c>
      <c r="C88" s="315"/>
      <c r="D88" s="322">
        <v>0</v>
      </c>
      <c r="E88" s="322">
        <v>0</v>
      </c>
      <c r="F88" s="323">
        <v>5253997.1026760004</v>
      </c>
      <c r="G88" s="323">
        <v>5253997.1026760004</v>
      </c>
      <c r="H88" s="323">
        <v>12627283.795882</v>
      </c>
      <c r="I88" s="323">
        <v>17881280.898557998</v>
      </c>
      <c r="J88" s="323">
        <v>19879692.603757996</v>
      </c>
      <c r="K88" s="323">
        <v>37760973.502315998</v>
      </c>
    </row>
    <row r="89" spans="1:11" x14ac:dyDescent="0.3">
      <c r="A89" s="316">
        <v>79</v>
      </c>
      <c r="B89" s="315"/>
      <c r="C89" s="315"/>
      <c r="D89" s="322"/>
      <c r="E89" s="322"/>
      <c r="F89" s="323"/>
      <c r="G89" s="323"/>
      <c r="H89" s="323"/>
      <c r="I89" s="323"/>
      <c r="J89" s="323"/>
      <c r="K89" s="323"/>
    </row>
    <row r="90" spans="1:11" x14ac:dyDescent="0.3">
      <c r="A90" s="316">
        <v>80</v>
      </c>
      <c r="B90" s="315" t="s">
        <v>1174</v>
      </c>
      <c r="C90" s="315"/>
      <c r="D90" s="322">
        <v>0</v>
      </c>
      <c r="E90" s="322">
        <v>0</v>
      </c>
      <c r="F90" s="323">
        <v>5253997.1026760004</v>
      </c>
      <c r="G90" s="323">
        <v>5253997.1026760004</v>
      </c>
      <c r="H90" s="323">
        <v>12627283.795882</v>
      </c>
      <c r="I90" s="323">
        <v>17881280.898557998</v>
      </c>
      <c r="J90" s="323">
        <v>19879692.603757996</v>
      </c>
      <c r="K90" s="323">
        <v>37760973.502315998</v>
      </c>
    </row>
    <row r="91" spans="1:11" x14ac:dyDescent="0.3">
      <c r="A91" s="316">
        <v>81</v>
      </c>
      <c r="B91" s="315"/>
      <c r="C91" s="315"/>
      <c r="D91" s="322"/>
      <c r="E91" s="322"/>
      <c r="F91" s="323"/>
      <c r="G91" s="323"/>
      <c r="H91" s="323"/>
      <c r="I91" s="323"/>
      <c r="J91" s="323"/>
      <c r="K91" s="323"/>
    </row>
    <row r="92" spans="1:11" x14ac:dyDescent="0.3">
      <c r="A92" s="316">
        <v>82</v>
      </c>
      <c r="B92" s="315" t="s">
        <v>1175</v>
      </c>
      <c r="C92" s="326">
        <v>0.21</v>
      </c>
      <c r="D92" s="324">
        <v>0</v>
      </c>
      <c r="E92" s="324">
        <v>0</v>
      </c>
      <c r="F92" s="325">
        <v>-1103339.3915619601</v>
      </c>
      <c r="G92" s="325">
        <v>-1103339.3915619601</v>
      </c>
      <c r="H92" s="325">
        <v>-2651729.5971352197</v>
      </c>
      <c r="I92" s="325">
        <v>-3755068.9886971796</v>
      </c>
      <c r="J92" s="325">
        <v>-4174735.446789179</v>
      </c>
      <c r="K92" s="325">
        <v>-7929804.4354863595</v>
      </c>
    </row>
    <row r="93" spans="1:11" x14ac:dyDescent="0.3">
      <c r="A93" s="316">
        <v>83</v>
      </c>
      <c r="B93" s="315"/>
      <c r="C93" s="315"/>
      <c r="D93" s="322"/>
      <c r="E93" s="322"/>
      <c r="F93" s="323"/>
      <c r="G93" s="323"/>
      <c r="H93" s="323"/>
      <c r="I93" s="323"/>
      <c r="J93" s="323"/>
      <c r="K93" s="323"/>
    </row>
    <row r="94" spans="1:11" ht="15" thickBot="1" x14ac:dyDescent="0.35">
      <c r="A94" s="316">
        <v>84</v>
      </c>
      <c r="B94" s="230" t="s">
        <v>1176</v>
      </c>
      <c r="C94" s="315"/>
      <c r="D94" s="327">
        <v>0</v>
      </c>
      <c r="E94" s="327">
        <v>0</v>
      </c>
      <c r="F94" s="328">
        <v>-4150657.7111140406</v>
      </c>
      <c r="G94" s="328">
        <v>-4150657.7111140406</v>
      </c>
      <c r="H94" s="328">
        <v>-9975554.1987467799</v>
      </c>
      <c r="I94" s="328">
        <v>-14126211.90986082</v>
      </c>
      <c r="J94" s="328">
        <v>-15704957.156968817</v>
      </c>
      <c r="K94" s="328">
        <v>-29831169.066829637</v>
      </c>
    </row>
    <row r="95" spans="1:11" ht="15" thickTop="1" x14ac:dyDescent="0.3">
      <c r="A95" s="316">
        <v>85</v>
      </c>
      <c r="B95" s="315"/>
      <c r="C95" s="315"/>
      <c r="D95" s="322"/>
      <c r="E95" s="322"/>
      <c r="F95" s="323"/>
      <c r="G95" s="323"/>
      <c r="H95" s="323"/>
      <c r="I95" s="323"/>
      <c r="J95" s="323"/>
      <c r="K95" s="323"/>
    </row>
    <row r="96" spans="1:11" x14ac:dyDescent="0.3">
      <c r="A96" s="316">
        <v>86</v>
      </c>
      <c r="B96" s="315" t="s">
        <v>1177</v>
      </c>
      <c r="C96" s="315"/>
      <c r="D96" s="322">
        <v>0</v>
      </c>
      <c r="E96" s="322">
        <v>0</v>
      </c>
      <c r="F96" s="323">
        <v>275180706.80413002</v>
      </c>
      <c r="G96" s="323">
        <v>275180706.80413002</v>
      </c>
      <c r="H96" s="323">
        <v>83694201.328631997</v>
      </c>
      <c r="I96" s="323">
        <v>358874908.13276201</v>
      </c>
      <c r="J96" s="323">
        <v>349330360.92106205</v>
      </c>
      <c r="K96" s="323">
        <v>708205269.05382407</v>
      </c>
    </row>
    <row r="97" spans="1:11" x14ac:dyDescent="0.3">
      <c r="A97" s="316">
        <v>87</v>
      </c>
      <c r="B97" s="315" t="s">
        <v>1178</v>
      </c>
      <c r="C97" s="315"/>
      <c r="D97" s="322">
        <v>0</v>
      </c>
      <c r="E97" s="322">
        <v>0</v>
      </c>
      <c r="F97" s="323">
        <v>-5253997.1026760004</v>
      </c>
      <c r="G97" s="323">
        <v>-5253997.1026760004</v>
      </c>
      <c r="H97" s="323">
        <v>-7974604.5387900025</v>
      </c>
      <c r="I97" s="323">
        <v>-13228601.641466003</v>
      </c>
      <c r="J97" s="323">
        <v>-27485775.237290002</v>
      </c>
      <c r="K97" s="323">
        <v>-40714376.878756002</v>
      </c>
    </row>
    <row r="98" spans="1:11" x14ac:dyDescent="0.3">
      <c r="A98" s="316">
        <v>88</v>
      </c>
      <c r="B98" s="315" t="s">
        <v>49</v>
      </c>
      <c r="C98" s="315"/>
      <c r="D98" s="324">
        <v>0</v>
      </c>
      <c r="E98" s="324">
        <v>0</v>
      </c>
      <c r="F98" s="325">
        <v>-1951090.2194439999</v>
      </c>
      <c r="G98" s="325">
        <v>-1951090.2194439999</v>
      </c>
      <c r="H98" s="325">
        <v>-3618482.5842199996</v>
      </c>
      <c r="I98" s="325">
        <v>-5569572.8036639998</v>
      </c>
      <c r="J98" s="325">
        <v>-8983515.4692480043</v>
      </c>
      <c r="K98" s="325">
        <v>-14553088.272912003</v>
      </c>
    </row>
    <row r="99" spans="1:11" x14ac:dyDescent="0.3">
      <c r="A99" s="316">
        <v>89</v>
      </c>
      <c r="B99" s="230" t="s">
        <v>1179</v>
      </c>
      <c r="C99" s="315"/>
      <c r="D99" s="322">
        <v>0</v>
      </c>
      <c r="E99" s="322">
        <v>0</v>
      </c>
      <c r="F99" s="323">
        <v>267975619.48201004</v>
      </c>
      <c r="G99" s="323">
        <v>267975619.48201004</v>
      </c>
      <c r="H99" s="323">
        <v>72101114.205621988</v>
      </c>
      <c r="I99" s="323">
        <v>340076733.68763196</v>
      </c>
      <c r="J99" s="323">
        <v>312861070.21452403</v>
      </c>
      <c r="K99" s="323">
        <v>652937803.902156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6" sqref="J16"/>
    </sheetView>
  </sheetViews>
  <sheetFormatPr defaultColWidth="8.88671875" defaultRowHeight="14.4" x14ac:dyDescent="0.3"/>
  <cols>
    <col min="1" max="1" width="8.88671875" style="330"/>
    <col min="2" max="2" width="55.5546875" style="330" bestFit="1" customWidth="1"/>
    <col min="3" max="3" width="4.6640625" style="330" customWidth="1"/>
    <col min="4" max="4" width="16.6640625" style="330" bestFit="1" customWidth="1"/>
    <col min="5" max="11" width="17.44140625" style="330" customWidth="1"/>
    <col min="12" max="12" width="19.33203125" style="330" bestFit="1" customWidth="1"/>
    <col min="13" max="14" width="17.44140625" customWidth="1"/>
    <col min="15" max="31" width="17.44140625" style="330" customWidth="1"/>
    <col min="32" max="16384" width="8.88671875" style="330"/>
  </cols>
  <sheetData>
    <row r="1" spans="1:12" x14ac:dyDescent="0.3">
      <c r="A1" s="307" t="s">
        <v>127</v>
      </c>
      <c r="B1" s="308"/>
      <c r="L1" s="310" t="s">
        <v>1147</v>
      </c>
    </row>
    <row r="2" spans="1:12" ht="15" thickBot="1" x14ac:dyDescent="0.35">
      <c r="A2" s="307" t="s">
        <v>129</v>
      </c>
      <c r="B2" s="308"/>
      <c r="L2" s="311" t="s">
        <v>1183</v>
      </c>
    </row>
    <row r="3" spans="1:12" x14ac:dyDescent="0.3">
      <c r="A3" s="307" t="s">
        <v>130</v>
      </c>
      <c r="B3" s="308"/>
    </row>
    <row r="4" spans="1:12" x14ac:dyDescent="0.3">
      <c r="A4" s="307"/>
      <c r="B4" s="313"/>
    </row>
    <row r="5" spans="1:12" x14ac:dyDescent="0.3">
      <c r="A5" s="314" t="s">
        <v>143</v>
      </c>
      <c r="E5" s="331"/>
      <c r="F5" s="331"/>
      <c r="G5" s="331"/>
      <c r="H5" s="331"/>
      <c r="I5" s="331"/>
      <c r="J5" s="331"/>
      <c r="K5" s="331"/>
      <c r="L5" s="331"/>
    </row>
    <row r="6" spans="1:12" x14ac:dyDescent="0.3">
      <c r="E6" s="332"/>
      <c r="F6" s="332"/>
      <c r="G6" s="332"/>
      <c r="H6" s="332"/>
      <c r="I6" s="332"/>
      <c r="J6" s="332"/>
      <c r="K6" s="332"/>
      <c r="L6" s="332"/>
    </row>
    <row r="7" spans="1:12" x14ac:dyDescent="0.3">
      <c r="E7" s="331" t="s">
        <v>1152</v>
      </c>
      <c r="F7" s="331" t="s">
        <v>1152</v>
      </c>
      <c r="G7" s="331">
        <v>2022</v>
      </c>
      <c r="H7" s="331" t="s">
        <v>1153</v>
      </c>
      <c r="I7" s="331">
        <v>2023</v>
      </c>
      <c r="J7" s="331" t="s">
        <v>1153</v>
      </c>
      <c r="K7" s="331">
        <v>2024</v>
      </c>
      <c r="L7" s="331" t="s">
        <v>1153</v>
      </c>
    </row>
    <row r="8" spans="1:12" x14ac:dyDescent="0.3">
      <c r="C8" s="333"/>
      <c r="D8" s="334"/>
      <c r="E8" s="331" t="s">
        <v>1154</v>
      </c>
      <c r="F8" s="331" t="s">
        <v>1153</v>
      </c>
      <c r="G8" s="331" t="s">
        <v>1155</v>
      </c>
      <c r="H8" s="331" t="s">
        <v>1156</v>
      </c>
      <c r="I8" s="331" t="s">
        <v>1157</v>
      </c>
      <c r="J8" s="331" t="s">
        <v>1156</v>
      </c>
      <c r="K8" s="331" t="s">
        <v>1158</v>
      </c>
      <c r="L8" s="331" t="s">
        <v>1156</v>
      </c>
    </row>
    <row r="9" spans="1:12" x14ac:dyDescent="0.3">
      <c r="A9" s="331" t="s">
        <v>132</v>
      </c>
      <c r="B9" s="335"/>
      <c r="C9" s="336"/>
      <c r="D9" s="336"/>
      <c r="E9" s="331" t="s">
        <v>1159</v>
      </c>
      <c r="F9" s="331" t="s">
        <v>1160</v>
      </c>
      <c r="G9" s="331" t="s">
        <v>1161</v>
      </c>
      <c r="H9" s="331" t="s">
        <v>1162</v>
      </c>
      <c r="I9" s="331" t="s">
        <v>1161</v>
      </c>
      <c r="J9" s="331" t="s">
        <v>1163</v>
      </c>
      <c r="K9" s="331" t="s">
        <v>1161</v>
      </c>
      <c r="L9" s="331" t="s">
        <v>1163</v>
      </c>
    </row>
    <row r="10" spans="1:12" x14ac:dyDescent="0.3">
      <c r="A10" s="337" t="s">
        <v>1164</v>
      </c>
      <c r="B10" s="337" t="s">
        <v>1165</v>
      </c>
      <c r="C10" s="337"/>
      <c r="D10" s="337"/>
      <c r="E10" s="337" t="s">
        <v>1166</v>
      </c>
      <c r="F10" s="337" t="s">
        <v>1167</v>
      </c>
      <c r="G10" s="337" t="s">
        <v>1166</v>
      </c>
      <c r="H10" s="337" t="s">
        <v>1157</v>
      </c>
      <c r="I10" s="337" t="s">
        <v>1166</v>
      </c>
      <c r="J10" s="337" t="s">
        <v>1157</v>
      </c>
      <c r="K10" s="337" t="s">
        <v>1166</v>
      </c>
      <c r="L10" s="337" t="s">
        <v>1158</v>
      </c>
    </row>
    <row r="11" spans="1:12" x14ac:dyDescent="0.3">
      <c r="A11" s="331">
        <v>1</v>
      </c>
      <c r="B11" s="338"/>
      <c r="C11" s="336"/>
      <c r="D11" s="336"/>
      <c r="E11" s="336"/>
      <c r="F11" s="336"/>
    </row>
    <row r="12" spans="1:12" x14ac:dyDescent="0.3">
      <c r="A12" s="331">
        <v>2</v>
      </c>
      <c r="B12" s="330" t="s">
        <v>1169</v>
      </c>
      <c r="D12" s="339">
        <v>0</v>
      </c>
      <c r="E12" s="340">
        <v>0</v>
      </c>
      <c r="F12" s="340">
        <v>0</v>
      </c>
      <c r="G12" s="340">
        <v>-675312.61000000092</v>
      </c>
      <c r="H12" s="340">
        <v>-675312.61000000092</v>
      </c>
      <c r="I12" s="340">
        <v>-1275355.6999999988</v>
      </c>
      <c r="J12" s="340">
        <v>-1950668.3099999996</v>
      </c>
      <c r="K12" s="340">
        <v>-517188.25</v>
      </c>
      <c r="L12" s="340">
        <v>-2467856.5599999996</v>
      </c>
    </row>
    <row r="13" spans="1:12" x14ac:dyDescent="0.3">
      <c r="A13" s="331">
        <v>3</v>
      </c>
      <c r="B13" s="330" t="s">
        <v>1170</v>
      </c>
      <c r="D13" s="339">
        <v>0</v>
      </c>
      <c r="E13" s="340">
        <v>0</v>
      </c>
      <c r="F13" s="340">
        <v>0</v>
      </c>
      <c r="G13" s="340">
        <v>-14204.103108000001</v>
      </c>
      <c r="H13" s="340">
        <v>-14204.103108000001</v>
      </c>
      <c r="I13" s="340">
        <v>-87702.548362000016</v>
      </c>
      <c r="J13" s="340">
        <v>-101906.65147000001</v>
      </c>
      <c r="K13" s="340">
        <v>-76031.238815999997</v>
      </c>
      <c r="L13" s="340">
        <v>-177937.89028600001</v>
      </c>
    </row>
    <row r="14" spans="1:12" x14ac:dyDescent="0.3">
      <c r="A14" s="331">
        <v>4</v>
      </c>
      <c r="B14" s="330" t="s">
        <v>1171</v>
      </c>
      <c r="D14" s="339">
        <v>0</v>
      </c>
      <c r="E14" s="340">
        <v>0</v>
      </c>
      <c r="F14" s="340">
        <v>0</v>
      </c>
      <c r="G14" s="340">
        <v>-1563.3</v>
      </c>
      <c r="H14" s="340">
        <v>-1563.3</v>
      </c>
      <c r="I14" s="340">
        <v>-1752.84</v>
      </c>
      <c r="J14" s="340">
        <v>-3316.14</v>
      </c>
      <c r="K14" s="340">
        <v>-1752.8399999999997</v>
      </c>
      <c r="L14" s="340">
        <v>-5068.9799999999996</v>
      </c>
    </row>
    <row r="15" spans="1:12" x14ac:dyDescent="0.3">
      <c r="A15" s="331">
        <v>5</v>
      </c>
      <c r="B15" s="330" t="s">
        <v>1172</v>
      </c>
      <c r="D15" s="341">
        <v>0</v>
      </c>
      <c r="E15" s="342">
        <v>0</v>
      </c>
      <c r="F15" s="342">
        <v>0</v>
      </c>
      <c r="G15" s="342">
        <v>-70.858423999999999</v>
      </c>
      <c r="H15" s="342">
        <v>-70.858423999999999</v>
      </c>
      <c r="I15" s="342">
        <v>-73.937448000000003</v>
      </c>
      <c r="J15" s="342">
        <v>-144.795872</v>
      </c>
      <c r="K15" s="342">
        <v>-73.937448000000018</v>
      </c>
      <c r="L15" s="342">
        <v>-218.73332000000002</v>
      </c>
    </row>
    <row r="16" spans="1:12" x14ac:dyDescent="0.3">
      <c r="A16" s="331">
        <v>6</v>
      </c>
      <c r="B16" s="343" t="s">
        <v>1184</v>
      </c>
      <c r="D16" s="344">
        <v>0</v>
      </c>
      <c r="E16" s="345">
        <v>0</v>
      </c>
      <c r="F16" s="345">
        <v>0</v>
      </c>
      <c r="G16" s="345">
        <v>-691150.87153200095</v>
      </c>
      <c r="H16" s="345">
        <v>-691150.87153200095</v>
      </c>
      <c r="I16" s="345">
        <v>-1364885.0258099989</v>
      </c>
      <c r="J16" s="345">
        <v>-2056035.8973419995</v>
      </c>
      <c r="K16" s="345">
        <v>-595046.26626399998</v>
      </c>
      <c r="L16" s="345">
        <v>-2651082.1636059997</v>
      </c>
    </row>
    <row r="17" spans="1:15" x14ac:dyDescent="0.3">
      <c r="A17" s="331">
        <v>7</v>
      </c>
      <c r="B17" s="343" t="s">
        <v>1185</v>
      </c>
      <c r="D17" s="344">
        <v>0</v>
      </c>
      <c r="E17" s="340">
        <v>0</v>
      </c>
      <c r="F17" s="345">
        <v>0</v>
      </c>
      <c r="G17" s="340">
        <v>0</v>
      </c>
      <c r="H17" s="345">
        <v>0</v>
      </c>
      <c r="I17" s="340">
        <v>0</v>
      </c>
      <c r="J17" s="345">
        <v>0</v>
      </c>
      <c r="K17" s="340">
        <v>0</v>
      </c>
      <c r="L17" s="345">
        <v>0</v>
      </c>
    </row>
    <row r="18" spans="1:15" x14ac:dyDescent="0.3">
      <c r="A18" s="331">
        <v>8</v>
      </c>
      <c r="B18" s="343" t="s">
        <v>1186</v>
      </c>
      <c r="D18" s="344">
        <v>0</v>
      </c>
      <c r="E18" s="340">
        <v>0</v>
      </c>
      <c r="F18" s="345">
        <v>0</v>
      </c>
      <c r="G18" s="340">
        <v>0</v>
      </c>
      <c r="H18" s="345">
        <v>0</v>
      </c>
      <c r="I18" s="340">
        <v>0</v>
      </c>
      <c r="J18" s="345">
        <v>0</v>
      </c>
      <c r="K18" s="340">
        <v>0</v>
      </c>
      <c r="L18" s="345">
        <v>0</v>
      </c>
    </row>
    <row r="19" spans="1:15" x14ac:dyDescent="0.3">
      <c r="A19" s="331">
        <v>9</v>
      </c>
      <c r="B19" s="343" t="s">
        <v>1187</v>
      </c>
      <c r="D19" s="341">
        <v>0</v>
      </c>
      <c r="E19" s="342">
        <v>0</v>
      </c>
      <c r="F19" s="342">
        <v>0</v>
      </c>
      <c r="G19" s="342">
        <v>0</v>
      </c>
      <c r="H19" s="342">
        <v>0</v>
      </c>
      <c r="I19" s="342">
        <v>0</v>
      </c>
      <c r="J19" s="342">
        <v>0</v>
      </c>
      <c r="K19" s="342">
        <v>0</v>
      </c>
      <c r="L19" s="342">
        <v>0</v>
      </c>
    </row>
    <row r="20" spans="1:15" x14ac:dyDescent="0.3">
      <c r="A20" s="331">
        <v>10</v>
      </c>
      <c r="B20" s="343" t="s">
        <v>1188</v>
      </c>
      <c r="D20" s="339">
        <v>0</v>
      </c>
      <c r="E20" s="340">
        <v>0</v>
      </c>
      <c r="F20" s="340">
        <v>0</v>
      </c>
      <c r="G20" s="340">
        <v>-691150.87153200095</v>
      </c>
      <c r="H20" s="340">
        <v>-691150.87153200095</v>
      </c>
      <c r="I20" s="340">
        <v>-1364885.0258099989</v>
      </c>
      <c r="J20" s="340">
        <v>-2056035.8973419995</v>
      </c>
      <c r="K20" s="340">
        <v>-595046.26626399998</v>
      </c>
      <c r="L20" s="340">
        <v>-2651082.1636059997</v>
      </c>
    </row>
    <row r="21" spans="1:15" x14ac:dyDescent="0.3">
      <c r="A21" s="331">
        <v>11</v>
      </c>
      <c r="D21" s="339"/>
      <c r="E21" s="340"/>
      <c r="F21" s="340"/>
      <c r="G21" s="340"/>
      <c r="H21" s="340"/>
      <c r="I21" s="340"/>
      <c r="J21" s="340"/>
      <c r="K21" s="340"/>
      <c r="L21" s="340"/>
    </row>
    <row r="22" spans="1:15" x14ac:dyDescent="0.3">
      <c r="A22" s="331">
        <v>12</v>
      </c>
      <c r="B22" s="330" t="s">
        <v>1174</v>
      </c>
      <c r="D22" s="339">
        <v>0</v>
      </c>
      <c r="E22" s="340">
        <v>0</v>
      </c>
      <c r="F22" s="340">
        <v>0</v>
      </c>
      <c r="G22" s="340">
        <v>-691150.87153200095</v>
      </c>
      <c r="H22" s="340">
        <v>-691150.87153200095</v>
      </c>
      <c r="I22" s="340">
        <v>-1364885.0258099989</v>
      </c>
      <c r="J22" s="340">
        <v>-2056035.8973419995</v>
      </c>
      <c r="K22" s="340">
        <v>-595046.26626399998</v>
      </c>
      <c r="L22" s="340">
        <v>-2651082.1636059997</v>
      </c>
    </row>
    <row r="23" spans="1:15" x14ac:dyDescent="0.3">
      <c r="A23" s="331">
        <v>13</v>
      </c>
      <c r="D23" s="339"/>
      <c r="E23" s="340"/>
      <c r="F23" s="340"/>
      <c r="G23" s="340"/>
      <c r="H23" s="340"/>
      <c r="I23" s="340"/>
      <c r="J23" s="340"/>
      <c r="K23" s="340"/>
      <c r="L23" s="340"/>
    </row>
    <row r="24" spans="1:15" x14ac:dyDescent="0.3">
      <c r="A24" s="331">
        <v>14</v>
      </c>
      <c r="B24" s="330" t="s">
        <v>1175</v>
      </c>
      <c r="C24" s="346">
        <v>0.21</v>
      </c>
      <c r="D24" s="344">
        <v>0</v>
      </c>
      <c r="E24" s="345">
        <v>0</v>
      </c>
      <c r="F24" s="345">
        <v>0</v>
      </c>
      <c r="G24" s="345">
        <v>145141.68302172021</v>
      </c>
      <c r="H24" s="345">
        <v>145141.68302172021</v>
      </c>
      <c r="I24" s="345">
        <v>286625.85542009975</v>
      </c>
      <c r="J24" s="345">
        <v>431767.5384418199</v>
      </c>
      <c r="K24" s="345">
        <v>124959.71591543999</v>
      </c>
      <c r="L24" s="345">
        <v>556727.25435725995</v>
      </c>
    </row>
    <row r="25" spans="1:15" x14ac:dyDescent="0.3">
      <c r="A25" s="331">
        <v>15</v>
      </c>
      <c r="B25" s="330" t="s">
        <v>1189</v>
      </c>
      <c r="C25" s="346"/>
      <c r="D25" s="344">
        <v>0</v>
      </c>
      <c r="E25" s="345">
        <v>0</v>
      </c>
      <c r="F25" s="345">
        <v>0</v>
      </c>
      <c r="G25" s="345">
        <v>-155774.18367996253</v>
      </c>
      <c r="H25" s="345">
        <v>-155774.18367996253</v>
      </c>
      <c r="I25" s="345">
        <v>157558.82161198184</v>
      </c>
      <c r="J25" s="345">
        <v>1784.6379320193082</v>
      </c>
      <c r="K25" s="345">
        <v>166216.85420513712</v>
      </c>
      <c r="L25" s="345">
        <v>168001.49213715643</v>
      </c>
    </row>
    <row r="26" spans="1:15" x14ac:dyDescent="0.3">
      <c r="A26" s="331">
        <v>16</v>
      </c>
      <c r="B26" s="330" t="s">
        <v>1190</v>
      </c>
      <c r="C26" s="346"/>
      <c r="D26" s="344">
        <v>0</v>
      </c>
      <c r="E26" s="345">
        <v>0</v>
      </c>
      <c r="F26" s="345">
        <v>0</v>
      </c>
      <c r="G26" s="345">
        <v>-182698.65458879992</v>
      </c>
      <c r="H26" s="345">
        <v>-182698.65458879992</v>
      </c>
      <c r="I26" s="345">
        <v>-140976.57204330008</v>
      </c>
      <c r="J26" s="345">
        <v>-323675.22663210001</v>
      </c>
      <c r="K26" s="345">
        <v>-237981.32201508008</v>
      </c>
      <c r="L26" s="345">
        <v>-561656.54864718008</v>
      </c>
    </row>
    <row r="27" spans="1:15" x14ac:dyDescent="0.3">
      <c r="A27" s="331">
        <v>17</v>
      </c>
      <c r="B27" s="330" t="s">
        <v>1191</v>
      </c>
      <c r="C27" s="346"/>
      <c r="D27" s="347">
        <v>0</v>
      </c>
      <c r="E27" s="347">
        <v>0</v>
      </c>
      <c r="F27" s="347">
        <v>0</v>
      </c>
      <c r="G27" s="348">
        <v>-193331.15524704225</v>
      </c>
      <c r="H27" s="348">
        <v>-193331.15524704225</v>
      </c>
      <c r="I27" s="348">
        <v>303208.1049887815</v>
      </c>
      <c r="J27" s="348">
        <v>109876.9497417392</v>
      </c>
      <c r="K27" s="348">
        <v>53195.248105497041</v>
      </c>
      <c r="L27" s="348">
        <v>163072.1978472363</v>
      </c>
    </row>
    <row r="28" spans="1:15" x14ac:dyDescent="0.3">
      <c r="A28" s="331">
        <v>18</v>
      </c>
      <c r="D28" s="339"/>
      <c r="E28" s="340"/>
      <c r="F28" s="340"/>
      <c r="G28" s="340"/>
      <c r="H28" s="340"/>
      <c r="I28" s="340"/>
      <c r="J28" s="340"/>
      <c r="K28" s="340"/>
      <c r="L28" s="340"/>
    </row>
    <row r="29" spans="1:15" ht="15" thickBot="1" x14ac:dyDescent="0.35">
      <c r="A29" s="331">
        <v>19</v>
      </c>
      <c r="B29" s="330" t="s">
        <v>1176</v>
      </c>
      <c r="D29" s="349">
        <v>0</v>
      </c>
      <c r="E29" s="350">
        <v>0</v>
      </c>
      <c r="F29" s="350">
        <v>0</v>
      </c>
      <c r="G29" s="350">
        <v>884482.02677904326</v>
      </c>
      <c r="H29" s="350">
        <v>884482.02677904326</v>
      </c>
      <c r="I29" s="350">
        <v>1061676.9208212174</v>
      </c>
      <c r="J29" s="350">
        <v>1946158.9476002604</v>
      </c>
      <c r="K29" s="350">
        <v>541851.01815850288</v>
      </c>
      <c r="L29" s="350">
        <v>2488009.9657587633</v>
      </c>
    </row>
    <row r="30" spans="1:15" ht="15" thickTop="1" x14ac:dyDescent="0.3">
      <c r="A30" s="331">
        <v>20</v>
      </c>
      <c r="D30" s="339"/>
      <c r="E30" s="340"/>
      <c r="F30" s="340"/>
      <c r="G30" s="340"/>
      <c r="H30" s="340"/>
      <c r="I30" s="340"/>
      <c r="J30" s="340"/>
      <c r="K30" s="340"/>
      <c r="L30" s="340"/>
    </row>
    <row r="31" spans="1:15" x14ac:dyDescent="0.3">
      <c r="A31" s="331">
        <v>21</v>
      </c>
      <c r="B31" s="343" t="s">
        <v>1192</v>
      </c>
      <c r="D31" s="339">
        <v>0</v>
      </c>
      <c r="E31" s="340">
        <v>0</v>
      </c>
      <c r="F31" s="340">
        <v>0</v>
      </c>
      <c r="G31" s="340">
        <v>0</v>
      </c>
      <c r="H31" s="340">
        <v>0</v>
      </c>
      <c r="I31" s="340">
        <v>0</v>
      </c>
      <c r="J31" s="340">
        <v>0</v>
      </c>
      <c r="K31" s="340">
        <v>0</v>
      </c>
      <c r="L31" s="340">
        <v>0</v>
      </c>
    </row>
    <row r="32" spans="1:15" x14ac:dyDescent="0.3">
      <c r="A32" s="331">
        <v>22</v>
      </c>
      <c r="B32" s="343" t="s">
        <v>1193</v>
      </c>
      <c r="D32" s="339">
        <v>0</v>
      </c>
      <c r="E32" s="340">
        <v>0</v>
      </c>
      <c r="F32" s="340">
        <v>0</v>
      </c>
      <c r="G32" s="340">
        <v>691150.87153200002</v>
      </c>
      <c r="H32" s="340">
        <v>691150.87153200002</v>
      </c>
      <c r="I32" s="340">
        <v>949598.30647000007</v>
      </c>
      <c r="J32" s="340">
        <v>1640749.1780020001</v>
      </c>
      <c r="K32" s="340">
        <v>2398429.3020679997</v>
      </c>
      <c r="L32" s="340">
        <v>4039178.48007</v>
      </c>
      <c r="O32" s="351"/>
    </row>
    <row r="33" spans="1:12" x14ac:dyDescent="0.3">
      <c r="A33" s="331">
        <v>23</v>
      </c>
      <c r="B33" s="343" t="s">
        <v>47</v>
      </c>
      <c r="D33" s="344">
        <v>0</v>
      </c>
      <c r="E33" s="345">
        <v>0</v>
      </c>
      <c r="F33" s="345">
        <v>0</v>
      </c>
      <c r="G33" s="345">
        <v>-4750426.2986774743</v>
      </c>
      <c r="H33" s="345">
        <v>-4750426.2986774743</v>
      </c>
      <c r="I33" s="345">
        <v>-2473653.2260077894</v>
      </c>
      <c r="J33" s="345">
        <v>-7224079.5246852636</v>
      </c>
      <c r="K33" s="345">
        <v>-4942310.3221434653</v>
      </c>
      <c r="L33" s="345">
        <v>-12166389.846828729</v>
      </c>
    </row>
    <row r="34" spans="1:12" x14ac:dyDescent="0.3">
      <c r="A34" s="331">
        <v>24</v>
      </c>
      <c r="B34" s="343" t="s">
        <v>79</v>
      </c>
      <c r="D34" s="344">
        <v>0</v>
      </c>
      <c r="E34" s="345">
        <v>0</v>
      </c>
      <c r="F34" s="345">
        <v>0</v>
      </c>
      <c r="G34" s="345">
        <v>155774.18367996812</v>
      </c>
      <c r="H34" s="345">
        <v>155774.18367996812</v>
      </c>
      <c r="I34" s="345">
        <v>-826.71926119923592</v>
      </c>
      <c r="J34" s="345">
        <v>154947.46441876888</v>
      </c>
      <c r="K34" s="345">
        <v>-78570.629860848188</v>
      </c>
      <c r="L34" s="345">
        <v>76376.834557920694</v>
      </c>
    </row>
    <row r="35" spans="1:12" x14ac:dyDescent="0.3">
      <c r="A35" s="331">
        <v>25</v>
      </c>
      <c r="B35" s="343" t="s">
        <v>1194</v>
      </c>
      <c r="D35" s="347">
        <v>0</v>
      </c>
      <c r="E35" s="348">
        <v>0</v>
      </c>
      <c r="F35" s="348">
        <v>0</v>
      </c>
      <c r="G35" s="348">
        <v>-4059275.4271454741</v>
      </c>
      <c r="H35" s="348">
        <v>-4059275.4271454741</v>
      </c>
      <c r="I35" s="348">
        <v>-1524054.9195377892</v>
      </c>
      <c r="J35" s="348">
        <v>-5583330.3466832638</v>
      </c>
      <c r="K35" s="348">
        <v>-2543881.0200754656</v>
      </c>
      <c r="L35" s="348">
        <v>-8127211.3667587284</v>
      </c>
    </row>
    <row r="36" spans="1:12" x14ac:dyDescent="0.3">
      <c r="A36" s="331">
        <v>26</v>
      </c>
      <c r="D36" s="339"/>
      <c r="E36" s="339"/>
      <c r="F36" s="339"/>
      <c r="G36" s="339"/>
      <c r="H36" s="339"/>
      <c r="I36" s="339"/>
      <c r="J36" s="339"/>
      <c r="K36" s="339"/>
      <c r="L36" s="339"/>
    </row>
    <row r="37" spans="1:12" x14ac:dyDescent="0.3">
      <c r="A37" s="331">
        <v>27</v>
      </c>
      <c r="D37" s="339"/>
      <c r="E37" s="339"/>
      <c r="F37" s="339"/>
      <c r="G37" s="339"/>
      <c r="H37" s="339"/>
      <c r="I37" s="339"/>
      <c r="J37" s="339"/>
      <c r="K37" s="339"/>
      <c r="L37" s="339"/>
    </row>
    <row r="38" spans="1:12" x14ac:dyDescent="0.3">
      <c r="A38" s="331">
        <v>28</v>
      </c>
      <c r="B38" s="343" t="s">
        <v>33</v>
      </c>
      <c r="C38" s="352" t="s">
        <v>34</v>
      </c>
      <c r="D38" s="353"/>
      <c r="E38" s="354">
        <v>0.34060000000000001</v>
      </c>
      <c r="F38" s="355"/>
      <c r="G38" s="339"/>
      <c r="H38" s="339"/>
      <c r="I38" s="339"/>
      <c r="J38" s="339"/>
      <c r="K38" s="339"/>
      <c r="L38" s="339"/>
    </row>
    <row r="39" spans="1:12" x14ac:dyDescent="0.3">
      <c r="A39" s="331">
        <v>29</v>
      </c>
      <c r="C39" s="352" t="s">
        <v>35</v>
      </c>
      <c r="D39" s="353"/>
      <c r="E39" s="354">
        <v>0.65939999999999999</v>
      </c>
      <c r="F39" s="355"/>
      <c r="G39" s="339"/>
      <c r="H39" s="339"/>
      <c r="I39" s="339"/>
      <c r="J39" s="339"/>
      <c r="K39" s="339"/>
      <c r="L39" s="339"/>
    </row>
    <row r="40" spans="1:12" x14ac:dyDescent="0.3">
      <c r="D40" s="339"/>
      <c r="E40" s="339"/>
      <c r="F40" s="339"/>
      <c r="G40" s="339"/>
      <c r="H40" s="339"/>
      <c r="I40" s="339"/>
      <c r="J40" s="339"/>
      <c r="K40" s="339"/>
      <c r="L40" s="339"/>
    </row>
    <row r="41" spans="1:12" x14ac:dyDescent="0.3">
      <c r="D41" s="340"/>
      <c r="E41" s="340"/>
      <c r="F41" s="340"/>
      <c r="G41" s="340"/>
      <c r="H41" s="340"/>
      <c r="I41" s="340"/>
      <c r="J41" s="340"/>
      <c r="K41" s="340"/>
      <c r="L41" s="340"/>
    </row>
    <row r="43" spans="1:12" x14ac:dyDescent="0.3">
      <c r="E43" s="339"/>
      <c r="F43" s="339"/>
      <c r="G43" s="339"/>
      <c r="H43" s="339"/>
      <c r="I43" s="339"/>
      <c r="J43" s="339"/>
      <c r="K43" s="339"/>
      <c r="L43" s="339"/>
    </row>
    <row r="45" spans="1:12" x14ac:dyDescent="0.3">
      <c r="I45" s="339"/>
      <c r="K45" s="3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K34" sqref="K34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254"/>
  <sheetViews>
    <sheetView showGridLines="0" workbookViewId="0">
      <selection activeCell="AP18" sqref="AP18"/>
    </sheetView>
  </sheetViews>
  <sheetFormatPr defaultRowHeight="14.4" outlineLevelCol="1" x14ac:dyDescent="0.3"/>
  <cols>
    <col min="2" max="2" width="73.6640625" customWidth="1"/>
    <col min="3" max="5" width="16.77734375" customWidth="1"/>
    <col min="10" max="10" width="14.33203125" bestFit="1" customWidth="1"/>
    <col min="11" max="11" width="22.109375" bestFit="1" customWidth="1"/>
    <col min="12" max="12" width="20.109375" bestFit="1" customWidth="1"/>
    <col min="13" max="13" width="19.5546875" bestFit="1" customWidth="1"/>
    <col min="15" max="15" width="14.33203125" hidden="1" customWidth="1" outlineLevel="1"/>
    <col min="16" max="17" width="20.109375" hidden="1" customWidth="1" outlineLevel="1"/>
    <col min="18" max="18" width="19.5546875" hidden="1" customWidth="1" outlineLevel="1"/>
    <col min="19" max="19" width="9.109375" hidden="1" customWidth="1" outlineLevel="1"/>
    <col min="20" max="20" width="14.33203125" hidden="1" customWidth="1" outlineLevel="1"/>
    <col min="21" max="22" width="20.109375" hidden="1" customWidth="1" outlineLevel="1"/>
    <col min="23" max="23" width="19.5546875" hidden="1" customWidth="1" outlineLevel="1"/>
    <col min="24" max="24" width="9.109375" hidden="1" customWidth="1" outlineLevel="1"/>
    <col min="25" max="25" width="14.33203125" hidden="1" customWidth="1" outlineLevel="1"/>
    <col min="26" max="27" width="20.109375" hidden="1" customWidth="1" outlineLevel="1"/>
    <col min="28" max="28" width="19.5546875" hidden="1" customWidth="1" outlineLevel="1"/>
    <col min="29" max="29" width="9.109375" hidden="1" customWidth="1" outlineLevel="1"/>
    <col min="30" max="30" width="14.33203125" hidden="1" customWidth="1" outlineLevel="1"/>
    <col min="31" max="32" width="20.109375" hidden="1" customWidth="1" outlineLevel="1"/>
    <col min="33" max="33" width="19.5546875" hidden="1" customWidth="1" outlineLevel="1"/>
    <col min="34" max="34" width="9.109375" hidden="1" customWidth="1" outlineLevel="1"/>
    <col min="35" max="35" width="14.33203125" hidden="1" customWidth="1" outlineLevel="1"/>
    <col min="36" max="37" width="20.109375" hidden="1" customWidth="1" outlineLevel="1"/>
    <col min="38" max="38" width="19.5546875" hidden="1" customWidth="1" outlineLevel="1"/>
    <col min="39" max="39" width="9.109375" hidden="1" customWidth="1" outlineLevel="1"/>
    <col min="40" max="40" width="14.33203125" bestFit="1" customWidth="1" collapsed="1"/>
    <col min="41" max="42" width="20.109375" bestFit="1" customWidth="1"/>
    <col min="43" max="43" width="19.5546875" bestFit="1" customWidth="1"/>
    <col min="45" max="45" width="14.33203125" bestFit="1" customWidth="1"/>
    <col min="46" max="47" width="20.109375" bestFit="1" customWidth="1"/>
    <col min="48" max="48" width="19.5546875" bestFit="1" customWidth="1"/>
    <col min="50" max="52" width="10.88671875" bestFit="1" customWidth="1"/>
  </cols>
  <sheetData>
    <row r="2" spans="1:52" x14ac:dyDescent="0.3">
      <c r="B2" t="s">
        <v>1969</v>
      </c>
      <c r="J2" s="251" t="s">
        <v>155</v>
      </c>
      <c r="K2" s="252"/>
      <c r="L2" s="252"/>
      <c r="M2" s="253"/>
      <c r="O2" s="251" t="s">
        <v>107</v>
      </c>
      <c r="P2" s="252"/>
      <c r="Q2" s="252"/>
      <c r="R2" s="253"/>
      <c r="T2" s="251" t="s">
        <v>158</v>
      </c>
      <c r="U2" s="252"/>
      <c r="V2" s="252"/>
      <c r="W2" s="253"/>
      <c r="Y2" s="251" t="s">
        <v>807</v>
      </c>
      <c r="Z2" s="252"/>
      <c r="AA2" s="252"/>
      <c r="AB2" s="253"/>
      <c r="AD2" s="251" t="s">
        <v>808</v>
      </c>
      <c r="AE2" s="252"/>
      <c r="AF2" s="252"/>
      <c r="AG2" s="253"/>
      <c r="AI2" s="251" t="s">
        <v>809</v>
      </c>
      <c r="AJ2" s="252"/>
      <c r="AK2" s="252"/>
      <c r="AL2" s="253"/>
      <c r="AN2" s="251" t="s">
        <v>107</v>
      </c>
      <c r="AO2" s="252"/>
      <c r="AP2" s="252"/>
      <c r="AQ2" s="253"/>
      <c r="AS2" s="251" t="s">
        <v>158</v>
      </c>
      <c r="AT2" s="252"/>
      <c r="AU2" s="252"/>
      <c r="AV2" s="253"/>
    </row>
    <row r="4" spans="1:52" x14ac:dyDescent="0.3">
      <c r="A4" s="213"/>
      <c r="B4" s="213"/>
      <c r="C4" s="213"/>
      <c r="D4" s="213"/>
      <c r="E4" s="213"/>
      <c r="F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T4" s="213"/>
      <c r="U4" s="213"/>
      <c r="V4" s="213"/>
      <c r="W4" s="213"/>
      <c r="Y4" s="213"/>
      <c r="Z4" s="213"/>
      <c r="AA4" s="213"/>
      <c r="AB4" s="213"/>
      <c r="AD4" s="213"/>
      <c r="AE4" s="213"/>
      <c r="AF4" s="213"/>
      <c r="AG4" s="213"/>
      <c r="AI4" s="213"/>
      <c r="AJ4" s="213"/>
      <c r="AK4" s="213"/>
      <c r="AL4" s="213"/>
      <c r="AN4" s="213"/>
      <c r="AO4" s="213"/>
      <c r="AP4" s="213"/>
      <c r="AQ4" s="213"/>
      <c r="AS4" s="213"/>
      <c r="AT4" s="213"/>
      <c r="AU4" s="213"/>
      <c r="AV4" s="213"/>
    </row>
    <row r="5" spans="1:52" ht="62.4" x14ac:dyDescent="0.3">
      <c r="A5" s="213"/>
      <c r="B5" s="231" t="s">
        <v>165</v>
      </c>
      <c r="C5" s="214" t="s">
        <v>166</v>
      </c>
      <c r="D5" s="214" t="s">
        <v>167</v>
      </c>
      <c r="E5" s="214" t="s">
        <v>168</v>
      </c>
      <c r="F5" s="213"/>
      <c r="H5" s="250"/>
      <c r="I5" s="213"/>
      <c r="J5" s="265" t="s">
        <v>813</v>
      </c>
      <c r="K5" s="233" t="str">
        <f>C5</f>
        <v>Actual CWIP Closings</v>
      </c>
      <c r="L5" s="233" t="str">
        <f>D5</f>
        <v>Forecast CWIP Closings</v>
      </c>
      <c r="M5" s="234" t="s">
        <v>169</v>
      </c>
      <c r="N5" s="213"/>
      <c r="O5" s="232" t="s">
        <v>165</v>
      </c>
      <c r="P5" s="233" t="s">
        <v>166</v>
      </c>
      <c r="Q5" s="233" t="s">
        <v>167</v>
      </c>
      <c r="R5" s="234" t="s">
        <v>169</v>
      </c>
      <c r="T5" s="232" t="s">
        <v>165</v>
      </c>
      <c r="U5" s="233" t="s">
        <v>166</v>
      </c>
      <c r="V5" s="233" t="s">
        <v>167</v>
      </c>
      <c r="W5" s="234" t="s">
        <v>169</v>
      </c>
      <c r="Y5" s="232" t="s">
        <v>165</v>
      </c>
      <c r="Z5" s="233" t="s">
        <v>166</v>
      </c>
      <c r="AA5" s="233" t="s">
        <v>167</v>
      </c>
      <c r="AB5" s="234" t="s">
        <v>169</v>
      </c>
      <c r="AD5" s="232" t="s">
        <v>165</v>
      </c>
      <c r="AE5" s="233" t="s">
        <v>166</v>
      </c>
      <c r="AF5" s="233" t="s">
        <v>167</v>
      </c>
      <c r="AG5" s="234" t="s">
        <v>169</v>
      </c>
      <c r="AI5" s="232" t="s">
        <v>165</v>
      </c>
      <c r="AJ5" s="233" t="s">
        <v>166</v>
      </c>
      <c r="AK5" s="233" t="s">
        <v>167</v>
      </c>
      <c r="AL5" s="234" t="s">
        <v>169</v>
      </c>
      <c r="AN5" s="265" t="s">
        <v>814</v>
      </c>
      <c r="AO5" s="233" t="s">
        <v>166</v>
      </c>
      <c r="AP5" s="233" t="s">
        <v>167</v>
      </c>
      <c r="AQ5" s="234" t="s">
        <v>169</v>
      </c>
      <c r="AS5" s="265" t="s">
        <v>815</v>
      </c>
      <c r="AT5" s="233" t="s">
        <v>166</v>
      </c>
      <c r="AU5" s="233" t="s">
        <v>167</v>
      </c>
      <c r="AV5" s="234" t="s">
        <v>169</v>
      </c>
      <c r="AX5" s="264" t="s">
        <v>810</v>
      </c>
      <c r="AY5" s="264" t="s">
        <v>811</v>
      </c>
      <c r="AZ5" s="264" t="s">
        <v>812</v>
      </c>
    </row>
    <row r="6" spans="1:52" ht="15.6" x14ac:dyDescent="0.3">
      <c r="A6" s="213"/>
      <c r="B6" s="2" t="s">
        <v>170</v>
      </c>
      <c r="C6" s="215">
        <v>-34462242.745508127</v>
      </c>
      <c r="D6" s="215">
        <v>-167082331.01708764</v>
      </c>
      <c r="E6" s="215">
        <v>132620088.2715795</v>
      </c>
      <c r="F6" s="213"/>
      <c r="I6" s="213"/>
      <c r="J6" s="235" t="s">
        <v>171</v>
      </c>
      <c r="K6" s="236">
        <f>-VLOOKUP($J6,$B:$E,2,FALSE)</f>
        <v>10286790.549999999</v>
      </c>
      <c r="L6" s="236">
        <f>-VLOOKUP($J6,$B:$E,3,FALSE)</f>
        <v>20478022.645732656</v>
      </c>
      <c r="M6" s="237">
        <f>-VLOOKUP($J6,$B:$E,4,FALSE)</f>
        <v>-10191232.095732655</v>
      </c>
      <c r="N6" s="282"/>
      <c r="O6" s="235" t="s">
        <v>171</v>
      </c>
      <c r="P6" s="236">
        <f>-SUMIFS('Source Data - Act v Plan by WBS'!H:H,'Source Data - Act v Plan by WBS'!$G:$G,$O6,'Source Data - Act v Plan by WBS'!$C:$C,"Electric")</f>
        <v>371205.52999999997</v>
      </c>
      <c r="Q6" s="236">
        <f>-SUMIFS('Source Data - Act v Plan by WBS'!I:I,'Source Data - Act v Plan by WBS'!$G:$G,$O6,'Source Data - Act v Plan by WBS'!$C:$C,"Electric")</f>
        <v>0</v>
      </c>
      <c r="R6" s="237">
        <f>P6-Q6</f>
        <v>371205.52999999997</v>
      </c>
      <c r="T6" s="235" t="s">
        <v>171</v>
      </c>
      <c r="U6" s="236">
        <f>-SUMIFS('Source Data - Act v Plan by WBS'!$H:$H,'Source Data - Act v Plan by WBS'!$G:$G,$O6,'Source Data - Act v Plan by WBS'!$C:$C,"Gas")</f>
        <v>0</v>
      </c>
      <c r="V6" s="236">
        <f>-SUMIFS('Source Data - Act v Plan by WBS'!$I:$I,'Source Data - Act v Plan by WBS'!$G:$G,$O6,'Source Data - Act v Plan by WBS'!$C:$C,"Gas")</f>
        <v>0</v>
      </c>
      <c r="W6" s="237">
        <f>U6-V6</f>
        <v>0</v>
      </c>
      <c r="Y6" s="235" t="s">
        <v>171</v>
      </c>
      <c r="Z6" s="236">
        <f>-SUMIFS('Source Data - Act v Plan by WBS'!$H:$H,'Source Data - Act v Plan by WBS'!$G:$G,$O6,'Source Data - Act v Plan by WBS'!$C:$C,"Common")</f>
        <v>9915585.0199999996</v>
      </c>
      <c r="AA6" s="236">
        <f>-SUMIFS('Source Data - Act v Plan by WBS'!$I:$I,'Source Data - Act v Plan by WBS'!$G:$G,$O6,'Source Data - Act v Plan by WBS'!$C:$C,"Common")</f>
        <v>20478022.645732656</v>
      </c>
      <c r="AB6" s="237">
        <f>Z6-AA6</f>
        <v>-10562437.625732657</v>
      </c>
      <c r="AD6" s="235" t="s">
        <v>171</v>
      </c>
      <c r="AE6" s="236">
        <f t="shared" ref="AE6:AF12" si="0">Z6*$AE$17</f>
        <v>6538336.7621879997</v>
      </c>
      <c r="AF6" s="236">
        <f t="shared" si="0"/>
        <v>13503208.132596113</v>
      </c>
      <c r="AG6" s="237">
        <f>AE6-AF6</f>
        <v>-6964871.3704081131</v>
      </c>
      <c r="AI6" s="235" t="s">
        <v>171</v>
      </c>
      <c r="AJ6" s="236">
        <f t="shared" ref="AJ6:AK12" si="1">Z6*$AJ$17</f>
        <v>3377248.2578119999</v>
      </c>
      <c r="AK6" s="236">
        <f t="shared" si="1"/>
        <v>6974814.5131365433</v>
      </c>
      <c r="AL6" s="237">
        <f>AJ6-AK6</f>
        <v>-3597566.2553245435</v>
      </c>
      <c r="AN6" s="235" t="s">
        <v>171</v>
      </c>
      <c r="AO6" s="236">
        <f>P6+AE6</f>
        <v>6909542.2921879999</v>
      </c>
      <c r="AP6" s="236">
        <f t="shared" ref="AP6:AP12" si="2">Q6+AF6</f>
        <v>13503208.132596113</v>
      </c>
      <c r="AQ6" s="237">
        <f>AO6-AP6</f>
        <v>-6593665.8404081129</v>
      </c>
      <c r="AR6" s="282"/>
      <c r="AS6" s="235" t="s">
        <v>171</v>
      </c>
      <c r="AT6" s="236">
        <f>U6+AJ6</f>
        <v>3377248.2578119999</v>
      </c>
      <c r="AU6" s="236">
        <f t="shared" ref="AU6:AU12" si="3">V6+AK6</f>
        <v>6974814.5131365433</v>
      </c>
      <c r="AV6" s="237">
        <f>AT6-AU6</f>
        <v>-3597566.2553245435</v>
      </c>
      <c r="AW6" s="282"/>
      <c r="AX6" s="247">
        <f>AT6+AO6-K6</f>
        <v>0</v>
      </c>
      <c r="AY6" s="247">
        <f t="shared" ref="AY6:AY13" si="4">AU6+AP6-L6</f>
        <v>0</v>
      </c>
      <c r="AZ6" s="247">
        <f t="shared" ref="AZ6:AZ13" si="5">AV6+AQ6-M6</f>
        <v>0</v>
      </c>
    </row>
    <row r="7" spans="1:52" ht="15.6" x14ac:dyDescent="0.3">
      <c r="A7" s="213"/>
      <c r="B7" s="216" t="s">
        <v>171</v>
      </c>
      <c r="C7" s="217">
        <v>-10286790.549999999</v>
      </c>
      <c r="D7" s="217">
        <v>-20478022.645732656</v>
      </c>
      <c r="E7" s="217">
        <v>10191232.095732655</v>
      </c>
      <c r="F7" s="213"/>
      <c r="I7" s="213"/>
      <c r="J7" s="235" t="s">
        <v>172</v>
      </c>
      <c r="K7" s="236">
        <f>-VLOOKUP($J7,$B:$E,2,FALSE)</f>
        <v>109499005.76424935</v>
      </c>
      <c r="L7" s="236">
        <f>-VLOOKUP($J7,$B:$E,3,FALSE)</f>
        <v>29739902.662724338</v>
      </c>
      <c r="M7" s="237">
        <f>-VLOOKUP($J7,$B:$E,4,FALSE)</f>
        <v>79759103.101524979</v>
      </c>
      <c r="N7" s="282"/>
      <c r="O7" s="235" t="s">
        <v>172</v>
      </c>
      <c r="P7" s="236">
        <f>-SUMIFS('Source Data - Act v Plan by WBS'!H:H,'Source Data - Act v Plan by WBS'!$G:$G,$O7,'Source Data - Act v Plan by WBS'!$C:$C,"Electric")</f>
        <v>107595170.29424934</v>
      </c>
      <c r="Q7" s="236">
        <f>-SUMIFS('Source Data - Act v Plan by WBS'!I:I,'Source Data - Act v Plan by WBS'!$G:$G,$O7,'Source Data - Act v Plan by WBS'!$C:$C,"Electric")</f>
        <v>27127013.113622956</v>
      </c>
      <c r="R7" s="237">
        <f t="shared" ref="R7:R12" si="6">P7-Q7</f>
        <v>80468157.180626392</v>
      </c>
      <c r="T7" s="235" t="s">
        <v>172</v>
      </c>
      <c r="U7" s="236">
        <f>-SUMIFS('Source Data - Act v Plan by WBS'!$H:$H,'Source Data - Act v Plan by WBS'!$G:$G,$O7,'Source Data - Act v Plan by WBS'!$C:$C,"Gas")</f>
        <v>1903835.47</v>
      </c>
      <c r="V7" s="236">
        <f>-SUMIFS('Source Data - Act v Plan by WBS'!$I:$I,'Source Data - Act v Plan by WBS'!$G:$G,$O7,'Source Data - Act v Plan by WBS'!$C:$C,"Gas")</f>
        <v>2612889.5491013769</v>
      </c>
      <c r="W7" s="237">
        <f t="shared" ref="W7:W12" si="7">U7-V7</f>
        <v>-709054.07910137693</v>
      </c>
      <c r="Y7" s="235" t="s">
        <v>172</v>
      </c>
      <c r="Z7" s="236">
        <f>-SUMIFS('Source Data - Act v Plan by WBS'!$H:$H,'Source Data - Act v Plan by WBS'!$G:$G,$O7,'Source Data - Act v Plan by WBS'!$C:$C,"Common")</f>
        <v>0</v>
      </c>
      <c r="AA7" s="236">
        <f>-SUMIFS('Source Data - Act v Plan by WBS'!$I:$I,'Source Data - Act v Plan by WBS'!$G:$G,$O7,'Source Data - Act v Plan by WBS'!$C:$C,"Common")</f>
        <v>0</v>
      </c>
      <c r="AB7" s="237">
        <f t="shared" ref="AB7:AB12" si="8">Z7-AA7</f>
        <v>0</v>
      </c>
      <c r="AD7" s="235" t="s">
        <v>172</v>
      </c>
      <c r="AE7" s="236">
        <f t="shared" si="0"/>
        <v>0</v>
      </c>
      <c r="AF7" s="236">
        <f t="shared" si="0"/>
        <v>0</v>
      </c>
      <c r="AG7" s="237">
        <f t="shared" ref="AG7:AG12" si="9">AE7-AF7</f>
        <v>0</v>
      </c>
      <c r="AI7" s="235" t="s">
        <v>172</v>
      </c>
      <c r="AJ7" s="236">
        <f t="shared" si="1"/>
        <v>0</v>
      </c>
      <c r="AK7" s="236">
        <f t="shared" si="1"/>
        <v>0</v>
      </c>
      <c r="AL7" s="237">
        <f t="shared" ref="AL7:AL12" si="10">AJ7-AK7</f>
        <v>0</v>
      </c>
      <c r="AN7" s="235" t="s">
        <v>172</v>
      </c>
      <c r="AO7" s="236">
        <f t="shared" ref="AO7:AO12" si="11">P7+AE7</f>
        <v>107595170.29424934</v>
      </c>
      <c r="AP7" s="236">
        <f t="shared" si="2"/>
        <v>27127013.113622956</v>
      </c>
      <c r="AQ7" s="237">
        <f t="shared" ref="AQ7:AQ12" si="12">AO7-AP7</f>
        <v>80468157.180626392</v>
      </c>
      <c r="AR7" s="282"/>
      <c r="AS7" s="235" t="s">
        <v>172</v>
      </c>
      <c r="AT7" s="236">
        <f t="shared" ref="AT7:AT12" si="13">U7+AJ7</f>
        <v>1903835.47</v>
      </c>
      <c r="AU7" s="236">
        <f t="shared" si="3"/>
        <v>2612889.5491013769</v>
      </c>
      <c r="AV7" s="237">
        <f t="shared" ref="AV7:AV12" si="14">AT7-AU7</f>
        <v>-709054.07910137693</v>
      </c>
      <c r="AW7" s="282"/>
      <c r="AX7" s="247">
        <f t="shared" ref="AX7:AX13" si="15">AT7+AO7-K7</f>
        <v>0</v>
      </c>
      <c r="AY7" s="247">
        <f t="shared" si="4"/>
        <v>0</v>
      </c>
      <c r="AZ7" s="247">
        <f t="shared" si="5"/>
        <v>0</v>
      </c>
    </row>
    <row r="8" spans="1:52" ht="15.6" x14ac:dyDescent="0.3">
      <c r="A8" s="213"/>
      <c r="B8" s="216" t="s">
        <v>172</v>
      </c>
      <c r="C8" s="217">
        <v>-109499005.76424935</v>
      </c>
      <c r="D8" s="217">
        <v>-29739902.662724338</v>
      </c>
      <c r="E8" s="217">
        <v>-79759103.101524979</v>
      </c>
      <c r="F8" s="213"/>
      <c r="I8" s="213"/>
      <c r="J8" s="235" t="s">
        <v>173</v>
      </c>
      <c r="K8" s="236">
        <f>-VLOOKUP($J8,$B:$E,2,FALSE)</f>
        <v>128978578.30000001</v>
      </c>
      <c r="L8" s="236">
        <f>-VLOOKUP($J8,$B:$E,3,FALSE)</f>
        <v>143681759.97698972</v>
      </c>
      <c r="M8" s="237">
        <f>-VLOOKUP($J8,$B:$E,4,FALSE)</f>
        <v>-14703181.676989704</v>
      </c>
      <c r="N8" s="282"/>
      <c r="O8" s="235" t="s">
        <v>173</v>
      </c>
      <c r="P8" s="236">
        <f>-SUMIFS('Source Data - Act v Plan by WBS'!H:H,'Source Data - Act v Plan by WBS'!$G:$G,$O8,'Source Data - Act v Plan by WBS'!$C:$C,"Electric")</f>
        <v>30728573.399999999</v>
      </c>
      <c r="Q8" s="236">
        <f>-SUMIFS('Source Data - Act v Plan by WBS'!I:I,'Source Data - Act v Plan by WBS'!$G:$G,$O8,'Source Data - Act v Plan by WBS'!$C:$C,"Electric")</f>
        <v>44122125.596248493</v>
      </c>
      <c r="R8" s="237">
        <f t="shared" si="6"/>
        <v>-13393552.196248494</v>
      </c>
      <c r="T8" s="235" t="s">
        <v>173</v>
      </c>
      <c r="U8" s="236">
        <f>-SUMIFS('Source Data - Act v Plan by WBS'!$H:$H,'Source Data - Act v Plan by WBS'!$G:$G,$O8,'Source Data - Act v Plan by WBS'!$C:$C,"Gas")</f>
        <v>8708474.0099999998</v>
      </c>
      <c r="V8" s="236">
        <f>-SUMIFS('Source Data - Act v Plan by WBS'!$I:$I,'Source Data - Act v Plan by WBS'!$G:$G,$O8,'Source Data - Act v Plan by WBS'!$C:$C,"Gas")</f>
        <v>5067415.5985517912</v>
      </c>
      <c r="W8" s="237">
        <f t="shared" si="7"/>
        <v>3641058.4114482086</v>
      </c>
      <c r="Y8" s="235" t="s">
        <v>173</v>
      </c>
      <c r="Z8" s="236">
        <f>-SUMIFS('Source Data - Act v Plan by WBS'!$H:$H,'Source Data - Act v Plan by WBS'!$G:$G,$O8,'Source Data - Act v Plan by WBS'!$C:$C,"Common")</f>
        <v>89541530.890000001</v>
      </c>
      <c r="AA8" s="236">
        <f>-SUMIFS('Source Data - Act v Plan by WBS'!$I:$I,'Source Data - Act v Plan by WBS'!$G:$G,$O8,'Source Data - Act v Plan by WBS'!$C:$C,"Common")</f>
        <v>94492218.782189429</v>
      </c>
      <c r="AB8" s="237">
        <f t="shared" si="8"/>
        <v>-4950687.8921894282</v>
      </c>
      <c r="AD8" s="235" t="s">
        <v>173</v>
      </c>
      <c r="AE8" s="236">
        <f t="shared" si="0"/>
        <v>59043685.468865998</v>
      </c>
      <c r="AF8" s="236">
        <f t="shared" si="0"/>
        <v>62308169.064975709</v>
      </c>
      <c r="AG8" s="237">
        <f t="shared" si="9"/>
        <v>-3264483.5961097106</v>
      </c>
      <c r="AI8" s="235" t="s">
        <v>173</v>
      </c>
      <c r="AJ8" s="236">
        <f t="shared" si="1"/>
        <v>30497845.421134003</v>
      </c>
      <c r="AK8" s="236">
        <f t="shared" si="1"/>
        <v>32184049.71721372</v>
      </c>
      <c r="AL8" s="237">
        <f t="shared" si="10"/>
        <v>-1686204.2960797176</v>
      </c>
      <c r="AN8" s="235" t="s">
        <v>173</v>
      </c>
      <c r="AO8" s="236">
        <f t="shared" si="11"/>
        <v>89772258.868865997</v>
      </c>
      <c r="AP8" s="236">
        <f t="shared" si="2"/>
        <v>106430294.6612242</v>
      </c>
      <c r="AQ8" s="237">
        <f t="shared" si="12"/>
        <v>-16658035.792358205</v>
      </c>
      <c r="AR8" s="282"/>
      <c r="AS8" s="235" t="s">
        <v>173</v>
      </c>
      <c r="AT8" s="236">
        <f t="shared" si="13"/>
        <v>39206319.431134</v>
      </c>
      <c r="AU8" s="236">
        <f t="shared" si="3"/>
        <v>37251465.315765515</v>
      </c>
      <c r="AV8" s="237">
        <f t="shared" si="14"/>
        <v>1954854.1153684855</v>
      </c>
      <c r="AW8" s="282"/>
      <c r="AX8" s="247">
        <f t="shared" si="15"/>
        <v>0</v>
      </c>
      <c r="AY8" s="247">
        <f t="shared" si="4"/>
        <v>0</v>
      </c>
      <c r="AZ8" s="247">
        <f t="shared" si="5"/>
        <v>-1.4901161193847656E-8</v>
      </c>
    </row>
    <row r="9" spans="1:52" ht="15.6" x14ac:dyDescent="0.3">
      <c r="A9" s="213"/>
      <c r="B9" s="216" t="s">
        <v>173</v>
      </c>
      <c r="C9" s="217">
        <v>-128978578.30000001</v>
      </c>
      <c r="D9" s="217">
        <v>-143681759.97698972</v>
      </c>
      <c r="E9" s="217">
        <v>14703181.676989704</v>
      </c>
      <c r="F9" s="213"/>
      <c r="I9" s="213"/>
      <c r="J9" s="235" t="s">
        <v>174</v>
      </c>
      <c r="K9" s="236">
        <f>-VLOOKUP($J9,$B:$E,2,FALSE)</f>
        <v>13737946.193422064</v>
      </c>
      <c r="L9" s="236">
        <f>-VLOOKUP($J9,$B:$E,3,FALSE)</f>
        <v>29717406.45814465</v>
      </c>
      <c r="M9" s="237">
        <f>-VLOOKUP($J9,$B:$E,4,FALSE)</f>
        <v>-15979460.264722582</v>
      </c>
      <c r="N9" s="282"/>
      <c r="O9" s="235" t="s">
        <v>174</v>
      </c>
      <c r="P9" s="236">
        <f>-SUMIFS('Source Data - Act v Plan by WBS'!H:H,'Source Data - Act v Plan by WBS'!$G:$G,$O9,'Source Data - Act v Plan by WBS'!$C:$C,"Electric")</f>
        <v>12993824.123422064</v>
      </c>
      <c r="Q9" s="236">
        <f>-SUMIFS('Source Data - Act v Plan by WBS'!I:I,'Source Data - Act v Plan by WBS'!$G:$G,$O9,'Source Data - Act v Plan by WBS'!$C:$C,"Electric")</f>
        <v>29717406.45814465</v>
      </c>
      <c r="R9" s="237">
        <f t="shared" si="6"/>
        <v>-16723582.334722586</v>
      </c>
      <c r="T9" s="235" t="s">
        <v>174</v>
      </c>
      <c r="U9" s="236">
        <f>-SUMIFS('Source Data - Act v Plan by WBS'!$H:$H,'Source Data - Act v Plan by WBS'!$G:$G,$O9,'Source Data - Act v Plan by WBS'!$C:$C,"Gas")</f>
        <v>0</v>
      </c>
      <c r="V9" s="236">
        <f>-SUMIFS('Source Data - Act v Plan by WBS'!$I:$I,'Source Data - Act v Plan by WBS'!$G:$G,$O9,'Source Data - Act v Plan by WBS'!$C:$C,"Gas")</f>
        <v>0</v>
      </c>
      <c r="W9" s="237">
        <f t="shared" si="7"/>
        <v>0</v>
      </c>
      <c r="Y9" s="235" t="s">
        <v>174</v>
      </c>
      <c r="Z9" s="236">
        <f>-SUMIFS('Source Data - Act v Plan by WBS'!$H:$H,'Source Data - Act v Plan by WBS'!$G:$G,$O9,'Source Data - Act v Plan by WBS'!$C:$C,"Common")</f>
        <v>744122.07000000007</v>
      </c>
      <c r="AA9" s="236">
        <f>-SUMIFS('Source Data - Act v Plan by WBS'!$I:$I,'Source Data - Act v Plan by WBS'!$G:$G,$O9,'Source Data - Act v Plan by WBS'!$C:$C,"Common")</f>
        <v>0</v>
      </c>
      <c r="AB9" s="237">
        <f t="shared" si="8"/>
        <v>744122.07000000007</v>
      </c>
      <c r="AD9" s="235" t="s">
        <v>174</v>
      </c>
      <c r="AE9" s="236">
        <f t="shared" si="0"/>
        <v>490674.09295800002</v>
      </c>
      <c r="AF9" s="236">
        <f t="shared" si="0"/>
        <v>0</v>
      </c>
      <c r="AG9" s="237">
        <f t="shared" si="9"/>
        <v>490674.09295800002</v>
      </c>
      <c r="AI9" s="235" t="s">
        <v>174</v>
      </c>
      <c r="AJ9" s="236">
        <f t="shared" si="1"/>
        <v>253447.97704200004</v>
      </c>
      <c r="AK9" s="236">
        <f t="shared" si="1"/>
        <v>0</v>
      </c>
      <c r="AL9" s="237">
        <f t="shared" si="10"/>
        <v>253447.97704200004</v>
      </c>
      <c r="AN9" s="235" t="s">
        <v>174</v>
      </c>
      <c r="AO9" s="236">
        <f t="shared" si="11"/>
        <v>13484498.216380063</v>
      </c>
      <c r="AP9" s="236">
        <f t="shared" si="2"/>
        <v>29717406.45814465</v>
      </c>
      <c r="AQ9" s="237">
        <f t="shared" si="12"/>
        <v>-16232908.241764586</v>
      </c>
      <c r="AR9" s="282"/>
      <c r="AS9" s="235" t="s">
        <v>174</v>
      </c>
      <c r="AT9" s="236">
        <f t="shared" si="13"/>
        <v>253447.97704200004</v>
      </c>
      <c r="AU9" s="236">
        <f t="shared" si="3"/>
        <v>0</v>
      </c>
      <c r="AV9" s="237">
        <f t="shared" si="14"/>
        <v>253447.97704200004</v>
      </c>
      <c r="AW9" s="282"/>
      <c r="AX9" s="247">
        <f t="shared" si="15"/>
        <v>0</v>
      </c>
      <c r="AY9" s="247">
        <f t="shared" si="4"/>
        <v>0</v>
      </c>
      <c r="AZ9" s="247">
        <f t="shared" si="5"/>
        <v>0</v>
      </c>
    </row>
    <row r="10" spans="1:52" ht="15.6" x14ac:dyDescent="0.3">
      <c r="A10" s="213"/>
      <c r="B10" s="216" t="s">
        <v>174</v>
      </c>
      <c r="C10" s="217">
        <v>-13737946.193422064</v>
      </c>
      <c r="D10" s="217">
        <v>-29717406.45814465</v>
      </c>
      <c r="E10" s="217">
        <v>15979460.264722582</v>
      </c>
      <c r="F10" s="213"/>
      <c r="I10" s="213"/>
      <c r="J10" s="235" t="s">
        <v>175</v>
      </c>
      <c r="K10" s="501">
        <f>-VLOOKUP($J10,$B:$E,2,FALSE)-VLOOKUP("AMI",$B:$E,2,FALSE)</f>
        <v>699373198.87631619</v>
      </c>
      <c r="L10" s="236">
        <f>-VLOOKUP($J10,$B:$E,3,FALSE)-VLOOKUP("AMI",$B:$E,3,FALSE)</f>
        <v>639401877.29714143</v>
      </c>
      <c r="M10" s="237">
        <f>-VLOOKUP($J10,$B:$E,4,FALSE)-VLOOKUP("AMI",$B:$E,4,FALSE)</f>
        <v>59971321.579174727</v>
      </c>
      <c r="N10" s="282"/>
      <c r="O10" s="235" t="s">
        <v>175</v>
      </c>
      <c r="P10" s="236">
        <f>-SUMIFS('Source Data - Act v Plan by WBS'!H:H,'Source Data - Act v Plan by WBS'!$G:$G,$O10,'Source Data - Act v Plan by WBS'!$C:$C,"Electric")+-SUMIFS('Source Data - Act v Plan by WBS'!H:H,'Source Data - Act v Plan by WBS'!$G:$G,"AMI",'Source Data - Act v Plan by WBS'!$C:$C,"Electric")</f>
        <v>456856830.01631641</v>
      </c>
      <c r="Q10" s="236">
        <f>-SUMIFS('Source Data - Act v Plan by WBS'!I:I,'Source Data - Act v Plan by WBS'!$G:$G,$O10,'Source Data - Act v Plan by WBS'!$C:$C,"Electric")+-SUMIFS('Source Data - Act v Plan by WBS'!I:I,'Source Data - Act v Plan by WBS'!$G:$G,"AMI",'Source Data - Act v Plan by WBS'!$C:$C,"Electric")</f>
        <v>434017474.16643864</v>
      </c>
      <c r="R10" s="237">
        <f t="shared" si="6"/>
        <v>22839355.849877775</v>
      </c>
      <c r="T10" s="235" t="s">
        <v>175</v>
      </c>
      <c r="U10" s="236">
        <f>-SUMIFS('Source Data - Act v Plan by WBS'!$H:$H,'Source Data - Act v Plan by WBS'!$G:$G,$O10,'Source Data - Act v Plan by WBS'!$C:$C,"Gas")+-SUMIFS('Source Data - Act v Plan by WBS'!$H:$H,'Source Data - Act v Plan by WBS'!$G:$G,"AMI",'Source Data - Act v Plan by WBS'!$C:$C,"Gas")</f>
        <v>242332449.39999992</v>
      </c>
      <c r="V10" s="236">
        <f>-SUMIFS('Source Data - Act v Plan by WBS'!$I:$I,'Source Data - Act v Plan by WBS'!$G:$G,$O10,'Source Data - Act v Plan by WBS'!$C:$C,"Gas")+-SUMIFS('Source Data - Act v Plan by WBS'!$I:$I,'Source Data - Act v Plan by WBS'!$G:$G,"AMI",'Source Data - Act v Plan by WBS'!$C:$C,"Gas")</f>
        <v>204137779.1307027</v>
      </c>
      <c r="W10" s="237">
        <f t="shared" si="7"/>
        <v>38194670.269297212</v>
      </c>
      <c r="Y10" s="235" t="s">
        <v>175</v>
      </c>
      <c r="Z10" s="236">
        <f>-SUMIFS('Source Data - Act v Plan by WBS'!$H:$H,'Source Data - Act v Plan by WBS'!$G:$G,$O10,'Source Data - Act v Plan by WBS'!$C:$C,"Common")+-SUMIFS('Source Data - Act v Plan by WBS'!$H:$H,'Source Data - Act v Plan by WBS'!$G:$G,"AMI",'Source Data - Act v Plan by WBS'!$C:$C,"Common")</f>
        <v>183919.46000000002</v>
      </c>
      <c r="AA10" s="236">
        <f>-SUMIFS('Source Data - Act v Plan by WBS'!$I:$I,'Source Data - Act v Plan by WBS'!$G:$G,$O10,'Source Data - Act v Plan by WBS'!$C:$C,"Common")+-SUMIFS('Source Data - Act v Plan by WBS'!$I:$I,'Source Data - Act v Plan by WBS'!$G:$G,"AMI",'Source Data - Act v Plan by WBS'!$C:$C,"Common")</f>
        <v>1246624.0000000009</v>
      </c>
      <c r="AB10" s="237">
        <f t="shared" si="8"/>
        <v>-1062704.540000001</v>
      </c>
      <c r="AD10" s="235" t="s">
        <v>175</v>
      </c>
      <c r="AE10" s="236">
        <f t="shared" si="0"/>
        <v>121276.49192400002</v>
      </c>
      <c r="AF10" s="236">
        <f t="shared" si="0"/>
        <v>822023.8656000006</v>
      </c>
      <c r="AG10" s="237">
        <f t="shared" si="9"/>
        <v>-700747.37367600063</v>
      </c>
      <c r="AI10" s="235" t="s">
        <v>175</v>
      </c>
      <c r="AJ10" s="236">
        <f t="shared" si="1"/>
        <v>62642.968076000012</v>
      </c>
      <c r="AK10" s="236">
        <f t="shared" si="1"/>
        <v>424600.13440000033</v>
      </c>
      <c r="AL10" s="237">
        <f t="shared" si="10"/>
        <v>-361957.16632400034</v>
      </c>
      <c r="AN10" s="235" t="s">
        <v>175</v>
      </c>
      <c r="AO10" s="501">
        <f t="shared" si="11"/>
        <v>456978106.5082404</v>
      </c>
      <c r="AP10" s="236">
        <f t="shared" si="2"/>
        <v>434839498.03203863</v>
      </c>
      <c r="AQ10" s="237">
        <f t="shared" si="12"/>
        <v>22138608.476201773</v>
      </c>
      <c r="AR10" s="282"/>
      <c r="AS10" s="235" t="s">
        <v>175</v>
      </c>
      <c r="AT10" s="501">
        <f t="shared" si="13"/>
        <v>242395092.36807591</v>
      </c>
      <c r="AU10" s="236">
        <f t="shared" si="3"/>
        <v>204562379.26510271</v>
      </c>
      <c r="AV10" s="237">
        <f t="shared" si="14"/>
        <v>37832713.102973193</v>
      </c>
      <c r="AW10" s="282"/>
      <c r="AX10" s="247">
        <f t="shared" si="15"/>
        <v>0</v>
      </c>
      <c r="AY10" s="247">
        <f t="shared" si="4"/>
        <v>0</v>
      </c>
      <c r="AZ10" s="247">
        <f t="shared" si="5"/>
        <v>2.384185791015625E-7</v>
      </c>
    </row>
    <row r="11" spans="1:52" ht="15.6" x14ac:dyDescent="0.3">
      <c r="A11" s="213"/>
      <c r="B11" s="245" t="s">
        <v>1583</v>
      </c>
      <c r="C11" s="3"/>
      <c r="D11" s="3">
        <v>-1039999.9999999983</v>
      </c>
      <c r="E11" s="3">
        <v>1039999.9999999983</v>
      </c>
      <c r="F11" s="213"/>
      <c r="I11" s="213"/>
      <c r="J11" s="235" t="s">
        <v>803</v>
      </c>
      <c r="K11" s="236">
        <f>-VLOOKUP($J11,$B:$E,2,FALSE)</f>
        <v>4377633.9812695784</v>
      </c>
      <c r="L11" s="236">
        <f>-VLOOKUP($J11,$B:$E,3,FALSE)</f>
        <v>3769399.5102887694</v>
      </c>
      <c r="M11" s="237">
        <f>-VLOOKUP($J11,$B:$E,4,FALSE)</f>
        <v>608234.47098080895</v>
      </c>
      <c r="N11" s="282"/>
      <c r="O11" s="235" t="s">
        <v>803</v>
      </c>
      <c r="P11" s="236">
        <f>-SUMIFS('Source Data - Act v Plan by WBS'!H:H,'Source Data - Act v Plan by WBS'!$G:$G,$O11,'Source Data - Act v Plan by WBS'!$C:$C,"Electric")</f>
        <v>4377633.9812695784</v>
      </c>
      <c r="Q11" s="236">
        <f>-SUMIFS('Source Data - Act v Plan by WBS'!I:I,'Source Data - Act v Plan by WBS'!$G:$G,$O11,'Source Data - Act v Plan by WBS'!$C:$C,"Electric")</f>
        <v>3769399.5102887694</v>
      </c>
      <c r="R11" s="237">
        <f t="shared" si="6"/>
        <v>608234.47098080907</v>
      </c>
      <c r="T11" s="235" t="s">
        <v>803</v>
      </c>
      <c r="U11" s="236">
        <f>-SUMIFS('Source Data - Act v Plan by WBS'!$H:$H,'Source Data - Act v Plan by WBS'!$G:$G,$O11,'Source Data - Act v Plan by WBS'!$C:$C,"Gas")</f>
        <v>0</v>
      </c>
      <c r="V11" s="236">
        <f>-SUMIFS('Source Data - Act v Plan by WBS'!$I:$I,'Source Data - Act v Plan by WBS'!$G:$G,$O11,'Source Data - Act v Plan by WBS'!$C:$C,"Gas")</f>
        <v>0</v>
      </c>
      <c r="W11" s="237">
        <f t="shared" si="7"/>
        <v>0</v>
      </c>
      <c r="Y11" s="235" t="s">
        <v>803</v>
      </c>
      <c r="Z11" s="236">
        <f>-SUMIFS('Source Data - Act v Plan by WBS'!$H:$H,'Source Data - Act v Plan by WBS'!$G:$G,$O11,'Source Data - Act v Plan by WBS'!$C:$C,"Common")</f>
        <v>0</v>
      </c>
      <c r="AA11" s="236">
        <f>-SUMIFS('Source Data - Act v Plan by WBS'!$I:$I,'Source Data - Act v Plan by WBS'!$G:$G,$O11,'Source Data - Act v Plan by WBS'!$C:$C,"Common")</f>
        <v>0</v>
      </c>
      <c r="AB11" s="237">
        <f t="shared" si="8"/>
        <v>0</v>
      </c>
      <c r="AD11" s="235" t="s">
        <v>803</v>
      </c>
      <c r="AE11" s="236">
        <f t="shared" si="0"/>
        <v>0</v>
      </c>
      <c r="AF11" s="236">
        <f t="shared" si="0"/>
        <v>0</v>
      </c>
      <c r="AG11" s="237">
        <f t="shared" si="9"/>
        <v>0</v>
      </c>
      <c r="AI11" s="235" t="s">
        <v>803</v>
      </c>
      <c r="AJ11" s="236">
        <f t="shared" si="1"/>
        <v>0</v>
      </c>
      <c r="AK11" s="236">
        <f t="shared" si="1"/>
        <v>0</v>
      </c>
      <c r="AL11" s="237">
        <f t="shared" si="10"/>
        <v>0</v>
      </c>
      <c r="AN11" s="235" t="s">
        <v>803</v>
      </c>
      <c r="AO11" s="236">
        <f t="shared" si="11"/>
        <v>4377633.9812695784</v>
      </c>
      <c r="AP11" s="236">
        <f t="shared" si="2"/>
        <v>3769399.5102887694</v>
      </c>
      <c r="AQ11" s="237">
        <f t="shared" si="12"/>
        <v>608234.47098080907</v>
      </c>
      <c r="AR11" s="282"/>
      <c r="AS11" s="235" t="s">
        <v>803</v>
      </c>
      <c r="AT11" s="236">
        <f t="shared" si="13"/>
        <v>0</v>
      </c>
      <c r="AU11" s="236">
        <f t="shared" si="3"/>
        <v>0</v>
      </c>
      <c r="AV11" s="237">
        <f t="shared" si="14"/>
        <v>0</v>
      </c>
      <c r="AW11" s="282"/>
      <c r="AX11" s="247">
        <f t="shared" si="15"/>
        <v>0</v>
      </c>
      <c r="AY11" s="247">
        <f t="shared" si="4"/>
        <v>0</v>
      </c>
      <c r="AZ11" s="247">
        <f t="shared" si="5"/>
        <v>0</v>
      </c>
    </row>
    <row r="12" spans="1:52" ht="15.6" x14ac:dyDescent="0.3">
      <c r="A12" s="213"/>
      <c r="B12" s="245" t="s">
        <v>528</v>
      </c>
      <c r="C12" s="3">
        <v>0</v>
      </c>
      <c r="D12" s="3">
        <v>-1548118.7639594919</v>
      </c>
      <c r="E12" s="3">
        <v>1548118.7639594919</v>
      </c>
      <c r="F12" s="213"/>
      <c r="I12" s="213"/>
      <c r="J12" s="235" t="s">
        <v>176</v>
      </c>
      <c r="K12" s="236">
        <f>-VLOOKUP($J12,$B:$E,2,FALSE)</f>
        <v>4811877.2074173642</v>
      </c>
      <c r="L12" s="236">
        <f>-VLOOKUP($J12,$B:$E,3,FALSE)</f>
        <v>3976922.0599999977</v>
      </c>
      <c r="M12" s="237">
        <f>-VLOOKUP($J12,$B:$E,4,FALSE)</f>
        <v>834955.14741736581</v>
      </c>
      <c r="N12" s="282"/>
      <c r="O12" s="235" t="s">
        <v>176</v>
      </c>
      <c r="P12" s="236">
        <f>-SUMIFS('Source Data - Act v Plan by WBS'!H:H,'Source Data - Act v Plan by WBS'!$G:$G,$O12,'Source Data - Act v Plan by WBS'!$C:$C,"Electric")</f>
        <v>4474724.8174173646</v>
      </c>
      <c r="Q12" s="236">
        <f>-SUMIFS('Source Data - Act v Plan by WBS'!I:I,'Source Data - Act v Plan by WBS'!$G:$G,$O12,'Source Data - Act v Plan by WBS'!$C:$C,"Electric")</f>
        <v>3547182.8599999975</v>
      </c>
      <c r="R12" s="237">
        <f t="shared" si="6"/>
        <v>927541.95741736703</v>
      </c>
      <c r="T12" s="235" t="s">
        <v>176</v>
      </c>
      <c r="U12" s="236">
        <f>-SUMIFS('Source Data - Act v Plan by WBS'!$H:$H,'Source Data - Act v Plan by WBS'!$G:$G,$O12,'Source Data - Act v Plan by WBS'!$C:$C,"Gas")</f>
        <v>123834.78999999998</v>
      </c>
      <c r="V12" s="236">
        <f>-SUMIFS('Source Data - Act v Plan by WBS'!$I:$I,'Source Data - Act v Plan by WBS'!$G:$G,$O12,'Source Data - Act v Plan by WBS'!$C:$C,"Gas")</f>
        <v>129739.20000000042</v>
      </c>
      <c r="W12" s="237">
        <f t="shared" si="7"/>
        <v>-5904.41000000044</v>
      </c>
      <c r="Y12" s="235" t="s">
        <v>176</v>
      </c>
      <c r="Z12" s="236">
        <f>-SUMIFS('Source Data - Act v Plan by WBS'!$H:$H,'Source Data - Act v Plan by WBS'!$G:$G,$O12,'Source Data - Act v Plan by WBS'!$C:$C,"Common")</f>
        <v>213317.6</v>
      </c>
      <c r="AA12" s="236">
        <f>-SUMIFS('Source Data - Act v Plan by WBS'!$I:$I,'Source Data - Act v Plan by WBS'!$G:$G,$O12,'Source Data - Act v Plan by WBS'!$C:$C,"Common")</f>
        <v>299999.99999999994</v>
      </c>
      <c r="AB12" s="237">
        <f t="shared" si="8"/>
        <v>-86682.399999999936</v>
      </c>
      <c r="AD12" s="235" t="s">
        <v>176</v>
      </c>
      <c r="AE12" s="236">
        <f t="shared" si="0"/>
        <v>140661.62544</v>
      </c>
      <c r="AF12" s="236">
        <f t="shared" si="0"/>
        <v>197819.99999999997</v>
      </c>
      <c r="AG12" s="237">
        <f t="shared" si="9"/>
        <v>-57158.374559999967</v>
      </c>
      <c r="AI12" s="235" t="s">
        <v>176</v>
      </c>
      <c r="AJ12" s="236">
        <f t="shared" si="1"/>
        <v>72655.974560000002</v>
      </c>
      <c r="AK12" s="236">
        <f t="shared" si="1"/>
        <v>102179.99999999999</v>
      </c>
      <c r="AL12" s="237">
        <f t="shared" si="10"/>
        <v>-29524.025439999983</v>
      </c>
      <c r="AN12" s="235" t="s">
        <v>176</v>
      </c>
      <c r="AO12" s="236">
        <f t="shared" si="11"/>
        <v>4615386.4428573642</v>
      </c>
      <c r="AP12" s="236">
        <f t="shared" si="2"/>
        <v>3745002.8599999975</v>
      </c>
      <c r="AQ12" s="237">
        <f t="shared" si="12"/>
        <v>870383.58285736665</v>
      </c>
      <c r="AR12" s="282"/>
      <c r="AS12" s="235" t="s">
        <v>176</v>
      </c>
      <c r="AT12" s="236">
        <f t="shared" si="13"/>
        <v>196490.76455999998</v>
      </c>
      <c r="AU12" s="236">
        <f t="shared" si="3"/>
        <v>231919.20000000042</v>
      </c>
      <c r="AV12" s="237">
        <f t="shared" si="14"/>
        <v>-35428.435440000438</v>
      </c>
      <c r="AW12" s="282"/>
      <c r="AX12" s="247">
        <f t="shared" si="15"/>
        <v>0</v>
      </c>
      <c r="AY12" s="247">
        <f t="shared" si="4"/>
        <v>0</v>
      </c>
      <c r="AZ12" s="247">
        <f t="shared" si="5"/>
        <v>0</v>
      </c>
    </row>
    <row r="13" spans="1:52" ht="15.6" x14ac:dyDescent="0.3">
      <c r="A13" s="213"/>
      <c r="B13" s="245" t="s">
        <v>770</v>
      </c>
      <c r="C13" s="3">
        <v>-2774952.2051824466</v>
      </c>
      <c r="D13" s="3">
        <v>-4757737.4334327346</v>
      </c>
      <c r="E13" s="3">
        <v>1982785.2282502879</v>
      </c>
      <c r="F13" s="213"/>
      <c r="I13" s="213"/>
      <c r="J13" s="238" t="s">
        <v>32</v>
      </c>
      <c r="K13" s="239">
        <f>-VLOOKUP($J13,$B:$E,2,FALSE)</f>
        <v>971065030.87267411</v>
      </c>
      <c r="L13" s="239">
        <f>-VLOOKUP($J13,$B:$E,3,FALSE)</f>
        <v>870765290.61102188</v>
      </c>
      <c r="M13" s="240">
        <f>-VLOOKUP($J13,$B:$E,4,FALSE)</f>
        <v>100299740.26165311</v>
      </c>
      <c r="N13" s="282"/>
      <c r="O13" s="238" t="s">
        <v>32</v>
      </c>
      <c r="P13" s="239">
        <f>SUM(P6:P12)</f>
        <v>617397962.16267478</v>
      </c>
      <c r="Q13" s="239">
        <f>SUM(Q6:Q12)</f>
        <v>542300601.7047435</v>
      </c>
      <c r="R13" s="240">
        <f>SUM(R6:R12)</f>
        <v>75097360.457931265</v>
      </c>
      <c r="T13" s="238" t="s">
        <v>32</v>
      </c>
      <c r="U13" s="239">
        <f>SUM(U6:U12)</f>
        <v>253068593.6699999</v>
      </c>
      <c r="V13" s="239">
        <f>SUM(V6:V12)</f>
        <v>211947823.47835585</v>
      </c>
      <c r="W13" s="240">
        <f>SUM(W6:W12)</f>
        <v>41120770.191644043</v>
      </c>
      <c r="Y13" s="238" t="s">
        <v>32</v>
      </c>
      <c r="Z13" s="239">
        <f>SUM(Z6:Z12)</f>
        <v>100598475.03999998</v>
      </c>
      <c r="AA13" s="239">
        <f>SUM(AA6:AA12)</f>
        <v>116516865.42792208</v>
      </c>
      <c r="AB13" s="240">
        <f>SUM(AB6:AB12)</f>
        <v>-15918390.387922086</v>
      </c>
      <c r="AD13" s="238" t="s">
        <v>32</v>
      </c>
      <c r="AE13" s="239">
        <f>SUM(AE6:AE12)</f>
        <v>66334634.441376008</v>
      </c>
      <c r="AF13" s="239">
        <f>SUM(AF6:AF12)</f>
        <v>76831221.063171819</v>
      </c>
      <c r="AG13" s="240">
        <f>SUM(AG6:AG12)</f>
        <v>-10496586.621795826</v>
      </c>
      <c r="AI13" s="238" t="s">
        <v>32</v>
      </c>
      <c r="AJ13" s="239">
        <f>SUM(AJ6:AJ12)</f>
        <v>34263840.598623998</v>
      </c>
      <c r="AK13" s="239">
        <f>SUM(AK6:AK12)</f>
        <v>39685644.364750266</v>
      </c>
      <c r="AL13" s="240">
        <f>SUM(AL6:AL12)</f>
        <v>-5421803.766126262</v>
      </c>
      <c r="AN13" s="238" t="s">
        <v>32</v>
      </c>
      <c r="AO13" s="239">
        <f>SUM(AO6:AO12)</f>
        <v>683732596.60405076</v>
      </c>
      <c r="AP13" s="239">
        <f>SUM(AP6:AP12)</f>
        <v>619131822.76791537</v>
      </c>
      <c r="AQ13" s="240">
        <f>SUM(AQ6:AQ12)</f>
        <v>64600773.836135432</v>
      </c>
      <c r="AR13" s="282"/>
      <c r="AS13" s="238" t="s">
        <v>32</v>
      </c>
      <c r="AT13" s="239">
        <f>SUM(AT6:AT12)</f>
        <v>287332434.26862389</v>
      </c>
      <c r="AU13" s="239">
        <f>SUM(AU6:AU12)</f>
        <v>251633467.84310615</v>
      </c>
      <c r="AV13" s="240">
        <f>SUM(AV6:AV12)</f>
        <v>35698966.425517753</v>
      </c>
      <c r="AW13" s="282"/>
      <c r="AX13" s="247">
        <f t="shared" si="15"/>
        <v>0</v>
      </c>
      <c r="AY13" s="247">
        <f t="shared" si="4"/>
        <v>0</v>
      </c>
      <c r="AZ13" s="247">
        <f t="shared" si="5"/>
        <v>0</v>
      </c>
    </row>
    <row r="14" spans="1:52" x14ac:dyDescent="0.3">
      <c r="A14" s="213"/>
      <c r="B14" s="245" t="s">
        <v>772</v>
      </c>
      <c r="C14" s="3">
        <v>-1813298.1</v>
      </c>
      <c r="D14" s="3">
        <v>-1610902.4702044392</v>
      </c>
      <c r="E14" s="3">
        <v>-202395.62979556085</v>
      </c>
      <c r="F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T14" s="213"/>
      <c r="U14" s="213"/>
      <c r="V14" s="213"/>
      <c r="W14" s="213"/>
      <c r="Y14" s="213"/>
      <c r="Z14" s="213"/>
      <c r="AA14" s="213"/>
      <c r="AB14" s="213"/>
      <c r="AD14" s="213"/>
      <c r="AE14" s="213"/>
      <c r="AF14" s="213"/>
      <c r="AG14" s="213"/>
      <c r="AI14" s="213"/>
      <c r="AJ14" s="213"/>
      <c r="AK14" s="213"/>
      <c r="AL14" s="213"/>
      <c r="AN14" s="213"/>
      <c r="AO14" s="213"/>
      <c r="AP14" s="213"/>
      <c r="AQ14" s="213"/>
      <c r="AS14" s="213"/>
      <c r="AT14" s="213"/>
      <c r="AU14" s="213"/>
      <c r="AV14" s="213"/>
    </row>
    <row r="15" spans="1:52" x14ac:dyDescent="0.3">
      <c r="B15" s="245" t="s">
        <v>774</v>
      </c>
      <c r="C15" s="3">
        <v>-2995082.71</v>
      </c>
      <c r="D15" s="3">
        <v>-229013.27651958822</v>
      </c>
      <c r="E15" s="3">
        <v>-2766069.4334804118</v>
      </c>
    </row>
    <row r="16" spans="1:52" x14ac:dyDescent="0.3">
      <c r="B16" s="245" t="s">
        <v>776</v>
      </c>
      <c r="C16" s="3">
        <v>-1026939.6350094073</v>
      </c>
      <c r="D16" s="3">
        <v>-945078.68989740359</v>
      </c>
      <c r="E16" s="3">
        <v>-81860.945112003712</v>
      </c>
      <c r="K16" s="247">
        <f>SUM(K6:K12)-K13</f>
        <v>0</v>
      </c>
      <c r="L16" s="247">
        <f>SUM(L6:L12)-L13</f>
        <v>0</v>
      </c>
      <c r="M16" s="247">
        <f>SUM(M6:M12)-M13</f>
        <v>-1.7881393432617188E-7</v>
      </c>
      <c r="Q16" s="247"/>
      <c r="R16" s="247"/>
      <c r="U16" s="247"/>
      <c r="V16" s="247"/>
      <c r="W16" s="247"/>
      <c r="Z16" s="247"/>
      <c r="AA16" s="247"/>
      <c r="AB16" s="247"/>
      <c r="AF16" s="247"/>
      <c r="AG16" s="247"/>
      <c r="AJ16" s="247"/>
      <c r="AK16" s="247"/>
      <c r="AL16" s="247"/>
      <c r="AO16" s="247"/>
      <c r="AP16" s="247"/>
      <c r="AQ16" s="247"/>
      <c r="AT16" s="247"/>
      <c r="AU16" s="247"/>
      <c r="AV16" s="247"/>
    </row>
    <row r="17" spans="2:36" x14ac:dyDescent="0.3">
      <c r="B17" s="245" t="s">
        <v>778</v>
      </c>
      <c r="C17" s="3">
        <v>140154.20000000001</v>
      </c>
      <c r="D17" s="3">
        <v>0</v>
      </c>
      <c r="E17" s="3">
        <v>140154.20000000001</v>
      </c>
      <c r="K17" s="247">
        <f>'Source Data - Act v Plan by WBS'!H454+K13</f>
        <v>0</v>
      </c>
      <c r="L17" s="247">
        <f>'Source Data - Act v Plan by WBS'!I454+L13</f>
        <v>0</v>
      </c>
      <c r="M17" s="247">
        <f>'Source Data - Act v Plan by WBS'!J454+M13</f>
        <v>2.9802322387695313E-7</v>
      </c>
      <c r="AD17" s="262" t="s">
        <v>107</v>
      </c>
      <c r="AE17" s="263">
        <v>0.65939999999999999</v>
      </c>
      <c r="AI17" s="262" t="s">
        <v>158</v>
      </c>
      <c r="AJ17" s="263">
        <v>0.34060000000000001</v>
      </c>
    </row>
    <row r="18" spans="2:36" x14ac:dyDescent="0.3">
      <c r="B18" s="245" t="s">
        <v>780</v>
      </c>
      <c r="C18" s="3">
        <v>-2297632.6732302085</v>
      </c>
      <c r="D18" s="3">
        <v>-6022703.3382038157</v>
      </c>
      <c r="E18" s="3">
        <v>3725070.6649736073</v>
      </c>
    </row>
    <row r="19" spans="2:36" x14ac:dyDescent="0.3">
      <c r="B19" s="245" t="s">
        <v>782</v>
      </c>
      <c r="C19" s="3">
        <v>0</v>
      </c>
      <c r="D19" s="3">
        <v>-9453083.7009711824</v>
      </c>
      <c r="E19" s="3">
        <v>9453083.7009711824</v>
      </c>
    </row>
    <row r="20" spans="2:36" x14ac:dyDescent="0.3">
      <c r="B20" s="245" t="s">
        <v>784</v>
      </c>
      <c r="C20" s="3">
        <v>-1829357.0899999996</v>
      </c>
      <c r="D20" s="3">
        <v>0</v>
      </c>
      <c r="E20" s="3">
        <v>-1829357.0899999996</v>
      </c>
    </row>
    <row r="21" spans="2:36" x14ac:dyDescent="0.3">
      <c r="B21" s="245" t="s">
        <v>962</v>
      </c>
      <c r="C21" s="3">
        <v>-744122.07000000007</v>
      </c>
      <c r="D21" s="3">
        <v>0</v>
      </c>
      <c r="E21" s="3">
        <v>-744122.07000000007</v>
      </c>
    </row>
    <row r="22" spans="2:36" x14ac:dyDescent="0.3">
      <c r="B22" s="245" t="s">
        <v>1068</v>
      </c>
      <c r="C22" s="3">
        <v>-396715.91</v>
      </c>
      <c r="D22" s="3">
        <v>0</v>
      </c>
      <c r="E22" s="3">
        <v>-396715.91</v>
      </c>
    </row>
    <row r="23" spans="2:36" x14ac:dyDescent="0.3">
      <c r="B23" s="245" t="s">
        <v>1573</v>
      </c>
      <c r="C23" s="3"/>
      <c r="D23" s="3">
        <v>-3379999.9999999907</v>
      </c>
      <c r="E23" s="3">
        <v>3379999.9999999907</v>
      </c>
    </row>
    <row r="24" spans="2:36" x14ac:dyDescent="0.3">
      <c r="B24" s="245" t="s">
        <v>1579</v>
      </c>
      <c r="C24" s="3"/>
      <c r="D24" s="3">
        <v>-321149.78495599958</v>
      </c>
      <c r="E24" s="3">
        <v>321149.78495599958</v>
      </c>
    </row>
    <row r="25" spans="2:36" x14ac:dyDescent="0.3">
      <c r="B25" s="245" t="s">
        <v>1581</v>
      </c>
      <c r="C25" s="3"/>
      <c r="D25" s="3">
        <v>-409618.9999999993</v>
      </c>
      <c r="E25" s="3">
        <v>409618.9999999993</v>
      </c>
    </row>
    <row r="26" spans="2:36" x14ac:dyDescent="0.3">
      <c r="B26" s="216" t="s">
        <v>175</v>
      </c>
      <c r="C26" s="217">
        <v>-664910956.13080812</v>
      </c>
      <c r="D26" s="217">
        <v>-472319546.28005379</v>
      </c>
      <c r="E26" s="217">
        <v>-192591409.85075423</v>
      </c>
    </row>
    <row r="27" spans="2:36" x14ac:dyDescent="0.3">
      <c r="B27" s="245" t="s">
        <v>196</v>
      </c>
      <c r="C27" s="3">
        <v>0</v>
      </c>
      <c r="D27" s="3">
        <v>-59235.828801300908</v>
      </c>
      <c r="E27" s="3">
        <v>59235.828801300908</v>
      </c>
    </row>
    <row r="28" spans="2:36" x14ac:dyDescent="0.3">
      <c r="B28" s="245" t="s">
        <v>396</v>
      </c>
      <c r="C28" s="3">
        <v>0</v>
      </c>
      <c r="D28" s="3">
        <v>-146624.00000000041</v>
      </c>
      <c r="E28" s="3">
        <v>146624.00000000041</v>
      </c>
    </row>
    <row r="29" spans="2:36" x14ac:dyDescent="0.3">
      <c r="B29" s="245" t="s">
        <v>398</v>
      </c>
      <c r="C29" s="3"/>
      <c r="D29" s="3"/>
      <c r="E29" s="3">
        <v>0</v>
      </c>
    </row>
    <row r="30" spans="2:36" x14ac:dyDescent="0.3">
      <c r="B30" s="245" t="s">
        <v>400</v>
      </c>
      <c r="C30" s="3">
        <v>-423.68</v>
      </c>
      <c r="D30" s="3">
        <v>-1007314.4742219325</v>
      </c>
      <c r="E30" s="3">
        <v>1006890.7942219324</v>
      </c>
    </row>
    <row r="31" spans="2:36" x14ac:dyDescent="0.3">
      <c r="B31" s="245" t="s">
        <v>402</v>
      </c>
      <c r="C31" s="3">
        <v>0</v>
      </c>
      <c r="D31" s="3">
        <v>-8529285.6655276697</v>
      </c>
      <c r="E31" s="3">
        <v>8529285.6655276697</v>
      </c>
    </row>
    <row r="32" spans="2:36" x14ac:dyDescent="0.3">
      <c r="B32" s="245" t="s">
        <v>404</v>
      </c>
      <c r="C32" s="3"/>
      <c r="D32" s="3"/>
      <c r="E32" s="3">
        <v>0</v>
      </c>
    </row>
    <row r="33" spans="2:5" x14ac:dyDescent="0.3">
      <c r="B33" s="245" t="s">
        <v>406</v>
      </c>
      <c r="C33" s="3">
        <v>-5194074.5275619645</v>
      </c>
      <c r="D33" s="3">
        <v>-10122925.179183614</v>
      </c>
      <c r="E33" s="3">
        <v>4928850.651621649</v>
      </c>
    </row>
    <row r="34" spans="2:5" x14ac:dyDescent="0.3">
      <c r="B34" s="245" t="s">
        <v>408</v>
      </c>
      <c r="C34" s="3">
        <v>-499538.91000000003</v>
      </c>
      <c r="D34" s="3">
        <v>-1434359.9340381329</v>
      </c>
      <c r="E34" s="3">
        <v>934821.02403813286</v>
      </c>
    </row>
    <row r="35" spans="2:5" x14ac:dyDescent="0.3">
      <c r="B35" s="245" t="s">
        <v>410</v>
      </c>
      <c r="C35" s="3">
        <v>-155913.93</v>
      </c>
      <c r="D35" s="3">
        <v>0</v>
      </c>
      <c r="E35" s="3">
        <v>-155913.93</v>
      </c>
    </row>
    <row r="36" spans="2:5" x14ac:dyDescent="0.3">
      <c r="B36" s="245" t="s">
        <v>412</v>
      </c>
      <c r="C36" s="3">
        <v>14562652.299999999</v>
      </c>
      <c r="D36" s="3">
        <v>6382400.0000000037</v>
      </c>
      <c r="E36" s="3">
        <v>8180252.2999999952</v>
      </c>
    </row>
    <row r="37" spans="2:5" x14ac:dyDescent="0.3">
      <c r="B37" s="245" t="s">
        <v>414</v>
      </c>
      <c r="C37" s="3">
        <v>-8041.6500000000005</v>
      </c>
      <c r="D37" s="3">
        <v>-3258429.238160836</v>
      </c>
      <c r="E37" s="3">
        <v>3250387.5881608361</v>
      </c>
    </row>
    <row r="38" spans="2:5" x14ac:dyDescent="0.3">
      <c r="B38" s="245" t="s">
        <v>416</v>
      </c>
      <c r="C38" s="3">
        <v>-5512507.0853848783</v>
      </c>
      <c r="D38" s="3">
        <v>-3452.753015949349</v>
      </c>
      <c r="E38" s="3">
        <v>-5509054.3323689289</v>
      </c>
    </row>
    <row r="39" spans="2:5" x14ac:dyDescent="0.3">
      <c r="B39" s="245" t="s">
        <v>418</v>
      </c>
      <c r="C39" s="3">
        <v>-7582881.0731643969</v>
      </c>
      <c r="D39" s="3">
        <v>-17543.818873808475</v>
      </c>
      <c r="E39" s="3">
        <v>-7565337.2542905882</v>
      </c>
    </row>
    <row r="40" spans="2:5" x14ac:dyDescent="0.3">
      <c r="B40" s="245" t="s">
        <v>420</v>
      </c>
      <c r="C40" s="3">
        <v>-646283.88695918606</v>
      </c>
      <c r="D40" s="3">
        <v>0</v>
      </c>
      <c r="E40" s="3">
        <v>-646283.88695918606</v>
      </c>
    </row>
    <row r="41" spans="2:5" x14ac:dyDescent="0.3">
      <c r="B41" s="245" t="s">
        <v>422</v>
      </c>
      <c r="C41" s="3">
        <v>-30083911.437621254</v>
      </c>
      <c r="D41" s="3">
        <v>-328048.10019989865</v>
      </c>
      <c r="E41" s="3">
        <v>-29755863.337421358</v>
      </c>
    </row>
    <row r="42" spans="2:5" x14ac:dyDescent="0.3">
      <c r="B42" s="245" t="s">
        <v>424</v>
      </c>
      <c r="C42" s="3">
        <v>-7266526.9215241875</v>
      </c>
      <c r="D42" s="3">
        <v>-449542.03568699415</v>
      </c>
      <c r="E42" s="3">
        <v>-6816984.8858371936</v>
      </c>
    </row>
    <row r="43" spans="2:5" x14ac:dyDescent="0.3">
      <c r="B43" s="245" t="s">
        <v>426</v>
      </c>
      <c r="C43" s="3">
        <v>-16922789.327885289</v>
      </c>
      <c r="D43" s="3">
        <v>-251838.00168329367</v>
      </c>
      <c r="E43" s="3">
        <v>-16670951.326201996</v>
      </c>
    </row>
    <row r="44" spans="2:5" x14ac:dyDescent="0.3">
      <c r="B44" s="245" t="s">
        <v>428</v>
      </c>
      <c r="C44" s="3">
        <v>-15356014.49040377</v>
      </c>
      <c r="D44" s="3">
        <v>-194567.04748128986</v>
      </c>
      <c r="E44" s="3">
        <v>-15161447.44292248</v>
      </c>
    </row>
    <row r="45" spans="2:5" x14ac:dyDescent="0.3">
      <c r="B45" s="245" t="s">
        <v>430</v>
      </c>
      <c r="C45" s="3">
        <v>779464.2824756623</v>
      </c>
      <c r="D45" s="3">
        <v>0</v>
      </c>
      <c r="E45" s="3">
        <v>779464.2824756623</v>
      </c>
    </row>
    <row r="46" spans="2:5" x14ac:dyDescent="0.3">
      <c r="B46" s="245" t="s">
        <v>432</v>
      </c>
      <c r="C46" s="3">
        <v>734743.39999999991</v>
      </c>
      <c r="D46" s="3">
        <v>0</v>
      </c>
      <c r="E46" s="3">
        <v>734743.39999999991</v>
      </c>
    </row>
    <row r="47" spans="2:5" x14ac:dyDescent="0.3">
      <c r="B47" s="245" t="s">
        <v>434</v>
      </c>
      <c r="C47" s="3">
        <v>-810990.75939100282</v>
      </c>
      <c r="D47" s="3">
        <v>-1757174.0094785567</v>
      </c>
      <c r="E47" s="3">
        <v>946183.25008755387</v>
      </c>
    </row>
    <row r="48" spans="2:5" x14ac:dyDescent="0.3">
      <c r="B48" s="245" t="s">
        <v>436</v>
      </c>
      <c r="C48" s="3">
        <v>-1131792.849469675</v>
      </c>
      <c r="D48" s="3">
        <v>-2096.7850320589341</v>
      </c>
      <c r="E48" s="3">
        <v>-1129696.0644376162</v>
      </c>
    </row>
    <row r="49" spans="2:5" x14ac:dyDescent="0.3">
      <c r="B49" s="245" t="s">
        <v>438</v>
      </c>
      <c r="C49" s="3">
        <v>0</v>
      </c>
      <c r="D49" s="3">
        <v>-2433475.0000000047</v>
      </c>
      <c r="E49" s="3">
        <v>2433475.0000000047</v>
      </c>
    </row>
    <row r="50" spans="2:5" x14ac:dyDescent="0.3">
      <c r="B50" s="245" t="s">
        <v>440</v>
      </c>
      <c r="C50" s="3">
        <v>-3259646.2076432169</v>
      </c>
      <c r="D50" s="3">
        <v>-129512.63623745092</v>
      </c>
      <c r="E50" s="3">
        <v>-3130133.5714057661</v>
      </c>
    </row>
    <row r="51" spans="2:5" x14ac:dyDescent="0.3">
      <c r="B51" s="245" t="s">
        <v>442</v>
      </c>
      <c r="C51" s="3">
        <v>-13148591.727722567</v>
      </c>
      <c r="D51" s="3">
        <v>-939758.49658805644</v>
      </c>
      <c r="E51" s="3">
        <v>-12208833.23113451</v>
      </c>
    </row>
    <row r="52" spans="2:5" x14ac:dyDescent="0.3">
      <c r="B52" s="245" t="s">
        <v>444</v>
      </c>
      <c r="C52" s="3">
        <v>-2124295.2299937215</v>
      </c>
      <c r="D52" s="3">
        <v>-1273712.1873202061</v>
      </c>
      <c r="E52" s="3">
        <v>-850583.04267351539</v>
      </c>
    </row>
    <row r="53" spans="2:5" x14ac:dyDescent="0.3">
      <c r="B53" s="245" t="s">
        <v>446</v>
      </c>
      <c r="C53" s="3">
        <v>-1637663</v>
      </c>
      <c r="D53" s="3">
        <v>-42777.416438186134</v>
      </c>
      <c r="E53" s="3">
        <v>-1594885.5835618139</v>
      </c>
    </row>
    <row r="54" spans="2:5" x14ac:dyDescent="0.3">
      <c r="B54" s="245" t="s">
        <v>448</v>
      </c>
      <c r="C54" s="3">
        <v>-757576.12361765897</v>
      </c>
      <c r="D54" s="3">
        <v>-197094.4790335955</v>
      </c>
      <c r="E54" s="3">
        <v>-560481.64458406344</v>
      </c>
    </row>
    <row r="55" spans="2:5" x14ac:dyDescent="0.3">
      <c r="B55" s="245" t="s">
        <v>450</v>
      </c>
      <c r="C55" s="3">
        <v>-472148.33</v>
      </c>
      <c r="D55" s="3">
        <v>0</v>
      </c>
      <c r="E55" s="3">
        <v>-472148.33</v>
      </c>
    </row>
    <row r="56" spans="2:5" x14ac:dyDescent="0.3">
      <c r="B56" s="245" t="s">
        <v>452</v>
      </c>
      <c r="C56" s="3">
        <v>-7722.8900000000012</v>
      </c>
      <c r="D56" s="3">
        <v>0</v>
      </c>
      <c r="E56" s="3">
        <v>-7722.8900000000012</v>
      </c>
    </row>
    <row r="57" spans="2:5" x14ac:dyDescent="0.3">
      <c r="B57" s="245" t="s">
        <v>454</v>
      </c>
      <c r="C57" s="3">
        <v>-54192.090000000004</v>
      </c>
      <c r="D57" s="3">
        <v>-2601507.427617657</v>
      </c>
      <c r="E57" s="3">
        <v>2547315.3376176571</v>
      </c>
    </row>
    <row r="58" spans="2:5" x14ac:dyDescent="0.3">
      <c r="B58" s="245" t="s">
        <v>456</v>
      </c>
      <c r="C58" s="3">
        <v>0</v>
      </c>
      <c r="D58" s="3">
        <v>-3027511.3667107685</v>
      </c>
      <c r="E58" s="3">
        <v>3027511.3667107685</v>
      </c>
    </row>
    <row r="59" spans="2:5" x14ac:dyDescent="0.3">
      <c r="B59" s="245" t="s">
        <v>458</v>
      </c>
      <c r="C59" s="3">
        <v>-5735.3399999999983</v>
      </c>
      <c r="D59" s="3">
        <v>-1303933.4285756261</v>
      </c>
      <c r="E59" s="3">
        <v>1298198.088575626</v>
      </c>
    </row>
    <row r="60" spans="2:5" x14ac:dyDescent="0.3">
      <c r="B60" s="245" t="s">
        <v>460</v>
      </c>
      <c r="C60" s="3">
        <v>-267380.51999999996</v>
      </c>
      <c r="D60" s="3">
        <v>-2498008.7604297181</v>
      </c>
      <c r="E60" s="3">
        <v>2230628.240429718</v>
      </c>
    </row>
    <row r="61" spans="2:5" x14ac:dyDescent="0.3">
      <c r="B61" s="245" t="s">
        <v>464</v>
      </c>
      <c r="C61" s="3">
        <v>-2406256.4755644454</v>
      </c>
      <c r="D61" s="3">
        <v>-3642840.7176343375</v>
      </c>
      <c r="E61" s="3">
        <v>1236584.2420698921</v>
      </c>
    </row>
    <row r="62" spans="2:5" x14ac:dyDescent="0.3">
      <c r="B62" s="245" t="s">
        <v>466</v>
      </c>
      <c r="C62" s="3">
        <v>-2372040.1500000004</v>
      </c>
      <c r="D62" s="3">
        <v>-1756507.0783757369</v>
      </c>
      <c r="E62" s="3">
        <v>-615533.07162426342</v>
      </c>
    </row>
    <row r="63" spans="2:5" x14ac:dyDescent="0.3">
      <c r="B63" s="245" t="s">
        <v>468</v>
      </c>
      <c r="C63" s="3">
        <v>-2139720.5425188881</v>
      </c>
      <c r="D63" s="3">
        <v>-1606939.8124574216</v>
      </c>
      <c r="E63" s="3">
        <v>-532780.73006146657</v>
      </c>
    </row>
    <row r="64" spans="2:5" x14ac:dyDescent="0.3">
      <c r="B64" s="245" t="s">
        <v>470</v>
      </c>
      <c r="C64" s="3">
        <v>-6318232.3241704041</v>
      </c>
      <c r="D64" s="3">
        <v>-1189417.440160949</v>
      </c>
      <c r="E64" s="3">
        <v>-5128814.8840094553</v>
      </c>
    </row>
    <row r="65" spans="2:5" x14ac:dyDescent="0.3">
      <c r="B65" s="245" t="s">
        <v>472</v>
      </c>
      <c r="C65" s="3">
        <v>-25478963.849993762</v>
      </c>
      <c r="D65" s="3">
        <v>-16869284.057530042</v>
      </c>
      <c r="E65" s="3">
        <v>-8609679.7924637198</v>
      </c>
    </row>
    <row r="66" spans="2:5" x14ac:dyDescent="0.3">
      <c r="B66" s="245" t="s">
        <v>474</v>
      </c>
      <c r="C66" s="3">
        <v>-30365295.775305152</v>
      </c>
      <c r="D66" s="3">
        <v>-18644248.913706027</v>
      </c>
      <c r="E66" s="3">
        <v>-11721046.861599125</v>
      </c>
    </row>
    <row r="67" spans="2:5" x14ac:dyDescent="0.3">
      <c r="B67" s="245" t="s">
        <v>476</v>
      </c>
      <c r="C67" s="3">
        <v>-4177086.3413060443</v>
      </c>
      <c r="D67" s="3">
        <v>-5064605.6706447974</v>
      </c>
      <c r="E67" s="3">
        <v>887519.32933875313</v>
      </c>
    </row>
    <row r="68" spans="2:5" x14ac:dyDescent="0.3">
      <c r="B68" s="245" t="s">
        <v>478</v>
      </c>
      <c r="C68" s="3">
        <v>-6532201.7105618957</v>
      </c>
      <c r="D68" s="3">
        <v>-77270.408691708741</v>
      </c>
      <c r="E68" s="3">
        <v>-6454931.3018701868</v>
      </c>
    </row>
    <row r="69" spans="2:5" x14ac:dyDescent="0.3">
      <c r="B69" s="245" t="s">
        <v>480</v>
      </c>
      <c r="C69" s="3">
        <v>5362.9899999999989</v>
      </c>
      <c r="D69" s="3">
        <v>0</v>
      </c>
      <c r="E69" s="3">
        <v>5362.9899999999989</v>
      </c>
    </row>
    <row r="70" spans="2:5" x14ac:dyDescent="0.3">
      <c r="B70" s="245" t="s">
        <v>482</v>
      </c>
      <c r="C70" s="3">
        <v>-2746811.24</v>
      </c>
      <c r="D70" s="3">
        <v>-534307.19782597886</v>
      </c>
      <c r="E70" s="3">
        <v>-2212504.0421740212</v>
      </c>
    </row>
    <row r="71" spans="2:5" x14ac:dyDescent="0.3">
      <c r="B71" s="245" t="s">
        <v>484</v>
      </c>
      <c r="C71" s="3">
        <v>-289356.60653857101</v>
      </c>
      <c r="D71" s="3">
        <v>-23122.496188339908</v>
      </c>
      <c r="E71" s="3">
        <v>-266234.11035023112</v>
      </c>
    </row>
    <row r="72" spans="2:5" x14ac:dyDescent="0.3">
      <c r="B72" s="245" t="s">
        <v>797</v>
      </c>
      <c r="C72" s="3">
        <v>0</v>
      </c>
      <c r="D72" s="3">
        <v>-366.15172416000001</v>
      </c>
      <c r="E72" s="3">
        <v>366.15172416000001</v>
      </c>
    </row>
    <row r="73" spans="2:5" x14ac:dyDescent="0.3">
      <c r="B73" s="245" t="s">
        <v>486</v>
      </c>
      <c r="C73" s="3">
        <v>-13184031.87364202</v>
      </c>
      <c r="D73" s="3">
        <v>-13489572.617585285</v>
      </c>
      <c r="E73" s="3">
        <v>305540.74394326471</v>
      </c>
    </row>
    <row r="74" spans="2:5" x14ac:dyDescent="0.3">
      <c r="B74" s="245" t="s">
        <v>488</v>
      </c>
      <c r="C74" s="3">
        <v>-26591228.166296277</v>
      </c>
      <c r="D74" s="3">
        <v>0</v>
      </c>
      <c r="E74" s="3">
        <v>-26591228.166296277</v>
      </c>
    </row>
    <row r="75" spans="2:5" x14ac:dyDescent="0.3">
      <c r="B75" s="245" t="s">
        <v>490</v>
      </c>
      <c r="C75" s="3">
        <v>-8130037.159317242</v>
      </c>
      <c r="D75" s="3">
        <v>-46177442.508803926</v>
      </c>
      <c r="E75" s="3">
        <v>38047405.349486686</v>
      </c>
    </row>
    <row r="76" spans="2:5" x14ac:dyDescent="0.3">
      <c r="B76" s="245" t="s">
        <v>492</v>
      </c>
      <c r="C76" s="3">
        <v>-1991093.3701229529</v>
      </c>
      <c r="D76" s="3">
        <v>-12358911.537837982</v>
      </c>
      <c r="E76" s="3">
        <v>10367818.16771503</v>
      </c>
    </row>
    <row r="77" spans="2:5" x14ac:dyDescent="0.3">
      <c r="B77" s="245" t="s">
        <v>494</v>
      </c>
      <c r="C77" s="3">
        <v>-4644157.8318888973</v>
      </c>
      <c r="D77" s="3">
        <v>-3468753.4409467499</v>
      </c>
      <c r="E77" s="3">
        <v>-1175404.3909421475</v>
      </c>
    </row>
    <row r="78" spans="2:5" x14ac:dyDescent="0.3">
      <c r="B78" s="245" t="s">
        <v>496</v>
      </c>
      <c r="C78" s="3">
        <v>-13874827.599354368</v>
      </c>
      <c r="D78" s="3">
        <v>-2743343.3116766242</v>
      </c>
      <c r="E78" s="3">
        <v>-11131484.287677743</v>
      </c>
    </row>
    <row r="79" spans="2:5" x14ac:dyDescent="0.3">
      <c r="B79" s="245" t="s">
        <v>498</v>
      </c>
      <c r="C79" s="3">
        <v>-3089040.7899999996</v>
      </c>
      <c r="D79" s="3">
        <v>-2883351.1757637528</v>
      </c>
      <c r="E79" s="3">
        <v>-205689.61423624679</v>
      </c>
    </row>
    <row r="80" spans="2:5" x14ac:dyDescent="0.3">
      <c r="B80" s="245" t="s">
        <v>500</v>
      </c>
      <c r="C80" s="3">
        <v>-19054204.977935247</v>
      </c>
      <c r="D80" s="3">
        <v>-11728176.84713937</v>
      </c>
      <c r="E80" s="3">
        <v>-7326028.1307958774</v>
      </c>
    </row>
    <row r="81" spans="2:5" x14ac:dyDescent="0.3">
      <c r="B81" s="245" t="s">
        <v>502</v>
      </c>
      <c r="C81" s="3">
        <v>-1311998.2014965296</v>
      </c>
      <c r="D81" s="3">
        <v>-2842255.0083662439</v>
      </c>
      <c r="E81" s="3">
        <v>1530256.8068697143</v>
      </c>
    </row>
    <row r="82" spans="2:5" x14ac:dyDescent="0.3">
      <c r="B82" s="245" t="s">
        <v>504</v>
      </c>
      <c r="C82" s="3">
        <v>-11013199.759829553</v>
      </c>
      <c r="D82" s="3">
        <v>-598051.27450237027</v>
      </c>
      <c r="E82" s="3">
        <v>-10415148.485327182</v>
      </c>
    </row>
    <row r="83" spans="2:5" x14ac:dyDescent="0.3">
      <c r="B83" s="245" t="s">
        <v>506</v>
      </c>
      <c r="C83" s="3">
        <v>0</v>
      </c>
      <c r="D83" s="3">
        <v>-809.57372929571864</v>
      </c>
      <c r="E83" s="3">
        <v>809.57372929571864</v>
      </c>
    </row>
    <row r="84" spans="2:5" x14ac:dyDescent="0.3">
      <c r="B84" s="245" t="s">
        <v>508</v>
      </c>
      <c r="C84" s="3">
        <v>-140467.14000000001</v>
      </c>
      <c r="D84" s="3">
        <v>-343.58994116342234</v>
      </c>
      <c r="E84" s="3">
        <v>-140123.55005883658</v>
      </c>
    </row>
    <row r="85" spans="2:5" x14ac:dyDescent="0.3">
      <c r="B85" s="245" t="s">
        <v>510</v>
      </c>
      <c r="C85" s="3">
        <v>0</v>
      </c>
      <c r="D85" s="3">
        <v>-3019.2287270564416</v>
      </c>
      <c r="E85" s="3">
        <v>3019.2287270564416</v>
      </c>
    </row>
    <row r="86" spans="2:5" x14ac:dyDescent="0.3">
      <c r="B86" s="245" t="s">
        <v>512</v>
      </c>
      <c r="C86" s="3">
        <v>-963883.77984976454</v>
      </c>
      <c r="D86" s="3">
        <v>0</v>
      </c>
      <c r="E86" s="3">
        <v>-963883.77984976454</v>
      </c>
    </row>
    <row r="87" spans="2:5" x14ac:dyDescent="0.3">
      <c r="B87" s="245" t="s">
        <v>514</v>
      </c>
      <c r="C87" s="3">
        <v>0</v>
      </c>
      <c r="D87" s="3">
        <v>-31978133.108033676</v>
      </c>
      <c r="E87" s="3">
        <v>31978133.108033676</v>
      </c>
    </row>
    <row r="88" spans="2:5" x14ac:dyDescent="0.3">
      <c r="B88" s="245" t="s">
        <v>516</v>
      </c>
      <c r="C88" s="3">
        <v>-20759.32</v>
      </c>
      <c r="D88" s="3">
        <v>0</v>
      </c>
      <c r="E88" s="3">
        <v>-20759.32</v>
      </c>
    </row>
    <row r="89" spans="2:5" x14ac:dyDescent="0.3">
      <c r="B89" s="245" t="s">
        <v>518</v>
      </c>
      <c r="C89" s="3">
        <v>-15526234.392010286</v>
      </c>
      <c r="D89" s="3">
        <v>-161747.64343363733</v>
      </c>
      <c r="E89" s="3">
        <v>-15364486.748576649</v>
      </c>
    </row>
    <row r="90" spans="2:5" x14ac:dyDescent="0.3">
      <c r="B90" s="245" t="s">
        <v>520</v>
      </c>
      <c r="C90" s="3">
        <v>-944312.64973241067</v>
      </c>
      <c r="D90" s="3">
        <v>-2439.4244755307986</v>
      </c>
      <c r="E90" s="3">
        <v>-941873.22525687993</v>
      </c>
    </row>
    <row r="91" spans="2:5" x14ac:dyDescent="0.3">
      <c r="B91" s="245" t="s">
        <v>524</v>
      </c>
      <c r="C91" s="3">
        <v>-4360134.8086507739</v>
      </c>
      <c r="D91" s="3">
        <v>-1208886.284194574</v>
      </c>
      <c r="E91" s="3">
        <v>-3151248.5244562002</v>
      </c>
    </row>
    <row r="92" spans="2:5" x14ac:dyDescent="0.3">
      <c r="B92" s="245" t="s">
        <v>526</v>
      </c>
      <c r="C92" s="3">
        <v>-38573.47</v>
      </c>
      <c r="D92" s="3">
        <v>-219797.88139630793</v>
      </c>
      <c r="E92" s="3">
        <v>181224.41139630793</v>
      </c>
    </row>
    <row r="93" spans="2:5" x14ac:dyDescent="0.3">
      <c r="B93" s="245" t="s">
        <v>530</v>
      </c>
      <c r="C93" s="3">
        <v>-6867195.1160102468</v>
      </c>
      <c r="D93" s="3">
        <v>-27730275.612953339</v>
      </c>
      <c r="E93" s="3">
        <v>20863080.496943094</v>
      </c>
    </row>
    <row r="94" spans="2:5" x14ac:dyDescent="0.3">
      <c r="B94" s="245" t="s">
        <v>532</v>
      </c>
      <c r="C94" s="3">
        <v>-11986074.226060275</v>
      </c>
      <c r="D94" s="3">
        <v>-5896473.0104704974</v>
      </c>
      <c r="E94" s="3">
        <v>-6089601.2155897776</v>
      </c>
    </row>
    <row r="95" spans="2:5" x14ac:dyDescent="0.3">
      <c r="B95" s="245" t="s">
        <v>534</v>
      </c>
      <c r="C95" s="3">
        <v>-1037790.98</v>
      </c>
      <c r="D95" s="3">
        <v>-132602.58469901333</v>
      </c>
      <c r="E95" s="3">
        <v>-905188.39530098671</v>
      </c>
    </row>
    <row r="96" spans="2:5" x14ac:dyDescent="0.3">
      <c r="B96" s="245" t="s">
        <v>536</v>
      </c>
      <c r="C96" s="3">
        <v>-115430.08000000002</v>
      </c>
      <c r="D96" s="3">
        <v>-8484.2528510976499</v>
      </c>
      <c r="E96" s="3">
        <v>-106945.82714890236</v>
      </c>
    </row>
    <row r="97" spans="2:5" x14ac:dyDescent="0.3">
      <c r="B97" s="245" t="s">
        <v>538</v>
      </c>
      <c r="C97" s="3">
        <v>0</v>
      </c>
      <c r="D97" s="3">
        <v>-896569.74399518361</v>
      </c>
      <c r="E97" s="3">
        <v>896569.74399518361</v>
      </c>
    </row>
    <row r="98" spans="2:5" x14ac:dyDescent="0.3">
      <c r="B98" s="245" t="s">
        <v>540</v>
      </c>
      <c r="C98" s="3">
        <v>0</v>
      </c>
      <c r="D98" s="3">
        <v>-1168.2136096328079</v>
      </c>
      <c r="E98" s="3">
        <v>1168.2136096328079</v>
      </c>
    </row>
    <row r="99" spans="2:5" x14ac:dyDescent="0.3">
      <c r="B99" s="245" t="s">
        <v>550</v>
      </c>
      <c r="C99" s="3">
        <v>-270.436445034256</v>
      </c>
      <c r="D99" s="3">
        <v>-2399.9999999999973</v>
      </c>
      <c r="E99" s="3">
        <v>2129.5635549657413</v>
      </c>
    </row>
    <row r="100" spans="2:5" x14ac:dyDescent="0.3">
      <c r="B100" s="245" t="s">
        <v>552</v>
      </c>
      <c r="C100" s="3">
        <v>0</v>
      </c>
      <c r="D100" s="3">
        <v>-19619.743762079994</v>
      </c>
      <c r="E100" s="3">
        <v>19619.743762079994</v>
      </c>
    </row>
    <row r="101" spans="2:5" x14ac:dyDescent="0.3">
      <c r="B101" s="245" t="s">
        <v>554</v>
      </c>
      <c r="C101" s="3">
        <v>-4055737.6486428548</v>
      </c>
      <c r="D101" s="3">
        <v>-9717623.2223387007</v>
      </c>
      <c r="E101" s="3">
        <v>5661885.5736958459</v>
      </c>
    </row>
    <row r="102" spans="2:5" x14ac:dyDescent="0.3">
      <c r="B102" s="245" t="s">
        <v>556</v>
      </c>
      <c r="C102" s="3">
        <v>0</v>
      </c>
      <c r="D102" s="3">
        <v>-235723.56499999951</v>
      </c>
      <c r="E102" s="3">
        <v>235723.56499999951</v>
      </c>
    </row>
    <row r="103" spans="2:5" x14ac:dyDescent="0.3">
      <c r="B103" s="245" t="s">
        <v>793</v>
      </c>
      <c r="C103" s="3">
        <v>0</v>
      </c>
      <c r="D103" s="3">
        <v>-524.70298175999994</v>
      </c>
      <c r="E103" s="3">
        <v>524.70298175999994</v>
      </c>
    </row>
    <row r="104" spans="2:5" x14ac:dyDescent="0.3">
      <c r="B104" s="245" t="s">
        <v>558</v>
      </c>
      <c r="C104" s="3">
        <v>-23434.89</v>
      </c>
      <c r="D104" s="3">
        <v>0</v>
      </c>
      <c r="E104" s="3">
        <v>-23434.89</v>
      </c>
    </row>
    <row r="105" spans="2:5" x14ac:dyDescent="0.3">
      <c r="B105" s="245" t="s">
        <v>560</v>
      </c>
      <c r="C105" s="3">
        <v>-6192262.1800000006</v>
      </c>
      <c r="D105" s="3">
        <v>-6277278.1563269272</v>
      </c>
      <c r="E105" s="3">
        <v>85015.976326926611</v>
      </c>
    </row>
    <row r="106" spans="2:5" x14ac:dyDescent="0.3">
      <c r="B106" s="245" t="s">
        <v>562</v>
      </c>
      <c r="C106" s="3">
        <v>-2189643.1</v>
      </c>
      <c r="D106" s="3">
        <v>-2472772.7424335591</v>
      </c>
      <c r="E106" s="3">
        <v>283129.64243355906</v>
      </c>
    </row>
    <row r="107" spans="2:5" x14ac:dyDescent="0.3">
      <c r="B107" s="245" t="s">
        <v>564</v>
      </c>
      <c r="C107" s="3">
        <v>0</v>
      </c>
      <c r="D107" s="3">
        <v>-11481.873981504688</v>
      </c>
      <c r="E107" s="3">
        <v>11481.873981504688</v>
      </c>
    </row>
    <row r="108" spans="2:5" x14ac:dyDescent="0.3">
      <c r="B108" s="245" t="s">
        <v>567</v>
      </c>
      <c r="C108" s="3">
        <v>-15464.249154319601</v>
      </c>
      <c r="D108" s="3">
        <v>-12557.455440509662</v>
      </c>
      <c r="E108" s="3">
        <v>-2906.7937138099387</v>
      </c>
    </row>
    <row r="109" spans="2:5" x14ac:dyDescent="0.3">
      <c r="B109" s="245" t="s">
        <v>569</v>
      </c>
      <c r="C109" s="3">
        <v>0</v>
      </c>
      <c r="D109" s="3">
        <v>-197744.84222017261</v>
      </c>
      <c r="E109" s="3">
        <v>197744.84222017261</v>
      </c>
    </row>
    <row r="110" spans="2:5" x14ac:dyDescent="0.3">
      <c r="B110" s="245" t="s">
        <v>571</v>
      </c>
      <c r="C110" s="3">
        <v>0</v>
      </c>
      <c r="D110" s="3">
        <v>-25677.839382580027</v>
      </c>
      <c r="E110" s="3">
        <v>25677.839382580027</v>
      </c>
    </row>
    <row r="111" spans="2:5" x14ac:dyDescent="0.3">
      <c r="B111" s="245" t="s">
        <v>573</v>
      </c>
      <c r="C111" s="3">
        <v>0</v>
      </c>
      <c r="D111" s="3">
        <v>-27477.059530902337</v>
      </c>
      <c r="E111" s="3">
        <v>27477.059530902337</v>
      </c>
    </row>
    <row r="112" spans="2:5" x14ac:dyDescent="0.3">
      <c r="B112" s="245" t="s">
        <v>575</v>
      </c>
      <c r="C112" s="3">
        <v>-8155.2199999999993</v>
      </c>
      <c r="D112" s="3">
        <v>-282885.45113292593</v>
      </c>
      <c r="E112" s="3">
        <v>274730.23113292595</v>
      </c>
    </row>
    <row r="113" spans="2:5" x14ac:dyDescent="0.3">
      <c r="B113" s="245" t="s">
        <v>577</v>
      </c>
      <c r="C113" s="3">
        <v>-106259.76000000001</v>
      </c>
      <c r="D113" s="3">
        <v>-350000.00000000041</v>
      </c>
      <c r="E113" s="3">
        <v>243740.2400000004</v>
      </c>
    </row>
    <row r="114" spans="2:5" x14ac:dyDescent="0.3">
      <c r="B114" s="245" t="s">
        <v>579</v>
      </c>
      <c r="C114" s="3">
        <v>-453596.06000000006</v>
      </c>
      <c r="D114" s="3">
        <v>-1187215.4833934451</v>
      </c>
      <c r="E114" s="3">
        <v>733619.42339344509</v>
      </c>
    </row>
    <row r="115" spans="2:5" x14ac:dyDescent="0.3">
      <c r="B115" s="245" t="s">
        <v>581</v>
      </c>
      <c r="C115" s="3">
        <v>-142381.01</v>
      </c>
      <c r="D115" s="3">
        <v>-188614.82987705726</v>
      </c>
      <c r="E115" s="3">
        <v>46233.819877057249</v>
      </c>
    </row>
    <row r="116" spans="2:5" x14ac:dyDescent="0.3">
      <c r="B116" s="245" t="s">
        <v>583</v>
      </c>
      <c r="C116" s="3">
        <v>-320771.7</v>
      </c>
      <c r="D116" s="3">
        <v>-576037.5544989194</v>
      </c>
      <c r="E116" s="3">
        <v>255265.85449891939</v>
      </c>
    </row>
    <row r="117" spans="2:5" x14ac:dyDescent="0.3">
      <c r="B117" s="245" t="s">
        <v>585</v>
      </c>
      <c r="C117" s="3">
        <v>0</v>
      </c>
      <c r="D117" s="3">
        <v>-59.562392879999997</v>
      </c>
      <c r="E117" s="3">
        <v>59.562392879999997</v>
      </c>
    </row>
    <row r="118" spans="2:5" x14ac:dyDescent="0.3">
      <c r="B118" s="245" t="s">
        <v>587</v>
      </c>
      <c r="C118" s="3">
        <v>-1472992.01</v>
      </c>
      <c r="D118" s="3">
        <v>0</v>
      </c>
      <c r="E118" s="3">
        <v>-1472992.01</v>
      </c>
    </row>
    <row r="119" spans="2:5" x14ac:dyDescent="0.3">
      <c r="B119" s="245" t="s">
        <v>589</v>
      </c>
      <c r="C119" s="3">
        <v>-2093679.8505118317</v>
      </c>
      <c r="D119" s="3">
        <v>-19817.837709763291</v>
      </c>
      <c r="E119" s="3">
        <v>-2073862.0128020684</v>
      </c>
    </row>
    <row r="120" spans="2:5" x14ac:dyDescent="0.3">
      <c r="B120" s="245" t="s">
        <v>591</v>
      </c>
      <c r="C120" s="3">
        <v>-322903.42423175828</v>
      </c>
      <c r="D120" s="3">
        <v>-34389.036907058799</v>
      </c>
      <c r="E120" s="3">
        <v>-288514.38732469949</v>
      </c>
    </row>
    <row r="121" spans="2:5" x14ac:dyDescent="0.3">
      <c r="B121" s="245" t="s">
        <v>593</v>
      </c>
      <c r="C121" s="3">
        <v>-11895177.780253317</v>
      </c>
      <c r="D121" s="3">
        <v>-17159.511265195943</v>
      </c>
      <c r="E121" s="3">
        <v>-11878018.268988121</v>
      </c>
    </row>
    <row r="122" spans="2:5" x14ac:dyDescent="0.3">
      <c r="B122" s="245" t="s">
        <v>595</v>
      </c>
      <c r="C122" s="3">
        <v>198563.8</v>
      </c>
      <c r="D122" s="3">
        <v>3005100</v>
      </c>
      <c r="E122" s="3">
        <v>-2806536.2</v>
      </c>
    </row>
    <row r="123" spans="2:5" x14ac:dyDescent="0.3">
      <c r="B123" s="245" t="s">
        <v>597</v>
      </c>
      <c r="C123" s="3">
        <v>-10504158.727816181</v>
      </c>
      <c r="D123" s="3">
        <v>-177108.11498440625</v>
      </c>
      <c r="E123" s="3">
        <v>-10327050.612831775</v>
      </c>
    </row>
    <row r="124" spans="2:5" x14ac:dyDescent="0.3">
      <c r="B124" s="245" t="s">
        <v>599</v>
      </c>
      <c r="C124" s="3">
        <v>-2768771.462433415</v>
      </c>
      <c r="D124" s="3">
        <v>-35940.955616185987</v>
      </c>
      <c r="E124" s="3">
        <v>-2732830.5068172291</v>
      </c>
    </row>
    <row r="125" spans="2:5" x14ac:dyDescent="0.3">
      <c r="B125" s="245" t="s">
        <v>601</v>
      </c>
      <c r="C125" s="3">
        <v>-8307148.0599999996</v>
      </c>
      <c r="D125" s="3">
        <v>-337792.25247504498</v>
      </c>
      <c r="E125" s="3">
        <v>-7969355.8075249549</v>
      </c>
    </row>
    <row r="126" spans="2:5" x14ac:dyDescent="0.3">
      <c r="B126" s="245" t="s">
        <v>603</v>
      </c>
      <c r="C126" s="3">
        <v>-3109124.8301923983</v>
      </c>
      <c r="D126" s="3">
        <v>-26571.915949503546</v>
      </c>
      <c r="E126" s="3">
        <v>-3082552.9142428949</v>
      </c>
    </row>
    <row r="127" spans="2:5" x14ac:dyDescent="0.3">
      <c r="B127" s="245" t="s">
        <v>605</v>
      </c>
      <c r="C127" s="3">
        <v>-7672221.6546261068</v>
      </c>
      <c r="D127" s="3">
        <v>-7135.7059427120903</v>
      </c>
      <c r="E127" s="3">
        <v>-7665085.9486833951</v>
      </c>
    </row>
    <row r="128" spans="2:5" x14ac:dyDescent="0.3">
      <c r="B128" s="245" t="s">
        <v>607</v>
      </c>
      <c r="C128" s="3">
        <v>-3195490.0480205156</v>
      </c>
      <c r="D128" s="3">
        <v>-497.08362264671564</v>
      </c>
      <c r="E128" s="3">
        <v>-3194992.9643978691</v>
      </c>
    </row>
    <row r="129" spans="2:5" x14ac:dyDescent="0.3">
      <c r="B129" s="245" t="s">
        <v>609</v>
      </c>
      <c r="C129" s="3">
        <v>-23735597.699419755</v>
      </c>
      <c r="D129" s="3">
        <v>-335.97149033117768</v>
      </c>
      <c r="E129" s="3">
        <v>-23735261.727929424</v>
      </c>
    </row>
    <row r="130" spans="2:5" x14ac:dyDescent="0.3">
      <c r="B130" s="245" t="s">
        <v>611</v>
      </c>
      <c r="C130" s="3">
        <v>-7990777.4568597265</v>
      </c>
      <c r="D130" s="3">
        <v>0</v>
      </c>
      <c r="E130" s="3">
        <v>-7990777.4568597265</v>
      </c>
    </row>
    <row r="131" spans="2:5" x14ac:dyDescent="0.3">
      <c r="B131" s="245" t="s">
        <v>613</v>
      </c>
      <c r="C131" s="3">
        <v>-1650613.8911316695</v>
      </c>
      <c r="D131" s="3">
        <v>0</v>
      </c>
      <c r="E131" s="3">
        <v>-1650613.8911316695</v>
      </c>
    </row>
    <row r="132" spans="2:5" x14ac:dyDescent="0.3">
      <c r="B132" s="245" t="s">
        <v>615</v>
      </c>
      <c r="C132" s="3">
        <v>-121043.48999999999</v>
      </c>
      <c r="D132" s="3">
        <v>-15613608.879516477</v>
      </c>
      <c r="E132" s="3">
        <v>15492565.389516477</v>
      </c>
    </row>
    <row r="133" spans="2:5" x14ac:dyDescent="0.3">
      <c r="B133" s="245" t="s">
        <v>617</v>
      </c>
      <c r="C133" s="3">
        <v>0</v>
      </c>
      <c r="D133" s="3">
        <v>-1810156.0000000042</v>
      </c>
      <c r="E133" s="3">
        <v>1810156.0000000042</v>
      </c>
    </row>
    <row r="134" spans="2:5" x14ac:dyDescent="0.3">
      <c r="B134" s="245" t="s">
        <v>619</v>
      </c>
      <c r="C134" s="3">
        <v>-35901727.902302429</v>
      </c>
      <c r="D134" s="3">
        <v>-111550.10453963163</v>
      </c>
      <c r="E134" s="3">
        <v>-35790177.797762796</v>
      </c>
    </row>
    <row r="135" spans="2:5" x14ac:dyDescent="0.3">
      <c r="B135" s="245" t="s">
        <v>621</v>
      </c>
      <c r="C135" s="3">
        <v>-1060031.0369270334</v>
      </c>
      <c r="D135" s="3">
        <v>-22867.544331385841</v>
      </c>
      <c r="E135" s="3">
        <v>-1037163.4925956476</v>
      </c>
    </row>
    <row r="136" spans="2:5" x14ac:dyDescent="0.3">
      <c r="B136" s="245" t="s">
        <v>623</v>
      </c>
      <c r="C136" s="3">
        <v>-1333382.6600000001</v>
      </c>
      <c r="D136" s="3">
        <v>0</v>
      </c>
      <c r="E136" s="3">
        <v>-1333382.6600000001</v>
      </c>
    </row>
    <row r="137" spans="2:5" x14ac:dyDescent="0.3">
      <c r="B137" s="245" t="s">
        <v>625</v>
      </c>
      <c r="C137" s="3">
        <v>9426.8999999999942</v>
      </c>
      <c r="D137" s="3">
        <v>0</v>
      </c>
      <c r="E137" s="3">
        <v>9426.8999999999942</v>
      </c>
    </row>
    <row r="138" spans="2:5" x14ac:dyDescent="0.3">
      <c r="B138" s="245" t="s">
        <v>627</v>
      </c>
      <c r="C138" s="3">
        <v>-794.06</v>
      </c>
      <c r="D138" s="3">
        <v>0</v>
      </c>
      <c r="E138" s="3">
        <v>-794.06</v>
      </c>
    </row>
    <row r="139" spans="2:5" x14ac:dyDescent="0.3">
      <c r="B139" s="245" t="s">
        <v>629</v>
      </c>
      <c r="C139" s="3">
        <v>-336.5</v>
      </c>
      <c r="D139" s="3">
        <v>0</v>
      </c>
      <c r="E139" s="3">
        <v>-336.5</v>
      </c>
    </row>
    <row r="140" spans="2:5" x14ac:dyDescent="0.3">
      <c r="B140" s="245" t="s">
        <v>631</v>
      </c>
      <c r="C140" s="3">
        <v>-391890.36423175829</v>
      </c>
      <c r="D140" s="3">
        <v>-6744.3420826951178</v>
      </c>
      <c r="E140" s="3">
        <v>-385146.02214906318</v>
      </c>
    </row>
    <row r="141" spans="2:5" x14ac:dyDescent="0.3">
      <c r="B141" s="245" t="s">
        <v>633</v>
      </c>
      <c r="C141" s="3">
        <v>-69817.070000000007</v>
      </c>
      <c r="D141" s="3">
        <v>-2770.3443842876318</v>
      </c>
      <c r="E141" s="3">
        <v>-67046.725615712377</v>
      </c>
    </row>
    <row r="142" spans="2:5" x14ac:dyDescent="0.3">
      <c r="B142" s="245" t="s">
        <v>635</v>
      </c>
      <c r="C142" s="3">
        <v>-2876519.4599999995</v>
      </c>
      <c r="D142" s="3">
        <v>0</v>
      </c>
      <c r="E142" s="3">
        <v>-2876519.4599999995</v>
      </c>
    </row>
    <row r="143" spans="2:5" x14ac:dyDescent="0.3">
      <c r="B143" s="245" t="s">
        <v>637</v>
      </c>
      <c r="C143" s="3">
        <v>-184180.97000000003</v>
      </c>
      <c r="D143" s="3">
        <v>-429333.65074284392</v>
      </c>
      <c r="E143" s="3">
        <v>245152.68074284389</v>
      </c>
    </row>
    <row r="144" spans="2:5" x14ac:dyDescent="0.3">
      <c r="B144" s="245" t="s">
        <v>639</v>
      </c>
      <c r="C144" s="3">
        <v>-2767569.4869907317</v>
      </c>
      <c r="D144" s="3">
        <v>-3578145.4171307739</v>
      </c>
      <c r="E144" s="3">
        <v>810575.93014004221</v>
      </c>
    </row>
    <row r="145" spans="2:5" x14ac:dyDescent="0.3">
      <c r="B145" s="245" t="s">
        <v>641</v>
      </c>
      <c r="C145" s="3">
        <v>-924204.17000000016</v>
      </c>
      <c r="D145" s="3">
        <v>-1307244.2242086243</v>
      </c>
      <c r="E145" s="3">
        <v>383040.05420862418</v>
      </c>
    </row>
    <row r="146" spans="2:5" x14ac:dyDescent="0.3">
      <c r="B146" s="245" t="s">
        <v>643</v>
      </c>
      <c r="C146" s="3">
        <v>-2180001.2442317582</v>
      </c>
      <c r="D146" s="3">
        <v>-1506973.3174859753</v>
      </c>
      <c r="E146" s="3">
        <v>-673027.92674578284</v>
      </c>
    </row>
    <row r="147" spans="2:5" x14ac:dyDescent="0.3">
      <c r="B147" s="245" t="s">
        <v>647</v>
      </c>
      <c r="C147" s="3">
        <v>-352107.17289311904</v>
      </c>
      <c r="D147" s="3">
        <v>-625050.26624476083</v>
      </c>
      <c r="E147" s="3">
        <v>272943.09335164179</v>
      </c>
    </row>
    <row r="148" spans="2:5" x14ac:dyDescent="0.3">
      <c r="B148" s="245" t="s">
        <v>649</v>
      </c>
      <c r="C148" s="3">
        <v>-752419.54020554142</v>
      </c>
      <c r="D148" s="3">
        <v>-624510.63401803852</v>
      </c>
      <c r="E148" s="3">
        <v>-127908.9061875029</v>
      </c>
    </row>
    <row r="149" spans="2:5" x14ac:dyDescent="0.3">
      <c r="B149" s="245" t="s">
        <v>651</v>
      </c>
      <c r="C149" s="3">
        <v>-49271824.509905539</v>
      </c>
      <c r="D149" s="3">
        <v>-44009686.222595572</v>
      </c>
      <c r="E149" s="3">
        <v>-5262138.287309967</v>
      </c>
    </row>
    <row r="150" spans="2:5" x14ac:dyDescent="0.3">
      <c r="B150" s="245" t="s">
        <v>653</v>
      </c>
      <c r="C150" s="3">
        <v>-1430500.6300000004</v>
      </c>
      <c r="D150" s="3">
        <v>-3749768.5819981149</v>
      </c>
      <c r="E150" s="3">
        <v>2319267.9519981146</v>
      </c>
    </row>
    <row r="151" spans="2:5" x14ac:dyDescent="0.3">
      <c r="B151" s="245" t="s">
        <v>655</v>
      </c>
      <c r="C151" s="3">
        <v>-651433.83091583464</v>
      </c>
      <c r="D151" s="3">
        <v>-1449293.4231263725</v>
      </c>
      <c r="E151" s="3">
        <v>797859.59221053787</v>
      </c>
    </row>
    <row r="152" spans="2:5" x14ac:dyDescent="0.3">
      <c r="B152" s="245" t="s">
        <v>657</v>
      </c>
      <c r="C152" s="3">
        <v>0</v>
      </c>
      <c r="D152" s="3">
        <v>-49.703927520000008</v>
      </c>
      <c r="E152" s="3">
        <v>49.703927520000008</v>
      </c>
    </row>
    <row r="153" spans="2:5" x14ac:dyDescent="0.3">
      <c r="B153" s="245" t="s">
        <v>659</v>
      </c>
      <c r="C153" s="3">
        <v>-95795.199999999997</v>
      </c>
      <c r="D153" s="3">
        <v>0</v>
      </c>
      <c r="E153" s="3">
        <v>-95795.199999999997</v>
      </c>
    </row>
    <row r="154" spans="2:5" x14ac:dyDescent="0.3">
      <c r="B154" s="245" t="s">
        <v>661</v>
      </c>
      <c r="C154" s="3">
        <v>0</v>
      </c>
      <c r="D154" s="3">
        <v>-1085.1389019671803</v>
      </c>
      <c r="E154" s="3">
        <v>1085.1389019671803</v>
      </c>
    </row>
    <row r="155" spans="2:5" x14ac:dyDescent="0.3">
      <c r="B155" s="245" t="s">
        <v>663</v>
      </c>
      <c r="C155" s="3">
        <v>-62919.437061768433</v>
      </c>
      <c r="D155" s="3">
        <v>-531422.58285930974</v>
      </c>
      <c r="E155" s="3">
        <v>468503.14579754131</v>
      </c>
    </row>
    <row r="156" spans="2:5" x14ac:dyDescent="0.3">
      <c r="B156" s="245" t="s">
        <v>665</v>
      </c>
      <c r="C156" s="3">
        <v>-2695663.9240990998</v>
      </c>
      <c r="D156" s="3">
        <v>-2702523.9300158662</v>
      </c>
      <c r="E156" s="3">
        <v>6860.0059167663567</v>
      </c>
    </row>
    <row r="157" spans="2:5" x14ac:dyDescent="0.3">
      <c r="B157" s="245" t="s">
        <v>667</v>
      </c>
      <c r="C157" s="3">
        <v>-824.92000000000007</v>
      </c>
      <c r="D157" s="3">
        <v>-2025.39265001081</v>
      </c>
      <c r="E157" s="3">
        <v>1200.47265001081</v>
      </c>
    </row>
    <row r="158" spans="2:5" x14ac:dyDescent="0.3">
      <c r="B158" s="245" t="s">
        <v>669</v>
      </c>
      <c r="C158" s="3">
        <v>-1967967.6142317585</v>
      </c>
      <c r="D158" s="3">
        <v>-3267068.2414549603</v>
      </c>
      <c r="E158" s="3">
        <v>1299100.6272232018</v>
      </c>
    </row>
    <row r="159" spans="2:5" x14ac:dyDescent="0.3">
      <c r="B159" s="245" t="s">
        <v>671</v>
      </c>
      <c r="C159" s="3">
        <v>-3935224.7000000007</v>
      </c>
      <c r="D159" s="3">
        <v>-3683508.9904270922</v>
      </c>
      <c r="E159" s="3">
        <v>-251715.70957290847</v>
      </c>
    </row>
    <row r="160" spans="2:5" x14ac:dyDescent="0.3">
      <c r="B160" s="245" t="s">
        <v>673</v>
      </c>
      <c r="C160" s="3">
        <v>0</v>
      </c>
      <c r="D160" s="3">
        <v>-227997.05396916272</v>
      </c>
      <c r="E160" s="3">
        <v>227997.05396916272</v>
      </c>
    </row>
    <row r="161" spans="2:5" x14ac:dyDescent="0.3">
      <c r="B161" s="245" t="s">
        <v>675</v>
      </c>
      <c r="C161" s="3">
        <v>-201883.58</v>
      </c>
      <c r="D161" s="3">
        <v>-429745.23016552208</v>
      </c>
      <c r="E161" s="3">
        <v>227861.65016552209</v>
      </c>
    </row>
    <row r="162" spans="2:5" x14ac:dyDescent="0.3">
      <c r="B162" s="245" t="s">
        <v>677</v>
      </c>
      <c r="C162" s="3">
        <v>-712659.35018657148</v>
      </c>
      <c r="D162" s="3">
        <v>-4103148.8046456487</v>
      </c>
      <c r="E162" s="3">
        <v>3390489.4544590772</v>
      </c>
    </row>
    <row r="163" spans="2:5" x14ac:dyDescent="0.3">
      <c r="B163" s="245" t="s">
        <v>679</v>
      </c>
      <c r="C163" s="3">
        <v>-6038892.223055413</v>
      </c>
      <c r="D163" s="3">
        <v>-5653600.1325064488</v>
      </c>
      <c r="E163" s="3">
        <v>-385292.09054896422</v>
      </c>
    </row>
    <row r="164" spans="2:5" x14ac:dyDescent="0.3">
      <c r="B164" s="245" t="s">
        <v>681</v>
      </c>
      <c r="C164" s="3">
        <v>-42149.364231758293</v>
      </c>
      <c r="D164" s="3">
        <v>-180175.30185413003</v>
      </c>
      <c r="E164" s="3">
        <v>138025.93762237174</v>
      </c>
    </row>
    <row r="165" spans="2:5" x14ac:dyDescent="0.3">
      <c r="B165" s="245" t="s">
        <v>683</v>
      </c>
      <c r="C165" s="3">
        <v>-2315739.2355960906</v>
      </c>
      <c r="D165" s="3">
        <v>-3754567.2705454882</v>
      </c>
      <c r="E165" s="3">
        <v>1438828.0349493977</v>
      </c>
    </row>
    <row r="166" spans="2:5" x14ac:dyDescent="0.3">
      <c r="B166" s="245" t="s">
        <v>685</v>
      </c>
      <c r="C166" s="3">
        <v>-352751.58934313926</v>
      </c>
      <c r="D166" s="3">
        <v>-1026506.7600291376</v>
      </c>
      <c r="E166" s="3">
        <v>673755.1706859984</v>
      </c>
    </row>
    <row r="167" spans="2:5" x14ac:dyDescent="0.3">
      <c r="B167" s="245" t="s">
        <v>687</v>
      </c>
      <c r="C167" s="3">
        <v>-1279814.0942317583</v>
      </c>
      <c r="D167" s="3">
        <v>-2029436.6604549391</v>
      </c>
      <c r="E167" s="3">
        <v>749622.56622318085</v>
      </c>
    </row>
    <row r="168" spans="2:5" x14ac:dyDescent="0.3">
      <c r="B168" s="245" t="s">
        <v>689</v>
      </c>
      <c r="C168" s="3">
        <v>-10043107.29948145</v>
      </c>
      <c r="D168" s="3">
        <v>-9056163.8387702424</v>
      </c>
      <c r="E168" s="3">
        <v>-986943.46071120724</v>
      </c>
    </row>
    <row r="169" spans="2:5" x14ac:dyDescent="0.3">
      <c r="B169" s="245" t="s">
        <v>691</v>
      </c>
      <c r="C169" s="3">
        <v>-240389.55</v>
      </c>
      <c r="D169" s="3">
        <v>-297924.5009148001</v>
      </c>
      <c r="E169" s="3">
        <v>57534.950914800109</v>
      </c>
    </row>
    <row r="170" spans="2:5" x14ac:dyDescent="0.3">
      <c r="B170" s="245" t="s">
        <v>693</v>
      </c>
      <c r="C170" s="3">
        <v>-4787.1899999999996</v>
      </c>
      <c r="D170" s="3">
        <v>-148439.5139193655</v>
      </c>
      <c r="E170" s="3">
        <v>143652.3239193655</v>
      </c>
    </row>
    <row r="171" spans="2:5" x14ac:dyDescent="0.3">
      <c r="B171" s="245" t="s">
        <v>695</v>
      </c>
      <c r="C171" s="3">
        <v>0</v>
      </c>
      <c r="D171" s="3">
        <v>-148843.13564760002</v>
      </c>
      <c r="E171" s="3">
        <v>148843.13564760002</v>
      </c>
    </row>
    <row r="172" spans="2:5" x14ac:dyDescent="0.3">
      <c r="B172" s="245" t="s">
        <v>697</v>
      </c>
      <c r="C172" s="3">
        <v>-248141.69423175833</v>
      </c>
      <c r="D172" s="3">
        <v>-1205412.4114736328</v>
      </c>
      <c r="E172" s="3">
        <v>957270.71724187443</v>
      </c>
    </row>
    <row r="173" spans="2:5" x14ac:dyDescent="0.3">
      <c r="B173" s="245" t="s">
        <v>699</v>
      </c>
      <c r="C173" s="3">
        <v>-3825169.7299999995</v>
      </c>
      <c r="D173" s="3">
        <v>0</v>
      </c>
      <c r="E173" s="3">
        <v>-3825169.7299999995</v>
      </c>
    </row>
    <row r="174" spans="2:5" x14ac:dyDescent="0.3">
      <c r="B174" s="245" t="s">
        <v>701</v>
      </c>
      <c r="C174" s="3">
        <v>-661462.49559882458</v>
      </c>
      <c r="D174" s="3">
        <v>0</v>
      </c>
      <c r="E174" s="3">
        <v>-661462.49559882458</v>
      </c>
    </row>
    <row r="175" spans="2:5" x14ac:dyDescent="0.3">
      <c r="B175" s="245" t="s">
        <v>703</v>
      </c>
      <c r="C175" s="3">
        <v>-1530.8</v>
      </c>
      <c r="D175" s="3">
        <v>-1176.1589987058437</v>
      </c>
      <c r="E175" s="3">
        <v>-354.64100129415624</v>
      </c>
    </row>
    <row r="176" spans="2:5" x14ac:dyDescent="0.3">
      <c r="B176" s="245" t="s">
        <v>705</v>
      </c>
      <c r="C176" s="3">
        <v>0</v>
      </c>
      <c r="D176" s="3">
        <v>-28888.675200000012</v>
      </c>
      <c r="E176" s="3">
        <v>28888.675200000012</v>
      </c>
    </row>
    <row r="177" spans="2:5" x14ac:dyDescent="0.3">
      <c r="B177" s="245" t="s">
        <v>707</v>
      </c>
      <c r="C177" s="3">
        <v>-30357.300000000003</v>
      </c>
      <c r="D177" s="3">
        <v>-192004.56225498812</v>
      </c>
      <c r="E177" s="3">
        <v>161647.26225498813</v>
      </c>
    </row>
    <row r="178" spans="2:5" x14ac:dyDescent="0.3">
      <c r="B178" s="245" t="s">
        <v>709</v>
      </c>
      <c r="C178" s="3">
        <v>-2580429.9736258262</v>
      </c>
      <c r="D178" s="3">
        <v>-8824690.6817541234</v>
      </c>
      <c r="E178" s="3">
        <v>6244260.7081282977</v>
      </c>
    </row>
    <row r="179" spans="2:5" x14ac:dyDescent="0.3">
      <c r="B179" s="245" t="s">
        <v>711</v>
      </c>
      <c r="C179" s="3">
        <v>-3239929.69</v>
      </c>
      <c r="D179" s="3">
        <v>-4989828.6341764741</v>
      </c>
      <c r="E179" s="3">
        <v>1749898.9441764741</v>
      </c>
    </row>
    <row r="180" spans="2:5" x14ac:dyDescent="0.3">
      <c r="B180" s="245" t="s">
        <v>713</v>
      </c>
      <c r="C180" s="3">
        <v>-346.02644804097525</v>
      </c>
      <c r="D180" s="3">
        <v>0</v>
      </c>
      <c r="E180" s="3">
        <v>-346.02644804097525</v>
      </c>
    </row>
    <row r="181" spans="2:5" x14ac:dyDescent="0.3">
      <c r="B181" s="245" t="s">
        <v>715</v>
      </c>
      <c r="C181" s="3">
        <v>-617924.75170522952</v>
      </c>
      <c r="D181" s="3">
        <v>-1131175.8880827052</v>
      </c>
      <c r="E181" s="3">
        <v>513251.13637747569</v>
      </c>
    </row>
    <row r="182" spans="2:5" x14ac:dyDescent="0.3">
      <c r="B182" s="245" t="s">
        <v>717</v>
      </c>
      <c r="C182" s="3">
        <v>-17769.763644497842</v>
      </c>
      <c r="D182" s="3">
        <v>-1504618.5</v>
      </c>
      <c r="E182" s="3">
        <v>1486848.7363555022</v>
      </c>
    </row>
    <row r="183" spans="2:5" x14ac:dyDescent="0.3">
      <c r="B183" s="245" t="s">
        <v>719</v>
      </c>
      <c r="C183" s="3">
        <v>-62851.043824734457</v>
      </c>
      <c r="D183" s="3">
        <v>0</v>
      </c>
      <c r="E183" s="3">
        <v>-62851.043824734457</v>
      </c>
    </row>
    <row r="184" spans="2:5" x14ac:dyDescent="0.3">
      <c r="B184" s="245" t="s">
        <v>721</v>
      </c>
      <c r="C184" s="3">
        <v>-323491.58117287129</v>
      </c>
      <c r="D184" s="3">
        <v>-5483.3921518843536</v>
      </c>
      <c r="E184" s="3">
        <v>-318008.18902098696</v>
      </c>
    </row>
    <row r="185" spans="2:5" x14ac:dyDescent="0.3">
      <c r="B185" s="245" t="s">
        <v>723</v>
      </c>
      <c r="C185" s="3">
        <v>-453634.87382154108</v>
      </c>
      <c r="D185" s="3">
        <v>-974194.62083176814</v>
      </c>
      <c r="E185" s="3">
        <v>520559.74701022706</v>
      </c>
    </row>
    <row r="186" spans="2:5" x14ac:dyDescent="0.3">
      <c r="B186" s="245" t="s">
        <v>725</v>
      </c>
      <c r="C186" s="3">
        <v>-453746.58106083988</v>
      </c>
      <c r="D186" s="3">
        <v>-189383.4311452531</v>
      </c>
      <c r="E186" s="3">
        <v>-264363.14991558681</v>
      </c>
    </row>
    <row r="187" spans="2:5" x14ac:dyDescent="0.3">
      <c r="B187" s="245" t="s">
        <v>727</v>
      </c>
      <c r="C187" s="3">
        <v>-848270.26872199017</v>
      </c>
      <c r="D187" s="3">
        <v>-1331904.7345001313</v>
      </c>
      <c r="E187" s="3">
        <v>483634.46577814117</v>
      </c>
    </row>
    <row r="188" spans="2:5" x14ac:dyDescent="0.3">
      <c r="B188" s="245" t="s">
        <v>729</v>
      </c>
      <c r="C188" s="3">
        <v>-624116.57000000007</v>
      </c>
      <c r="D188" s="3">
        <v>0</v>
      </c>
      <c r="E188" s="3">
        <v>-624116.57000000007</v>
      </c>
    </row>
    <row r="189" spans="2:5" x14ac:dyDescent="0.3">
      <c r="B189" s="245" t="s">
        <v>731</v>
      </c>
      <c r="C189" s="3">
        <v>-44028432.891698539</v>
      </c>
      <c r="D189" s="3">
        <v>-9047247.2370254043</v>
      </c>
      <c r="E189" s="3">
        <v>-34981185.654673137</v>
      </c>
    </row>
    <row r="190" spans="2:5" x14ac:dyDescent="0.3">
      <c r="B190" s="245" t="s">
        <v>733</v>
      </c>
      <c r="C190" s="3">
        <v>-4173800.6999999997</v>
      </c>
      <c r="D190" s="3">
        <v>-2044206.999999996</v>
      </c>
      <c r="E190" s="3">
        <v>-2129593.7000000039</v>
      </c>
    </row>
    <row r="191" spans="2:5" x14ac:dyDescent="0.3">
      <c r="B191" s="245" t="s">
        <v>735</v>
      </c>
      <c r="C191" s="3">
        <v>-1748850.5200000003</v>
      </c>
      <c r="D191" s="3">
        <v>-1370745.999999996</v>
      </c>
      <c r="E191" s="3">
        <v>-378104.52000000421</v>
      </c>
    </row>
    <row r="192" spans="2:5" x14ac:dyDescent="0.3">
      <c r="B192" s="245" t="s">
        <v>737</v>
      </c>
      <c r="C192" s="3">
        <v>-2278.79</v>
      </c>
      <c r="D192" s="3">
        <v>-500000.00000000041</v>
      </c>
      <c r="E192" s="3">
        <v>497721.21000000043</v>
      </c>
    </row>
    <row r="193" spans="2:5" x14ac:dyDescent="0.3">
      <c r="B193" s="245" t="s">
        <v>739</v>
      </c>
      <c r="C193" s="3">
        <v>-413845.27999999997</v>
      </c>
      <c r="D193" s="3">
        <v>-800000.00000000081</v>
      </c>
      <c r="E193" s="3">
        <v>386154.72000000085</v>
      </c>
    </row>
    <row r="194" spans="2:5" x14ac:dyDescent="0.3">
      <c r="B194" s="245" t="s">
        <v>741</v>
      </c>
      <c r="C194" s="3">
        <v>-14588.580000000002</v>
      </c>
      <c r="D194" s="3">
        <v>-600000</v>
      </c>
      <c r="E194" s="3">
        <v>585411.42000000004</v>
      </c>
    </row>
    <row r="195" spans="2:5" x14ac:dyDescent="0.3">
      <c r="B195" s="245" t="s">
        <v>747</v>
      </c>
      <c r="C195" s="3">
        <v>-8740.1426829300908</v>
      </c>
      <c r="D195" s="3">
        <v>-33464.042713734896</v>
      </c>
      <c r="E195" s="3">
        <v>24723.900030804805</v>
      </c>
    </row>
    <row r="196" spans="2:5" x14ac:dyDescent="0.3">
      <c r="B196" s="245" t="s">
        <v>749</v>
      </c>
      <c r="C196" s="3">
        <v>-589047.8020893184</v>
      </c>
      <c r="D196" s="3">
        <v>-348759.9182160495</v>
      </c>
      <c r="E196" s="3">
        <v>-240287.8838732689</v>
      </c>
    </row>
    <row r="197" spans="2:5" x14ac:dyDescent="0.3">
      <c r="B197" s="245" t="s">
        <v>751</v>
      </c>
      <c r="C197" s="3">
        <v>0</v>
      </c>
      <c r="D197" s="3">
        <v>-32985.933926084843</v>
      </c>
      <c r="E197" s="3">
        <v>32985.933926084843</v>
      </c>
    </row>
    <row r="198" spans="2:5" x14ac:dyDescent="0.3">
      <c r="B198" s="245" t="s">
        <v>753</v>
      </c>
      <c r="C198" s="3">
        <v>0</v>
      </c>
      <c r="D198" s="3">
        <v>-23091.114418321577</v>
      </c>
      <c r="E198" s="3">
        <v>23091.114418321577</v>
      </c>
    </row>
    <row r="199" spans="2:5" x14ac:dyDescent="0.3">
      <c r="B199" s="245" t="s">
        <v>755</v>
      </c>
      <c r="C199" s="3">
        <v>-332803.5</v>
      </c>
      <c r="D199" s="3">
        <v>0</v>
      </c>
      <c r="E199" s="3">
        <v>-332803.5</v>
      </c>
    </row>
    <row r="200" spans="2:5" x14ac:dyDescent="0.3">
      <c r="B200" s="245" t="s">
        <v>757</v>
      </c>
      <c r="C200" s="3">
        <v>-19661839.260000002</v>
      </c>
      <c r="D200" s="3">
        <v>-10173066.606914049</v>
      </c>
      <c r="E200" s="3">
        <v>-9488772.6530859526</v>
      </c>
    </row>
    <row r="201" spans="2:5" x14ac:dyDescent="0.3">
      <c r="B201" s="245" t="s">
        <v>759</v>
      </c>
      <c r="C201" s="3">
        <v>-4427.7899999999991</v>
      </c>
      <c r="D201" s="3">
        <v>-1243996.6522279081</v>
      </c>
      <c r="E201" s="3">
        <v>1239568.8622279081</v>
      </c>
    </row>
    <row r="202" spans="2:5" x14ac:dyDescent="0.3">
      <c r="B202" s="245" t="s">
        <v>761</v>
      </c>
      <c r="C202" s="3">
        <v>0</v>
      </c>
      <c r="D202" s="3">
        <v>-1883740.9732457648</v>
      </c>
      <c r="E202" s="3">
        <v>1883740.9732457648</v>
      </c>
    </row>
    <row r="203" spans="2:5" x14ac:dyDescent="0.3">
      <c r="B203" s="245" t="s">
        <v>763</v>
      </c>
      <c r="C203" s="3">
        <v>0</v>
      </c>
      <c r="D203" s="3">
        <v>-900000</v>
      </c>
      <c r="E203" s="3">
        <v>900000</v>
      </c>
    </row>
    <row r="204" spans="2:5" x14ac:dyDescent="0.3">
      <c r="B204" s="245" t="s">
        <v>765</v>
      </c>
      <c r="C204" s="3">
        <v>0</v>
      </c>
      <c r="D204" s="3">
        <v>-1154777.0333071921</v>
      </c>
      <c r="E204" s="3">
        <v>1154777.0333071921</v>
      </c>
    </row>
    <row r="205" spans="2:5" x14ac:dyDescent="0.3">
      <c r="B205" s="245" t="s">
        <v>801</v>
      </c>
      <c r="C205" s="3">
        <v>-1442703.39398975</v>
      </c>
      <c r="D205" s="3">
        <v>-7165996.3759999918</v>
      </c>
      <c r="E205" s="3">
        <v>5723292.9820102416</v>
      </c>
    </row>
    <row r="206" spans="2:5" x14ac:dyDescent="0.3">
      <c r="B206" s="245" t="s">
        <v>787</v>
      </c>
      <c r="C206" s="3">
        <v>-3266.9763681120999</v>
      </c>
      <c r="D206" s="3">
        <v>-1885788.5200000035</v>
      </c>
      <c r="E206" s="3">
        <v>1882521.5436318915</v>
      </c>
    </row>
    <row r="207" spans="2:5" x14ac:dyDescent="0.3">
      <c r="B207" s="245" t="s">
        <v>799</v>
      </c>
      <c r="C207" s="3">
        <v>0</v>
      </c>
      <c r="D207" s="3">
        <v>-3771577.0399999958</v>
      </c>
      <c r="E207" s="3">
        <v>3771577.0399999958</v>
      </c>
    </row>
    <row r="208" spans="2:5" x14ac:dyDescent="0.3">
      <c r="B208" s="245" t="s">
        <v>768</v>
      </c>
      <c r="C208" s="3">
        <v>-110540.0559775251</v>
      </c>
      <c r="D208" s="3">
        <v>0</v>
      </c>
      <c r="E208" s="3">
        <v>-110540.0559775251</v>
      </c>
    </row>
    <row r="209" spans="2:5" x14ac:dyDescent="0.3">
      <c r="B209" s="245" t="s">
        <v>895</v>
      </c>
      <c r="C209" s="3">
        <v>-32603.37</v>
      </c>
      <c r="D209" s="3">
        <v>0</v>
      </c>
      <c r="E209" s="3">
        <v>-32603.37</v>
      </c>
    </row>
    <row r="210" spans="2:5" x14ac:dyDescent="0.3">
      <c r="B210" s="245" t="s">
        <v>897</v>
      </c>
      <c r="C210" s="3">
        <v>-86238.400000000009</v>
      </c>
      <c r="D210" s="3">
        <v>0</v>
      </c>
      <c r="E210" s="3">
        <v>-86238.400000000009</v>
      </c>
    </row>
    <row r="211" spans="2:5" x14ac:dyDescent="0.3">
      <c r="B211" s="245" t="s">
        <v>936</v>
      </c>
      <c r="C211" s="3">
        <v>-1292404.7968045236</v>
      </c>
      <c r="D211" s="3">
        <v>0</v>
      </c>
      <c r="E211" s="3">
        <v>-1292404.7968045236</v>
      </c>
    </row>
    <row r="212" spans="2:5" x14ac:dyDescent="0.3">
      <c r="B212" s="245" t="s">
        <v>938</v>
      </c>
      <c r="C212" s="3">
        <v>-43840.73</v>
      </c>
      <c r="D212" s="3">
        <v>0</v>
      </c>
      <c r="E212" s="3">
        <v>-43840.73</v>
      </c>
    </row>
    <row r="213" spans="2:5" x14ac:dyDescent="0.3">
      <c r="B213" s="245" t="s">
        <v>940</v>
      </c>
      <c r="C213" s="3">
        <v>-135145.16999999998</v>
      </c>
      <c r="D213" s="3">
        <v>0</v>
      </c>
      <c r="E213" s="3">
        <v>-135145.16999999998</v>
      </c>
    </row>
    <row r="214" spans="2:5" x14ac:dyDescent="0.3">
      <c r="B214" s="245" t="s">
        <v>942</v>
      </c>
      <c r="C214" s="3">
        <v>-7171.4800000000005</v>
      </c>
      <c r="D214" s="3">
        <v>61120.296803631776</v>
      </c>
      <c r="E214" s="3">
        <v>-68291.776803631772</v>
      </c>
    </row>
    <row r="215" spans="2:5" x14ac:dyDescent="0.3">
      <c r="B215" s="245" t="s">
        <v>943</v>
      </c>
      <c r="C215" s="3">
        <v>-10412305.507208887</v>
      </c>
      <c r="D215" s="3">
        <v>-14286949.097328121</v>
      </c>
      <c r="E215" s="3">
        <v>3874643.5901192334</v>
      </c>
    </row>
    <row r="216" spans="2:5" x14ac:dyDescent="0.3">
      <c r="B216" s="245" t="s">
        <v>945</v>
      </c>
      <c r="C216" s="3">
        <v>-1854282.2609922818</v>
      </c>
      <c r="D216" s="3">
        <v>0</v>
      </c>
      <c r="E216" s="3">
        <v>-1854282.2609922818</v>
      </c>
    </row>
    <row r="217" spans="2:5" x14ac:dyDescent="0.3">
      <c r="B217" s="245" t="s">
        <v>947</v>
      </c>
      <c r="C217" s="3">
        <v>-122749.41</v>
      </c>
      <c r="D217" s="3">
        <v>0</v>
      </c>
      <c r="E217" s="3">
        <v>-122749.41</v>
      </c>
    </row>
    <row r="218" spans="2:5" x14ac:dyDescent="0.3">
      <c r="B218" s="245" t="s">
        <v>949</v>
      </c>
      <c r="C218" s="3">
        <v>-619359.33000000007</v>
      </c>
      <c r="D218" s="3">
        <v>0</v>
      </c>
      <c r="E218" s="3">
        <v>-619359.33000000007</v>
      </c>
    </row>
    <row r="219" spans="2:5" x14ac:dyDescent="0.3">
      <c r="B219" s="245" t="s">
        <v>951</v>
      </c>
      <c r="C219" s="3">
        <v>-148211.1511587915</v>
      </c>
      <c r="D219" s="3">
        <v>0</v>
      </c>
      <c r="E219" s="3">
        <v>-148211.1511587915</v>
      </c>
    </row>
    <row r="220" spans="2:5" x14ac:dyDescent="0.3">
      <c r="B220" s="245" t="s">
        <v>953</v>
      </c>
      <c r="C220" s="3">
        <v>-161561.24</v>
      </c>
      <c r="D220" s="3">
        <v>-6458825.6809999952</v>
      </c>
      <c r="E220" s="3">
        <v>6297264.440999995</v>
      </c>
    </row>
    <row r="221" spans="2:5" x14ac:dyDescent="0.3">
      <c r="B221" s="245" t="s">
        <v>955</v>
      </c>
      <c r="C221" s="3">
        <v>-380747.7737545399</v>
      </c>
      <c r="D221" s="3">
        <v>0</v>
      </c>
      <c r="E221" s="3">
        <v>-380747.7737545399</v>
      </c>
    </row>
    <row r="222" spans="2:5" x14ac:dyDescent="0.3">
      <c r="B222" s="245" t="s">
        <v>957</v>
      </c>
      <c r="C222" s="3">
        <v>-2275718.2799999998</v>
      </c>
      <c r="D222" s="3">
        <v>0</v>
      </c>
      <c r="E222" s="3">
        <v>-2275718.2799999998</v>
      </c>
    </row>
    <row r="223" spans="2:5" x14ac:dyDescent="0.3">
      <c r="B223" s="245" t="s">
        <v>958</v>
      </c>
      <c r="C223" s="3">
        <v>-1258562.3289936027</v>
      </c>
      <c r="D223" s="3">
        <v>-4266596.526499996</v>
      </c>
      <c r="E223" s="3">
        <v>3008034.1975063933</v>
      </c>
    </row>
    <row r="224" spans="2:5" x14ac:dyDescent="0.3">
      <c r="B224" s="245" t="s">
        <v>960</v>
      </c>
      <c r="C224" s="3">
        <v>-1024585.86</v>
      </c>
      <c r="D224" s="3">
        <v>0</v>
      </c>
      <c r="E224" s="3">
        <v>-1024585.86</v>
      </c>
    </row>
    <row r="225" spans="2:5" x14ac:dyDescent="0.3">
      <c r="B225" s="245" t="s">
        <v>1054</v>
      </c>
      <c r="C225" s="3">
        <v>-1735036.521348729</v>
      </c>
      <c r="D225" s="3">
        <v>0</v>
      </c>
      <c r="E225" s="3">
        <v>-1735036.521348729</v>
      </c>
    </row>
    <row r="226" spans="2:5" x14ac:dyDescent="0.3">
      <c r="B226" s="245" t="s">
        <v>1056</v>
      </c>
      <c r="C226" s="3">
        <v>-45509.87</v>
      </c>
      <c r="D226" s="3">
        <v>0</v>
      </c>
      <c r="E226" s="3">
        <v>-45509.87</v>
      </c>
    </row>
    <row r="227" spans="2:5" x14ac:dyDescent="0.3">
      <c r="B227" s="245" t="s">
        <v>1058</v>
      </c>
      <c r="C227" s="3">
        <v>-17267.640000000003</v>
      </c>
      <c r="D227" s="3">
        <v>0</v>
      </c>
      <c r="E227" s="3">
        <v>-17267.640000000003</v>
      </c>
    </row>
    <row r="228" spans="2:5" x14ac:dyDescent="0.3">
      <c r="B228" s="245" t="s">
        <v>1060</v>
      </c>
      <c r="C228" s="3">
        <v>-3890525.25</v>
      </c>
      <c r="D228" s="3">
        <v>0</v>
      </c>
      <c r="E228" s="3">
        <v>-3890525.25</v>
      </c>
    </row>
    <row r="229" spans="2:5" x14ac:dyDescent="0.3">
      <c r="B229" s="245" t="s">
        <v>1062</v>
      </c>
      <c r="C229" s="3">
        <v>-16426.059999999998</v>
      </c>
      <c r="D229" s="3">
        <v>0</v>
      </c>
      <c r="E229" s="3">
        <v>-16426.059999999998</v>
      </c>
    </row>
    <row r="230" spans="2:5" x14ac:dyDescent="0.3">
      <c r="B230" s="245" t="s">
        <v>1064</v>
      </c>
      <c r="C230" s="3">
        <v>-1635.29</v>
      </c>
      <c r="D230" s="3">
        <v>0</v>
      </c>
      <c r="E230" s="3">
        <v>-1635.29</v>
      </c>
    </row>
    <row r="231" spans="2:5" x14ac:dyDescent="0.3">
      <c r="B231" s="245" t="s">
        <v>1066</v>
      </c>
      <c r="C231" s="3">
        <v>-10674.04</v>
      </c>
      <c r="D231" s="3">
        <v>0</v>
      </c>
      <c r="E231" s="3">
        <v>-10674.04</v>
      </c>
    </row>
    <row r="232" spans="2:5" x14ac:dyDescent="0.3">
      <c r="B232" s="245" t="s">
        <v>1077</v>
      </c>
      <c r="C232" s="3">
        <v>0</v>
      </c>
      <c r="D232" s="3">
        <v>-5600000.0000000037</v>
      </c>
      <c r="E232" s="3">
        <v>5600000.0000000037</v>
      </c>
    </row>
    <row r="233" spans="2:5" x14ac:dyDescent="0.3">
      <c r="B233" s="245" t="s">
        <v>1087</v>
      </c>
      <c r="C233" s="3">
        <v>0</v>
      </c>
      <c r="D233" s="3">
        <v>-385505.82864000025</v>
      </c>
      <c r="E233" s="3">
        <v>385505.82864000025</v>
      </c>
    </row>
    <row r="234" spans="2:5" x14ac:dyDescent="0.3">
      <c r="B234" s="245" t="s">
        <v>1089</v>
      </c>
      <c r="C234" s="3">
        <v>0</v>
      </c>
      <c r="D234" s="3">
        <v>-9072.57</v>
      </c>
      <c r="E234" s="3">
        <v>9072.57</v>
      </c>
    </row>
    <row r="235" spans="2:5" x14ac:dyDescent="0.3">
      <c r="B235" s="245" t="s">
        <v>1092</v>
      </c>
      <c r="C235" s="3">
        <v>0</v>
      </c>
      <c r="D235" s="3">
        <v>-27570.89</v>
      </c>
      <c r="E235" s="3">
        <v>27570.89</v>
      </c>
    </row>
    <row r="236" spans="2:5" x14ac:dyDescent="0.3">
      <c r="B236" s="245" t="s">
        <v>1094</v>
      </c>
      <c r="C236" s="3">
        <v>0</v>
      </c>
      <c r="D236" s="3">
        <v>-2830389.3665578598</v>
      </c>
      <c r="E236" s="3">
        <v>2830389.3665578598</v>
      </c>
    </row>
    <row r="237" spans="2:5" x14ac:dyDescent="0.3">
      <c r="B237" s="245" t="s">
        <v>1095</v>
      </c>
      <c r="C237" s="3">
        <v>0</v>
      </c>
      <c r="D237" s="3">
        <v>40119811.454329111</v>
      </c>
      <c r="E237" s="3">
        <v>-40119811.454329111</v>
      </c>
    </row>
    <row r="238" spans="2:5" x14ac:dyDescent="0.3">
      <c r="B238" s="245" t="s">
        <v>1104</v>
      </c>
      <c r="C238" s="3">
        <v>0</v>
      </c>
      <c r="D238" s="3">
        <v>-293524.86</v>
      </c>
      <c r="E238" s="3">
        <v>293524.86</v>
      </c>
    </row>
    <row r="239" spans="2:5" x14ac:dyDescent="0.3">
      <c r="B239" s="245" t="s">
        <v>1106</v>
      </c>
      <c r="C239" s="3">
        <v>0</v>
      </c>
      <c r="D239" s="3">
        <v>-131192.39999999997</v>
      </c>
      <c r="E239" s="3">
        <v>131192.39999999997</v>
      </c>
    </row>
    <row r="240" spans="2:5" x14ac:dyDescent="0.3">
      <c r="B240" s="245" t="s">
        <v>1108</v>
      </c>
      <c r="C240" s="3">
        <v>0</v>
      </c>
      <c r="D240" s="3">
        <v>-27319.3194416431</v>
      </c>
      <c r="E240" s="3">
        <v>27319.3194416431</v>
      </c>
    </row>
    <row r="241" spans="2:5" x14ac:dyDescent="0.3">
      <c r="B241" s="245" t="s">
        <v>1110</v>
      </c>
      <c r="C241" s="3">
        <v>0</v>
      </c>
      <c r="D241" s="3">
        <v>-680074.44000000029</v>
      </c>
      <c r="E241" s="3">
        <v>680074.44000000029</v>
      </c>
    </row>
    <row r="242" spans="2:5" x14ac:dyDescent="0.3">
      <c r="B242" s="245" t="s">
        <v>1112</v>
      </c>
      <c r="C242" s="3">
        <v>0</v>
      </c>
      <c r="D242" s="3">
        <v>-11263990.043497428</v>
      </c>
      <c r="E242" s="3">
        <v>11263990.043497428</v>
      </c>
    </row>
    <row r="243" spans="2:5" x14ac:dyDescent="0.3">
      <c r="B243" s="245" t="s">
        <v>1114</v>
      </c>
      <c r="C243" s="3">
        <v>0</v>
      </c>
      <c r="D243" s="3">
        <v>-11427708.012799999</v>
      </c>
      <c r="E243" s="3">
        <v>11427708.012799999</v>
      </c>
    </row>
    <row r="244" spans="2:5" x14ac:dyDescent="0.3">
      <c r="B244" s="245" t="s">
        <v>1116</v>
      </c>
      <c r="C244" s="3">
        <v>0</v>
      </c>
      <c r="D244" s="3">
        <v>-1457506.97</v>
      </c>
      <c r="E244" s="3">
        <v>1457506.97</v>
      </c>
    </row>
    <row r="245" spans="2:5" x14ac:dyDescent="0.3">
      <c r="B245" s="245" t="s">
        <v>1118</v>
      </c>
      <c r="C245" s="3">
        <v>0</v>
      </c>
      <c r="D245" s="3">
        <v>-336742.25999999995</v>
      </c>
      <c r="E245" s="3">
        <v>336742.25999999995</v>
      </c>
    </row>
    <row r="246" spans="2:5" x14ac:dyDescent="0.3">
      <c r="B246" s="245" t="s">
        <v>1120</v>
      </c>
      <c r="C246" s="3">
        <v>0</v>
      </c>
      <c r="D246" s="3">
        <v>-725216.84904763056</v>
      </c>
      <c r="E246" s="3">
        <v>725216.84904763056</v>
      </c>
    </row>
    <row r="247" spans="2:5" x14ac:dyDescent="0.3">
      <c r="B247" s="245" t="s">
        <v>1122</v>
      </c>
      <c r="C247" s="3">
        <v>0</v>
      </c>
      <c r="D247" s="3">
        <v>-24582.460000000003</v>
      </c>
      <c r="E247" s="3">
        <v>24582.460000000003</v>
      </c>
    </row>
    <row r="248" spans="2:5" x14ac:dyDescent="0.3">
      <c r="B248" s="245" t="s">
        <v>1124</v>
      </c>
      <c r="C248" s="3">
        <v>0</v>
      </c>
      <c r="D248" s="3">
        <v>-7233886.9230798203</v>
      </c>
      <c r="E248" s="3">
        <v>7233886.9230798203</v>
      </c>
    </row>
    <row r="249" spans="2:5" x14ac:dyDescent="0.3">
      <c r="B249" s="245" t="s">
        <v>1575</v>
      </c>
      <c r="C249" s="3"/>
      <c r="D249" s="3">
        <v>-779493.89760000783</v>
      </c>
      <c r="E249" s="3">
        <v>779493.89760000783</v>
      </c>
    </row>
    <row r="250" spans="2:5" x14ac:dyDescent="0.3">
      <c r="B250" s="216" t="s">
        <v>176</v>
      </c>
      <c r="C250" s="217">
        <v>-4811877.2074173642</v>
      </c>
      <c r="D250" s="217">
        <v>-3976922.0599999977</v>
      </c>
      <c r="E250" s="217">
        <v>-834955.14741736581</v>
      </c>
    </row>
    <row r="251" spans="2:5" x14ac:dyDescent="0.3">
      <c r="B251" s="2" t="s">
        <v>803</v>
      </c>
      <c r="C251" s="3">
        <v>-4377633.9812695784</v>
      </c>
      <c r="D251" s="3">
        <v>-3769399.5102887694</v>
      </c>
      <c r="E251" s="3">
        <v>-608234.47098080895</v>
      </c>
    </row>
    <row r="252" spans="2:5" x14ac:dyDescent="0.3">
      <c r="B252" s="245" t="s">
        <v>206</v>
      </c>
      <c r="C252" s="3">
        <v>-3338732.2712695785</v>
      </c>
      <c r="D252" s="3">
        <v>-2712513.0791971558</v>
      </c>
      <c r="E252" s="3">
        <v>-626219.19207242271</v>
      </c>
    </row>
    <row r="253" spans="2:5" x14ac:dyDescent="0.3">
      <c r="B253" s="245" t="s">
        <v>208</v>
      </c>
      <c r="C253" s="3">
        <v>-1038901.7100000001</v>
      </c>
      <c r="D253" s="3">
        <v>-1056886.4310916138</v>
      </c>
      <c r="E253" s="3">
        <v>17984.721091613756</v>
      </c>
    </row>
    <row r="254" spans="2:5" x14ac:dyDescent="0.3">
      <c r="B254" s="2" t="s">
        <v>32</v>
      </c>
      <c r="C254" s="215">
        <v>-971065030.87267411</v>
      </c>
      <c r="D254" s="215">
        <v>-870765290.61102188</v>
      </c>
      <c r="E254" s="215">
        <v>-100299740.26165311</v>
      </c>
    </row>
  </sheetData>
  <pageMargins left="0.7" right="0.7" top="0.75" bottom="0.75" header="0.3" footer="0.3"/>
  <pageSetup orientation="portrait" horizontalDpi="1200" verticalDpi="1200" r:id="rId2"/>
  <customProperties>
    <customPr name="_pios_id" r:id="rId3"/>
  </customProperties>
  <ignoredErrors>
    <ignoredError sqref="K10:M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4"/>
  <sheetViews>
    <sheetView topLeftCell="E2" zoomScale="85" zoomScaleNormal="85" workbookViewId="0">
      <selection activeCell="V13" sqref="V13"/>
    </sheetView>
  </sheetViews>
  <sheetFormatPr defaultRowHeight="14.4" x14ac:dyDescent="0.3"/>
  <cols>
    <col min="1" max="1" width="5" customWidth="1"/>
    <col min="2" max="2" width="55.6640625" bestFit="1" customWidth="1"/>
    <col min="3" max="3" width="16.88671875" bestFit="1" customWidth="1"/>
    <col min="22" max="22" width="16.88671875" bestFit="1" customWidth="1"/>
  </cols>
  <sheetData>
    <row r="2" spans="2:23" x14ac:dyDescent="0.3">
      <c r="E2" s="364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6"/>
    </row>
    <row r="3" spans="2:23" x14ac:dyDescent="0.3">
      <c r="E3" s="367"/>
      <c r="F3" s="373" t="s">
        <v>1564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9"/>
    </row>
    <row r="4" spans="2:23" x14ac:dyDescent="0.3">
      <c r="E4" s="367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9"/>
    </row>
    <row r="5" spans="2:23" x14ac:dyDescent="0.3">
      <c r="B5" t="s">
        <v>1567</v>
      </c>
      <c r="C5" s="215">
        <f>V13</f>
        <v>915044782</v>
      </c>
      <c r="E5" s="367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9"/>
    </row>
    <row r="6" spans="2:23" x14ac:dyDescent="0.3">
      <c r="B6" t="s">
        <v>1568</v>
      </c>
      <c r="C6" s="215">
        <f>-V11</f>
        <v>-4159680</v>
      </c>
      <c r="E6" s="367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9"/>
    </row>
    <row r="7" spans="2:23" x14ac:dyDescent="0.3">
      <c r="B7" t="s">
        <v>1957</v>
      </c>
      <c r="C7" s="215">
        <f>-V12</f>
        <v>-40119811.390000001</v>
      </c>
      <c r="E7" s="367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9"/>
    </row>
    <row r="8" spans="2:23" ht="15" thickBot="1" x14ac:dyDescent="0.35">
      <c r="B8" t="s">
        <v>1569</v>
      </c>
      <c r="C8" s="292">
        <f>SUM(C5:C7)</f>
        <v>870765290.61000001</v>
      </c>
      <c r="E8" s="367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9"/>
    </row>
    <row r="9" spans="2:23" ht="15" thickTop="1" x14ac:dyDescent="0.3">
      <c r="E9" s="367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9"/>
    </row>
    <row r="10" spans="2:23" x14ac:dyDescent="0.3">
      <c r="E10" s="367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9"/>
    </row>
    <row r="11" spans="2:23" x14ac:dyDescent="0.3">
      <c r="E11" s="367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9"/>
      <c r="V11" s="259">
        <v>4159680</v>
      </c>
      <c r="W11" t="s">
        <v>1565</v>
      </c>
    </row>
    <row r="12" spans="2:23" x14ac:dyDescent="0.3">
      <c r="E12" s="367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9"/>
      <c r="V12" s="259">
        <v>40119811.390000001</v>
      </c>
      <c r="W12" t="s">
        <v>12</v>
      </c>
    </row>
    <row r="13" spans="2:23" x14ac:dyDescent="0.3">
      <c r="E13" s="367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9"/>
      <c r="V13" s="259">
        <v>915044782</v>
      </c>
      <c r="W13" t="s">
        <v>1566</v>
      </c>
    </row>
    <row r="14" spans="2:23" x14ac:dyDescent="0.3">
      <c r="E14" s="367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9"/>
    </row>
    <row r="15" spans="2:23" x14ac:dyDescent="0.3">
      <c r="E15" s="367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9"/>
    </row>
    <row r="16" spans="2:23" x14ac:dyDescent="0.3">
      <c r="E16" s="367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9"/>
    </row>
    <row r="17" spans="5:21" x14ac:dyDescent="0.3">
      <c r="E17" s="367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</row>
    <row r="18" spans="5:21" x14ac:dyDescent="0.3">
      <c r="E18" s="367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9"/>
    </row>
    <row r="19" spans="5:21" x14ac:dyDescent="0.3">
      <c r="E19" s="367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9"/>
    </row>
    <row r="20" spans="5:21" x14ac:dyDescent="0.3">
      <c r="E20" s="367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9"/>
    </row>
    <row r="21" spans="5:21" x14ac:dyDescent="0.3">
      <c r="E21" s="367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9"/>
    </row>
    <row r="22" spans="5:21" x14ac:dyDescent="0.3">
      <c r="E22" s="367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9"/>
    </row>
    <row r="23" spans="5:21" x14ac:dyDescent="0.3">
      <c r="E23" s="367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9"/>
    </row>
    <row r="24" spans="5:21" x14ac:dyDescent="0.3">
      <c r="E24" s="370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5"/>
  <sheetViews>
    <sheetView workbookViewId="0">
      <pane xSplit="5" ySplit="5" topLeftCell="M727" activePane="bottomRight" state="frozen"/>
      <selection pane="topRight" activeCell="F1" sqref="F1"/>
      <selection pane="bottomLeft" activeCell="A6" sqref="A6"/>
      <selection pane="bottomRight" activeCell="Q751" sqref="Q751"/>
    </sheetView>
  </sheetViews>
  <sheetFormatPr defaultRowHeight="14.4" x14ac:dyDescent="0.3"/>
  <cols>
    <col min="1" max="1" width="3.5546875" customWidth="1"/>
    <col min="2" max="2" width="18" bestFit="1" customWidth="1"/>
    <col min="3" max="3" width="15.88671875" bestFit="1" customWidth="1"/>
    <col min="4" max="4" width="77.6640625" customWidth="1"/>
    <col min="5" max="5" width="26.88671875" bestFit="1" customWidth="1"/>
    <col min="6" max="7" width="16.33203125" bestFit="1" customWidth="1"/>
    <col min="8" max="10" width="16.33203125" customWidth="1"/>
    <col min="11" max="18" width="18" bestFit="1" customWidth="1"/>
  </cols>
  <sheetData>
    <row r="1" spans="2:17" x14ac:dyDescent="0.3">
      <c r="D1" t="s">
        <v>1211</v>
      </c>
      <c r="E1" t="s">
        <v>1212</v>
      </c>
    </row>
    <row r="2" spans="2:17" x14ac:dyDescent="0.3">
      <c r="B2" s="357" t="s">
        <v>1213</v>
      </c>
      <c r="D2" t="s">
        <v>1214</v>
      </c>
      <c r="E2" t="s">
        <v>36</v>
      </c>
    </row>
    <row r="3" spans="2:17" x14ac:dyDescent="0.3">
      <c r="B3" s="357" t="s">
        <v>1215</v>
      </c>
      <c r="D3" t="s">
        <v>1216</v>
      </c>
      <c r="E3" t="s">
        <v>1217</v>
      </c>
    </row>
    <row r="5" spans="2:17" x14ac:dyDescent="0.3">
      <c r="B5" s="5" t="s">
        <v>1218</v>
      </c>
      <c r="D5" t="s">
        <v>165</v>
      </c>
      <c r="E5" t="s">
        <v>1219</v>
      </c>
      <c r="F5" t="s">
        <v>1220</v>
      </c>
      <c r="G5" t="s">
        <v>1221</v>
      </c>
      <c r="H5" t="s">
        <v>1222</v>
      </c>
      <c r="I5" t="s">
        <v>1223</v>
      </c>
      <c r="J5" t="s">
        <v>1224</v>
      </c>
      <c r="K5" t="s">
        <v>1225</v>
      </c>
      <c r="L5" t="s">
        <v>1226</v>
      </c>
      <c r="M5" t="s">
        <v>1227</v>
      </c>
      <c r="N5" t="s">
        <v>1228</v>
      </c>
      <c r="O5" t="s">
        <v>1229</v>
      </c>
      <c r="P5" t="s">
        <v>1230</v>
      </c>
      <c r="Q5" t="s">
        <v>1231</v>
      </c>
    </row>
    <row r="6" spans="2:17" x14ac:dyDescent="0.3">
      <c r="B6" s="259">
        <f>(E6+Q6+SUM(F6:P6)*2)/24</f>
        <v>0</v>
      </c>
      <c r="D6" s="2" t="s">
        <v>1232</v>
      </c>
      <c r="E6" s="215">
        <v>0</v>
      </c>
      <c r="F6" s="215">
        <v>0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0</v>
      </c>
      <c r="M6" s="215">
        <v>0</v>
      </c>
      <c r="N6" s="215">
        <v>0</v>
      </c>
      <c r="O6" s="215">
        <v>0</v>
      </c>
      <c r="P6" s="215">
        <v>0</v>
      </c>
      <c r="Q6" s="215">
        <v>0</v>
      </c>
    </row>
    <row r="7" spans="2:17" x14ac:dyDescent="0.3">
      <c r="B7" s="259">
        <f t="shared" ref="B7:B70" si="0">(E7+Q7+SUM(F7:P7)*2)/24</f>
        <v>4226582.1599999992</v>
      </c>
      <c r="D7" s="2" t="s">
        <v>1069</v>
      </c>
      <c r="E7" s="215">
        <v>4226582.16</v>
      </c>
      <c r="F7" s="215">
        <v>4226582.16</v>
      </c>
      <c r="G7" s="215">
        <v>4226582.16</v>
      </c>
      <c r="H7" s="215">
        <v>4226582.16</v>
      </c>
      <c r="I7" s="215">
        <v>4226582.16</v>
      </c>
      <c r="J7" s="215">
        <v>4226582.16</v>
      </c>
      <c r="K7" s="215">
        <v>4226582.16</v>
      </c>
      <c r="L7" s="215">
        <v>4226582.16</v>
      </c>
      <c r="M7" s="215">
        <v>4226582.16</v>
      </c>
      <c r="N7" s="215">
        <v>4226582.16</v>
      </c>
      <c r="O7" s="215">
        <v>4226582.16</v>
      </c>
      <c r="P7" s="215">
        <v>4226582.16</v>
      </c>
      <c r="Q7" s="215">
        <v>4226582.16</v>
      </c>
    </row>
    <row r="8" spans="2:17" x14ac:dyDescent="0.3">
      <c r="B8" s="259">
        <f t="shared" si="0"/>
        <v>3013238.194583334</v>
      </c>
      <c r="D8" s="2" t="s">
        <v>874</v>
      </c>
      <c r="E8" s="215">
        <v>3012717.12</v>
      </c>
      <c r="F8" s="215">
        <v>3012717.12</v>
      </c>
      <c r="G8" s="215">
        <v>3012717.12</v>
      </c>
      <c r="H8" s="215">
        <v>3012717.12</v>
      </c>
      <c r="I8" s="215">
        <v>3012717.12</v>
      </c>
      <c r="J8" s="215">
        <v>3012717.12</v>
      </c>
      <c r="K8" s="215">
        <v>3012717.12</v>
      </c>
      <c r="L8" s="215">
        <v>3013854.0100000002</v>
      </c>
      <c r="M8" s="215">
        <v>3013854.0100000002</v>
      </c>
      <c r="N8" s="215">
        <v>3013854.0100000002</v>
      </c>
      <c r="O8" s="215">
        <v>3013854.0100000002</v>
      </c>
      <c r="P8" s="215">
        <v>3013854.0100000002</v>
      </c>
      <c r="Q8" s="215">
        <v>3013854.0100000002</v>
      </c>
    </row>
    <row r="9" spans="2:17" x14ac:dyDescent="0.3">
      <c r="B9" s="259">
        <f t="shared" si="0"/>
        <v>2491616.1395833334</v>
      </c>
      <c r="D9" s="2" t="s">
        <v>876</v>
      </c>
      <c r="E9" s="215">
        <v>0</v>
      </c>
      <c r="F9" s="215">
        <v>0</v>
      </c>
      <c r="G9" s="215">
        <v>166889.99</v>
      </c>
      <c r="H9" s="215">
        <v>3088398.75</v>
      </c>
      <c r="I9" s="215">
        <v>3115242.02</v>
      </c>
      <c r="J9" s="215">
        <v>3136764.02</v>
      </c>
      <c r="K9" s="215">
        <v>3136764.02</v>
      </c>
      <c r="L9" s="215">
        <v>3136764.02</v>
      </c>
      <c r="M9" s="215">
        <v>3137460.19</v>
      </c>
      <c r="N9" s="215">
        <v>3137460.19</v>
      </c>
      <c r="O9" s="215">
        <v>3137460.19</v>
      </c>
      <c r="P9" s="215">
        <v>3137460.19</v>
      </c>
      <c r="Q9" s="215">
        <v>3137460.19</v>
      </c>
    </row>
    <row r="10" spans="2:17" x14ac:dyDescent="0.3">
      <c r="B10" s="259">
        <f t="shared" si="0"/>
        <v>0</v>
      </c>
      <c r="D10" s="2" t="s">
        <v>1233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</row>
    <row r="11" spans="2:17" x14ac:dyDescent="0.3">
      <c r="B11" s="259">
        <f t="shared" si="0"/>
        <v>996568.27916666667</v>
      </c>
      <c r="D11" s="2" t="s">
        <v>878</v>
      </c>
      <c r="E11" s="215">
        <v>0</v>
      </c>
      <c r="F11" s="215">
        <v>0</v>
      </c>
      <c r="G11" s="215">
        <v>0</v>
      </c>
      <c r="H11" s="215">
        <v>827951.90000000014</v>
      </c>
      <c r="I11" s="215">
        <v>854393.31000000017</v>
      </c>
      <c r="J11" s="215">
        <v>854393.31000000017</v>
      </c>
      <c r="K11" s="215">
        <v>1442959.5100000002</v>
      </c>
      <c r="L11" s="215">
        <v>1443037.52</v>
      </c>
      <c r="M11" s="215">
        <v>1449734</v>
      </c>
      <c r="N11" s="215">
        <v>1449734</v>
      </c>
      <c r="O11" s="215">
        <v>1454382.77</v>
      </c>
      <c r="P11" s="215">
        <v>1454822.02</v>
      </c>
      <c r="Q11" s="215">
        <v>1454822.02</v>
      </c>
    </row>
    <row r="12" spans="2:17" x14ac:dyDescent="0.3">
      <c r="B12" s="259">
        <f t="shared" si="0"/>
        <v>1885.7400000000005</v>
      </c>
      <c r="D12" s="2" t="s">
        <v>1234</v>
      </c>
      <c r="E12" s="215">
        <v>1885.74</v>
      </c>
      <c r="F12" s="215">
        <v>1885.74</v>
      </c>
      <c r="G12" s="215">
        <v>1885.74</v>
      </c>
      <c r="H12" s="215">
        <v>1885.74</v>
      </c>
      <c r="I12" s="215">
        <v>1885.74</v>
      </c>
      <c r="J12" s="215">
        <v>1885.74</v>
      </c>
      <c r="K12" s="215">
        <v>1885.74</v>
      </c>
      <c r="L12" s="215">
        <v>1885.74</v>
      </c>
      <c r="M12" s="215">
        <v>1885.74</v>
      </c>
      <c r="N12" s="215">
        <v>1885.74</v>
      </c>
      <c r="O12" s="215">
        <v>1885.74</v>
      </c>
      <c r="P12" s="215">
        <v>1885.74</v>
      </c>
      <c r="Q12" s="215">
        <v>1885.74</v>
      </c>
    </row>
    <row r="13" spans="2:17" x14ac:dyDescent="0.3">
      <c r="B13" s="259">
        <f t="shared" si="0"/>
        <v>25402.97</v>
      </c>
      <c r="D13" s="2" t="s">
        <v>1070</v>
      </c>
      <c r="E13" s="215">
        <v>25402.97</v>
      </c>
      <c r="F13" s="215">
        <v>25402.97</v>
      </c>
      <c r="G13" s="215">
        <v>25402.97</v>
      </c>
      <c r="H13" s="215">
        <v>25402.97</v>
      </c>
      <c r="I13" s="215">
        <v>25402.97</v>
      </c>
      <c r="J13" s="215">
        <v>25402.97</v>
      </c>
      <c r="K13" s="215">
        <v>25402.97</v>
      </c>
      <c r="L13" s="215">
        <v>25402.97</v>
      </c>
      <c r="M13" s="215">
        <v>25402.97</v>
      </c>
      <c r="N13" s="215">
        <v>25402.97</v>
      </c>
      <c r="O13" s="215">
        <v>25402.97</v>
      </c>
      <c r="P13" s="215">
        <v>25402.97</v>
      </c>
      <c r="Q13" s="215">
        <v>25402.97</v>
      </c>
    </row>
    <row r="14" spans="2:17" x14ac:dyDescent="0.3">
      <c r="B14" s="259">
        <f t="shared" si="0"/>
        <v>138.86999999999998</v>
      </c>
      <c r="D14" s="2" t="s">
        <v>1235</v>
      </c>
      <c r="E14" s="215">
        <v>138.87</v>
      </c>
      <c r="F14" s="215">
        <v>138.87</v>
      </c>
      <c r="G14" s="215">
        <v>138.87</v>
      </c>
      <c r="H14" s="215">
        <v>138.87</v>
      </c>
      <c r="I14" s="215">
        <v>138.87</v>
      </c>
      <c r="J14" s="215">
        <v>138.87</v>
      </c>
      <c r="K14" s="215">
        <v>138.87</v>
      </c>
      <c r="L14" s="215">
        <v>138.87</v>
      </c>
      <c r="M14" s="215">
        <v>138.87</v>
      </c>
      <c r="N14" s="215">
        <v>138.87</v>
      </c>
      <c r="O14" s="215">
        <v>138.87</v>
      </c>
      <c r="P14" s="215">
        <v>138.87</v>
      </c>
      <c r="Q14" s="215">
        <v>138.87</v>
      </c>
    </row>
    <row r="15" spans="2:17" x14ac:dyDescent="0.3">
      <c r="B15" s="259">
        <f t="shared" si="0"/>
        <v>753075.53250000009</v>
      </c>
      <c r="D15" s="2" t="s">
        <v>879</v>
      </c>
      <c r="E15" s="215">
        <v>750044.19</v>
      </c>
      <c r="F15" s="215">
        <v>753207.33000000007</v>
      </c>
      <c r="G15" s="215">
        <v>753207.33000000007</v>
      </c>
      <c r="H15" s="215">
        <v>753207.33000000007</v>
      </c>
      <c r="I15" s="215">
        <v>753207.33000000007</v>
      </c>
      <c r="J15" s="215">
        <v>753207.33000000007</v>
      </c>
      <c r="K15" s="215">
        <v>753207.33000000007</v>
      </c>
      <c r="L15" s="215">
        <v>753207.33000000007</v>
      </c>
      <c r="M15" s="215">
        <v>753207.33000000007</v>
      </c>
      <c r="N15" s="215">
        <v>753207.33000000007</v>
      </c>
      <c r="O15" s="215">
        <v>753207.33000000007</v>
      </c>
      <c r="P15" s="215">
        <v>753207.33000000007</v>
      </c>
      <c r="Q15" s="215">
        <v>753207.33000000007</v>
      </c>
    </row>
    <row r="16" spans="2:17" x14ac:dyDescent="0.3">
      <c r="B16" s="259">
        <f t="shared" si="0"/>
        <v>909683.24041666649</v>
      </c>
      <c r="D16" s="2" t="s">
        <v>880</v>
      </c>
      <c r="E16" s="215">
        <v>0</v>
      </c>
      <c r="F16" s="215">
        <v>932523.6</v>
      </c>
      <c r="G16" s="215">
        <v>937574.58</v>
      </c>
      <c r="H16" s="215">
        <v>948452.92999999993</v>
      </c>
      <c r="I16" s="215">
        <v>942776.33</v>
      </c>
      <c r="J16" s="215">
        <v>942776.33</v>
      </c>
      <c r="K16" s="215">
        <v>949428.38</v>
      </c>
      <c r="L16" s="215">
        <v>955733.8</v>
      </c>
      <c r="M16" s="215">
        <v>955733.8</v>
      </c>
      <c r="N16" s="215">
        <v>956825.46000000008</v>
      </c>
      <c r="O16" s="215">
        <v>957379.51000000013</v>
      </c>
      <c r="P16" s="215">
        <v>957996.1100000001</v>
      </c>
      <c r="Q16" s="215">
        <v>957996.1100000001</v>
      </c>
    </row>
    <row r="17" spans="2:17" x14ac:dyDescent="0.3">
      <c r="B17" s="259">
        <f t="shared" si="0"/>
        <v>0</v>
      </c>
      <c r="D17" s="2" t="s">
        <v>1236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</row>
    <row r="18" spans="2:17" x14ac:dyDescent="0.3">
      <c r="B18" s="259">
        <f t="shared" si="0"/>
        <v>5081733.1000000006</v>
      </c>
      <c r="D18" s="2" t="s">
        <v>1071</v>
      </c>
      <c r="E18" s="215">
        <v>5081733.0999999996</v>
      </c>
      <c r="F18" s="215">
        <v>5081733.0999999996</v>
      </c>
      <c r="G18" s="215">
        <v>5081733.0999999996</v>
      </c>
      <c r="H18" s="215">
        <v>5081733.0999999996</v>
      </c>
      <c r="I18" s="215">
        <v>5081733.0999999996</v>
      </c>
      <c r="J18" s="215">
        <v>5081733.0999999996</v>
      </c>
      <c r="K18" s="215">
        <v>5081733.0999999996</v>
      </c>
      <c r="L18" s="215">
        <v>5081733.0999999996</v>
      </c>
      <c r="M18" s="215">
        <v>5081733.0999999996</v>
      </c>
      <c r="N18" s="215">
        <v>5081733.0999999996</v>
      </c>
      <c r="O18" s="215">
        <v>5081733.0999999996</v>
      </c>
      <c r="P18" s="215">
        <v>5081733.0999999996</v>
      </c>
      <c r="Q18" s="215">
        <v>5081733.0999999996</v>
      </c>
    </row>
    <row r="19" spans="2:17" x14ac:dyDescent="0.3">
      <c r="B19" s="259">
        <f t="shared" si="0"/>
        <v>77736.899999999994</v>
      </c>
      <c r="D19" s="2" t="s">
        <v>1237</v>
      </c>
      <c r="E19" s="215">
        <v>77736.89999999998</v>
      </c>
      <c r="F19" s="215">
        <v>77736.89999999998</v>
      </c>
      <c r="G19" s="215">
        <v>77736.89999999998</v>
      </c>
      <c r="H19" s="215">
        <v>77736.89999999998</v>
      </c>
      <c r="I19" s="215">
        <v>77736.89999999998</v>
      </c>
      <c r="J19" s="215">
        <v>77736.89999999998</v>
      </c>
      <c r="K19" s="215">
        <v>77736.89999999998</v>
      </c>
      <c r="L19" s="215">
        <v>77736.89999999998</v>
      </c>
      <c r="M19" s="215">
        <v>77736.89999999998</v>
      </c>
      <c r="N19" s="215">
        <v>77736.89999999998</v>
      </c>
      <c r="O19" s="215">
        <v>77736.89999999998</v>
      </c>
      <c r="P19" s="215">
        <v>77736.89999999998</v>
      </c>
      <c r="Q19" s="215">
        <v>77736.89999999998</v>
      </c>
    </row>
    <row r="20" spans="2:17" x14ac:dyDescent="0.3">
      <c r="B20" s="259">
        <f t="shared" si="0"/>
        <v>0</v>
      </c>
      <c r="D20" s="2" t="s">
        <v>1238</v>
      </c>
      <c r="E20" s="215">
        <v>0</v>
      </c>
      <c r="F20" s="215">
        <v>0</v>
      </c>
      <c r="G20" s="215">
        <v>0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</row>
    <row r="21" spans="2:17" x14ac:dyDescent="0.3">
      <c r="B21" s="259">
        <f t="shared" si="0"/>
        <v>43576.065833333334</v>
      </c>
      <c r="D21" s="2" t="s">
        <v>964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1045825.5800000001</v>
      </c>
    </row>
    <row r="22" spans="2:17" x14ac:dyDescent="0.3">
      <c r="B22" s="259">
        <f t="shared" si="0"/>
        <v>0</v>
      </c>
      <c r="D22" s="2" t="s">
        <v>1239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</row>
    <row r="23" spans="2:17" x14ac:dyDescent="0.3">
      <c r="B23" s="259">
        <f t="shared" si="0"/>
        <v>0</v>
      </c>
      <c r="D23" s="2" t="s">
        <v>1240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</row>
    <row r="24" spans="2:17" x14ac:dyDescent="0.3">
      <c r="B24" s="259">
        <f t="shared" si="0"/>
        <v>0</v>
      </c>
      <c r="D24" s="2" t="s">
        <v>1241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5">
        <v>0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</row>
    <row r="25" spans="2:17" x14ac:dyDescent="0.3">
      <c r="B25" s="259">
        <f t="shared" si="0"/>
        <v>1028176.6887500002</v>
      </c>
      <c r="D25" s="2" t="s">
        <v>881</v>
      </c>
      <c r="E25" s="215">
        <v>931984.88000000012</v>
      </c>
      <c r="F25" s="215">
        <v>931984.88000000012</v>
      </c>
      <c r="G25" s="215">
        <v>1010308.8200000002</v>
      </c>
      <c r="H25" s="215">
        <v>1010308.8200000002</v>
      </c>
      <c r="I25" s="215">
        <v>1010308.8200000002</v>
      </c>
      <c r="J25" s="215">
        <v>1010308.8200000002</v>
      </c>
      <c r="K25" s="215">
        <v>1010308.8200000002</v>
      </c>
      <c r="L25" s="215">
        <v>1010308.8200000002</v>
      </c>
      <c r="M25" s="215">
        <v>1010308.8200000002</v>
      </c>
      <c r="N25" s="215">
        <v>1010308.8200000002</v>
      </c>
      <c r="O25" s="215">
        <v>1010437.1600000001</v>
      </c>
      <c r="P25" s="215">
        <v>1231490.1500000001</v>
      </c>
      <c r="Q25" s="215">
        <v>1231490.1500000001</v>
      </c>
    </row>
    <row r="26" spans="2:17" x14ac:dyDescent="0.3">
      <c r="B26" s="259">
        <f t="shared" si="0"/>
        <v>125622.73583333334</v>
      </c>
      <c r="D26" s="2" t="s">
        <v>966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3014945.66</v>
      </c>
    </row>
    <row r="27" spans="2:17" x14ac:dyDescent="0.3">
      <c r="B27" s="259">
        <f t="shared" si="0"/>
        <v>2500672.7316666665</v>
      </c>
      <c r="D27" s="2" t="s">
        <v>194</v>
      </c>
      <c r="E27" s="215">
        <v>2482679.0099999998</v>
      </c>
      <c r="F27" s="215">
        <v>2482679.0099999998</v>
      </c>
      <c r="G27" s="215">
        <v>2497351.29</v>
      </c>
      <c r="H27" s="215">
        <v>2499125.4900000002</v>
      </c>
      <c r="I27" s="215">
        <v>2500509.2599999998</v>
      </c>
      <c r="J27" s="215">
        <v>2504942.4299999997</v>
      </c>
      <c r="K27" s="215">
        <v>2504942.4299999997</v>
      </c>
      <c r="L27" s="215">
        <v>2504942.4299999997</v>
      </c>
      <c r="M27" s="215">
        <v>2504942.4299999997</v>
      </c>
      <c r="N27" s="215">
        <v>2504942.4299999997</v>
      </c>
      <c r="O27" s="215">
        <v>2504942.4299999997</v>
      </c>
      <c r="P27" s="215">
        <v>2504942.4299999997</v>
      </c>
      <c r="Q27" s="215">
        <v>2504942.4299999997</v>
      </c>
    </row>
    <row r="28" spans="2:17" x14ac:dyDescent="0.3">
      <c r="B28" s="259">
        <f t="shared" si="0"/>
        <v>-319620.76999999996</v>
      </c>
      <c r="D28" s="2" t="s">
        <v>196</v>
      </c>
      <c r="E28" s="215">
        <v>-319620.76999999996</v>
      </c>
      <c r="F28" s="215">
        <v>-319620.76999999996</v>
      </c>
      <c r="G28" s="215">
        <v>-319620.76999999996</v>
      </c>
      <c r="H28" s="215">
        <v>-319620.76999999996</v>
      </c>
      <c r="I28" s="215">
        <v>-319620.76999999996</v>
      </c>
      <c r="J28" s="215">
        <v>-319620.76999999996</v>
      </c>
      <c r="K28" s="215">
        <v>-319620.76999999996</v>
      </c>
      <c r="L28" s="215">
        <v>-319620.76999999996</v>
      </c>
      <c r="M28" s="215">
        <v>-319620.76999999996</v>
      </c>
      <c r="N28" s="215">
        <v>-319620.76999999996</v>
      </c>
      <c r="O28" s="215">
        <v>-319620.76999999996</v>
      </c>
      <c r="P28" s="215">
        <v>-319620.76999999996</v>
      </c>
      <c r="Q28" s="215">
        <v>-319620.76999999996</v>
      </c>
    </row>
    <row r="29" spans="2:17" x14ac:dyDescent="0.3">
      <c r="B29" s="259">
        <f t="shared" si="0"/>
        <v>2798621.3708333336</v>
      </c>
      <c r="D29" s="2" t="s">
        <v>198</v>
      </c>
      <c r="E29" s="215">
        <v>2777267.29</v>
      </c>
      <c r="F29" s="215">
        <v>2777267.29</v>
      </c>
      <c r="G29" s="215">
        <v>2777267.29</v>
      </c>
      <c r="H29" s="215">
        <v>2785594.14</v>
      </c>
      <c r="I29" s="215">
        <v>2785594.14</v>
      </c>
      <c r="J29" s="215">
        <v>2829330.67</v>
      </c>
      <c r="K29" s="215">
        <v>2806118.35</v>
      </c>
      <c r="L29" s="215">
        <v>2806118.35</v>
      </c>
      <c r="M29" s="215">
        <v>2806118.35</v>
      </c>
      <c r="N29" s="215">
        <v>2806118.35</v>
      </c>
      <c r="O29" s="215">
        <v>2806118.35</v>
      </c>
      <c r="P29" s="215">
        <v>2806118.35</v>
      </c>
      <c r="Q29" s="215">
        <v>2806118.35</v>
      </c>
    </row>
    <row r="30" spans="2:17" x14ac:dyDescent="0.3">
      <c r="B30" s="259">
        <f t="shared" si="0"/>
        <v>3583504.0129166669</v>
      </c>
      <c r="D30" s="2" t="s">
        <v>200</v>
      </c>
      <c r="E30" s="215">
        <v>2360340.17</v>
      </c>
      <c r="F30" s="215">
        <v>2297848</v>
      </c>
      <c r="G30" s="215">
        <v>2297928.9700000002</v>
      </c>
      <c r="H30" s="215">
        <v>2297928.9700000002</v>
      </c>
      <c r="I30" s="215">
        <v>2297928.9700000002</v>
      </c>
      <c r="J30" s="215">
        <v>2297928.9700000002</v>
      </c>
      <c r="K30" s="215">
        <v>2297928.9700000002</v>
      </c>
      <c r="L30" s="215">
        <v>2297928.9700000002</v>
      </c>
      <c r="M30" s="215">
        <v>2297928.9700000002</v>
      </c>
      <c r="N30" s="215">
        <v>2297928.9700000002</v>
      </c>
      <c r="O30" s="215">
        <v>2297928.9700000002</v>
      </c>
      <c r="P30" s="215">
        <v>10648086.100000001</v>
      </c>
      <c r="Q30" s="215">
        <v>16389166.48</v>
      </c>
    </row>
    <row r="31" spans="2:17" x14ac:dyDescent="0.3">
      <c r="B31" s="259">
        <f t="shared" si="0"/>
        <v>3157402.34375</v>
      </c>
      <c r="D31" s="2" t="s">
        <v>202</v>
      </c>
      <c r="E31" s="215">
        <v>3087362.1500000004</v>
      </c>
      <c r="F31" s="215">
        <v>3087362.1500000004</v>
      </c>
      <c r="G31" s="215">
        <v>3087362.1500000004</v>
      </c>
      <c r="H31" s="215">
        <v>3087362.1500000004</v>
      </c>
      <c r="I31" s="215">
        <v>3087362.1500000004</v>
      </c>
      <c r="J31" s="215">
        <v>3087362.1500000004</v>
      </c>
      <c r="K31" s="215">
        <v>3087458.22</v>
      </c>
      <c r="L31" s="215">
        <v>3087458.22</v>
      </c>
      <c r="M31" s="215">
        <v>3087458.22</v>
      </c>
      <c r="N31" s="215">
        <v>3087458.22</v>
      </c>
      <c r="O31" s="215">
        <v>3087458.22</v>
      </c>
      <c r="P31" s="215">
        <v>3087458.22</v>
      </c>
      <c r="Q31" s="215">
        <v>4767173.96</v>
      </c>
    </row>
    <row r="32" spans="2:17" x14ac:dyDescent="0.3">
      <c r="B32" s="259">
        <f t="shared" si="0"/>
        <v>390454.19416666665</v>
      </c>
      <c r="D32" s="2" t="s">
        <v>204</v>
      </c>
      <c r="E32" s="215">
        <v>187123.93999999997</v>
      </c>
      <c r="F32" s="215">
        <v>388024.72</v>
      </c>
      <c r="G32" s="215">
        <v>399669.00999999995</v>
      </c>
      <c r="H32" s="215">
        <v>400441.54</v>
      </c>
      <c r="I32" s="215">
        <v>400441.54</v>
      </c>
      <c r="J32" s="215">
        <v>400441.54</v>
      </c>
      <c r="K32" s="215">
        <v>400441.54</v>
      </c>
      <c r="L32" s="215">
        <v>400441.54</v>
      </c>
      <c r="M32" s="215">
        <v>400441.54</v>
      </c>
      <c r="N32" s="215">
        <v>400441.54</v>
      </c>
      <c r="O32" s="215">
        <v>400441.54</v>
      </c>
      <c r="P32" s="215">
        <v>400441.54</v>
      </c>
      <c r="Q32" s="215">
        <v>400441.54</v>
      </c>
    </row>
    <row r="33" spans="2:17" x14ac:dyDescent="0.3">
      <c r="B33" s="259">
        <f t="shared" si="0"/>
        <v>14539.254583333333</v>
      </c>
      <c r="D33" s="2" t="s">
        <v>968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348942.11</v>
      </c>
    </row>
    <row r="34" spans="2:17" x14ac:dyDescent="0.3">
      <c r="B34" s="259">
        <f t="shared" si="0"/>
        <v>9739131.8074999992</v>
      </c>
      <c r="D34" s="2" t="s">
        <v>206</v>
      </c>
      <c r="E34" s="215">
        <v>7446610.8100000005</v>
      </c>
      <c r="F34" s="215">
        <v>8225115.6799999997</v>
      </c>
      <c r="G34" s="215">
        <v>9047978.5099999998</v>
      </c>
      <c r="H34" s="215">
        <v>10011785.189999999</v>
      </c>
      <c r="I34" s="215">
        <v>10036150.85</v>
      </c>
      <c r="J34" s="215">
        <v>10059982.559999999</v>
      </c>
      <c r="K34" s="215">
        <v>10074207.129999997</v>
      </c>
      <c r="L34" s="215">
        <v>10072490.17</v>
      </c>
      <c r="M34" s="215">
        <v>10073826.15</v>
      </c>
      <c r="N34" s="215">
        <v>10074882.199999999</v>
      </c>
      <c r="O34" s="215">
        <v>10075277.209999999</v>
      </c>
      <c r="P34" s="215">
        <v>10075458.26</v>
      </c>
      <c r="Q34" s="215">
        <v>10638244.749999998</v>
      </c>
    </row>
    <row r="35" spans="2:17" x14ac:dyDescent="0.3">
      <c r="B35" s="259">
        <f t="shared" si="0"/>
        <v>1135708.9337500001</v>
      </c>
      <c r="D35" s="2" t="s">
        <v>208</v>
      </c>
      <c r="E35" s="215">
        <v>324036.53000000003</v>
      </c>
      <c r="F35" s="215">
        <v>684692.27</v>
      </c>
      <c r="G35" s="215">
        <v>683803.21</v>
      </c>
      <c r="H35" s="215">
        <v>1267969.9600000002</v>
      </c>
      <c r="I35" s="215">
        <v>1268188.3400000001</v>
      </c>
      <c r="J35" s="215">
        <v>1268188.3400000001</v>
      </c>
      <c r="K35" s="215">
        <v>1268244.8700000001</v>
      </c>
      <c r="L35" s="215">
        <v>1268244.8700000001</v>
      </c>
      <c r="M35" s="215">
        <v>1268691.57</v>
      </c>
      <c r="N35" s="215">
        <v>1268691.57</v>
      </c>
      <c r="O35" s="215">
        <v>1269152.4099999999</v>
      </c>
      <c r="P35" s="215">
        <v>1269152.4099999999</v>
      </c>
      <c r="Q35" s="215">
        <v>1362938.2399999998</v>
      </c>
    </row>
    <row r="36" spans="2:17" x14ac:dyDescent="0.3">
      <c r="B36" s="259">
        <f t="shared" si="0"/>
        <v>85626.810000000041</v>
      </c>
      <c r="D36" s="2" t="s">
        <v>210</v>
      </c>
      <c r="E36" s="215">
        <v>84987.920000000013</v>
      </c>
      <c r="F36" s="215">
        <v>84987.920000000013</v>
      </c>
      <c r="G36" s="215">
        <v>85718.080000000016</v>
      </c>
      <c r="H36" s="215">
        <v>85718.080000000016</v>
      </c>
      <c r="I36" s="215">
        <v>85718.080000000016</v>
      </c>
      <c r="J36" s="215">
        <v>85718.080000000016</v>
      </c>
      <c r="K36" s="215">
        <v>85718.080000000016</v>
      </c>
      <c r="L36" s="215">
        <v>85718.080000000016</v>
      </c>
      <c r="M36" s="215">
        <v>85718.080000000016</v>
      </c>
      <c r="N36" s="215">
        <v>85718.080000000016</v>
      </c>
      <c r="O36" s="215">
        <v>85718.080000000016</v>
      </c>
      <c r="P36" s="215">
        <v>85718.080000000016</v>
      </c>
      <c r="Q36" s="215">
        <v>85718.080000000016</v>
      </c>
    </row>
    <row r="37" spans="2:17" x14ac:dyDescent="0.3">
      <c r="B37" s="259">
        <f t="shared" si="0"/>
        <v>0</v>
      </c>
      <c r="D37" s="2" t="s">
        <v>1242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</row>
    <row r="38" spans="2:17" x14ac:dyDescent="0.3">
      <c r="B38" s="259">
        <f t="shared" si="0"/>
        <v>40637.299999999996</v>
      </c>
      <c r="D38" s="2" t="s">
        <v>1243</v>
      </c>
      <c r="E38" s="215">
        <v>40637.300000000003</v>
      </c>
      <c r="F38" s="215">
        <v>40637.300000000003</v>
      </c>
      <c r="G38" s="215">
        <v>40637.300000000003</v>
      </c>
      <c r="H38" s="215">
        <v>40637.300000000003</v>
      </c>
      <c r="I38" s="215">
        <v>40637.300000000003</v>
      </c>
      <c r="J38" s="215">
        <v>40637.300000000003</v>
      </c>
      <c r="K38" s="215">
        <v>40637.300000000003</v>
      </c>
      <c r="L38" s="215">
        <v>40637.300000000003</v>
      </c>
      <c r="M38" s="215">
        <v>40637.300000000003</v>
      </c>
      <c r="N38" s="215">
        <v>40637.300000000003</v>
      </c>
      <c r="O38" s="215">
        <v>40637.300000000003</v>
      </c>
      <c r="P38" s="215">
        <v>40637.300000000003</v>
      </c>
      <c r="Q38" s="215">
        <v>40637.300000000003</v>
      </c>
    </row>
    <row r="39" spans="2:17" x14ac:dyDescent="0.3">
      <c r="B39" s="259">
        <f t="shared" si="0"/>
        <v>73775.262500000012</v>
      </c>
      <c r="D39" s="2" t="s">
        <v>214</v>
      </c>
      <c r="E39" s="215">
        <v>49085.19</v>
      </c>
      <c r="F39" s="215">
        <v>49085.19</v>
      </c>
      <c r="G39" s="215">
        <v>49085.19</v>
      </c>
      <c r="H39" s="215">
        <v>80272.649999999994</v>
      </c>
      <c r="I39" s="215">
        <v>80272.649999999994</v>
      </c>
      <c r="J39" s="215">
        <v>80272.649999999994</v>
      </c>
      <c r="K39" s="215">
        <v>80272.649999999994</v>
      </c>
      <c r="L39" s="215">
        <v>80272.649999999994</v>
      </c>
      <c r="M39" s="215">
        <v>80272.649999999994</v>
      </c>
      <c r="N39" s="215">
        <v>80272.649999999994</v>
      </c>
      <c r="O39" s="215">
        <v>80272.649999999994</v>
      </c>
      <c r="P39" s="215">
        <v>80272.649999999994</v>
      </c>
      <c r="Q39" s="215">
        <v>80272.649999999994</v>
      </c>
    </row>
    <row r="40" spans="2:17" x14ac:dyDescent="0.3">
      <c r="B40" s="259">
        <f t="shared" si="0"/>
        <v>0</v>
      </c>
      <c r="D40" s="2" t="s">
        <v>1244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</row>
    <row r="41" spans="2:17" x14ac:dyDescent="0.3">
      <c r="B41" s="259">
        <f t="shared" si="0"/>
        <v>71143812.659166664</v>
      </c>
      <c r="D41" s="2" t="s">
        <v>1245</v>
      </c>
      <c r="E41" s="215">
        <v>43525431.600000001</v>
      </c>
      <c r="F41" s="215">
        <v>47541154.690000005</v>
      </c>
      <c r="G41" s="215">
        <v>50004644.159999996</v>
      </c>
      <c r="H41" s="215">
        <v>56970612.369999997</v>
      </c>
      <c r="I41" s="215">
        <v>63637292.600000001</v>
      </c>
      <c r="J41" s="215">
        <v>68749859.079999998</v>
      </c>
      <c r="K41" s="215">
        <v>76852929.719999999</v>
      </c>
      <c r="L41" s="215">
        <v>79470263.840000004</v>
      </c>
      <c r="M41" s="215">
        <v>81869319.850000009</v>
      </c>
      <c r="N41" s="215">
        <v>84773576.729999989</v>
      </c>
      <c r="O41" s="215">
        <v>88518710.449999988</v>
      </c>
      <c r="P41" s="215">
        <v>88021438.819999993</v>
      </c>
      <c r="Q41" s="215">
        <v>91106467.599999994</v>
      </c>
    </row>
    <row r="42" spans="2:17" x14ac:dyDescent="0.3">
      <c r="B42" s="259">
        <f t="shared" si="0"/>
        <v>174136.85000000003</v>
      </c>
      <c r="D42" s="2" t="s">
        <v>1246</v>
      </c>
      <c r="E42" s="215">
        <v>174136.85</v>
      </c>
      <c r="F42" s="215">
        <v>174136.85</v>
      </c>
      <c r="G42" s="215">
        <v>174136.85</v>
      </c>
      <c r="H42" s="215">
        <v>174136.85</v>
      </c>
      <c r="I42" s="215">
        <v>174136.85</v>
      </c>
      <c r="J42" s="215">
        <v>174136.85</v>
      </c>
      <c r="K42" s="215">
        <v>174136.85</v>
      </c>
      <c r="L42" s="215">
        <v>174136.85</v>
      </c>
      <c r="M42" s="215">
        <v>174136.85</v>
      </c>
      <c r="N42" s="215">
        <v>174136.85</v>
      </c>
      <c r="O42" s="215">
        <v>174136.85</v>
      </c>
      <c r="P42" s="215">
        <v>174136.85</v>
      </c>
      <c r="Q42" s="215">
        <v>174136.85</v>
      </c>
    </row>
    <row r="43" spans="2:17" x14ac:dyDescent="0.3">
      <c r="B43" s="259">
        <f t="shared" si="0"/>
        <v>0</v>
      </c>
      <c r="D43" s="2" t="s">
        <v>1247</v>
      </c>
      <c r="E43" s="215">
        <v>0</v>
      </c>
      <c r="F43" s="215">
        <v>0</v>
      </c>
      <c r="G43" s="215">
        <v>0</v>
      </c>
      <c r="H43" s="215">
        <v>0</v>
      </c>
      <c r="I43" s="215">
        <v>0</v>
      </c>
      <c r="J43" s="215">
        <v>0</v>
      </c>
      <c r="K43" s="215">
        <v>0</v>
      </c>
      <c r="L43" s="215">
        <v>0</v>
      </c>
      <c r="M43" s="215">
        <v>0</v>
      </c>
      <c r="N43" s="215">
        <v>0</v>
      </c>
      <c r="O43" s="215">
        <v>0</v>
      </c>
      <c r="P43" s="215">
        <v>0</v>
      </c>
      <c r="Q43" s="215">
        <v>0</v>
      </c>
    </row>
    <row r="44" spans="2:17" x14ac:dyDescent="0.3">
      <c r="B44" s="259">
        <f t="shared" si="0"/>
        <v>0</v>
      </c>
      <c r="D44" s="2" t="s">
        <v>1248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  <c r="K44" s="215">
        <v>0</v>
      </c>
      <c r="L44" s="215">
        <v>0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</row>
    <row r="45" spans="2:17" x14ac:dyDescent="0.3">
      <c r="B45" s="259">
        <f t="shared" si="0"/>
        <v>0</v>
      </c>
      <c r="D45" s="2" t="s">
        <v>1249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215">
        <v>0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</row>
    <row r="46" spans="2:17" x14ac:dyDescent="0.3">
      <c r="B46" s="259">
        <f t="shared" si="0"/>
        <v>0</v>
      </c>
      <c r="D46" s="2" t="s">
        <v>1250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  <c r="K46" s="215">
        <v>0</v>
      </c>
      <c r="L46" s="215">
        <v>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</row>
    <row r="47" spans="2:17" x14ac:dyDescent="0.3">
      <c r="B47" s="259">
        <f t="shared" si="0"/>
        <v>0</v>
      </c>
      <c r="D47" s="2" t="s">
        <v>1251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</row>
    <row r="48" spans="2:17" x14ac:dyDescent="0.3">
      <c r="B48" s="259">
        <f t="shared" si="0"/>
        <v>3810257.0520833335</v>
      </c>
      <c r="D48" s="2" t="s">
        <v>216</v>
      </c>
      <c r="E48" s="215">
        <v>3234899.8899999992</v>
      </c>
      <c r="F48" s="215">
        <v>3241912.6</v>
      </c>
      <c r="G48" s="215">
        <v>3305803.73</v>
      </c>
      <c r="H48" s="215">
        <v>3493998.41</v>
      </c>
      <c r="I48" s="215">
        <v>3559147.46</v>
      </c>
      <c r="J48" s="215">
        <v>3654209.4600000004</v>
      </c>
      <c r="K48" s="215">
        <v>3663011.81</v>
      </c>
      <c r="L48" s="215">
        <v>3675312.0300000003</v>
      </c>
      <c r="M48" s="215">
        <v>3976435.94</v>
      </c>
      <c r="N48" s="215">
        <v>4025402.06</v>
      </c>
      <c r="O48" s="215">
        <v>4032233.67</v>
      </c>
      <c r="P48" s="215">
        <v>4454058.3900000006</v>
      </c>
      <c r="Q48" s="215">
        <v>6048218.2400000002</v>
      </c>
    </row>
    <row r="49" spans="2:17" x14ac:dyDescent="0.3">
      <c r="B49" s="259">
        <f t="shared" si="0"/>
        <v>0</v>
      </c>
      <c r="D49" s="2" t="s">
        <v>1252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  <c r="K49" s="215">
        <v>0</v>
      </c>
      <c r="L49" s="215">
        <v>0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</row>
    <row r="50" spans="2:17" x14ac:dyDescent="0.3">
      <c r="B50" s="259">
        <f t="shared" si="0"/>
        <v>734527.8583333334</v>
      </c>
      <c r="D50" s="2" t="s">
        <v>218</v>
      </c>
      <c r="E50" s="215">
        <v>736615.76</v>
      </c>
      <c r="F50" s="215">
        <v>734437.08</v>
      </c>
      <c r="G50" s="215">
        <v>734437.08</v>
      </c>
      <c r="H50" s="215">
        <v>734437.08</v>
      </c>
      <c r="I50" s="215">
        <v>734437.08</v>
      </c>
      <c r="J50" s="215">
        <v>734437.08</v>
      </c>
      <c r="K50" s="215">
        <v>734437.08</v>
      </c>
      <c r="L50" s="215">
        <v>734437.08</v>
      </c>
      <c r="M50" s="215">
        <v>734437.08</v>
      </c>
      <c r="N50" s="215">
        <v>734437.08</v>
      </c>
      <c r="O50" s="215">
        <v>734437.08</v>
      </c>
      <c r="P50" s="215">
        <v>734437.08</v>
      </c>
      <c r="Q50" s="215">
        <v>734437.08</v>
      </c>
    </row>
    <row r="51" spans="2:17" x14ac:dyDescent="0.3">
      <c r="B51" s="259">
        <f t="shared" si="0"/>
        <v>672098.57041666668</v>
      </c>
      <c r="D51" s="2" t="s">
        <v>883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  <c r="O51" s="215">
        <v>3137728.33</v>
      </c>
      <c r="P51" s="215">
        <v>3296171.55</v>
      </c>
      <c r="Q51" s="215">
        <v>3262565.93</v>
      </c>
    </row>
    <row r="52" spans="2:17" x14ac:dyDescent="0.3">
      <c r="B52" s="259">
        <f t="shared" si="0"/>
        <v>0</v>
      </c>
      <c r="D52" s="2" t="s">
        <v>1253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</row>
    <row r="53" spans="2:17" x14ac:dyDescent="0.3">
      <c r="B53" s="259">
        <f t="shared" si="0"/>
        <v>0</v>
      </c>
      <c r="D53" s="2" t="s">
        <v>1254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215">
        <v>0</v>
      </c>
      <c r="L53" s="215">
        <v>0</v>
      </c>
      <c r="M53" s="215">
        <v>0</v>
      </c>
      <c r="N53" s="215">
        <v>0</v>
      </c>
      <c r="O53" s="215">
        <v>0</v>
      </c>
      <c r="P53" s="215">
        <v>0</v>
      </c>
      <c r="Q53" s="215">
        <v>0</v>
      </c>
    </row>
    <row r="54" spans="2:17" x14ac:dyDescent="0.3">
      <c r="B54" s="259">
        <f t="shared" si="0"/>
        <v>218120.66041666665</v>
      </c>
      <c r="D54" s="2" t="s">
        <v>970</v>
      </c>
      <c r="E54" s="215">
        <v>0</v>
      </c>
      <c r="F54" s="215">
        <v>0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  <c r="O54" s="215">
        <v>0</v>
      </c>
      <c r="P54" s="215">
        <v>1509331.14</v>
      </c>
      <c r="Q54" s="215">
        <v>2216233.5700000003</v>
      </c>
    </row>
    <row r="55" spans="2:17" x14ac:dyDescent="0.3">
      <c r="B55" s="259">
        <f t="shared" si="0"/>
        <v>0</v>
      </c>
      <c r="D55" s="2" t="s">
        <v>1255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215">
        <v>0</v>
      </c>
      <c r="M55" s="215">
        <v>0</v>
      </c>
      <c r="N55" s="215">
        <v>0</v>
      </c>
      <c r="O55" s="215">
        <v>0</v>
      </c>
      <c r="P55" s="215">
        <v>0</v>
      </c>
      <c r="Q55" s="215">
        <v>0</v>
      </c>
    </row>
    <row r="56" spans="2:17" x14ac:dyDescent="0.3">
      <c r="B56" s="259">
        <f t="shared" si="0"/>
        <v>0</v>
      </c>
      <c r="D56" s="2" t="s">
        <v>1097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</row>
    <row r="57" spans="2:17" x14ac:dyDescent="0.3">
      <c r="B57" s="259">
        <f t="shared" si="0"/>
        <v>79437.521666666667</v>
      </c>
      <c r="D57" s="2" t="s">
        <v>885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215">
        <v>0</v>
      </c>
      <c r="O57" s="215">
        <v>0</v>
      </c>
      <c r="P57" s="215">
        <v>0</v>
      </c>
      <c r="Q57" s="215">
        <v>1906500.52</v>
      </c>
    </row>
    <row r="58" spans="2:17" x14ac:dyDescent="0.3">
      <c r="B58" s="259">
        <f t="shared" si="0"/>
        <v>0</v>
      </c>
      <c r="D58" s="2" t="s">
        <v>1256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  <c r="K58" s="215">
        <v>0</v>
      </c>
      <c r="L58" s="215">
        <v>0</v>
      </c>
      <c r="M58" s="215">
        <v>0</v>
      </c>
      <c r="N58" s="215">
        <v>0</v>
      </c>
      <c r="O58" s="215">
        <v>0</v>
      </c>
      <c r="P58" s="215">
        <v>0</v>
      </c>
      <c r="Q58" s="215">
        <v>0</v>
      </c>
    </row>
    <row r="59" spans="2:17" x14ac:dyDescent="0.3">
      <c r="B59" s="259">
        <f t="shared" si="0"/>
        <v>0</v>
      </c>
      <c r="D59" s="2" t="s">
        <v>1257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  <c r="O59" s="215">
        <v>0</v>
      </c>
      <c r="P59" s="215">
        <v>0</v>
      </c>
      <c r="Q59" s="215">
        <v>0</v>
      </c>
    </row>
    <row r="60" spans="2:17" x14ac:dyDescent="0.3">
      <c r="B60" s="259">
        <f t="shared" si="0"/>
        <v>0</v>
      </c>
      <c r="D60" s="2" t="s">
        <v>1099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  <c r="K60" s="215">
        <v>0</v>
      </c>
      <c r="L60" s="215">
        <v>0</v>
      </c>
      <c r="M60" s="215">
        <v>0</v>
      </c>
      <c r="N60" s="215">
        <v>0</v>
      </c>
      <c r="O60" s="215">
        <v>0</v>
      </c>
      <c r="P60" s="215">
        <v>0</v>
      </c>
      <c r="Q60" s="215">
        <v>0</v>
      </c>
    </row>
    <row r="61" spans="2:17" x14ac:dyDescent="0.3">
      <c r="B61" s="259">
        <f t="shared" si="0"/>
        <v>30022.076666666664</v>
      </c>
      <c r="D61" s="2" t="s">
        <v>972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  <c r="O61" s="215">
        <v>0</v>
      </c>
      <c r="P61" s="215">
        <v>230376.11</v>
      </c>
      <c r="Q61" s="215">
        <v>259777.62</v>
      </c>
    </row>
    <row r="62" spans="2:17" x14ac:dyDescent="0.3">
      <c r="B62" s="259">
        <f t="shared" si="0"/>
        <v>0</v>
      </c>
      <c r="D62" s="2" t="s">
        <v>1126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  <c r="J62" s="215">
        <v>0</v>
      </c>
      <c r="K62" s="215">
        <v>0</v>
      </c>
      <c r="L62" s="215">
        <v>0</v>
      </c>
      <c r="M62" s="215">
        <v>0</v>
      </c>
      <c r="N62" s="215">
        <v>0</v>
      </c>
      <c r="O62" s="215">
        <v>0</v>
      </c>
      <c r="P62" s="215">
        <v>0</v>
      </c>
      <c r="Q62" s="215">
        <v>0</v>
      </c>
    </row>
    <row r="63" spans="2:17" x14ac:dyDescent="0.3">
      <c r="B63" s="259">
        <f t="shared" si="0"/>
        <v>0</v>
      </c>
      <c r="D63" s="2" t="s">
        <v>1258</v>
      </c>
      <c r="E63" s="215">
        <v>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  <c r="K63" s="215">
        <v>0</v>
      </c>
      <c r="L63" s="215">
        <v>0</v>
      </c>
      <c r="M63" s="215">
        <v>0</v>
      </c>
      <c r="N63" s="215">
        <v>0</v>
      </c>
      <c r="O63" s="215">
        <v>0</v>
      </c>
      <c r="P63" s="215">
        <v>0</v>
      </c>
      <c r="Q63" s="215">
        <v>0</v>
      </c>
    </row>
    <row r="64" spans="2:17" x14ac:dyDescent="0.3">
      <c r="B64" s="259">
        <f t="shared" si="0"/>
        <v>0</v>
      </c>
      <c r="D64" s="2" t="s">
        <v>1259</v>
      </c>
      <c r="E64" s="215">
        <v>0</v>
      </c>
      <c r="F64" s="215">
        <v>0</v>
      </c>
      <c r="G64" s="215">
        <v>0</v>
      </c>
      <c r="H64" s="215">
        <v>0</v>
      </c>
      <c r="I64" s="215">
        <v>0</v>
      </c>
      <c r="J64" s="215">
        <v>0</v>
      </c>
      <c r="K64" s="215">
        <v>0</v>
      </c>
      <c r="L64" s="215">
        <v>0</v>
      </c>
      <c r="M64" s="215">
        <v>0</v>
      </c>
      <c r="N64" s="215">
        <v>0</v>
      </c>
      <c r="O64" s="215">
        <v>0</v>
      </c>
      <c r="P64" s="215">
        <v>0</v>
      </c>
      <c r="Q64" s="215">
        <v>0</v>
      </c>
    </row>
    <row r="65" spans="2:17" x14ac:dyDescent="0.3">
      <c r="B65" s="259">
        <f t="shared" si="0"/>
        <v>0</v>
      </c>
      <c r="D65" s="2" t="s">
        <v>1260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215">
        <v>0</v>
      </c>
      <c r="K65" s="215">
        <v>0</v>
      </c>
      <c r="L65" s="215">
        <v>0</v>
      </c>
      <c r="M65" s="215">
        <v>0</v>
      </c>
      <c r="N65" s="215">
        <v>0</v>
      </c>
      <c r="O65" s="215">
        <v>0</v>
      </c>
      <c r="P65" s="215">
        <v>0</v>
      </c>
      <c r="Q65" s="215">
        <v>0</v>
      </c>
    </row>
    <row r="66" spans="2:17" x14ac:dyDescent="0.3">
      <c r="B66" s="259">
        <f t="shared" si="0"/>
        <v>8794.3408333333336</v>
      </c>
      <c r="D66" s="2" t="s">
        <v>974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  <c r="K66" s="215">
        <v>0</v>
      </c>
      <c r="L66" s="215">
        <v>0</v>
      </c>
      <c r="M66" s="215">
        <v>0</v>
      </c>
      <c r="N66" s="215">
        <v>0</v>
      </c>
      <c r="O66" s="215">
        <v>0</v>
      </c>
      <c r="P66" s="215">
        <v>0</v>
      </c>
      <c r="Q66" s="215">
        <v>211064.18</v>
      </c>
    </row>
    <row r="67" spans="2:17" x14ac:dyDescent="0.3">
      <c r="B67" s="259">
        <f t="shared" si="0"/>
        <v>0</v>
      </c>
      <c r="D67" s="2" t="s">
        <v>1261</v>
      </c>
      <c r="E67" s="215">
        <v>0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  <c r="K67" s="215">
        <v>0</v>
      </c>
      <c r="L67" s="215">
        <v>0</v>
      </c>
      <c r="M67" s="215">
        <v>0</v>
      </c>
      <c r="N67" s="215">
        <v>0</v>
      </c>
      <c r="O67" s="215">
        <v>0</v>
      </c>
      <c r="P67" s="215">
        <v>0</v>
      </c>
      <c r="Q67" s="215">
        <v>0</v>
      </c>
    </row>
    <row r="68" spans="2:17" x14ac:dyDescent="0.3">
      <c r="B68" s="259">
        <f t="shared" si="0"/>
        <v>0</v>
      </c>
      <c r="D68" s="2" t="s">
        <v>1262</v>
      </c>
      <c r="E68" s="215">
        <v>0</v>
      </c>
      <c r="F68" s="215">
        <v>0</v>
      </c>
      <c r="G68" s="215">
        <v>0</v>
      </c>
      <c r="H68" s="215">
        <v>0</v>
      </c>
      <c r="I68" s="215">
        <v>0</v>
      </c>
      <c r="J68" s="215">
        <v>0</v>
      </c>
      <c r="K68" s="215">
        <v>0</v>
      </c>
      <c r="L68" s="215">
        <v>0</v>
      </c>
      <c r="M68" s="215">
        <v>0</v>
      </c>
      <c r="N68" s="215">
        <v>0</v>
      </c>
      <c r="O68" s="215">
        <v>0</v>
      </c>
      <c r="P68" s="215">
        <v>0</v>
      </c>
      <c r="Q68" s="215">
        <v>0</v>
      </c>
    </row>
    <row r="69" spans="2:17" x14ac:dyDescent="0.3">
      <c r="B69" s="259">
        <f t="shared" si="0"/>
        <v>0</v>
      </c>
      <c r="D69" s="2" t="s">
        <v>1263</v>
      </c>
      <c r="E69" s="215">
        <v>0</v>
      </c>
      <c r="F69" s="215">
        <v>0</v>
      </c>
      <c r="G69" s="215">
        <v>0</v>
      </c>
      <c r="H69" s="215">
        <v>0</v>
      </c>
      <c r="I69" s="215">
        <v>0</v>
      </c>
      <c r="J69" s="215">
        <v>0</v>
      </c>
      <c r="K69" s="215">
        <v>0</v>
      </c>
      <c r="L69" s="215">
        <v>0</v>
      </c>
      <c r="M69" s="215">
        <v>0</v>
      </c>
      <c r="N69" s="215">
        <v>0</v>
      </c>
      <c r="O69" s="215">
        <v>0</v>
      </c>
      <c r="P69" s="215">
        <v>0</v>
      </c>
      <c r="Q69" s="215">
        <v>0</v>
      </c>
    </row>
    <row r="70" spans="2:17" x14ac:dyDescent="0.3">
      <c r="B70" s="259">
        <f t="shared" si="0"/>
        <v>0</v>
      </c>
      <c r="D70" s="2" t="s">
        <v>1264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  <c r="K70" s="215">
        <v>0</v>
      </c>
      <c r="L70" s="215">
        <v>0</v>
      </c>
      <c r="M70" s="215">
        <v>0</v>
      </c>
      <c r="N70" s="215">
        <v>0</v>
      </c>
      <c r="O70" s="215">
        <v>0</v>
      </c>
      <c r="P70" s="215">
        <v>0</v>
      </c>
      <c r="Q70" s="215">
        <v>0</v>
      </c>
    </row>
    <row r="71" spans="2:17" x14ac:dyDescent="0.3">
      <c r="B71" s="259">
        <f t="shared" ref="B71:B134" si="1">(E71+Q71+SUM(F71:P71)*2)/24</f>
        <v>0</v>
      </c>
      <c r="D71" s="2" t="s">
        <v>1265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  <c r="K71" s="215">
        <v>0</v>
      </c>
      <c r="L71" s="215">
        <v>0</v>
      </c>
      <c r="M71" s="215">
        <v>0</v>
      </c>
      <c r="N71" s="215">
        <v>0</v>
      </c>
      <c r="O71" s="215">
        <v>0</v>
      </c>
      <c r="P71" s="215">
        <v>0</v>
      </c>
      <c r="Q71" s="215">
        <v>0</v>
      </c>
    </row>
    <row r="72" spans="2:17" x14ac:dyDescent="0.3">
      <c r="B72" s="259">
        <f t="shared" si="1"/>
        <v>2675060.2458333331</v>
      </c>
      <c r="D72" s="2" t="s">
        <v>220</v>
      </c>
      <c r="E72" s="215">
        <v>2682734.14</v>
      </c>
      <c r="F72" s="215">
        <v>2672875.9300000002</v>
      </c>
      <c r="G72" s="215">
        <v>2673105.67</v>
      </c>
      <c r="H72" s="215">
        <v>2672736.56</v>
      </c>
      <c r="I72" s="215">
        <v>2667716.08</v>
      </c>
      <c r="J72" s="215">
        <v>2694126.85</v>
      </c>
      <c r="K72" s="215">
        <v>2673143.63</v>
      </c>
      <c r="L72" s="215">
        <v>2673214.54</v>
      </c>
      <c r="M72" s="215">
        <v>2673171.67</v>
      </c>
      <c r="N72" s="215">
        <v>2673781.77</v>
      </c>
      <c r="O72" s="215">
        <v>2674278.1</v>
      </c>
      <c r="P72" s="215">
        <v>2674136.7200000002</v>
      </c>
      <c r="Q72" s="215">
        <v>2674136.7200000002</v>
      </c>
    </row>
    <row r="73" spans="2:17" x14ac:dyDescent="0.3">
      <c r="B73" s="259">
        <f t="shared" si="1"/>
        <v>52906.339166666665</v>
      </c>
      <c r="D73" s="2" t="s">
        <v>887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0</v>
      </c>
      <c r="K73" s="215">
        <v>0</v>
      </c>
      <c r="L73" s="215">
        <v>0</v>
      </c>
      <c r="M73" s="215">
        <v>0</v>
      </c>
      <c r="N73" s="215">
        <v>0</v>
      </c>
      <c r="O73" s="215">
        <v>0</v>
      </c>
      <c r="P73" s="215">
        <v>0</v>
      </c>
      <c r="Q73" s="215">
        <v>1269752.1399999999</v>
      </c>
    </row>
    <row r="74" spans="2:17" x14ac:dyDescent="0.3">
      <c r="B74" s="259">
        <f t="shared" si="1"/>
        <v>71229.444583333345</v>
      </c>
      <c r="D74" s="2" t="s">
        <v>222</v>
      </c>
      <c r="E74" s="215">
        <v>70001.81</v>
      </c>
      <c r="F74" s="215">
        <v>71282.820000000007</v>
      </c>
      <c r="G74" s="215">
        <v>71282.820000000007</v>
      </c>
      <c r="H74" s="215">
        <v>71282.820000000007</v>
      </c>
      <c r="I74" s="215">
        <v>71282.820000000007</v>
      </c>
      <c r="J74" s="215">
        <v>71282.820000000007</v>
      </c>
      <c r="K74" s="215">
        <v>71282.820000000007</v>
      </c>
      <c r="L74" s="215">
        <v>71282.820000000007</v>
      </c>
      <c r="M74" s="215">
        <v>71282.820000000007</v>
      </c>
      <c r="N74" s="215">
        <v>71282.820000000007</v>
      </c>
      <c r="O74" s="215">
        <v>71282.820000000007</v>
      </c>
      <c r="P74" s="215">
        <v>71282.820000000007</v>
      </c>
      <c r="Q74" s="215">
        <v>71282.820000000007</v>
      </c>
    </row>
    <row r="75" spans="2:17" x14ac:dyDescent="0.3">
      <c r="B75" s="259">
        <f t="shared" si="1"/>
        <v>362316.26833333331</v>
      </c>
      <c r="D75" s="2" t="s">
        <v>224</v>
      </c>
      <c r="E75" s="215">
        <v>361022.92000000004</v>
      </c>
      <c r="F75" s="215">
        <v>362951.06000000006</v>
      </c>
      <c r="G75" s="215">
        <v>362317.4</v>
      </c>
      <c r="H75" s="215">
        <v>362317.4</v>
      </c>
      <c r="I75" s="215">
        <v>362317.4</v>
      </c>
      <c r="J75" s="215">
        <v>362317.4</v>
      </c>
      <c r="K75" s="215">
        <v>362317.4</v>
      </c>
      <c r="L75" s="215">
        <v>362317.4</v>
      </c>
      <c r="M75" s="215">
        <v>362317.4</v>
      </c>
      <c r="N75" s="215">
        <v>362317.4</v>
      </c>
      <c r="O75" s="215">
        <v>362317.4</v>
      </c>
      <c r="P75" s="215">
        <v>362317.4</v>
      </c>
      <c r="Q75" s="215">
        <v>362317.4</v>
      </c>
    </row>
    <row r="76" spans="2:17" x14ac:dyDescent="0.3">
      <c r="B76" s="259">
        <f t="shared" si="1"/>
        <v>0</v>
      </c>
      <c r="D76" s="2" t="s">
        <v>1128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  <c r="K76" s="215">
        <v>0</v>
      </c>
      <c r="L76" s="215">
        <v>0</v>
      </c>
      <c r="M76" s="215">
        <v>0</v>
      </c>
      <c r="N76" s="215">
        <v>0</v>
      </c>
      <c r="O76" s="215">
        <v>0</v>
      </c>
      <c r="P76" s="215">
        <v>0</v>
      </c>
      <c r="Q76" s="215">
        <v>0</v>
      </c>
    </row>
    <row r="77" spans="2:17" x14ac:dyDescent="0.3">
      <c r="B77" s="259">
        <f t="shared" si="1"/>
        <v>0</v>
      </c>
      <c r="D77" s="2" t="s">
        <v>1266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  <c r="K77" s="215">
        <v>0</v>
      </c>
      <c r="L77" s="215">
        <v>0</v>
      </c>
      <c r="M77" s="215">
        <v>0</v>
      </c>
      <c r="N77" s="215">
        <v>0</v>
      </c>
      <c r="O77" s="215">
        <v>0</v>
      </c>
      <c r="P77" s="215">
        <v>0</v>
      </c>
      <c r="Q77" s="215">
        <v>0</v>
      </c>
    </row>
    <row r="78" spans="2:17" x14ac:dyDescent="0.3">
      <c r="B78" s="259">
        <f t="shared" si="1"/>
        <v>0</v>
      </c>
      <c r="D78" s="2" t="s">
        <v>1267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  <c r="J78" s="215">
        <v>0</v>
      </c>
      <c r="K78" s="215">
        <v>0</v>
      </c>
      <c r="L78" s="215">
        <v>0</v>
      </c>
      <c r="M78" s="215">
        <v>0</v>
      </c>
      <c r="N78" s="215">
        <v>0</v>
      </c>
      <c r="O78" s="215">
        <v>0</v>
      </c>
      <c r="P78" s="215">
        <v>0</v>
      </c>
      <c r="Q78" s="215">
        <v>0</v>
      </c>
    </row>
    <row r="79" spans="2:17" x14ac:dyDescent="0.3">
      <c r="B79" s="259">
        <f t="shared" si="1"/>
        <v>0</v>
      </c>
      <c r="D79" s="2" t="s">
        <v>1268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  <c r="K79" s="215">
        <v>0</v>
      </c>
      <c r="L79" s="215">
        <v>0</v>
      </c>
      <c r="M79" s="215">
        <v>0</v>
      </c>
      <c r="N79" s="215">
        <v>0</v>
      </c>
      <c r="O79" s="215">
        <v>0</v>
      </c>
      <c r="P79" s="215">
        <v>0</v>
      </c>
      <c r="Q79" s="215">
        <v>0</v>
      </c>
    </row>
    <row r="80" spans="2:17" x14ac:dyDescent="0.3">
      <c r="B80" s="259">
        <f t="shared" si="1"/>
        <v>5151276.1262500007</v>
      </c>
      <c r="D80" s="2" t="s">
        <v>226</v>
      </c>
      <c r="E80" s="215">
        <v>5151685.43</v>
      </c>
      <c r="F80" s="215">
        <v>5151685.43</v>
      </c>
      <c r="G80" s="215">
        <v>5151317.92</v>
      </c>
      <c r="H80" s="215">
        <v>5151207.0999999996</v>
      </c>
      <c r="I80" s="215">
        <v>5151207.0999999996</v>
      </c>
      <c r="J80" s="215">
        <v>5151207.0999999996</v>
      </c>
      <c r="K80" s="215">
        <v>5151207.0999999996</v>
      </c>
      <c r="L80" s="215">
        <v>5151207.0999999996</v>
      </c>
      <c r="M80" s="215">
        <v>5151207.0999999996</v>
      </c>
      <c r="N80" s="215">
        <v>5151207.0999999996</v>
      </c>
      <c r="O80" s="215">
        <v>5151207.0999999996</v>
      </c>
      <c r="P80" s="215">
        <v>5151207.0999999996</v>
      </c>
      <c r="Q80" s="215">
        <v>5151207.0999999996</v>
      </c>
    </row>
    <row r="81" spans="2:17" x14ac:dyDescent="0.3">
      <c r="B81" s="259">
        <f t="shared" si="1"/>
        <v>2962704.6841666666</v>
      </c>
      <c r="D81" s="2" t="s">
        <v>228</v>
      </c>
      <c r="E81" s="215">
        <v>1802364.33</v>
      </c>
      <c r="F81" s="215">
        <v>1802364.33</v>
      </c>
      <c r="G81" s="215">
        <v>1802364.33</v>
      </c>
      <c r="H81" s="215">
        <v>1802364.33</v>
      </c>
      <c r="I81" s="215">
        <v>1802364.33</v>
      </c>
      <c r="J81" s="215">
        <v>1802364.33</v>
      </c>
      <c r="K81" s="215">
        <v>3933620.86</v>
      </c>
      <c r="L81" s="215">
        <v>3938626.29</v>
      </c>
      <c r="M81" s="215">
        <v>3939110.2</v>
      </c>
      <c r="N81" s="215">
        <v>3947426.5300000003</v>
      </c>
      <c r="O81" s="215">
        <v>3952481.53</v>
      </c>
      <c r="P81" s="215">
        <v>3952008.41</v>
      </c>
      <c r="Q81" s="215">
        <v>3952357.15</v>
      </c>
    </row>
    <row r="82" spans="2:17" x14ac:dyDescent="0.3">
      <c r="B82" s="259">
        <f t="shared" si="1"/>
        <v>0</v>
      </c>
      <c r="D82" s="2" t="s">
        <v>1131</v>
      </c>
      <c r="E82" s="215">
        <v>0</v>
      </c>
      <c r="F82" s="215">
        <v>0</v>
      </c>
      <c r="G82" s="215">
        <v>0</v>
      </c>
      <c r="H82" s="215">
        <v>0</v>
      </c>
      <c r="I82" s="215">
        <v>0</v>
      </c>
      <c r="J82" s="215">
        <v>0</v>
      </c>
      <c r="K82" s="215">
        <v>0</v>
      </c>
      <c r="L82" s="215">
        <v>0</v>
      </c>
      <c r="M82" s="215">
        <v>0</v>
      </c>
      <c r="N82" s="215">
        <v>0</v>
      </c>
      <c r="O82" s="215">
        <v>0</v>
      </c>
      <c r="P82" s="215">
        <v>0</v>
      </c>
      <c r="Q82" s="215">
        <v>0</v>
      </c>
    </row>
    <row r="83" spans="2:17" x14ac:dyDescent="0.3">
      <c r="B83" s="259">
        <f t="shared" si="1"/>
        <v>11615.397916666667</v>
      </c>
      <c r="D83" s="2" t="s">
        <v>1269</v>
      </c>
      <c r="E83" s="215">
        <v>0</v>
      </c>
      <c r="F83" s="215">
        <v>0</v>
      </c>
      <c r="G83" s="215">
        <v>0</v>
      </c>
      <c r="H83" s="215">
        <v>0</v>
      </c>
      <c r="I83" s="215">
        <v>0</v>
      </c>
      <c r="J83" s="215">
        <v>0</v>
      </c>
      <c r="K83" s="215">
        <v>0</v>
      </c>
      <c r="L83" s="215">
        <v>0</v>
      </c>
      <c r="M83" s="215">
        <v>0</v>
      </c>
      <c r="N83" s="215">
        <v>0</v>
      </c>
      <c r="O83" s="215">
        <v>0</v>
      </c>
      <c r="P83" s="215">
        <v>0</v>
      </c>
      <c r="Q83" s="215">
        <v>278769.55</v>
      </c>
    </row>
    <row r="84" spans="2:17" x14ac:dyDescent="0.3">
      <c r="B84" s="259">
        <f t="shared" si="1"/>
        <v>113109.25</v>
      </c>
      <c r="D84" s="2" t="s">
        <v>889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  <c r="K84" s="215">
        <v>0</v>
      </c>
      <c r="L84" s="215">
        <v>0</v>
      </c>
      <c r="M84" s="215">
        <v>0</v>
      </c>
      <c r="N84" s="215">
        <v>0</v>
      </c>
      <c r="O84" s="215">
        <v>0</v>
      </c>
      <c r="P84" s="215">
        <v>0</v>
      </c>
      <c r="Q84" s="215">
        <v>2714622</v>
      </c>
    </row>
    <row r="85" spans="2:17" x14ac:dyDescent="0.3">
      <c r="B85" s="259">
        <f t="shared" si="1"/>
        <v>0</v>
      </c>
      <c r="D85" s="2" t="s">
        <v>1133</v>
      </c>
      <c r="E85" s="215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  <c r="K85" s="215">
        <v>0</v>
      </c>
      <c r="L85" s="215">
        <v>0</v>
      </c>
      <c r="M85" s="215">
        <v>0</v>
      </c>
      <c r="N85" s="215">
        <v>0</v>
      </c>
      <c r="O85" s="215">
        <v>0</v>
      </c>
      <c r="P85" s="215">
        <v>0</v>
      </c>
      <c r="Q85" s="215">
        <v>0</v>
      </c>
    </row>
    <row r="86" spans="2:17" x14ac:dyDescent="0.3">
      <c r="B86" s="259">
        <f t="shared" si="1"/>
        <v>0</v>
      </c>
      <c r="D86" s="2" t="s">
        <v>1270</v>
      </c>
      <c r="E86" s="215">
        <v>0</v>
      </c>
      <c r="F86" s="215">
        <v>0</v>
      </c>
      <c r="G86" s="215">
        <v>0</v>
      </c>
      <c r="H86" s="215">
        <v>0</v>
      </c>
      <c r="I86" s="215">
        <v>0</v>
      </c>
      <c r="J86" s="215">
        <v>0</v>
      </c>
      <c r="K86" s="215">
        <v>0</v>
      </c>
      <c r="L86" s="215">
        <v>0</v>
      </c>
      <c r="M86" s="215">
        <v>0</v>
      </c>
      <c r="N86" s="215">
        <v>0</v>
      </c>
      <c r="O86" s="215">
        <v>0</v>
      </c>
      <c r="P86" s="215">
        <v>0</v>
      </c>
      <c r="Q86" s="215">
        <v>0</v>
      </c>
    </row>
    <row r="87" spans="2:17" x14ac:dyDescent="0.3">
      <c r="B87" s="259">
        <f t="shared" si="1"/>
        <v>0</v>
      </c>
      <c r="D87" s="2" t="s">
        <v>1271</v>
      </c>
      <c r="E87" s="215">
        <v>0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  <c r="K87" s="215">
        <v>0</v>
      </c>
      <c r="L87" s="215">
        <v>0</v>
      </c>
      <c r="M87" s="215">
        <v>0</v>
      </c>
      <c r="N87" s="215">
        <v>0</v>
      </c>
      <c r="O87" s="215">
        <v>0</v>
      </c>
      <c r="P87" s="215">
        <v>0</v>
      </c>
      <c r="Q87" s="215">
        <v>0</v>
      </c>
    </row>
    <row r="88" spans="2:17" x14ac:dyDescent="0.3">
      <c r="B88" s="259">
        <f t="shared" si="1"/>
        <v>0</v>
      </c>
      <c r="D88" s="2" t="s">
        <v>1272</v>
      </c>
      <c r="E88" s="215">
        <v>0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  <c r="K88" s="215">
        <v>0</v>
      </c>
      <c r="L88" s="215">
        <v>0</v>
      </c>
      <c r="M88" s="215">
        <v>0</v>
      </c>
      <c r="N88" s="215">
        <v>0</v>
      </c>
      <c r="O88" s="215">
        <v>0</v>
      </c>
      <c r="P88" s="215">
        <v>0</v>
      </c>
      <c r="Q88" s="215">
        <v>0</v>
      </c>
    </row>
    <row r="89" spans="2:17" x14ac:dyDescent="0.3">
      <c r="B89" s="259">
        <f t="shared" si="1"/>
        <v>134559.59</v>
      </c>
      <c r="D89" s="2" t="s">
        <v>978</v>
      </c>
      <c r="E89" s="215">
        <v>0</v>
      </c>
      <c r="F89" s="215">
        <v>0</v>
      </c>
      <c r="G89" s="215">
        <v>0</v>
      </c>
      <c r="H89" s="215">
        <v>0</v>
      </c>
      <c r="I89" s="215">
        <v>0</v>
      </c>
      <c r="J89" s="215">
        <v>0</v>
      </c>
      <c r="K89" s="215">
        <v>0</v>
      </c>
      <c r="L89" s="215">
        <v>0</v>
      </c>
      <c r="M89" s="215">
        <v>0</v>
      </c>
      <c r="N89" s="215">
        <v>0</v>
      </c>
      <c r="O89" s="215">
        <v>0</v>
      </c>
      <c r="P89" s="215">
        <v>0</v>
      </c>
      <c r="Q89" s="215">
        <v>3229430.16</v>
      </c>
    </row>
    <row r="90" spans="2:17" x14ac:dyDescent="0.3">
      <c r="B90" s="259">
        <f t="shared" si="1"/>
        <v>539823.54</v>
      </c>
      <c r="D90" s="2" t="s">
        <v>1273</v>
      </c>
      <c r="E90" s="215">
        <v>539823.54</v>
      </c>
      <c r="F90" s="215">
        <v>539823.54</v>
      </c>
      <c r="G90" s="215">
        <v>539823.54</v>
      </c>
      <c r="H90" s="215">
        <v>539823.54</v>
      </c>
      <c r="I90" s="215">
        <v>539823.54</v>
      </c>
      <c r="J90" s="215">
        <v>539823.54</v>
      </c>
      <c r="K90" s="215">
        <v>539823.54</v>
      </c>
      <c r="L90" s="215">
        <v>539823.54</v>
      </c>
      <c r="M90" s="215">
        <v>539823.54</v>
      </c>
      <c r="N90" s="215">
        <v>539823.54</v>
      </c>
      <c r="O90" s="215">
        <v>539823.54</v>
      </c>
      <c r="P90" s="215">
        <v>539823.54</v>
      </c>
      <c r="Q90" s="215">
        <v>539823.54</v>
      </c>
    </row>
    <row r="91" spans="2:17" x14ac:dyDescent="0.3">
      <c r="B91" s="259">
        <f t="shared" si="1"/>
        <v>0</v>
      </c>
      <c r="D91" s="2" t="s">
        <v>1274</v>
      </c>
      <c r="E91" s="215">
        <v>0</v>
      </c>
      <c r="F91" s="215">
        <v>0</v>
      </c>
      <c r="G91" s="215">
        <v>0</v>
      </c>
      <c r="H91" s="215">
        <v>0</v>
      </c>
      <c r="I91" s="215">
        <v>0</v>
      </c>
      <c r="J91" s="215">
        <v>0</v>
      </c>
      <c r="K91" s="215">
        <v>0</v>
      </c>
      <c r="L91" s="215">
        <v>0</v>
      </c>
      <c r="M91" s="215">
        <v>0</v>
      </c>
      <c r="N91" s="215">
        <v>0</v>
      </c>
      <c r="O91" s="215">
        <v>0</v>
      </c>
      <c r="P91" s="215">
        <v>0</v>
      </c>
      <c r="Q91" s="215">
        <v>0</v>
      </c>
    </row>
    <row r="92" spans="2:17" x14ac:dyDescent="0.3">
      <c r="B92" s="259">
        <f t="shared" si="1"/>
        <v>63922.993333333339</v>
      </c>
      <c r="D92" s="2" t="s">
        <v>980</v>
      </c>
      <c r="E92" s="215">
        <v>0</v>
      </c>
      <c r="F92" s="215">
        <v>0</v>
      </c>
      <c r="G92" s="215">
        <v>0</v>
      </c>
      <c r="H92" s="215">
        <v>0</v>
      </c>
      <c r="I92" s="215">
        <v>0</v>
      </c>
      <c r="J92" s="215">
        <v>0</v>
      </c>
      <c r="K92" s="215">
        <v>0</v>
      </c>
      <c r="L92" s="215">
        <v>0</v>
      </c>
      <c r="M92" s="215">
        <v>0</v>
      </c>
      <c r="N92" s="215">
        <v>0</v>
      </c>
      <c r="O92" s="215">
        <v>0</v>
      </c>
      <c r="P92" s="215">
        <v>0</v>
      </c>
      <c r="Q92" s="215">
        <v>1534151.84</v>
      </c>
    </row>
    <row r="93" spans="2:17" x14ac:dyDescent="0.3">
      <c r="B93" s="259">
        <f t="shared" si="1"/>
        <v>17850.450416666667</v>
      </c>
      <c r="D93" s="2" t="s">
        <v>982</v>
      </c>
      <c r="E93" s="215">
        <v>0</v>
      </c>
      <c r="F93" s="215">
        <v>0</v>
      </c>
      <c r="G93" s="215">
        <v>0</v>
      </c>
      <c r="H93" s="215">
        <v>0</v>
      </c>
      <c r="I93" s="215">
        <v>0</v>
      </c>
      <c r="J93" s="215">
        <v>0</v>
      </c>
      <c r="K93" s="215">
        <v>0</v>
      </c>
      <c r="L93" s="215">
        <v>0</v>
      </c>
      <c r="M93" s="215">
        <v>0</v>
      </c>
      <c r="N93" s="215">
        <v>0</v>
      </c>
      <c r="O93" s="215">
        <v>0</v>
      </c>
      <c r="P93" s="215">
        <v>142257.35</v>
      </c>
      <c r="Q93" s="215">
        <v>143896.10999999999</v>
      </c>
    </row>
    <row r="94" spans="2:17" x14ac:dyDescent="0.3">
      <c r="B94" s="259">
        <f t="shared" si="1"/>
        <v>0</v>
      </c>
      <c r="D94" s="2" t="s">
        <v>1135</v>
      </c>
      <c r="E94" s="215">
        <v>0</v>
      </c>
      <c r="F94" s="215">
        <v>0</v>
      </c>
      <c r="G94" s="215">
        <v>0</v>
      </c>
      <c r="H94" s="215">
        <v>0</v>
      </c>
      <c r="I94" s="215">
        <v>0</v>
      </c>
      <c r="J94" s="215">
        <v>0</v>
      </c>
      <c r="K94" s="215">
        <v>0</v>
      </c>
      <c r="L94" s="215">
        <v>0</v>
      </c>
      <c r="M94" s="215">
        <v>0</v>
      </c>
      <c r="N94" s="215">
        <v>0</v>
      </c>
      <c r="O94" s="215">
        <v>0</v>
      </c>
      <c r="P94" s="215">
        <v>0</v>
      </c>
      <c r="Q94" s="215">
        <v>0</v>
      </c>
    </row>
    <row r="95" spans="2:17" x14ac:dyDescent="0.3">
      <c r="B95" s="259">
        <f t="shared" si="1"/>
        <v>178947.58666666667</v>
      </c>
      <c r="D95" s="2" t="s">
        <v>891</v>
      </c>
      <c r="E95" s="215">
        <v>0</v>
      </c>
      <c r="F95" s="215">
        <v>0</v>
      </c>
      <c r="G95" s="215">
        <v>0</v>
      </c>
      <c r="H95" s="215">
        <v>0</v>
      </c>
      <c r="I95" s="215">
        <v>0</v>
      </c>
      <c r="J95" s="215">
        <v>0</v>
      </c>
      <c r="K95" s="215">
        <v>0</v>
      </c>
      <c r="L95" s="215">
        <v>0</v>
      </c>
      <c r="M95" s="215">
        <v>0</v>
      </c>
      <c r="N95" s="215">
        <v>0</v>
      </c>
      <c r="O95" s="215">
        <v>0</v>
      </c>
      <c r="P95" s="215">
        <v>0</v>
      </c>
      <c r="Q95" s="215">
        <v>4294742.08</v>
      </c>
    </row>
    <row r="96" spans="2:17" x14ac:dyDescent="0.3">
      <c r="B96" s="259">
        <f t="shared" si="1"/>
        <v>0</v>
      </c>
      <c r="D96" s="2" t="s">
        <v>1137</v>
      </c>
      <c r="E96" s="215">
        <v>0</v>
      </c>
      <c r="F96" s="215">
        <v>0</v>
      </c>
      <c r="G96" s="215">
        <v>0</v>
      </c>
      <c r="H96" s="215">
        <v>0</v>
      </c>
      <c r="I96" s="215">
        <v>0</v>
      </c>
      <c r="J96" s="215">
        <v>0</v>
      </c>
      <c r="K96" s="215">
        <v>0</v>
      </c>
      <c r="L96" s="215">
        <v>0</v>
      </c>
      <c r="M96" s="215">
        <v>0</v>
      </c>
      <c r="N96" s="215">
        <v>0</v>
      </c>
      <c r="O96" s="215">
        <v>0</v>
      </c>
      <c r="P96" s="215">
        <v>0</v>
      </c>
      <c r="Q96" s="215">
        <v>0</v>
      </c>
    </row>
    <row r="97" spans="2:17" x14ac:dyDescent="0.3">
      <c r="B97" s="259">
        <f t="shared" si="1"/>
        <v>39369.952499999999</v>
      </c>
      <c r="D97" s="2" t="s">
        <v>984</v>
      </c>
      <c r="E97" s="215">
        <v>0</v>
      </c>
      <c r="F97" s="215">
        <v>0</v>
      </c>
      <c r="G97" s="215">
        <v>0</v>
      </c>
      <c r="H97" s="215">
        <v>0</v>
      </c>
      <c r="I97" s="215">
        <v>0</v>
      </c>
      <c r="J97" s="215">
        <v>0</v>
      </c>
      <c r="K97" s="215">
        <v>0</v>
      </c>
      <c r="L97" s="215">
        <v>0</v>
      </c>
      <c r="M97" s="215">
        <v>0</v>
      </c>
      <c r="N97" s="215">
        <v>0</v>
      </c>
      <c r="O97" s="215">
        <v>0</v>
      </c>
      <c r="P97" s="215">
        <v>0</v>
      </c>
      <c r="Q97" s="215">
        <v>944878.86</v>
      </c>
    </row>
    <row r="98" spans="2:17" x14ac:dyDescent="0.3">
      <c r="B98" s="259">
        <f t="shared" si="1"/>
        <v>0</v>
      </c>
      <c r="D98" s="2" t="s">
        <v>1139</v>
      </c>
      <c r="E98" s="215">
        <v>0</v>
      </c>
      <c r="F98" s="215">
        <v>0</v>
      </c>
      <c r="G98" s="215">
        <v>0</v>
      </c>
      <c r="H98" s="215">
        <v>0</v>
      </c>
      <c r="I98" s="215">
        <v>0</v>
      </c>
      <c r="J98" s="215">
        <v>0</v>
      </c>
      <c r="K98" s="215">
        <v>0</v>
      </c>
      <c r="L98" s="215">
        <v>0</v>
      </c>
      <c r="M98" s="215">
        <v>0</v>
      </c>
      <c r="N98" s="215">
        <v>0</v>
      </c>
      <c r="O98" s="215">
        <v>0</v>
      </c>
      <c r="P98" s="215">
        <v>0</v>
      </c>
      <c r="Q98" s="215">
        <v>0</v>
      </c>
    </row>
    <row r="99" spans="2:17" x14ac:dyDescent="0.3">
      <c r="B99" s="259">
        <f t="shared" si="1"/>
        <v>0</v>
      </c>
      <c r="D99" s="2" t="s">
        <v>1275</v>
      </c>
      <c r="E99" s="215">
        <v>0</v>
      </c>
      <c r="F99" s="215">
        <v>0</v>
      </c>
      <c r="G99" s="215">
        <v>0</v>
      </c>
      <c r="H99" s="215">
        <v>0</v>
      </c>
      <c r="I99" s="215">
        <v>0</v>
      </c>
      <c r="J99" s="215">
        <v>0</v>
      </c>
      <c r="K99" s="215">
        <v>0</v>
      </c>
      <c r="L99" s="215">
        <v>0</v>
      </c>
      <c r="M99" s="215">
        <v>0</v>
      </c>
      <c r="N99" s="215">
        <v>0</v>
      </c>
      <c r="O99" s="215">
        <v>0</v>
      </c>
      <c r="P99" s="215">
        <v>0</v>
      </c>
      <c r="Q99" s="215">
        <v>0</v>
      </c>
    </row>
    <row r="100" spans="2:17" x14ac:dyDescent="0.3">
      <c r="B100" s="259">
        <f t="shared" si="1"/>
        <v>0</v>
      </c>
      <c r="D100" s="2" t="s">
        <v>1276</v>
      </c>
      <c r="E100" s="215">
        <v>0</v>
      </c>
      <c r="F100" s="215">
        <v>0</v>
      </c>
      <c r="G100" s="215">
        <v>0</v>
      </c>
      <c r="H100" s="215">
        <v>0</v>
      </c>
      <c r="I100" s="215">
        <v>0</v>
      </c>
      <c r="J100" s="215">
        <v>0</v>
      </c>
      <c r="K100" s="215">
        <v>0</v>
      </c>
      <c r="L100" s="215">
        <v>0</v>
      </c>
      <c r="M100" s="215">
        <v>0</v>
      </c>
      <c r="N100" s="215">
        <v>0</v>
      </c>
      <c r="O100" s="215">
        <v>0</v>
      </c>
      <c r="P100" s="215">
        <v>0</v>
      </c>
      <c r="Q100" s="215">
        <v>0</v>
      </c>
    </row>
    <row r="101" spans="2:17" x14ac:dyDescent="0.3">
      <c r="B101" s="259">
        <f t="shared" si="1"/>
        <v>0</v>
      </c>
      <c r="D101" s="2" t="s">
        <v>1277</v>
      </c>
      <c r="E101" s="215">
        <v>0</v>
      </c>
      <c r="F101" s="215">
        <v>0</v>
      </c>
      <c r="G101" s="215">
        <v>0</v>
      </c>
      <c r="H101" s="215">
        <v>0</v>
      </c>
      <c r="I101" s="215">
        <v>0</v>
      </c>
      <c r="J101" s="215">
        <v>0</v>
      </c>
      <c r="K101" s="215">
        <v>0</v>
      </c>
      <c r="L101" s="215">
        <v>0</v>
      </c>
      <c r="M101" s="215">
        <v>0</v>
      </c>
      <c r="N101" s="215">
        <v>0</v>
      </c>
      <c r="O101" s="215">
        <v>0</v>
      </c>
      <c r="P101" s="215">
        <v>0</v>
      </c>
      <c r="Q101" s="215">
        <v>0</v>
      </c>
    </row>
    <row r="102" spans="2:17" x14ac:dyDescent="0.3">
      <c r="B102" s="259">
        <f t="shared" si="1"/>
        <v>0</v>
      </c>
      <c r="D102" s="2" t="s">
        <v>1278</v>
      </c>
      <c r="E102" s="215">
        <v>0</v>
      </c>
      <c r="F102" s="215">
        <v>0</v>
      </c>
      <c r="G102" s="215">
        <v>0</v>
      </c>
      <c r="H102" s="215">
        <v>0</v>
      </c>
      <c r="I102" s="215">
        <v>0</v>
      </c>
      <c r="J102" s="215">
        <v>0</v>
      </c>
      <c r="K102" s="215">
        <v>0</v>
      </c>
      <c r="L102" s="215">
        <v>0</v>
      </c>
      <c r="M102" s="215">
        <v>0</v>
      </c>
      <c r="N102" s="215">
        <v>0</v>
      </c>
      <c r="O102" s="215">
        <v>0</v>
      </c>
      <c r="P102" s="215">
        <v>0</v>
      </c>
      <c r="Q102" s="215">
        <v>0</v>
      </c>
    </row>
    <row r="103" spans="2:17" x14ac:dyDescent="0.3">
      <c r="B103" s="259">
        <f t="shared" si="1"/>
        <v>0</v>
      </c>
      <c r="D103" s="2" t="s">
        <v>1279</v>
      </c>
      <c r="E103" s="215">
        <v>0</v>
      </c>
      <c r="F103" s="215">
        <v>0</v>
      </c>
      <c r="G103" s="215">
        <v>0</v>
      </c>
      <c r="H103" s="215">
        <v>0</v>
      </c>
      <c r="I103" s="215">
        <v>0</v>
      </c>
      <c r="J103" s="215">
        <v>0</v>
      </c>
      <c r="K103" s="215">
        <v>0</v>
      </c>
      <c r="L103" s="215">
        <v>0</v>
      </c>
      <c r="M103" s="215">
        <v>0</v>
      </c>
      <c r="N103" s="215">
        <v>0</v>
      </c>
      <c r="O103" s="215">
        <v>0</v>
      </c>
      <c r="P103" s="215">
        <v>0</v>
      </c>
      <c r="Q103" s="215">
        <v>0</v>
      </c>
    </row>
    <row r="104" spans="2:17" x14ac:dyDescent="0.3">
      <c r="B104" s="259">
        <f t="shared" si="1"/>
        <v>0</v>
      </c>
      <c r="D104" s="2" t="s">
        <v>1280</v>
      </c>
      <c r="E104" s="215">
        <v>0</v>
      </c>
      <c r="F104" s="215">
        <v>0</v>
      </c>
      <c r="G104" s="215">
        <v>0</v>
      </c>
      <c r="H104" s="215">
        <v>0</v>
      </c>
      <c r="I104" s="215">
        <v>0</v>
      </c>
      <c r="J104" s="215">
        <v>0</v>
      </c>
      <c r="K104" s="215">
        <v>0</v>
      </c>
      <c r="L104" s="215">
        <v>0</v>
      </c>
      <c r="M104" s="215">
        <v>0</v>
      </c>
      <c r="N104" s="215">
        <v>0</v>
      </c>
      <c r="O104" s="215">
        <v>0</v>
      </c>
      <c r="P104" s="215">
        <v>0</v>
      </c>
      <c r="Q104" s="215">
        <v>0</v>
      </c>
    </row>
    <row r="105" spans="2:17" x14ac:dyDescent="0.3">
      <c r="B105" s="259">
        <f t="shared" si="1"/>
        <v>2283675.2599999993</v>
      </c>
      <c r="D105" s="2" t="s">
        <v>1281</v>
      </c>
      <c r="E105" s="215">
        <v>2283675.2599999998</v>
      </c>
      <c r="F105" s="215">
        <v>2283675.2599999998</v>
      </c>
      <c r="G105" s="215">
        <v>2283675.2599999998</v>
      </c>
      <c r="H105" s="215">
        <v>2283675.2599999998</v>
      </c>
      <c r="I105" s="215">
        <v>2283675.2599999998</v>
      </c>
      <c r="J105" s="215">
        <v>2283675.2599999998</v>
      </c>
      <c r="K105" s="215">
        <v>2283675.2599999998</v>
      </c>
      <c r="L105" s="215">
        <v>2283675.2599999998</v>
      </c>
      <c r="M105" s="215">
        <v>2283675.2599999998</v>
      </c>
      <c r="N105" s="215">
        <v>2283675.2599999998</v>
      </c>
      <c r="O105" s="215">
        <v>2283675.2599999998</v>
      </c>
      <c r="P105" s="215">
        <v>2283675.2599999998</v>
      </c>
      <c r="Q105" s="215">
        <v>2283675.2599999998</v>
      </c>
    </row>
    <row r="106" spans="2:17" x14ac:dyDescent="0.3">
      <c r="B106" s="259">
        <f t="shared" si="1"/>
        <v>2582576.865416667</v>
      </c>
      <c r="D106" s="2" t="s">
        <v>893</v>
      </c>
      <c r="E106" s="215">
        <v>0</v>
      </c>
      <c r="F106" s="215">
        <v>0</v>
      </c>
      <c r="G106" s="215">
        <v>2994637.14</v>
      </c>
      <c r="H106" s="215">
        <v>3771664.57</v>
      </c>
      <c r="I106" s="215">
        <v>2832653.61</v>
      </c>
      <c r="J106" s="215">
        <v>2848020.03</v>
      </c>
      <c r="K106" s="215">
        <v>2863058.52</v>
      </c>
      <c r="L106" s="215">
        <v>2835858.91</v>
      </c>
      <c r="M106" s="215">
        <v>2829258.91</v>
      </c>
      <c r="N106" s="215">
        <v>2835858.91</v>
      </c>
      <c r="O106" s="215">
        <v>2835858.91</v>
      </c>
      <c r="P106" s="215">
        <v>2835858.91</v>
      </c>
      <c r="Q106" s="215">
        <v>3016387.93</v>
      </c>
    </row>
    <row r="107" spans="2:17" x14ac:dyDescent="0.3">
      <c r="B107" s="259">
        <f t="shared" si="1"/>
        <v>0</v>
      </c>
      <c r="D107" s="2" t="s">
        <v>1282</v>
      </c>
      <c r="E107" s="215">
        <v>0</v>
      </c>
      <c r="F107" s="215">
        <v>0</v>
      </c>
      <c r="G107" s="215">
        <v>0</v>
      </c>
      <c r="H107" s="215">
        <v>0</v>
      </c>
      <c r="I107" s="215">
        <v>0</v>
      </c>
      <c r="J107" s="215">
        <v>0</v>
      </c>
      <c r="K107" s="215">
        <v>0</v>
      </c>
      <c r="L107" s="215">
        <v>0</v>
      </c>
      <c r="M107" s="215">
        <v>0</v>
      </c>
      <c r="N107" s="215">
        <v>0</v>
      </c>
      <c r="O107" s="215">
        <v>0</v>
      </c>
      <c r="P107" s="215">
        <v>0</v>
      </c>
      <c r="Q107" s="215">
        <v>0</v>
      </c>
    </row>
    <row r="108" spans="2:17" x14ac:dyDescent="0.3">
      <c r="B108" s="259">
        <f t="shared" si="1"/>
        <v>0</v>
      </c>
      <c r="D108" s="2" t="s">
        <v>1283</v>
      </c>
      <c r="E108" s="215">
        <v>0</v>
      </c>
      <c r="F108" s="215">
        <v>0</v>
      </c>
      <c r="G108" s="215">
        <v>0</v>
      </c>
      <c r="H108" s="215">
        <v>0</v>
      </c>
      <c r="I108" s="215">
        <v>0</v>
      </c>
      <c r="J108" s="215">
        <v>0</v>
      </c>
      <c r="K108" s="215">
        <v>0</v>
      </c>
      <c r="L108" s="215">
        <v>0</v>
      </c>
      <c r="M108" s="215">
        <v>0</v>
      </c>
      <c r="N108" s="215">
        <v>0</v>
      </c>
      <c r="O108" s="215">
        <v>0</v>
      </c>
      <c r="P108" s="215">
        <v>0</v>
      </c>
      <c r="Q108" s="215">
        <v>0</v>
      </c>
    </row>
    <row r="109" spans="2:17" x14ac:dyDescent="0.3">
      <c r="B109" s="259">
        <f t="shared" si="1"/>
        <v>0</v>
      </c>
      <c r="D109" s="2" t="s">
        <v>1284</v>
      </c>
      <c r="E109" s="215">
        <v>0</v>
      </c>
      <c r="F109" s="215">
        <v>0</v>
      </c>
      <c r="G109" s="215">
        <v>0</v>
      </c>
      <c r="H109" s="215">
        <v>0</v>
      </c>
      <c r="I109" s="215">
        <v>0</v>
      </c>
      <c r="J109" s="215">
        <v>0</v>
      </c>
      <c r="K109" s="215">
        <v>0</v>
      </c>
      <c r="L109" s="215">
        <v>0</v>
      </c>
      <c r="M109" s="215">
        <v>0</v>
      </c>
      <c r="N109" s="215">
        <v>0</v>
      </c>
      <c r="O109" s="215">
        <v>0</v>
      </c>
      <c r="P109" s="215">
        <v>0</v>
      </c>
      <c r="Q109" s="215">
        <v>0</v>
      </c>
    </row>
    <row r="110" spans="2:17" x14ac:dyDescent="0.3">
      <c r="B110" s="259">
        <f t="shared" si="1"/>
        <v>7855356.2358333329</v>
      </c>
      <c r="D110" s="2" t="s">
        <v>230</v>
      </c>
      <c r="E110" s="215">
        <v>7470171.5599999996</v>
      </c>
      <c r="F110" s="215">
        <v>7852452.1899999995</v>
      </c>
      <c r="G110" s="215">
        <v>7341274.3800000008</v>
      </c>
      <c r="H110" s="215">
        <v>7351497.9000000004</v>
      </c>
      <c r="I110" s="215">
        <v>7351497.9000000004</v>
      </c>
      <c r="J110" s="215">
        <v>7351497.9000000004</v>
      </c>
      <c r="K110" s="215">
        <v>7280985.4000000004</v>
      </c>
      <c r="L110" s="215">
        <v>7280985.4000000004</v>
      </c>
      <c r="M110" s="215">
        <v>7280985.4000000004</v>
      </c>
      <c r="N110" s="215">
        <v>7280985.4000000004</v>
      </c>
      <c r="O110" s="215">
        <v>7280985.4000000004</v>
      </c>
      <c r="P110" s="215">
        <v>7280985.4000000004</v>
      </c>
      <c r="Q110" s="215">
        <v>19190112.760000002</v>
      </c>
    </row>
    <row r="111" spans="2:17" x14ac:dyDescent="0.3">
      <c r="B111" s="259">
        <f t="shared" si="1"/>
        <v>0</v>
      </c>
      <c r="D111" s="2" t="s">
        <v>1285</v>
      </c>
      <c r="E111" s="215">
        <v>0</v>
      </c>
      <c r="F111" s="215">
        <v>0</v>
      </c>
      <c r="G111" s="215">
        <v>0</v>
      </c>
      <c r="H111" s="215">
        <v>0</v>
      </c>
      <c r="I111" s="215">
        <v>0</v>
      </c>
      <c r="J111" s="215">
        <v>0</v>
      </c>
      <c r="K111" s="215">
        <v>0</v>
      </c>
      <c r="L111" s="215">
        <v>0</v>
      </c>
      <c r="M111" s="215">
        <v>0</v>
      </c>
      <c r="N111" s="215">
        <v>0</v>
      </c>
      <c r="O111" s="215">
        <v>0</v>
      </c>
      <c r="P111" s="215">
        <v>0</v>
      </c>
      <c r="Q111" s="215">
        <v>0</v>
      </c>
    </row>
    <row r="112" spans="2:17" x14ac:dyDescent="0.3">
      <c r="B112" s="259">
        <f t="shared" si="1"/>
        <v>1756578.6187500004</v>
      </c>
      <c r="D112" s="2" t="s">
        <v>232</v>
      </c>
      <c r="E112" s="215">
        <v>1583401.5100000002</v>
      </c>
      <c r="F112" s="215">
        <v>1596068.1600000001</v>
      </c>
      <c r="G112" s="215">
        <v>1591351.9900000002</v>
      </c>
      <c r="H112" s="215">
        <v>1719449.2000000002</v>
      </c>
      <c r="I112" s="215">
        <v>1737227.6</v>
      </c>
      <c r="J112" s="215">
        <v>1739595.57</v>
      </c>
      <c r="K112" s="215">
        <v>1741424.27</v>
      </c>
      <c r="L112" s="215">
        <v>1796547.22</v>
      </c>
      <c r="M112" s="215">
        <v>1797388.53</v>
      </c>
      <c r="N112" s="215">
        <v>1797388.53</v>
      </c>
      <c r="O112" s="215">
        <v>1797388.53</v>
      </c>
      <c r="P112" s="215">
        <v>1797388.53</v>
      </c>
      <c r="Q112" s="215">
        <v>2352049.08</v>
      </c>
    </row>
    <row r="113" spans="2:17" x14ac:dyDescent="0.3">
      <c r="B113" s="259">
        <f t="shared" si="1"/>
        <v>39889.893749999996</v>
      </c>
      <c r="D113" s="2" t="s">
        <v>986</v>
      </c>
      <c r="E113" s="215">
        <v>0</v>
      </c>
      <c r="F113" s="215">
        <v>0</v>
      </c>
      <c r="G113" s="215">
        <v>0</v>
      </c>
      <c r="H113" s="215">
        <v>0</v>
      </c>
      <c r="I113" s="215">
        <v>0</v>
      </c>
      <c r="J113" s="215">
        <v>0</v>
      </c>
      <c r="K113" s="215">
        <v>0</v>
      </c>
      <c r="L113" s="215">
        <v>0</v>
      </c>
      <c r="M113" s="215">
        <v>0</v>
      </c>
      <c r="N113" s="215">
        <v>0</v>
      </c>
      <c r="O113" s="215">
        <v>0</v>
      </c>
      <c r="P113" s="215">
        <v>0</v>
      </c>
      <c r="Q113" s="215">
        <v>957357.45</v>
      </c>
    </row>
    <row r="114" spans="2:17" x14ac:dyDescent="0.3">
      <c r="B114" s="259">
        <f t="shared" si="1"/>
        <v>0</v>
      </c>
      <c r="D114" s="2" t="s">
        <v>1286</v>
      </c>
      <c r="E114" s="215">
        <v>0</v>
      </c>
      <c r="F114" s="215">
        <v>0</v>
      </c>
      <c r="G114" s="215">
        <v>0</v>
      </c>
      <c r="H114" s="215">
        <v>0</v>
      </c>
      <c r="I114" s="215">
        <v>0</v>
      </c>
      <c r="J114" s="215">
        <v>0</v>
      </c>
      <c r="K114" s="215">
        <v>0</v>
      </c>
      <c r="L114" s="215">
        <v>0</v>
      </c>
      <c r="M114" s="215">
        <v>0</v>
      </c>
      <c r="N114" s="215">
        <v>0</v>
      </c>
      <c r="O114" s="215">
        <v>0</v>
      </c>
      <c r="P114" s="215">
        <v>0</v>
      </c>
      <c r="Q114" s="215">
        <v>0</v>
      </c>
    </row>
    <row r="115" spans="2:17" x14ac:dyDescent="0.3">
      <c r="B115" s="259">
        <f t="shared" si="1"/>
        <v>0</v>
      </c>
      <c r="D115" s="2" t="s">
        <v>1287</v>
      </c>
      <c r="E115" s="215">
        <v>0</v>
      </c>
      <c r="F115" s="215">
        <v>0</v>
      </c>
      <c r="G115" s="215">
        <v>0</v>
      </c>
      <c r="H115" s="215">
        <v>0</v>
      </c>
      <c r="I115" s="215">
        <v>0</v>
      </c>
      <c r="J115" s="215">
        <v>0</v>
      </c>
      <c r="K115" s="215">
        <v>0</v>
      </c>
      <c r="L115" s="215">
        <v>0</v>
      </c>
      <c r="M115" s="215">
        <v>0</v>
      </c>
      <c r="N115" s="215">
        <v>0</v>
      </c>
      <c r="O115" s="215">
        <v>0</v>
      </c>
      <c r="P115" s="215">
        <v>0</v>
      </c>
      <c r="Q115" s="215">
        <v>0</v>
      </c>
    </row>
    <row r="116" spans="2:17" x14ac:dyDescent="0.3">
      <c r="B116" s="259">
        <f t="shared" si="1"/>
        <v>0</v>
      </c>
      <c r="D116" s="2" t="s">
        <v>1288</v>
      </c>
      <c r="E116" s="215">
        <v>0</v>
      </c>
      <c r="F116" s="215">
        <v>0</v>
      </c>
      <c r="G116" s="215">
        <v>0</v>
      </c>
      <c r="H116" s="215">
        <v>0</v>
      </c>
      <c r="I116" s="215">
        <v>0</v>
      </c>
      <c r="J116" s="215">
        <v>0</v>
      </c>
      <c r="K116" s="215">
        <v>0</v>
      </c>
      <c r="L116" s="215">
        <v>0</v>
      </c>
      <c r="M116" s="215">
        <v>0</v>
      </c>
      <c r="N116" s="215">
        <v>0</v>
      </c>
      <c r="O116" s="215">
        <v>0</v>
      </c>
      <c r="P116" s="215">
        <v>0</v>
      </c>
      <c r="Q116" s="215">
        <v>0</v>
      </c>
    </row>
    <row r="117" spans="2:17" x14ac:dyDescent="0.3">
      <c r="B117" s="259">
        <f t="shared" si="1"/>
        <v>0</v>
      </c>
      <c r="D117" s="2" t="s">
        <v>1289</v>
      </c>
      <c r="E117" s="215">
        <v>0</v>
      </c>
      <c r="F117" s="215">
        <v>0</v>
      </c>
      <c r="G117" s="215">
        <v>0</v>
      </c>
      <c r="H117" s="215">
        <v>0</v>
      </c>
      <c r="I117" s="215">
        <v>0</v>
      </c>
      <c r="J117" s="215">
        <v>0</v>
      </c>
      <c r="K117" s="215">
        <v>0</v>
      </c>
      <c r="L117" s="215">
        <v>0</v>
      </c>
      <c r="M117" s="215">
        <v>0</v>
      </c>
      <c r="N117" s="215">
        <v>0</v>
      </c>
      <c r="O117" s="215">
        <v>0</v>
      </c>
      <c r="P117" s="215">
        <v>0</v>
      </c>
      <c r="Q117" s="215">
        <v>0</v>
      </c>
    </row>
    <row r="118" spans="2:17" x14ac:dyDescent="0.3">
      <c r="B118" s="259">
        <f t="shared" si="1"/>
        <v>0</v>
      </c>
      <c r="D118" s="2" t="s">
        <v>1290</v>
      </c>
      <c r="E118" s="215">
        <v>0</v>
      </c>
      <c r="F118" s="215">
        <v>0</v>
      </c>
      <c r="G118" s="215">
        <v>0</v>
      </c>
      <c r="H118" s="215">
        <v>0</v>
      </c>
      <c r="I118" s="215">
        <v>0</v>
      </c>
      <c r="J118" s="215">
        <v>0</v>
      </c>
      <c r="K118" s="215">
        <v>0</v>
      </c>
      <c r="L118" s="215">
        <v>0</v>
      </c>
      <c r="M118" s="215">
        <v>0</v>
      </c>
      <c r="N118" s="215">
        <v>0</v>
      </c>
      <c r="O118" s="215">
        <v>0</v>
      </c>
      <c r="P118" s="215">
        <v>0</v>
      </c>
      <c r="Q118" s="215">
        <v>0</v>
      </c>
    </row>
    <row r="119" spans="2:17" x14ac:dyDescent="0.3">
      <c r="B119" s="259">
        <f t="shared" si="1"/>
        <v>0</v>
      </c>
      <c r="D119" s="2" t="s">
        <v>1291</v>
      </c>
      <c r="E119" s="215">
        <v>0</v>
      </c>
      <c r="F119" s="215">
        <v>0</v>
      </c>
      <c r="G119" s="215">
        <v>0</v>
      </c>
      <c r="H119" s="215">
        <v>0</v>
      </c>
      <c r="I119" s="215">
        <v>0</v>
      </c>
      <c r="J119" s="215">
        <v>0</v>
      </c>
      <c r="K119" s="215">
        <v>0</v>
      </c>
      <c r="L119" s="215">
        <v>0</v>
      </c>
      <c r="M119" s="215">
        <v>0</v>
      </c>
      <c r="N119" s="215">
        <v>0</v>
      </c>
      <c r="O119" s="215">
        <v>0</v>
      </c>
      <c r="P119" s="215">
        <v>0</v>
      </c>
      <c r="Q119" s="215">
        <v>0</v>
      </c>
    </row>
    <row r="120" spans="2:17" x14ac:dyDescent="0.3">
      <c r="B120" s="259">
        <f t="shared" si="1"/>
        <v>1019768.6079166665</v>
      </c>
      <c r="D120" s="2" t="s">
        <v>235</v>
      </c>
      <c r="E120" s="215">
        <v>626303.57000000007</v>
      </c>
      <c r="F120" s="215">
        <v>660389.21999999986</v>
      </c>
      <c r="G120" s="215">
        <v>658171.41999999993</v>
      </c>
      <c r="H120" s="215">
        <v>685401.79999999993</v>
      </c>
      <c r="I120" s="215">
        <v>848332</v>
      </c>
      <c r="J120" s="215">
        <v>837751.99000000011</v>
      </c>
      <c r="K120" s="215">
        <v>928910.94000000006</v>
      </c>
      <c r="L120" s="215">
        <v>1084653.1499999999</v>
      </c>
      <c r="M120" s="215">
        <v>1166061.43</v>
      </c>
      <c r="N120" s="215">
        <v>1181440.6100000001</v>
      </c>
      <c r="O120" s="215">
        <v>1257361.49</v>
      </c>
      <c r="P120" s="215">
        <v>1471053.84</v>
      </c>
      <c r="Q120" s="215">
        <v>2289087.2400000002</v>
      </c>
    </row>
    <row r="121" spans="2:17" x14ac:dyDescent="0.3">
      <c r="B121" s="259">
        <f t="shared" si="1"/>
        <v>2236.0579166666666</v>
      </c>
      <c r="D121" s="2" t="s">
        <v>988</v>
      </c>
      <c r="E121" s="215">
        <v>0</v>
      </c>
      <c r="F121" s="215">
        <v>0</v>
      </c>
      <c r="G121" s="215">
        <v>0</v>
      </c>
      <c r="H121" s="215">
        <v>0</v>
      </c>
      <c r="I121" s="215">
        <v>0</v>
      </c>
      <c r="J121" s="215">
        <v>0</v>
      </c>
      <c r="K121" s="215">
        <v>0</v>
      </c>
      <c r="L121" s="215">
        <v>0</v>
      </c>
      <c r="M121" s="215">
        <v>0</v>
      </c>
      <c r="N121" s="215">
        <v>0</v>
      </c>
      <c r="O121" s="215">
        <v>0</v>
      </c>
      <c r="P121" s="215">
        <v>0</v>
      </c>
      <c r="Q121" s="215">
        <v>53665.39</v>
      </c>
    </row>
    <row r="122" spans="2:17" x14ac:dyDescent="0.3">
      <c r="B122" s="259">
        <f t="shared" si="1"/>
        <v>0</v>
      </c>
      <c r="D122" s="2" t="s">
        <v>1292</v>
      </c>
      <c r="E122" s="215">
        <v>0</v>
      </c>
      <c r="F122" s="215">
        <v>0</v>
      </c>
      <c r="G122" s="215">
        <v>0</v>
      </c>
      <c r="H122" s="215">
        <v>0</v>
      </c>
      <c r="I122" s="215">
        <v>0</v>
      </c>
      <c r="J122" s="215">
        <v>0</v>
      </c>
      <c r="K122" s="215">
        <v>0</v>
      </c>
      <c r="L122" s="215">
        <v>0</v>
      </c>
      <c r="M122" s="215">
        <v>0</v>
      </c>
      <c r="N122" s="215">
        <v>0</v>
      </c>
      <c r="O122" s="215">
        <v>0</v>
      </c>
      <c r="P122" s="215">
        <v>0</v>
      </c>
      <c r="Q122" s="215">
        <v>0</v>
      </c>
    </row>
    <row r="123" spans="2:17" x14ac:dyDescent="0.3">
      <c r="B123" s="259">
        <f t="shared" si="1"/>
        <v>0</v>
      </c>
      <c r="D123" s="2" t="s">
        <v>1293</v>
      </c>
      <c r="E123" s="215">
        <v>0</v>
      </c>
      <c r="F123" s="215">
        <v>0</v>
      </c>
      <c r="G123" s="215">
        <v>0</v>
      </c>
      <c r="H123" s="215">
        <v>0</v>
      </c>
      <c r="I123" s="215">
        <v>0</v>
      </c>
      <c r="J123" s="215">
        <v>0</v>
      </c>
      <c r="K123" s="215">
        <v>0</v>
      </c>
      <c r="L123" s="215">
        <v>0</v>
      </c>
      <c r="M123" s="215">
        <v>0</v>
      </c>
      <c r="N123" s="215">
        <v>0</v>
      </c>
      <c r="O123" s="215">
        <v>0</v>
      </c>
      <c r="P123" s="215">
        <v>0</v>
      </c>
      <c r="Q123" s="215">
        <v>0</v>
      </c>
    </row>
    <row r="124" spans="2:17" x14ac:dyDescent="0.3">
      <c r="B124" s="259">
        <f t="shared" si="1"/>
        <v>0</v>
      </c>
      <c r="D124" s="2" t="s">
        <v>1294</v>
      </c>
      <c r="E124" s="215">
        <v>0</v>
      </c>
      <c r="F124" s="215">
        <v>0</v>
      </c>
      <c r="G124" s="215">
        <v>0</v>
      </c>
      <c r="H124" s="215">
        <v>0</v>
      </c>
      <c r="I124" s="215">
        <v>0</v>
      </c>
      <c r="J124" s="215">
        <v>0</v>
      </c>
      <c r="K124" s="215">
        <v>0</v>
      </c>
      <c r="L124" s="215">
        <v>0</v>
      </c>
      <c r="M124" s="215">
        <v>0</v>
      </c>
      <c r="N124" s="215">
        <v>0</v>
      </c>
      <c r="O124" s="215">
        <v>0</v>
      </c>
      <c r="P124" s="215">
        <v>0</v>
      </c>
      <c r="Q124" s="215">
        <v>0</v>
      </c>
    </row>
    <row r="125" spans="2:17" x14ac:dyDescent="0.3">
      <c r="B125" s="259">
        <f t="shared" si="1"/>
        <v>277160.20833333331</v>
      </c>
      <c r="D125" s="2" t="s">
        <v>237</v>
      </c>
      <c r="E125" s="215">
        <v>0</v>
      </c>
      <c r="F125" s="215">
        <v>0</v>
      </c>
      <c r="G125" s="215">
        <v>0</v>
      </c>
      <c r="H125" s="215">
        <v>0</v>
      </c>
      <c r="I125" s="215">
        <v>0</v>
      </c>
      <c r="J125" s="215">
        <v>0</v>
      </c>
      <c r="K125" s="215">
        <v>0</v>
      </c>
      <c r="L125" s="215">
        <v>0</v>
      </c>
      <c r="M125" s="215">
        <v>0</v>
      </c>
      <c r="N125" s="215">
        <v>0</v>
      </c>
      <c r="O125" s="215">
        <v>0</v>
      </c>
      <c r="P125" s="215">
        <v>0</v>
      </c>
      <c r="Q125" s="215">
        <v>6651845</v>
      </c>
    </row>
    <row r="126" spans="2:17" x14ac:dyDescent="0.3">
      <c r="B126" s="259">
        <f t="shared" si="1"/>
        <v>0</v>
      </c>
      <c r="D126" s="2" t="s">
        <v>1295</v>
      </c>
      <c r="E126" s="215">
        <v>0</v>
      </c>
      <c r="F126" s="215">
        <v>0</v>
      </c>
      <c r="G126" s="215">
        <v>0</v>
      </c>
      <c r="H126" s="215">
        <v>0</v>
      </c>
      <c r="I126" s="215">
        <v>0</v>
      </c>
      <c r="J126" s="215">
        <v>0</v>
      </c>
      <c r="K126" s="215">
        <v>0</v>
      </c>
      <c r="L126" s="215">
        <v>0</v>
      </c>
      <c r="M126" s="215">
        <v>0</v>
      </c>
      <c r="N126" s="215">
        <v>0</v>
      </c>
      <c r="O126" s="215">
        <v>0</v>
      </c>
      <c r="P126" s="215">
        <v>0</v>
      </c>
      <c r="Q126" s="215">
        <v>0</v>
      </c>
    </row>
    <row r="127" spans="2:17" x14ac:dyDescent="0.3">
      <c r="B127" s="259">
        <f t="shared" si="1"/>
        <v>1191666.6012500001</v>
      </c>
      <c r="D127" s="2" t="s">
        <v>239</v>
      </c>
      <c r="E127" s="215">
        <v>1191411.69</v>
      </c>
      <c r="F127" s="215">
        <v>1192976.79</v>
      </c>
      <c r="G127" s="215">
        <v>1191553.96</v>
      </c>
      <c r="H127" s="215">
        <v>1191553.96</v>
      </c>
      <c r="I127" s="215">
        <v>1191553.96</v>
      </c>
      <c r="J127" s="215">
        <v>1191553.96</v>
      </c>
      <c r="K127" s="215">
        <v>1191553.96</v>
      </c>
      <c r="L127" s="215">
        <v>1191553.96</v>
      </c>
      <c r="M127" s="215">
        <v>1191553.96</v>
      </c>
      <c r="N127" s="215">
        <v>1191553.96</v>
      </c>
      <c r="O127" s="215">
        <v>1191553.96</v>
      </c>
      <c r="P127" s="215">
        <v>1191553.96</v>
      </c>
      <c r="Q127" s="215">
        <v>1191553.96</v>
      </c>
    </row>
    <row r="128" spans="2:17" x14ac:dyDescent="0.3">
      <c r="B128" s="259">
        <f t="shared" si="1"/>
        <v>157967.89000000004</v>
      </c>
      <c r="D128" s="2" t="s">
        <v>1296</v>
      </c>
      <c r="E128" s="215">
        <v>157967.89000000001</v>
      </c>
      <c r="F128" s="215">
        <v>157967.89000000001</v>
      </c>
      <c r="G128" s="215">
        <v>157967.89000000001</v>
      </c>
      <c r="H128" s="215">
        <v>157967.89000000001</v>
      </c>
      <c r="I128" s="215">
        <v>157967.89000000001</v>
      </c>
      <c r="J128" s="215">
        <v>157967.89000000001</v>
      </c>
      <c r="K128" s="215">
        <v>157967.89000000001</v>
      </c>
      <c r="L128" s="215">
        <v>157967.89000000001</v>
      </c>
      <c r="M128" s="215">
        <v>157967.89000000001</v>
      </c>
      <c r="N128" s="215">
        <v>157967.89000000001</v>
      </c>
      <c r="O128" s="215">
        <v>157967.89000000001</v>
      </c>
      <c r="P128" s="215">
        <v>157967.89000000001</v>
      </c>
      <c r="Q128" s="215">
        <v>157967.89000000001</v>
      </c>
    </row>
    <row r="129" spans="2:17" x14ac:dyDescent="0.3">
      <c r="B129" s="259">
        <f t="shared" si="1"/>
        <v>0</v>
      </c>
      <c r="D129" s="2" t="s">
        <v>1297</v>
      </c>
      <c r="E129" s="215">
        <v>0</v>
      </c>
      <c r="F129" s="215">
        <v>0</v>
      </c>
      <c r="G129" s="215">
        <v>0</v>
      </c>
      <c r="H129" s="215">
        <v>0</v>
      </c>
      <c r="I129" s="215">
        <v>0</v>
      </c>
      <c r="J129" s="215">
        <v>0</v>
      </c>
      <c r="K129" s="215">
        <v>0</v>
      </c>
      <c r="L129" s="215">
        <v>0</v>
      </c>
      <c r="M129" s="215">
        <v>0</v>
      </c>
      <c r="N129" s="215">
        <v>0</v>
      </c>
      <c r="O129" s="215">
        <v>0</v>
      </c>
      <c r="P129" s="215">
        <v>0</v>
      </c>
      <c r="Q129" s="215">
        <v>0</v>
      </c>
    </row>
    <row r="130" spans="2:17" x14ac:dyDescent="0.3">
      <c r="B130" s="259">
        <f t="shared" si="1"/>
        <v>-2845922.9699999993</v>
      </c>
      <c r="D130" s="2" t="s">
        <v>1101</v>
      </c>
      <c r="E130" s="215">
        <v>-2845922.9699999997</v>
      </c>
      <c r="F130" s="215">
        <v>-2845922.9699999997</v>
      </c>
      <c r="G130" s="215">
        <v>-2845922.9699999997</v>
      </c>
      <c r="H130" s="215">
        <v>-2845922.9699999997</v>
      </c>
      <c r="I130" s="215">
        <v>-2845922.9699999997</v>
      </c>
      <c r="J130" s="215">
        <v>-2845922.9699999997</v>
      </c>
      <c r="K130" s="215">
        <v>-2845922.9699999997</v>
      </c>
      <c r="L130" s="215">
        <v>-2845922.9699999997</v>
      </c>
      <c r="M130" s="215">
        <v>-2845922.9699999997</v>
      </c>
      <c r="N130" s="215">
        <v>-2845922.9699999997</v>
      </c>
      <c r="O130" s="215">
        <v>-2845922.9699999997</v>
      </c>
      <c r="P130" s="215">
        <v>-2845922.9699999997</v>
      </c>
      <c r="Q130" s="215">
        <v>-2845922.9699999997</v>
      </c>
    </row>
    <row r="131" spans="2:17" x14ac:dyDescent="0.3">
      <c r="B131" s="259">
        <f t="shared" si="1"/>
        <v>2845922.9699999993</v>
      </c>
      <c r="D131" s="2" t="s">
        <v>1298</v>
      </c>
      <c r="E131" s="215">
        <v>2845922.9699999997</v>
      </c>
      <c r="F131" s="215">
        <v>2845922.9699999997</v>
      </c>
      <c r="G131" s="215">
        <v>2845922.9699999997</v>
      </c>
      <c r="H131" s="215">
        <v>2845922.9699999997</v>
      </c>
      <c r="I131" s="215">
        <v>2845922.9699999997</v>
      </c>
      <c r="J131" s="215">
        <v>2845922.9699999997</v>
      </c>
      <c r="K131" s="215">
        <v>2845922.9699999997</v>
      </c>
      <c r="L131" s="215">
        <v>2845922.9699999997</v>
      </c>
      <c r="M131" s="215">
        <v>2845922.9699999997</v>
      </c>
      <c r="N131" s="215">
        <v>2845922.9699999997</v>
      </c>
      <c r="O131" s="215">
        <v>2845922.9699999997</v>
      </c>
      <c r="P131" s="215">
        <v>2845922.9699999997</v>
      </c>
      <c r="Q131" s="215">
        <v>2845922.9699999997</v>
      </c>
    </row>
    <row r="132" spans="2:17" x14ac:dyDescent="0.3">
      <c r="B132" s="259">
        <f t="shared" si="1"/>
        <v>23094.053750000003</v>
      </c>
      <c r="D132" s="2" t="s">
        <v>895</v>
      </c>
      <c r="E132" s="215">
        <v>0</v>
      </c>
      <c r="F132" s="215">
        <v>0</v>
      </c>
      <c r="G132" s="215">
        <v>0</v>
      </c>
      <c r="H132" s="215">
        <v>0</v>
      </c>
      <c r="I132" s="215">
        <v>32603.37</v>
      </c>
      <c r="J132" s="215">
        <v>32603.37</v>
      </c>
      <c r="K132" s="215">
        <v>32603.37</v>
      </c>
      <c r="L132" s="215">
        <v>32603.37</v>
      </c>
      <c r="M132" s="215">
        <v>32603.37</v>
      </c>
      <c r="N132" s="215">
        <v>32603.37</v>
      </c>
      <c r="O132" s="215">
        <v>32603.37</v>
      </c>
      <c r="P132" s="215">
        <v>32603.37</v>
      </c>
      <c r="Q132" s="215">
        <v>32603.37</v>
      </c>
    </row>
    <row r="133" spans="2:17" x14ac:dyDescent="0.3">
      <c r="B133" s="259">
        <f t="shared" si="1"/>
        <v>1956354.6900000002</v>
      </c>
      <c r="D133" s="2" t="s">
        <v>1299</v>
      </c>
      <c r="E133" s="215">
        <v>1956354.69</v>
      </c>
      <c r="F133" s="215">
        <v>1956354.69</v>
      </c>
      <c r="G133" s="215">
        <v>1956354.69</v>
      </c>
      <c r="H133" s="215">
        <v>1956354.69</v>
      </c>
      <c r="I133" s="215">
        <v>1956354.69</v>
      </c>
      <c r="J133" s="215">
        <v>1956354.69</v>
      </c>
      <c r="K133" s="215">
        <v>1956354.69</v>
      </c>
      <c r="L133" s="215">
        <v>1956354.69</v>
      </c>
      <c r="M133" s="215">
        <v>1956354.69</v>
      </c>
      <c r="N133" s="215">
        <v>1956354.69</v>
      </c>
      <c r="O133" s="215">
        <v>1956354.69</v>
      </c>
      <c r="P133" s="215">
        <v>1956354.69</v>
      </c>
      <c r="Q133" s="215">
        <v>1956354.69</v>
      </c>
    </row>
    <row r="134" spans="2:17" x14ac:dyDescent="0.3">
      <c r="B134" s="259">
        <f t="shared" si="1"/>
        <v>0</v>
      </c>
      <c r="D134" s="2" t="s">
        <v>1300</v>
      </c>
      <c r="E134" s="215">
        <v>0</v>
      </c>
      <c r="F134" s="215">
        <v>0</v>
      </c>
      <c r="G134" s="215">
        <v>0</v>
      </c>
      <c r="H134" s="215">
        <v>0</v>
      </c>
      <c r="I134" s="215">
        <v>0</v>
      </c>
      <c r="J134" s="215">
        <v>0</v>
      </c>
      <c r="K134" s="215">
        <v>0</v>
      </c>
      <c r="L134" s="215">
        <v>0</v>
      </c>
      <c r="M134" s="215">
        <v>0</v>
      </c>
      <c r="N134" s="215">
        <v>0</v>
      </c>
      <c r="O134" s="215">
        <v>0</v>
      </c>
      <c r="P134" s="215">
        <v>0</v>
      </c>
      <c r="Q134" s="215">
        <v>0</v>
      </c>
    </row>
    <row r="135" spans="2:17" x14ac:dyDescent="0.3">
      <c r="B135" s="259">
        <f t="shared" ref="B135:B198" si="2">(E135+Q135+SUM(F135:P135)*2)/24</f>
        <v>131274.26874999999</v>
      </c>
      <c r="D135" s="2" t="s">
        <v>241</v>
      </c>
      <c r="E135" s="215">
        <v>118095.04999999999</v>
      </c>
      <c r="F135" s="215">
        <v>118163.32</v>
      </c>
      <c r="G135" s="215">
        <v>117730.91</v>
      </c>
      <c r="H135" s="215">
        <v>117730.91</v>
      </c>
      <c r="I135" s="215">
        <v>117730.91</v>
      </c>
      <c r="J135" s="215">
        <v>135222.91</v>
      </c>
      <c r="K135" s="215">
        <v>135222.91</v>
      </c>
      <c r="L135" s="215">
        <v>135222.91</v>
      </c>
      <c r="M135" s="215">
        <v>135222.91</v>
      </c>
      <c r="N135" s="215">
        <v>135222.91</v>
      </c>
      <c r="O135" s="215">
        <v>135222.91</v>
      </c>
      <c r="P135" s="215">
        <v>135222.91</v>
      </c>
      <c r="Q135" s="215">
        <v>196654.56</v>
      </c>
    </row>
    <row r="136" spans="2:17" x14ac:dyDescent="0.3">
      <c r="B136" s="259">
        <f t="shared" si="2"/>
        <v>386246.23</v>
      </c>
      <c r="D136" s="2" t="s">
        <v>1301</v>
      </c>
      <c r="E136" s="215">
        <v>386246.23</v>
      </c>
      <c r="F136" s="215">
        <v>386246.23</v>
      </c>
      <c r="G136" s="215">
        <v>386246.23</v>
      </c>
      <c r="H136" s="215">
        <v>386246.23</v>
      </c>
      <c r="I136" s="215">
        <v>386246.23</v>
      </c>
      <c r="J136" s="215">
        <v>386246.23</v>
      </c>
      <c r="K136" s="215">
        <v>386246.23</v>
      </c>
      <c r="L136" s="215">
        <v>386246.23</v>
      </c>
      <c r="M136" s="215">
        <v>386246.23</v>
      </c>
      <c r="N136" s="215">
        <v>386246.23</v>
      </c>
      <c r="O136" s="215">
        <v>386246.23</v>
      </c>
      <c r="P136" s="215">
        <v>386246.23</v>
      </c>
      <c r="Q136" s="215">
        <v>386246.23</v>
      </c>
    </row>
    <row r="137" spans="2:17" x14ac:dyDescent="0.3">
      <c r="B137" s="259">
        <f t="shared" si="2"/>
        <v>81555.355833333349</v>
      </c>
      <c r="D137" s="2" t="s">
        <v>897</v>
      </c>
      <c r="E137" s="215">
        <v>0</v>
      </c>
      <c r="F137" s="215">
        <v>79400.600000000006</v>
      </c>
      <c r="G137" s="215">
        <v>82392.160000000003</v>
      </c>
      <c r="H137" s="215">
        <v>84357.97</v>
      </c>
      <c r="I137" s="215">
        <v>85725.54</v>
      </c>
      <c r="J137" s="215">
        <v>86238.399999999994</v>
      </c>
      <c r="K137" s="215">
        <v>86238.399999999994</v>
      </c>
      <c r="L137" s="215">
        <v>86238.399999999994</v>
      </c>
      <c r="M137" s="215">
        <v>86238.399999999994</v>
      </c>
      <c r="N137" s="215">
        <v>86238.399999999994</v>
      </c>
      <c r="O137" s="215">
        <v>86238.399999999994</v>
      </c>
      <c r="P137" s="215">
        <v>86238.399999999994</v>
      </c>
      <c r="Q137" s="215">
        <v>86238.399999999994</v>
      </c>
    </row>
    <row r="138" spans="2:17" x14ac:dyDescent="0.3">
      <c r="B138" s="259">
        <f t="shared" si="2"/>
        <v>26993.569166666668</v>
      </c>
      <c r="D138" s="2" t="s">
        <v>990</v>
      </c>
      <c r="E138" s="215">
        <v>0</v>
      </c>
      <c r="F138" s="215">
        <v>0</v>
      </c>
      <c r="G138" s="215">
        <v>0</v>
      </c>
      <c r="H138" s="215">
        <v>0</v>
      </c>
      <c r="I138" s="215">
        <v>0</v>
      </c>
      <c r="J138" s="215">
        <v>0</v>
      </c>
      <c r="K138" s="215">
        <v>0</v>
      </c>
      <c r="L138" s="215">
        <v>0</v>
      </c>
      <c r="M138" s="215">
        <v>0</v>
      </c>
      <c r="N138" s="215">
        <v>0</v>
      </c>
      <c r="O138" s="215">
        <v>0</v>
      </c>
      <c r="P138" s="215">
        <v>0</v>
      </c>
      <c r="Q138" s="215">
        <v>647845.66</v>
      </c>
    </row>
    <row r="139" spans="2:17" x14ac:dyDescent="0.3">
      <c r="B139" s="259">
        <f t="shared" si="2"/>
        <v>0</v>
      </c>
      <c r="D139" s="2" t="s">
        <v>1302</v>
      </c>
      <c r="E139" s="215">
        <v>0</v>
      </c>
      <c r="F139" s="215">
        <v>0</v>
      </c>
      <c r="G139" s="215">
        <v>0</v>
      </c>
      <c r="H139" s="215">
        <v>0</v>
      </c>
      <c r="I139" s="215">
        <v>0</v>
      </c>
      <c r="J139" s="215">
        <v>0</v>
      </c>
      <c r="K139" s="215">
        <v>0</v>
      </c>
      <c r="L139" s="215">
        <v>0</v>
      </c>
      <c r="M139" s="215">
        <v>0</v>
      </c>
      <c r="N139" s="215">
        <v>0</v>
      </c>
      <c r="O139" s="215">
        <v>0</v>
      </c>
      <c r="P139" s="215">
        <v>0</v>
      </c>
      <c r="Q139" s="215">
        <v>0</v>
      </c>
    </row>
    <row r="140" spans="2:17" x14ac:dyDescent="0.3">
      <c r="B140" s="259">
        <f t="shared" si="2"/>
        <v>0</v>
      </c>
      <c r="D140" s="2" t="s">
        <v>1303</v>
      </c>
      <c r="E140" s="215">
        <v>0</v>
      </c>
      <c r="F140" s="215">
        <v>0</v>
      </c>
      <c r="G140" s="215">
        <v>0</v>
      </c>
      <c r="H140" s="215">
        <v>0</v>
      </c>
      <c r="I140" s="215">
        <v>0</v>
      </c>
      <c r="J140" s="215">
        <v>0</v>
      </c>
      <c r="K140" s="215">
        <v>0</v>
      </c>
      <c r="L140" s="215">
        <v>0</v>
      </c>
      <c r="M140" s="215">
        <v>0</v>
      </c>
      <c r="N140" s="215">
        <v>0</v>
      </c>
      <c r="O140" s="215">
        <v>0</v>
      </c>
      <c r="P140" s="215">
        <v>0</v>
      </c>
      <c r="Q140" s="215">
        <v>0</v>
      </c>
    </row>
    <row r="141" spans="2:17" x14ac:dyDescent="0.3">
      <c r="B141" s="259">
        <f t="shared" si="2"/>
        <v>100132.16000000002</v>
      </c>
      <c r="D141" s="2" t="s">
        <v>1304</v>
      </c>
      <c r="E141" s="215">
        <v>100132.16</v>
      </c>
      <c r="F141" s="215">
        <v>100132.16</v>
      </c>
      <c r="G141" s="215">
        <v>100132.16</v>
      </c>
      <c r="H141" s="215">
        <v>100132.16</v>
      </c>
      <c r="I141" s="215">
        <v>100132.16</v>
      </c>
      <c r="J141" s="215">
        <v>100132.16</v>
      </c>
      <c r="K141" s="215">
        <v>100132.16</v>
      </c>
      <c r="L141" s="215">
        <v>100132.16</v>
      </c>
      <c r="M141" s="215">
        <v>100132.16</v>
      </c>
      <c r="N141" s="215">
        <v>100132.16</v>
      </c>
      <c r="O141" s="215">
        <v>100132.16</v>
      </c>
      <c r="P141" s="215">
        <v>100132.16</v>
      </c>
      <c r="Q141" s="215">
        <v>100132.16</v>
      </c>
    </row>
    <row r="142" spans="2:17" x14ac:dyDescent="0.3">
      <c r="B142" s="259">
        <f t="shared" si="2"/>
        <v>43678.60125</v>
      </c>
      <c r="D142" s="2" t="s">
        <v>899</v>
      </c>
      <c r="E142" s="215">
        <v>0</v>
      </c>
      <c r="F142" s="215">
        <v>37832.629999999997</v>
      </c>
      <c r="G142" s="215">
        <v>37832.629999999997</v>
      </c>
      <c r="H142" s="215">
        <v>37832.629999999997</v>
      </c>
      <c r="I142" s="215">
        <v>37832.629999999997</v>
      </c>
      <c r="J142" s="215">
        <v>37832.629999999997</v>
      </c>
      <c r="K142" s="215">
        <v>37832.629999999997</v>
      </c>
      <c r="L142" s="215">
        <v>37832.629999999997</v>
      </c>
      <c r="M142" s="215">
        <v>37832.629999999997</v>
      </c>
      <c r="N142" s="215">
        <v>37832.629999999997</v>
      </c>
      <c r="O142" s="215">
        <v>37832.629999999997</v>
      </c>
      <c r="P142" s="215">
        <v>37832.629999999997</v>
      </c>
      <c r="Q142" s="215">
        <v>215968.57</v>
      </c>
    </row>
    <row r="143" spans="2:17" x14ac:dyDescent="0.3">
      <c r="B143" s="259">
        <f t="shared" si="2"/>
        <v>256985.73</v>
      </c>
      <c r="D143" s="2" t="s">
        <v>1305</v>
      </c>
      <c r="E143" s="215">
        <v>256985.73</v>
      </c>
      <c r="F143" s="215">
        <v>256985.73</v>
      </c>
      <c r="G143" s="215">
        <v>256985.73</v>
      </c>
      <c r="H143" s="215">
        <v>256985.73</v>
      </c>
      <c r="I143" s="215">
        <v>256985.73</v>
      </c>
      <c r="J143" s="215">
        <v>256985.73</v>
      </c>
      <c r="K143" s="215">
        <v>256985.73</v>
      </c>
      <c r="L143" s="215">
        <v>256985.73</v>
      </c>
      <c r="M143" s="215">
        <v>256985.73</v>
      </c>
      <c r="N143" s="215">
        <v>256985.73</v>
      </c>
      <c r="O143" s="215">
        <v>256985.73</v>
      </c>
      <c r="P143" s="215">
        <v>256985.73</v>
      </c>
      <c r="Q143" s="215">
        <v>256985.73</v>
      </c>
    </row>
    <row r="144" spans="2:17" x14ac:dyDescent="0.3">
      <c r="B144" s="259">
        <f t="shared" si="2"/>
        <v>0</v>
      </c>
      <c r="D144" s="2" t="s">
        <v>1306</v>
      </c>
      <c r="E144" s="215">
        <v>0</v>
      </c>
      <c r="F144" s="215">
        <v>0</v>
      </c>
      <c r="G144" s="215">
        <v>0</v>
      </c>
      <c r="H144" s="215">
        <v>0</v>
      </c>
      <c r="I144" s="215">
        <v>0</v>
      </c>
      <c r="J144" s="215">
        <v>0</v>
      </c>
      <c r="K144" s="215">
        <v>0</v>
      </c>
      <c r="L144" s="215">
        <v>0</v>
      </c>
      <c r="M144" s="215">
        <v>0</v>
      </c>
      <c r="N144" s="215">
        <v>0</v>
      </c>
      <c r="O144" s="215">
        <v>0</v>
      </c>
      <c r="P144" s="215">
        <v>0</v>
      </c>
      <c r="Q144" s="215">
        <v>0</v>
      </c>
    </row>
    <row r="145" spans="2:17" x14ac:dyDescent="0.3">
      <c r="B145" s="259">
        <f t="shared" si="2"/>
        <v>7325.9616666666661</v>
      </c>
      <c r="D145" s="2" t="s">
        <v>992</v>
      </c>
      <c r="E145" s="215">
        <v>0</v>
      </c>
      <c r="F145" s="215">
        <v>0</v>
      </c>
      <c r="G145" s="215">
        <v>0</v>
      </c>
      <c r="H145" s="215">
        <v>0</v>
      </c>
      <c r="I145" s="215">
        <v>0</v>
      </c>
      <c r="J145" s="215">
        <v>0</v>
      </c>
      <c r="K145" s="215">
        <v>0</v>
      </c>
      <c r="L145" s="215">
        <v>0</v>
      </c>
      <c r="M145" s="215">
        <v>0</v>
      </c>
      <c r="N145" s="215">
        <v>0</v>
      </c>
      <c r="O145" s="215">
        <v>0</v>
      </c>
      <c r="P145" s="215">
        <v>0</v>
      </c>
      <c r="Q145" s="215">
        <v>175823.08</v>
      </c>
    </row>
    <row r="146" spans="2:17" x14ac:dyDescent="0.3">
      <c r="B146" s="259">
        <f t="shared" si="2"/>
        <v>0</v>
      </c>
      <c r="D146" s="2" t="s">
        <v>1307</v>
      </c>
      <c r="E146" s="215">
        <v>0</v>
      </c>
      <c r="F146" s="215">
        <v>0</v>
      </c>
      <c r="G146" s="215">
        <v>0</v>
      </c>
      <c r="H146" s="215">
        <v>0</v>
      </c>
      <c r="I146" s="215">
        <v>0</v>
      </c>
      <c r="J146" s="215">
        <v>0</v>
      </c>
      <c r="K146" s="215">
        <v>0</v>
      </c>
      <c r="L146" s="215">
        <v>0</v>
      </c>
      <c r="M146" s="215">
        <v>0</v>
      </c>
      <c r="N146" s="215">
        <v>0</v>
      </c>
      <c r="O146" s="215">
        <v>0</v>
      </c>
      <c r="P146" s="215">
        <v>0</v>
      </c>
      <c r="Q146" s="215">
        <v>0</v>
      </c>
    </row>
    <row r="147" spans="2:17" x14ac:dyDescent="0.3">
      <c r="B147" s="259">
        <f t="shared" si="2"/>
        <v>0</v>
      </c>
      <c r="D147" s="2" t="s">
        <v>1308</v>
      </c>
      <c r="E147" s="215">
        <v>0</v>
      </c>
      <c r="F147" s="215">
        <v>0</v>
      </c>
      <c r="G147" s="215">
        <v>0</v>
      </c>
      <c r="H147" s="215">
        <v>0</v>
      </c>
      <c r="I147" s="215">
        <v>0</v>
      </c>
      <c r="J147" s="215">
        <v>0</v>
      </c>
      <c r="K147" s="215">
        <v>0</v>
      </c>
      <c r="L147" s="215">
        <v>0</v>
      </c>
      <c r="M147" s="215">
        <v>0</v>
      </c>
      <c r="N147" s="215">
        <v>0</v>
      </c>
      <c r="O147" s="215">
        <v>0</v>
      </c>
      <c r="P147" s="215">
        <v>0</v>
      </c>
      <c r="Q147" s="215">
        <v>0</v>
      </c>
    </row>
    <row r="148" spans="2:17" x14ac:dyDescent="0.3">
      <c r="B148" s="259">
        <f t="shared" si="2"/>
        <v>0</v>
      </c>
      <c r="D148" s="2" t="s">
        <v>1309</v>
      </c>
      <c r="E148" s="215">
        <v>0</v>
      </c>
      <c r="F148" s="215">
        <v>0</v>
      </c>
      <c r="G148" s="215">
        <v>0</v>
      </c>
      <c r="H148" s="215">
        <v>0</v>
      </c>
      <c r="I148" s="215">
        <v>0</v>
      </c>
      <c r="J148" s="215">
        <v>0</v>
      </c>
      <c r="K148" s="215">
        <v>0</v>
      </c>
      <c r="L148" s="215">
        <v>0</v>
      </c>
      <c r="M148" s="215">
        <v>0</v>
      </c>
      <c r="N148" s="215">
        <v>0</v>
      </c>
      <c r="O148" s="215">
        <v>0</v>
      </c>
      <c r="P148" s="215">
        <v>0</v>
      </c>
      <c r="Q148" s="215">
        <v>0</v>
      </c>
    </row>
    <row r="149" spans="2:17" x14ac:dyDescent="0.3">
      <c r="B149" s="259">
        <f t="shared" si="2"/>
        <v>614491.21000000008</v>
      </c>
      <c r="D149" s="2" t="s">
        <v>243</v>
      </c>
      <c r="E149" s="215">
        <v>590208.93000000005</v>
      </c>
      <c r="F149" s="215">
        <v>602436.70000000007</v>
      </c>
      <c r="G149" s="215">
        <v>615926.03</v>
      </c>
      <c r="H149" s="215">
        <v>615704.37</v>
      </c>
      <c r="I149" s="215">
        <v>617026.23</v>
      </c>
      <c r="J149" s="215">
        <v>617026.23</v>
      </c>
      <c r="K149" s="215">
        <v>617026.23</v>
      </c>
      <c r="L149" s="215">
        <v>617026.23</v>
      </c>
      <c r="M149" s="215">
        <v>617026.23</v>
      </c>
      <c r="N149" s="215">
        <v>617026.23</v>
      </c>
      <c r="O149" s="215">
        <v>617026.23</v>
      </c>
      <c r="P149" s="215">
        <v>617026.23</v>
      </c>
      <c r="Q149" s="215">
        <v>617026.23</v>
      </c>
    </row>
    <row r="150" spans="2:17" x14ac:dyDescent="0.3">
      <c r="B150" s="259">
        <f t="shared" si="2"/>
        <v>7321.5124999999998</v>
      </c>
      <c r="D150" s="2" t="s">
        <v>994</v>
      </c>
      <c r="E150" s="215">
        <v>0</v>
      </c>
      <c r="F150" s="215">
        <v>0</v>
      </c>
      <c r="G150" s="215">
        <v>0</v>
      </c>
      <c r="H150" s="215">
        <v>0</v>
      </c>
      <c r="I150" s="215">
        <v>0</v>
      </c>
      <c r="J150" s="215">
        <v>0</v>
      </c>
      <c r="K150" s="215">
        <v>0</v>
      </c>
      <c r="L150" s="215">
        <v>0</v>
      </c>
      <c r="M150" s="215">
        <v>0</v>
      </c>
      <c r="N150" s="215">
        <v>0</v>
      </c>
      <c r="O150" s="215">
        <v>0</v>
      </c>
      <c r="P150" s="215">
        <v>0</v>
      </c>
      <c r="Q150" s="215">
        <v>175716.3</v>
      </c>
    </row>
    <row r="151" spans="2:17" x14ac:dyDescent="0.3">
      <c r="B151" s="259">
        <f t="shared" si="2"/>
        <v>0</v>
      </c>
      <c r="D151" s="2" t="s">
        <v>1310</v>
      </c>
      <c r="E151" s="215">
        <v>0</v>
      </c>
      <c r="F151" s="215">
        <v>0</v>
      </c>
      <c r="G151" s="215">
        <v>0</v>
      </c>
      <c r="H151" s="215">
        <v>0</v>
      </c>
      <c r="I151" s="215">
        <v>0</v>
      </c>
      <c r="J151" s="215">
        <v>0</v>
      </c>
      <c r="K151" s="215">
        <v>0</v>
      </c>
      <c r="L151" s="215">
        <v>0</v>
      </c>
      <c r="M151" s="215">
        <v>0</v>
      </c>
      <c r="N151" s="215">
        <v>0</v>
      </c>
      <c r="O151" s="215">
        <v>0</v>
      </c>
      <c r="P151" s="215">
        <v>0</v>
      </c>
      <c r="Q151" s="215">
        <v>0</v>
      </c>
    </row>
    <row r="152" spans="2:17" x14ac:dyDescent="0.3">
      <c r="B152" s="259">
        <f t="shared" si="2"/>
        <v>11260.177083333334</v>
      </c>
      <c r="D152" s="2" t="s">
        <v>996</v>
      </c>
      <c r="E152" s="215">
        <v>0</v>
      </c>
      <c r="F152" s="215">
        <v>0</v>
      </c>
      <c r="G152" s="215">
        <v>0</v>
      </c>
      <c r="H152" s="215">
        <v>0</v>
      </c>
      <c r="I152" s="215">
        <v>0</v>
      </c>
      <c r="J152" s="215">
        <v>0</v>
      </c>
      <c r="K152" s="215">
        <v>0</v>
      </c>
      <c r="L152" s="215">
        <v>0</v>
      </c>
      <c r="M152" s="215">
        <v>0</v>
      </c>
      <c r="N152" s="215">
        <v>0</v>
      </c>
      <c r="O152" s="215">
        <v>0</v>
      </c>
      <c r="P152" s="215">
        <v>0</v>
      </c>
      <c r="Q152" s="215">
        <v>270244.25</v>
      </c>
    </row>
    <row r="153" spans="2:17" x14ac:dyDescent="0.3">
      <c r="B153" s="259">
        <f t="shared" si="2"/>
        <v>447725.04</v>
      </c>
      <c r="D153" s="2" t="s">
        <v>1311</v>
      </c>
      <c r="E153" s="215">
        <v>447725.04</v>
      </c>
      <c r="F153" s="215">
        <v>447725.04</v>
      </c>
      <c r="G153" s="215">
        <v>447725.04</v>
      </c>
      <c r="H153" s="215">
        <v>447725.04</v>
      </c>
      <c r="I153" s="215">
        <v>447725.04</v>
      </c>
      <c r="J153" s="215">
        <v>447725.04</v>
      </c>
      <c r="K153" s="215">
        <v>447725.04</v>
      </c>
      <c r="L153" s="215">
        <v>447725.04</v>
      </c>
      <c r="M153" s="215">
        <v>447725.04</v>
      </c>
      <c r="N153" s="215">
        <v>447725.04</v>
      </c>
      <c r="O153" s="215">
        <v>447725.04</v>
      </c>
      <c r="P153" s="215">
        <v>447725.04</v>
      </c>
      <c r="Q153" s="215">
        <v>447725.04</v>
      </c>
    </row>
    <row r="154" spans="2:17" x14ac:dyDescent="0.3">
      <c r="B154" s="259">
        <f t="shared" si="2"/>
        <v>371131.95083333337</v>
      </c>
      <c r="D154" s="2" t="s">
        <v>245</v>
      </c>
      <c r="E154" s="215">
        <v>253010.78</v>
      </c>
      <c r="F154" s="215">
        <v>239947.22</v>
      </c>
      <c r="G154" s="215">
        <v>249046.14</v>
      </c>
      <c r="H154" s="215">
        <v>251033.53</v>
      </c>
      <c r="I154" s="215">
        <v>256071.15</v>
      </c>
      <c r="J154" s="215">
        <v>256071.15</v>
      </c>
      <c r="K154" s="215">
        <v>256071.15</v>
      </c>
      <c r="L154" s="215">
        <v>256071.15</v>
      </c>
      <c r="M154" s="215">
        <v>544976.5</v>
      </c>
      <c r="N154" s="215">
        <v>572285.42000000004</v>
      </c>
      <c r="O154" s="215">
        <v>576308.02</v>
      </c>
      <c r="P154" s="215">
        <v>578392.87</v>
      </c>
      <c r="Q154" s="215">
        <v>581607.43999999994</v>
      </c>
    </row>
    <row r="155" spans="2:17" x14ac:dyDescent="0.3">
      <c r="B155" s="259">
        <f t="shared" si="2"/>
        <v>14710.543749999997</v>
      </c>
      <c r="D155" s="2" t="s">
        <v>901</v>
      </c>
      <c r="E155" s="215">
        <v>0</v>
      </c>
      <c r="F155" s="215">
        <v>0</v>
      </c>
      <c r="G155" s="215">
        <v>16812.05</v>
      </c>
      <c r="H155" s="215">
        <v>16812.05</v>
      </c>
      <c r="I155" s="215">
        <v>16812.05</v>
      </c>
      <c r="J155" s="215">
        <v>16812.05</v>
      </c>
      <c r="K155" s="215">
        <v>16812.05</v>
      </c>
      <c r="L155" s="215">
        <v>16812.05</v>
      </c>
      <c r="M155" s="215">
        <v>16812.05</v>
      </c>
      <c r="N155" s="215">
        <v>16812.05</v>
      </c>
      <c r="O155" s="215">
        <v>16812.05</v>
      </c>
      <c r="P155" s="215">
        <v>16812.05</v>
      </c>
      <c r="Q155" s="215">
        <v>16812.05</v>
      </c>
    </row>
    <row r="156" spans="2:17" x14ac:dyDescent="0.3">
      <c r="B156" s="259">
        <f t="shared" si="2"/>
        <v>0</v>
      </c>
      <c r="D156" s="2" t="s">
        <v>1312</v>
      </c>
      <c r="E156" s="215">
        <v>0</v>
      </c>
      <c r="F156" s="215">
        <v>0</v>
      </c>
      <c r="G156" s="215">
        <v>0</v>
      </c>
      <c r="H156" s="215">
        <v>0</v>
      </c>
      <c r="I156" s="215">
        <v>0</v>
      </c>
      <c r="J156" s="215">
        <v>0</v>
      </c>
      <c r="K156" s="215">
        <v>0</v>
      </c>
      <c r="L156" s="215">
        <v>0</v>
      </c>
      <c r="M156" s="215">
        <v>0</v>
      </c>
      <c r="N156" s="215">
        <v>0</v>
      </c>
      <c r="O156" s="215">
        <v>0</v>
      </c>
      <c r="P156" s="215">
        <v>0</v>
      </c>
      <c r="Q156" s="215">
        <v>0</v>
      </c>
    </row>
    <row r="157" spans="2:17" x14ac:dyDescent="0.3">
      <c r="B157" s="259">
        <f t="shared" si="2"/>
        <v>6516.6904166666673</v>
      </c>
      <c r="D157" s="2" t="s">
        <v>998</v>
      </c>
      <c r="E157" s="215">
        <v>0</v>
      </c>
      <c r="F157" s="215">
        <v>0</v>
      </c>
      <c r="G157" s="215">
        <v>0</v>
      </c>
      <c r="H157" s="215">
        <v>0</v>
      </c>
      <c r="I157" s="215">
        <v>0</v>
      </c>
      <c r="J157" s="215">
        <v>0</v>
      </c>
      <c r="K157" s="215">
        <v>0</v>
      </c>
      <c r="L157" s="215">
        <v>0</v>
      </c>
      <c r="M157" s="215">
        <v>0</v>
      </c>
      <c r="N157" s="215">
        <v>0</v>
      </c>
      <c r="O157" s="215">
        <v>0</v>
      </c>
      <c r="P157" s="215">
        <v>0</v>
      </c>
      <c r="Q157" s="215">
        <v>156400.57</v>
      </c>
    </row>
    <row r="158" spans="2:17" x14ac:dyDescent="0.3">
      <c r="B158" s="259">
        <f t="shared" si="2"/>
        <v>1802093.5895833333</v>
      </c>
      <c r="D158" s="2" t="s">
        <v>247</v>
      </c>
      <c r="E158" s="215">
        <v>1776208.42</v>
      </c>
      <c r="F158" s="215">
        <v>1817768.1</v>
      </c>
      <c r="G158" s="215">
        <v>1777968.84</v>
      </c>
      <c r="H158" s="215">
        <v>1777968.84</v>
      </c>
      <c r="I158" s="215">
        <v>1777968.84</v>
      </c>
      <c r="J158" s="215">
        <v>1777968.84</v>
      </c>
      <c r="K158" s="215">
        <v>1777968.84</v>
      </c>
      <c r="L158" s="215">
        <v>1777968.84</v>
      </c>
      <c r="M158" s="215">
        <v>1777968.84</v>
      </c>
      <c r="N158" s="215">
        <v>1777968.84</v>
      </c>
      <c r="O158" s="215">
        <v>1777968.84</v>
      </c>
      <c r="P158" s="215">
        <v>1778547.96</v>
      </c>
      <c r="Q158" s="215">
        <v>2277966.4899999998</v>
      </c>
    </row>
    <row r="159" spans="2:17" x14ac:dyDescent="0.3">
      <c r="B159" s="259">
        <f t="shared" si="2"/>
        <v>589455.70083333354</v>
      </c>
      <c r="D159" s="2" t="s">
        <v>249</v>
      </c>
      <c r="E159" s="215">
        <v>588672.32999999996</v>
      </c>
      <c r="F159" s="215">
        <v>590171.74</v>
      </c>
      <c r="G159" s="215">
        <v>589424.81000000006</v>
      </c>
      <c r="H159" s="215">
        <v>589424.81000000006</v>
      </c>
      <c r="I159" s="215">
        <v>589424.81000000006</v>
      </c>
      <c r="J159" s="215">
        <v>589424.81000000006</v>
      </c>
      <c r="K159" s="215">
        <v>589424.81000000006</v>
      </c>
      <c r="L159" s="215">
        <v>589424.81000000006</v>
      </c>
      <c r="M159" s="215">
        <v>589424.81000000006</v>
      </c>
      <c r="N159" s="215">
        <v>589424.81000000006</v>
      </c>
      <c r="O159" s="215">
        <v>589424.81000000006</v>
      </c>
      <c r="P159" s="215">
        <v>589424.81000000006</v>
      </c>
      <c r="Q159" s="215">
        <v>589424.81000000006</v>
      </c>
    </row>
    <row r="160" spans="2:17" x14ac:dyDescent="0.3">
      <c r="B160" s="259">
        <f t="shared" si="2"/>
        <v>2053.65</v>
      </c>
      <c r="D160" s="2" t="s">
        <v>1000</v>
      </c>
      <c r="E160" s="215">
        <v>0</v>
      </c>
      <c r="F160" s="215">
        <v>0</v>
      </c>
      <c r="G160" s="215">
        <v>0</v>
      </c>
      <c r="H160" s="215">
        <v>0</v>
      </c>
      <c r="I160" s="215">
        <v>0</v>
      </c>
      <c r="J160" s="215">
        <v>0</v>
      </c>
      <c r="K160" s="215">
        <v>0</v>
      </c>
      <c r="L160" s="215">
        <v>0</v>
      </c>
      <c r="M160" s="215">
        <v>0</v>
      </c>
      <c r="N160" s="215">
        <v>0</v>
      </c>
      <c r="O160" s="215">
        <v>0</v>
      </c>
      <c r="P160" s="215">
        <v>0</v>
      </c>
      <c r="Q160" s="215">
        <v>49287.6</v>
      </c>
    </row>
    <row r="161" spans="2:17" x14ac:dyDescent="0.3">
      <c r="B161" s="259">
        <f t="shared" si="2"/>
        <v>203586.60833333337</v>
      </c>
      <c r="D161" s="2" t="s">
        <v>903</v>
      </c>
      <c r="E161" s="215">
        <v>0</v>
      </c>
      <c r="F161" s="215">
        <v>212438.2</v>
      </c>
      <c r="G161" s="215">
        <v>212438.2</v>
      </c>
      <c r="H161" s="215">
        <v>212438.2</v>
      </c>
      <c r="I161" s="215">
        <v>212438.2</v>
      </c>
      <c r="J161" s="215">
        <v>212438.2</v>
      </c>
      <c r="K161" s="215">
        <v>212438.2</v>
      </c>
      <c r="L161" s="215">
        <v>212438.2</v>
      </c>
      <c r="M161" s="215">
        <v>212438.2</v>
      </c>
      <c r="N161" s="215">
        <v>212438.2</v>
      </c>
      <c r="O161" s="215">
        <v>212438.2</v>
      </c>
      <c r="P161" s="215">
        <v>212438.2</v>
      </c>
      <c r="Q161" s="215">
        <v>212438.2</v>
      </c>
    </row>
    <row r="162" spans="2:17" x14ac:dyDescent="0.3">
      <c r="B162" s="259">
        <f t="shared" si="2"/>
        <v>5719.2533333333331</v>
      </c>
      <c r="D162" s="2" t="s">
        <v>1002</v>
      </c>
      <c r="E162" s="215">
        <v>0</v>
      </c>
      <c r="F162" s="215">
        <v>0</v>
      </c>
      <c r="G162" s="215">
        <v>0</v>
      </c>
      <c r="H162" s="215">
        <v>0</v>
      </c>
      <c r="I162" s="215">
        <v>0</v>
      </c>
      <c r="J162" s="215">
        <v>0</v>
      </c>
      <c r="K162" s="215">
        <v>0</v>
      </c>
      <c r="L162" s="215">
        <v>0</v>
      </c>
      <c r="M162" s="215">
        <v>0</v>
      </c>
      <c r="N162" s="215">
        <v>0</v>
      </c>
      <c r="O162" s="215">
        <v>0</v>
      </c>
      <c r="P162" s="215">
        <v>0</v>
      </c>
      <c r="Q162" s="215">
        <v>137262.07999999999</v>
      </c>
    </row>
    <row r="163" spans="2:17" x14ac:dyDescent="0.3">
      <c r="B163" s="259">
        <f t="shared" si="2"/>
        <v>0</v>
      </c>
      <c r="D163" s="2" t="s">
        <v>1313</v>
      </c>
      <c r="E163" s="215">
        <v>0</v>
      </c>
      <c r="F163" s="215">
        <v>0</v>
      </c>
      <c r="G163" s="215">
        <v>0</v>
      </c>
      <c r="H163" s="215">
        <v>0</v>
      </c>
      <c r="I163" s="215">
        <v>0</v>
      </c>
      <c r="J163" s="215">
        <v>0</v>
      </c>
      <c r="K163" s="215">
        <v>0</v>
      </c>
      <c r="L163" s="215">
        <v>0</v>
      </c>
      <c r="M163" s="215">
        <v>0</v>
      </c>
      <c r="N163" s="215">
        <v>0</v>
      </c>
      <c r="O163" s="215">
        <v>0</v>
      </c>
      <c r="P163" s="215">
        <v>0</v>
      </c>
      <c r="Q163" s="215">
        <v>0</v>
      </c>
    </row>
    <row r="164" spans="2:17" x14ac:dyDescent="0.3">
      <c r="B164" s="259">
        <f t="shared" si="2"/>
        <v>2029399.1999999995</v>
      </c>
      <c r="D164" s="2" t="s">
        <v>1314</v>
      </c>
      <c r="E164" s="215">
        <v>2029399.2</v>
      </c>
      <c r="F164" s="215">
        <v>2029399.2</v>
      </c>
      <c r="G164" s="215">
        <v>2029399.2</v>
      </c>
      <c r="H164" s="215">
        <v>2029399.2</v>
      </c>
      <c r="I164" s="215">
        <v>2029399.2</v>
      </c>
      <c r="J164" s="215">
        <v>2029399.2</v>
      </c>
      <c r="K164" s="215">
        <v>2029399.2</v>
      </c>
      <c r="L164" s="215">
        <v>2029399.2</v>
      </c>
      <c r="M164" s="215">
        <v>2029399.2</v>
      </c>
      <c r="N164" s="215">
        <v>2029399.2</v>
      </c>
      <c r="O164" s="215">
        <v>2029399.2</v>
      </c>
      <c r="P164" s="215">
        <v>2029399.2</v>
      </c>
      <c r="Q164" s="215">
        <v>2029399.2</v>
      </c>
    </row>
    <row r="165" spans="2:17" x14ac:dyDescent="0.3">
      <c r="B165" s="259">
        <f t="shared" si="2"/>
        <v>0</v>
      </c>
      <c r="D165" s="2" t="s">
        <v>1315</v>
      </c>
      <c r="E165" s="215">
        <v>0</v>
      </c>
      <c r="F165" s="215">
        <v>0</v>
      </c>
      <c r="G165" s="215">
        <v>0</v>
      </c>
      <c r="H165" s="215">
        <v>0</v>
      </c>
      <c r="I165" s="215">
        <v>0</v>
      </c>
      <c r="J165" s="215">
        <v>0</v>
      </c>
      <c r="K165" s="215">
        <v>0</v>
      </c>
      <c r="L165" s="215">
        <v>0</v>
      </c>
      <c r="M165" s="215">
        <v>0</v>
      </c>
      <c r="N165" s="215">
        <v>0</v>
      </c>
      <c r="O165" s="215">
        <v>0</v>
      </c>
      <c r="P165" s="215">
        <v>0</v>
      </c>
      <c r="Q165" s="215">
        <v>0</v>
      </c>
    </row>
    <row r="166" spans="2:17" x14ac:dyDescent="0.3">
      <c r="B166" s="259">
        <f t="shared" si="2"/>
        <v>877485.02208333334</v>
      </c>
      <c r="D166" s="2" t="s">
        <v>251</v>
      </c>
      <c r="E166" s="215">
        <v>240888.25</v>
      </c>
      <c r="F166" s="215">
        <v>240888.25</v>
      </c>
      <c r="G166" s="215">
        <v>240888.25</v>
      </c>
      <c r="H166" s="215">
        <v>240888.25</v>
      </c>
      <c r="I166" s="215">
        <v>1115326.67</v>
      </c>
      <c r="J166" s="215">
        <v>1091521.8399999999</v>
      </c>
      <c r="K166" s="215">
        <v>1092660.0699999998</v>
      </c>
      <c r="L166" s="215">
        <v>1093627.5699999998</v>
      </c>
      <c r="M166" s="215">
        <v>1048627.5699999998</v>
      </c>
      <c r="N166" s="215">
        <v>1093627.5699999998</v>
      </c>
      <c r="O166" s="215">
        <v>1093627.5699999998</v>
      </c>
      <c r="P166" s="215">
        <v>1093627.5699999998</v>
      </c>
      <c r="Q166" s="215">
        <v>1928129.92</v>
      </c>
    </row>
    <row r="167" spans="2:17" x14ac:dyDescent="0.3">
      <c r="B167" s="259">
        <f t="shared" si="2"/>
        <v>16232.887916666667</v>
      </c>
      <c r="D167" s="2" t="s">
        <v>1004</v>
      </c>
      <c r="E167" s="215">
        <v>0</v>
      </c>
      <c r="F167" s="215">
        <v>0</v>
      </c>
      <c r="G167" s="215">
        <v>0</v>
      </c>
      <c r="H167" s="215">
        <v>0</v>
      </c>
      <c r="I167" s="215">
        <v>0</v>
      </c>
      <c r="J167" s="215">
        <v>0</v>
      </c>
      <c r="K167" s="215">
        <v>0</v>
      </c>
      <c r="L167" s="215">
        <v>35417.21</v>
      </c>
      <c r="M167" s="215">
        <v>35417.21</v>
      </c>
      <c r="N167" s="215">
        <v>35417.21</v>
      </c>
      <c r="O167" s="215">
        <v>35417.21</v>
      </c>
      <c r="P167" s="215">
        <v>35417.21</v>
      </c>
      <c r="Q167" s="215">
        <v>35417.21</v>
      </c>
    </row>
    <row r="168" spans="2:17" x14ac:dyDescent="0.3">
      <c r="B168" s="259">
        <f t="shared" si="2"/>
        <v>0</v>
      </c>
      <c r="D168" s="2" t="s">
        <v>1316</v>
      </c>
      <c r="E168" s="215">
        <v>0</v>
      </c>
      <c r="F168" s="215">
        <v>0</v>
      </c>
      <c r="G168" s="215">
        <v>0</v>
      </c>
      <c r="H168" s="215">
        <v>0</v>
      </c>
      <c r="I168" s="215">
        <v>0</v>
      </c>
      <c r="J168" s="215">
        <v>0</v>
      </c>
      <c r="K168" s="215">
        <v>0</v>
      </c>
      <c r="L168" s="215">
        <v>0</v>
      </c>
      <c r="M168" s="215">
        <v>0</v>
      </c>
      <c r="N168" s="215">
        <v>0</v>
      </c>
      <c r="O168" s="215">
        <v>0</v>
      </c>
      <c r="P168" s="215">
        <v>0</v>
      </c>
      <c r="Q168" s="215">
        <v>0</v>
      </c>
    </row>
    <row r="169" spans="2:17" x14ac:dyDescent="0.3">
      <c r="B169" s="259">
        <f t="shared" si="2"/>
        <v>3614400.6199999996</v>
      </c>
      <c r="D169" s="2" t="s">
        <v>253</v>
      </c>
      <c r="E169" s="215">
        <v>3614400.62</v>
      </c>
      <c r="F169" s="215">
        <v>3614400.62</v>
      </c>
      <c r="G169" s="215">
        <v>3614400.62</v>
      </c>
      <c r="H169" s="215">
        <v>3614400.62</v>
      </c>
      <c r="I169" s="215">
        <v>3614400.62</v>
      </c>
      <c r="J169" s="215">
        <v>3614400.62</v>
      </c>
      <c r="K169" s="215">
        <v>3614400.62</v>
      </c>
      <c r="L169" s="215">
        <v>3614400.62</v>
      </c>
      <c r="M169" s="215">
        <v>3614400.62</v>
      </c>
      <c r="N169" s="215">
        <v>3614400.62</v>
      </c>
      <c r="O169" s="215">
        <v>3614400.62</v>
      </c>
      <c r="P169" s="215">
        <v>3614400.62</v>
      </c>
      <c r="Q169" s="215">
        <v>3614400.62</v>
      </c>
    </row>
    <row r="170" spans="2:17" x14ac:dyDescent="0.3">
      <c r="B170" s="259">
        <f t="shared" si="2"/>
        <v>0</v>
      </c>
      <c r="D170" s="2" t="s">
        <v>1317</v>
      </c>
      <c r="E170" s="215">
        <v>0</v>
      </c>
      <c r="F170" s="215">
        <v>0</v>
      </c>
      <c r="G170" s="215">
        <v>0</v>
      </c>
      <c r="H170" s="215">
        <v>0</v>
      </c>
      <c r="I170" s="215">
        <v>0</v>
      </c>
      <c r="J170" s="215">
        <v>0</v>
      </c>
      <c r="K170" s="215">
        <v>0</v>
      </c>
      <c r="L170" s="215">
        <v>0</v>
      </c>
      <c r="M170" s="215">
        <v>0</v>
      </c>
      <c r="N170" s="215">
        <v>0</v>
      </c>
      <c r="O170" s="215">
        <v>0</v>
      </c>
      <c r="P170" s="215">
        <v>0</v>
      </c>
      <c r="Q170" s="215">
        <v>0</v>
      </c>
    </row>
    <row r="171" spans="2:17" x14ac:dyDescent="0.3">
      <c r="B171" s="259">
        <f t="shared" si="2"/>
        <v>842222.63999999978</v>
      </c>
      <c r="D171" s="2" t="s">
        <v>905</v>
      </c>
      <c r="E171" s="215">
        <v>0</v>
      </c>
      <c r="F171" s="215">
        <v>0</v>
      </c>
      <c r="G171" s="215">
        <v>0</v>
      </c>
      <c r="H171" s="215">
        <v>0</v>
      </c>
      <c r="I171" s="215">
        <v>0</v>
      </c>
      <c r="J171" s="215">
        <v>1284042.3899999999</v>
      </c>
      <c r="K171" s="215">
        <v>1375828.38</v>
      </c>
      <c r="L171" s="215">
        <v>1349976.41</v>
      </c>
      <c r="M171" s="215">
        <v>1352712.85</v>
      </c>
      <c r="N171" s="215">
        <v>1354705.84</v>
      </c>
      <c r="O171" s="215">
        <v>1355317.49</v>
      </c>
      <c r="P171" s="215">
        <v>1355873.54</v>
      </c>
      <c r="Q171" s="215">
        <v>1356429.56</v>
      </c>
    </row>
    <row r="172" spans="2:17" x14ac:dyDescent="0.3">
      <c r="B172" s="259">
        <f t="shared" si="2"/>
        <v>20240.536666666667</v>
      </c>
      <c r="D172" s="2" t="s">
        <v>1006</v>
      </c>
      <c r="E172" s="215">
        <v>0</v>
      </c>
      <c r="F172" s="215">
        <v>0</v>
      </c>
      <c r="G172" s="215">
        <v>0</v>
      </c>
      <c r="H172" s="215">
        <v>0</v>
      </c>
      <c r="I172" s="215">
        <v>0</v>
      </c>
      <c r="J172" s="215">
        <v>0</v>
      </c>
      <c r="K172" s="215">
        <v>0</v>
      </c>
      <c r="L172" s="215">
        <v>0</v>
      </c>
      <c r="M172" s="215">
        <v>0</v>
      </c>
      <c r="N172" s="215">
        <v>0</v>
      </c>
      <c r="O172" s="215">
        <v>0</v>
      </c>
      <c r="P172" s="215">
        <v>0</v>
      </c>
      <c r="Q172" s="215">
        <v>485772.88</v>
      </c>
    </row>
    <row r="173" spans="2:17" x14ac:dyDescent="0.3">
      <c r="B173" s="259">
        <f t="shared" si="2"/>
        <v>20110.281666666666</v>
      </c>
      <c r="D173" s="2" t="s">
        <v>1008</v>
      </c>
      <c r="E173" s="215">
        <v>0</v>
      </c>
      <c r="F173" s="215">
        <v>0</v>
      </c>
      <c r="G173" s="215">
        <v>0</v>
      </c>
      <c r="H173" s="215">
        <v>0</v>
      </c>
      <c r="I173" s="215">
        <v>0</v>
      </c>
      <c r="J173" s="215">
        <v>0</v>
      </c>
      <c r="K173" s="215">
        <v>0</v>
      </c>
      <c r="L173" s="215">
        <v>0</v>
      </c>
      <c r="M173" s="215">
        <v>0</v>
      </c>
      <c r="N173" s="215">
        <v>0</v>
      </c>
      <c r="O173" s="215">
        <v>0</v>
      </c>
      <c r="P173" s="215">
        <v>0</v>
      </c>
      <c r="Q173" s="215">
        <v>482646.76</v>
      </c>
    </row>
    <row r="174" spans="2:17" x14ac:dyDescent="0.3">
      <c r="B174" s="259">
        <f t="shared" si="2"/>
        <v>0</v>
      </c>
      <c r="D174" s="2" t="s">
        <v>1318</v>
      </c>
      <c r="E174" s="215">
        <v>0</v>
      </c>
      <c r="F174" s="215">
        <v>0</v>
      </c>
      <c r="G174" s="215">
        <v>0</v>
      </c>
      <c r="H174" s="215">
        <v>0</v>
      </c>
      <c r="I174" s="215">
        <v>0</v>
      </c>
      <c r="J174" s="215">
        <v>0</v>
      </c>
      <c r="K174" s="215">
        <v>0</v>
      </c>
      <c r="L174" s="215">
        <v>0</v>
      </c>
      <c r="M174" s="215">
        <v>0</v>
      </c>
      <c r="N174" s="215">
        <v>0</v>
      </c>
      <c r="O174" s="215">
        <v>0</v>
      </c>
      <c r="P174" s="215">
        <v>0</v>
      </c>
      <c r="Q174" s="215">
        <v>0</v>
      </c>
    </row>
    <row r="175" spans="2:17" x14ac:dyDescent="0.3">
      <c r="B175" s="259">
        <f t="shared" si="2"/>
        <v>0</v>
      </c>
      <c r="D175" s="2" t="s">
        <v>1319</v>
      </c>
      <c r="E175" s="215">
        <v>0</v>
      </c>
      <c r="F175" s="215">
        <v>0</v>
      </c>
      <c r="G175" s="215">
        <v>0</v>
      </c>
      <c r="H175" s="215">
        <v>0</v>
      </c>
      <c r="I175" s="215">
        <v>0</v>
      </c>
      <c r="J175" s="215">
        <v>0</v>
      </c>
      <c r="K175" s="215">
        <v>0</v>
      </c>
      <c r="L175" s="215">
        <v>0</v>
      </c>
      <c r="M175" s="215">
        <v>0</v>
      </c>
      <c r="N175" s="215">
        <v>0</v>
      </c>
      <c r="O175" s="215">
        <v>0</v>
      </c>
      <c r="P175" s="215">
        <v>0</v>
      </c>
      <c r="Q175" s="215">
        <v>0</v>
      </c>
    </row>
    <row r="176" spans="2:17" x14ac:dyDescent="0.3">
      <c r="B176" s="259">
        <f t="shared" si="2"/>
        <v>102832.70083333332</v>
      </c>
      <c r="D176" s="2" t="s">
        <v>255</v>
      </c>
      <c r="E176" s="215">
        <v>102980.74</v>
      </c>
      <c r="F176" s="215">
        <v>102857.01</v>
      </c>
      <c r="G176" s="215">
        <v>102949.67</v>
      </c>
      <c r="H176" s="215">
        <v>102857.28</v>
      </c>
      <c r="I176" s="215">
        <v>102804.48</v>
      </c>
      <c r="J176" s="215">
        <v>102804.48</v>
      </c>
      <c r="K176" s="215">
        <v>102804.48</v>
      </c>
      <c r="L176" s="215">
        <v>102804.48</v>
      </c>
      <c r="M176" s="215">
        <v>102804.48</v>
      </c>
      <c r="N176" s="215">
        <v>102804.48</v>
      </c>
      <c r="O176" s="215">
        <v>102804.48</v>
      </c>
      <c r="P176" s="215">
        <v>102804.48</v>
      </c>
      <c r="Q176" s="215">
        <v>102804.48</v>
      </c>
    </row>
    <row r="177" spans="2:17" x14ac:dyDescent="0.3">
      <c r="B177" s="259">
        <f t="shared" si="2"/>
        <v>16279.519999999999</v>
      </c>
      <c r="D177" s="2" t="s">
        <v>1010</v>
      </c>
      <c r="E177" s="215">
        <v>0</v>
      </c>
      <c r="F177" s="215">
        <v>0</v>
      </c>
      <c r="G177" s="215">
        <v>0</v>
      </c>
      <c r="H177" s="215">
        <v>0</v>
      </c>
      <c r="I177" s="215">
        <v>0</v>
      </c>
      <c r="J177" s="215">
        <v>0</v>
      </c>
      <c r="K177" s="215">
        <v>0</v>
      </c>
      <c r="L177" s="215">
        <v>0</v>
      </c>
      <c r="M177" s="215">
        <v>0</v>
      </c>
      <c r="N177" s="215">
        <v>0</v>
      </c>
      <c r="O177" s="215">
        <v>0</v>
      </c>
      <c r="P177" s="215">
        <v>0</v>
      </c>
      <c r="Q177" s="215">
        <v>390708.47999999998</v>
      </c>
    </row>
    <row r="178" spans="2:17" x14ac:dyDescent="0.3">
      <c r="B178" s="259">
        <f t="shared" si="2"/>
        <v>0</v>
      </c>
      <c r="D178" s="2" t="s">
        <v>1320</v>
      </c>
      <c r="E178" s="215">
        <v>0</v>
      </c>
      <c r="F178" s="215">
        <v>0</v>
      </c>
      <c r="G178" s="215">
        <v>0</v>
      </c>
      <c r="H178" s="215">
        <v>0</v>
      </c>
      <c r="I178" s="215">
        <v>0</v>
      </c>
      <c r="J178" s="215">
        <v>0</v>
      </c>
      <c r="K178" s="215">
        <v>0</v>
      </c>
      <c r="L178" s="215">
        <v>0</v>
      </c>
      <c r="M178" s="215">
        <v>0</v>
      </c>
      <c r="N178" s="215">
        <v>0</v>
      </c>
      <c r="O178" s="215">
        <v>0</v>
      </c>
      <c r="P178" s="215">
        <v>0</v>
      </c>
      <c r="Q178" s="215">
        <v>0</v>
      </c>
    </row>
    <row r="179" spans="2:17" x14ac:dyDescent="0.3">
      <c r="B179" s="259">
        <f t="shared" si="2"/>
        <v>0</v>
      </c>
      <c r="D179" s="2" t="s">
        <v>1321</v>
      </c>
      <c r="E179" s="215">
        <v>0</v>
      </c>
      <c r="F179" s="215">
        <v>0</v>
      </c>
      <c r="G179" s="215">
        <v>0</v>
      </c>
      <c r="H179" s="215">
        <v>0</v>
      </c>
      <c r="I179" s="215">
        <v>0</v>
      </c>
      <c r="J179" s="215">
        <v>0</v>
      </c>
      <c r="K179" s="215">
        <v>0</v>
      </c>
      <c r="L179" s="215">
        <v>0</v>
      </c>
      <c r="M179" s="215">
        <v>0</v>
      </c>
      <c r="N179" s="215">
        <v>0</v>
      </c>
      <c r="O179" s="215">
        <v>0</v>
      </c>
      <c r="P179" s="215">
        <v>0</v>
      </c>
      <c r="Q179" s="215">
        <v>0</v>
      </c>
    </row>
    <row r="180" spans="2:17" x14ac:dyDescent="0.3">
      <c r="B180" s="259">
        <f t="shared" si="2"/>
        <v>45624.786250000005</v>
      </c>
      <c r="D180" s="2" t="s">
        <v>257</v>
      </c>
      <c r="E180" s="215">
        <v>52869.98</v>
      </c>
      <c r="F180" s="215">
        <v>45557.919999999998</v>
      </c>
      <c r="G180" s="215">
        <v>45280.78</v>
      </c>
      <c r="H180" s="215">
        <v>45286.71</v>
      </c>
      <c r="I180" s="215">
        <v>45286.71</v>
      </c>
      <c r="J180" s="215">
        <v>45286.71</v>
      </c>
      <c r="K180" s="215">
        <v>45286.71</v>
      </c>
      <c r="L180" s="215">
        <v>45286.71</v>
      </c>
      <c r="M180" s="215">
        <v>45286.71</v>
      </c>
      <c r="N180" s="215">
        <v>45286.71</v>
      </c>
      <c r="O180" s="215">
        <v>45286.71</v>
      </c>
      <c r="P180" s="215">
        <v>45286.71</v>
      </c>
      <c r="Q180" s="215">
        <v>45286.71</v>
      </c>
    </row>
    <row r="181" spans="2:17" x14ac:dyDescent="0.3">
      <c r="B181" s="259">
        <f t="shared" si="2"/>
        <v>0</v>
      </c>
      <c r="D181" s="2" t="s">
        <v>1322</v>
      </c>
      <c r="E181" s="215">
        <v>0</v>
      </c>
      <c r="F181" s="215">
        <v>0</v>
      </c>
      <c r="G181" s="215">
        <v>0</v>
      </c>
      <c r="H181" s="215">
        <v>0</v>
      </c>
      <c r="I181" s="215">
        <v>0</v>
      </c>
      <c r="J181" s="215">
        <v>0</v>
      </c>
      <c r="K181" s="215">
        <v>0</v>
      </c>
      <c r="L181" s="215">
        <v>0</v>
      </c>
      <c r="M181" s="215">
        <v>0</v>
      </c>
      <c r="N181" s="215">
        <v>0</v>
      </c>
      <c r="O181" s="215">
        <v>0</v>
      </c>
      <c r="P181" s="215">
        <v>0</v>
      </c>
      <c r="Q181" s="215">
        <v>0</v>
      </c>
    </row>
    <row r="182" spans="2:17" x14ac:dyDescent="0.3">
      <c r="B182" s="259">
        <f t="shared" si="2"/>
        <v>3501.5941666666663</v>
      </c>
      <c r="D182" s="2" t="s">
        <v>1012</v>
      </c>
      <c r="E182" s="215">
        <v>0</v>
      </c>
      <c r="F182" s="215">
        <v>0</v>
      </c>
      <c r="G182" s="215">
        <v>0</v>
      </c>
      <c r="H182" s="215">
        <v>0</v>
      </c>
      <c r="I182" s="215">
        <v>0</v>
      </c>
      <c r="J182" s="215">
        <v>0</v>
      </c>
      <c r="K182" s="215">
        <v>0</v>
      </c>
      <c r="L182" s="215">
        <v>0</v>
      </c>
      <c r="M182" s="215">
        <v>0</v>
      </c>
      <c r="N182" s="215">
        <v>0</v>
      </c>
      <c r="O182" s="215">
        <v>0</v>
      </c>
      <c r="P182" s="215">
        <v>0</v>
      </c>
      <c r="Q182" s="215">
        <v>84038.26</v>
      </c>
    </row>
    <row r="183" spans="2:17" x14ac:dyDescent="0.3">
      <c r="B183" s="259">
        <f t="shared" si="2"/>
        <v>7308.53125</v>
      </c>
      <c r="D183" s="2" t="s">
        <v>1014</v>
      </c>
      <c r="E183" s="215">
        <v>0</v>
      </c>
      <c r="F183" s="215">
        <v>0</v>
      </c>
      <c r="G183" s="215">
        <v>0</v>
      </c>
      <c r="H183" s="215">
        <v>0</v>
      </c>
      <c r="I183" s="215">
        <v>0</v>
      </c>
      <c r="J183" s="215">
        <v>0</v>
      </c>
      <c r="K183" s="215">
        <v>0</v>
      </c>
      <c r="L183" s="215">
        <v>0</v>
      </c>
      <c r="M183" s="215">
        <v>0</v>
      </c>
      <c r="N183" s="215">
        <v>0</v>
      </c>
      <c r="O183" s="215">
        <v>0</v>
      </c>
      <c r="P183" s="215">
        <v>0</v>
      </c>
      <c r="Q183" s="215">
        <v>175404.75</v>
      </c>
    </row>
    <row r="184" spans="2:17" x14ac:dyDescent="0.3">
      <c r="B184" s="259">
        <f t="shared" si="2"/>
        <v>2873.49</v>
      </c>
      <c r="D184" s="2" t="s">
        <v>1016</v>
      </c>
      <c r="E184" s="215">
        <v>0</v>
      </c>
      <c r="F184" s="215">
        <v>0</v>
      </c>
      <c r="G184" s="215">
        <v>0</v>
      </c>
      <c r="H184" s="215">
        <v>0</v>
      </c>
      <c r="I184" s="215">
        <v>0</v>
      </c>
      <c r="J184" s="215">
        <v>0</v>
      </c>
      <c r="K184" s="215">
        <v>0</v>
      </c>
      <c r="L184" s="215">
        <v>0</v>
      </c>
      <c r="M184" s="215">
        <v>0</v>
      </c>
      <c r="N184" s="215">
        <v>0</v>
      </c>
      <c r="O184" s="215">
        <v>0</v>
      </c>
      <c r="P184" s="215">
        <v>0</v>
      </c>
      <c r="Q184" s="215">
        <v>68963.759999999995</v>
      </c>
    </row>
    <row r="185" spans="2:17" x14ac:dyDescent="0.3">
      <c r="B185" s="259">
        <f t="shared" si="2"/>
        <v>19650.208333333332</v>
      </c>
      <c r="D185" s="2" t="s">
        <v>1018</v>
      </c>
      <c r="E185" s="215">
        <v>0</v>
      </c>
      <c r="F185" s="215">
        <v>0</v>
      </c>
      <c r="G185" s="215">
        <v>0</v>
      </c>
      <c r="H185" s="215">
        <v>0</v>
      </c>
      <c r="I185" s="215">
        <v>0</v>
      </c>
      <c r="J185" s="215">
        <v>0</v>
      </c>
      <c r="K185" s="215">
        <v>0</v>
      </c>
      <c r="L185" s="215">
        <v>0</v>
      </c>
      <c r="M185" s="215">
        <v>0</v>
      </c>
      <c r="N185" s="215">
        <v>0</v>
      </c>
      <c r="O185" s="215">
        <v>0</v>
      </c>
      <c r="P185" s="215">
        <v>0</v>
      </c>
      <c r="Q185" s="215">
        <v>471605</v>
      </c>
    </row>
    <row r="186" spans="2:17" x14ac:dyDescent="0.3">
      <c r="B186" s="259">
        <f t="shared" si="2"/>
        <v>31186.064166666667</v>
      </c>
      <c r="D186" s="2" t="s">
        <v>907</v>
      </c>
      <c r="E186" s="215">
        <v>0</v>
      </c>
      <c r="F186" s="215">
        <v>0</v>
      </c>
      <c r="G186" s="215">
        <v>0</v>
      </c>
      <c r="H186" s="215">
        <v>0</v>
      </c>
      <c r="I186" s="215">
        <v>0</v>
      </c>
      <c r="J186" s="215">
        <v>0</v>
      </c>
      <c r="K186" s="215">
        <v>0</v>
      </c>
      <c r="L186" s="215">
        <v>0</v>
      </c>
      <c r="M186" s="215">
        <v>0</v>
      </c>
      <c r="N186" s="215">
        <v>0</v>
      </c>
      <c r="O186" s="215">
        <v>0</v>
      </c>
      <c r="P186" s="215">
        <v>0</v>
      </c>
      <c r="Q186" s="215">
        <v>748465.54</v>
      </c>
    </row>
    <row r="187" spans="2:17" x14ac:dyDescent="0.3">
      <c r="B187" s="259">
        <f t="shared" si="2"/>
        <v>289311.64541666664</v>
      </c>
      <c r="D187" s="2" t="s">
        <v>1020</v>
      </c>
      <c r="E187" s="215">
        <v>0</v>
      </c>
      <c r="F187" s="215">
        <v>0</v>
      </c>
      <c r="G187" s="215">
        <v>0</v>
      </c>
      <c r="H187" s="215">
        <v>0</v>
      </c>
      <c r="I187" s="215">
        <v>0</v>
      </c>
      <c r="J187" s="215">
        <v>0</v>
      </c>
      <c r="K187" s="215">
        <v>0</v>
      </c>
      <c r="L187" s="215">
        <v>0</v>
      </c>
      <c r="M187" s="215">
        <v>767132.93</v>
      </c>
      <c r="N187" s="215">
        <v>773597.86</v>
      </c>
      <c r="O187" s="215">
        <v>772322.51</v>
      </c>
      <c r="P187" s="215">
        <v>772438.32</v>
      </c>
      <c r="Q187" s="215">
        <v>772496.25</v>
      </c>
    </row>
    <row r="188" spans="2:17" x14ac:dyDescent="0.3">
      <c r="B188" s="259">
        <f t="shared" si="2"/>
        <v>0</v>
      </c>
      <c r="D188" s="2" t="s">
        <v>1323</v>
      </c>
      <c r="E188" s="215">
        <v>0</v>
      </c>
      <c r="F188" s="215">
        <v>0</v>
      </c>
      <c r="G188" s="215">
        <v>0</v>
      </c>
      <c r="H188" s="215">
        <v>0</v>
      </c>
      <c r="I188" s="215">
        <v>0</v>
      </c>
      <c r="J188" s="215">
        <v>0</v>
      </c>
      <c r="K188" s="215">
        <v>0</v>
      </c>
      <c r="L188" s="215">
        <v>0</v>
      </c>
      <c r="M188" s="215">
        <v>0</v>
      </c>
      <c r="N188" s="215">
        <v>0</v>
      </c>
      <c r="O188" s="215">
        <v>0</v>
      </c>
      <c r="P188" s="215">
        <v>0</v>
      </c>
      <c r="Q188" s="215">
        <v>0</v>
      </c>
    </row>
    <row r="189" spans="2:17" x14ac:dyDescent="0.3">
      <c r="B189" s="259">
        <f t="shared" si="2"/>
        <v>0</v>
      </c>
      <c r="D189" s="2" t="s">
        <v>1324</v>
      </c>
      <c r="E189" s="215">
        <v>0</v>
      </c>
      <c r="F189" s="215">
        <v>0</v>
      </c>
      <c r="G189" s="215">
        <v>0</v>
      </c>
      <c r="H189" s="215">
        <v>0</v>
      </c>
      <c r="I189" s="215">
        <v>0</v>
      </c>
      <c r="J189" s="215">
        <v>0</v>
      </c>
      <c r="K189" s="215">
        <v>0</v>
      </c>
      <c r="L189" s="215">
        <v>0</v>
      </c>
      <c r="M189" s="215">
        <v>0</v>
      </c>
      <c r="N189" s="215">
        <v>0</v>
      </c>
      <c r="O189" s="215">
        <v>0</v>
      </c>
      <c r="P189" s="215">
        <v>0</v>
      </c>
      <c r="Q189" s="215">
        <v>0</v>
      </c>
    </row>
    <row r="190" spans="2:17" x14ac:dyDescent="0.3">
      <c r="B190" s="259">
        <f t="shared" si="2"/>
        <v>0</v>
      </c>
      <c r="D190" s="2" t="s">
        <v>1325</v>
      </c>
      <c r="E190" s="215">
        <v>0</v>
      </c>
      <c r="F190" s="215">
        <v>0</v>
      </c>
      <c r="G190" s="215">
        <v>0</v>
      </c>
      <c r="H190" s="215">
        <v>0</v>
      </c>
      <c r="I190" s="215">
        <v>0</v>
      </c>
      <c r="J190" s="215">
        <v>0</v>
      </c>
      <c r="K190" s="215">
        <v>0</v>
      </c>
      <c r="L190" s="215">
        <v>0</v>
      </c>
      <c r="M190" s="215">
        <v>0</v>
      </c>
      <c r="N190" s="215">
        <v>0</v>
      </c>
      <c r="O190" s="215">
        <v>0</v>
      </c>
      <c r="P190" s="215">
        <v>0</v>
      </c>
      <c r="Q190" s="215">
        <v>0</v>
      </c>
    </row>
    <row r="191" spans="2:17" x14ac:dyDescent="0.3">
      <c r="B191" s="259">
        <f t="shared" si="2"/>
        <v>0</v>
      </c>
      <c r="D191" s="2" t="s">
        <v>1326</v>
      </c>
      <c r="E191" s="215">
        <v>0</v>
      </c>
      <c r="F191" s="215">
        <v>0</v>
      </c>
      <c r="G191" s="215">
        <v>0</v>
      </c>
      <c r="H191" s="215">
        <v>0</v>
      </c>
      <c r="I191" s="215">
        <v>0</v>
      </c>
      <c r="J191" s="215">
        <v>0</v>
      </c>
      <c r="K191" s="215">
        <v>0</v>
      </c>
      <c r="L191" s="215">
        <v>0</v>
      </c>
      <c r="M191" s="215">
        <v>0</v>
      </c>
      <c r="N191" s="215">
        <v>0</v>
      </c>
      <c r="O191" s="215">
        <v>0</v>
      </c>
      <c r="P191" s="215">
        <v>0</v>
      </c>
      <c r="Q191" s="215">
        <v>0</v>
      </c>
    </row>
    <row r="192" spans="2:17" x14ac:dyDescent="0.3">
      <c r="B192" s="259">
        <f t="shared" si="2"/>
        <v>139490.19999999998</v>
      </c>
      <c r="D192" s="2" t="s">
        <v>1327</v>
      </c>
      <c r="E192" s="215">
        <v>139490.20000000001</v>
      </c>
      <c r="F192" s="215">
        <v>139490.20000000001</v>
      </c>
      <c r="G192" s="215">
        <v>139490.20000000001</v>
      </c>
      <c r="H192" s="215">
        <v>139490.20000000001</v>
      </c>
      <c r="I192" s="215">
        <v>139490.20000000001</v>
      </c>
      <c r="J192" s="215">
        <v>139490.20000000001</v>
      </c>
      <c r="K192" s="215">
        <v>139490.20000000001</v>
      </c>
      <c r="L192" s="215">
        <v>139490.20000000001</v>
      </c>
      <c r="M192" s="215">
        <v>139490.20000000001</v>
      </c>
      <c r="N192" s="215">
        <v>139490.20000000001</v>
      </c>
      <c r="O192" s="215">
        <v>139490.20000000001</v>
      </c>
      <c r="P192" s="215">
        <v>139490.20000000001</v>
      </c>
      <c r="Q192" s="215">
        <v>139490.20000000001</v>
      </c>
    </row>
    <row r="193" spans="2:17" x14ac:dyDescent="0.3">
      <c r="B193" s="259">
        <f t="shared" si="2"/>
        <v>154464.01</v>
      </c>
      <c r="D193" s="2" t="s">
        <v>1328</v>
      </c>
      <c r="E193" s="215">
        <v>154464.01</v>
      </c>
      <c r="F193" s="215">
        <v>154464.01</v>
      </c>
      <c r="G193" s="215">
        <v>154464.01</v>
      </c>
      <c r="H193" s="215">
        <v>154464.01</v>
      </c>
      <c r="I193" s="215">
        <v>154464.01</v>
      </c>
      <c r="J193" s="215">
        <v>154464.01</v>
      </c>
      <c r="K193" s="215">
        <v>154464.01</v>
      </c>
      <c r="L193" s="215">
        <v>154464.01</v>
      </c>
      <c r="M193" s="215">
        <v>154464.01</v>
      </c>
      <c r="N193" s="215">
        <v>154464.01</v>
      </c>
      <c r="O193" s="215">
        <v>154464.01</v>
      </c>
      <c r="P193" s="215">
        <v>154464.01</v>
      </c>
      <c r="Q193" s="215">
        <v>154464.01</v>
      </c>
    </row>
    <row r="194" spans="2:17" x14ac:dyDescent="0.3">
      <c r="B194" s="259">
        <f t="shared" si="2"/>
        <v>149150.58166666667</v>
      </c>
      <c r="D194" s="2" t="s">
        <v>909</v>
      </c>
      <c r="E194" s="215">
        <v>0</v>
      </c>
      <c r="F194" s="215">
        <v>0</v>
      </c>
      <c r="G194" s="215">
        <v>0</v>
      </c>
      <c r="H194" s="215">
        <v>0</v>
      </c>
      <c r="I194" s="215">
        <v>0</v>
      </c>
      <c r="J194" s="215">
        <v>0</v>
      </c>
      <c r="K194" s="215">
        <v>0</v>
      </c>
      <c r="L194" s="215">
        <v>0</v>
      </c>
      <c r="M194" s="215">
        <v>0</v>
      </c>
      <c r="N194" s="215">
        <v>0</v>
      </c>
      <c r="O194" s="215">
        <v>0</v>
      </c>
      <c r="P194" s="215">
        <v>0</v>
      </c>
      <c r="Q194" s="215">
        <v>3579613.96</v>
      </c>
    </row>
    <row r="195" spans="2:17" x14ac:dyDescent="0.3">
      <c r="B195" s="259">
        <f t="shared" si="2"/>
        <v>66577.054583333331</v>
      </c>
      <c r="D195" s="2" t="s">
        <v>259</v>
      </c>
      <c r="E195" s="215">
        <v>63848.45</v>
      </c>
      <c r="F195" s="215">
        <v>66595.13</v>
      </c>
      <c r="G195" s="215">
        <v>66595.13</v>
      </c>
      <c r="H195" s="215">
        <v>66716.86</v>
      </c>
      <c r="I195" s="215">
        <v>66716.86</v>
      </c>
      <c r="J195" s="215">
        <v>66716.86</v>
      </c>
      <c r="K195" s="215">
        <v>66716.86</v>
      </c>
      <c r="L195" s="215">
        <v>66716.86</v>
      </c>
      <c r="M195" s="215">
        <v>66716.86</v>
      </c>
      <c r="N195" s="215">
        <v>66716.86</v>
      </c>
      <c r="O195" s="215">
        <v>66716.86</v>
      </c>
      <c r="P195" s="215">
        <v>66716.86</v>
      </c>
      <c r="Q195" s="215">
        <v>66716.86</v>
      </c>
    </row>
    <row r="196" spans="2:17" x14ac:dyDescent="0.3">
      <c r="B196" s="259">
        <f t="shared" si="2"/>
        <v>0</v>
      </c>
      <c r="D196" s="2" t="s">
        <v>1329</v>
      </c>
      <c r="E196" s="215">
        <v>0</v>
      </c>
      <c r="F196" s="215">
        <v>0</v>
      </c>
      <c r="G196" s="215">
        <v>0</v>
      </c>
      <c r="H196" s="215">
        <v>0</v>
      </c>
      <c r="I196" s="215">
        <v>0</v>
      </c>
      <c r="J196" s="215">
        <v>0</v>
      </c>
      <c r="K196" s="215">
        <v>0</v>
      </c>
      <c r="L196" s="215">
        <v>0</v>
      </c>
      <c r="M196" s="215">
        <v>0</v>
      </c>
      <c r="N196" s="215">
        <v>0</v>
      </c>
      <c r="O196" s="215">
        <v>0</v>
      </c>
      <c r="P196" s="215">
        <v>0</v>
      </c>
      <c r="Q196" s="215">
        <v>0</v>
      </c>
    </row>
    <row r="197" spans="2:17" x14ac:dyDescent="0.3">
      <c r="B197" s="259">
        <f t="shared" si="2"/>
        <v>0</v>
      </c>
      <c r="D197" s="2" t="s">
        <v>1330</v>
      </c>
      <c r="E197" s="215">
        <v>0</v>
      </c>
      <c r="F197" s="215">
        <v>0</v>
      </c>
      <c r="G197" s="215">
        <v>0</v>
      </c>
      <c r="H197" s="215">
        <v>0</v>
      </c>
      <c r="I197" s="215">
        <v>0</v>
      </c>
      <c r="J197" s="215">
        <v>0</v>
      </c>
      <c r="K197" s="215">
        <v>0</v>
      </c>
      <c r="L197" s="215">
        <v>0</v>
      </c>
      <c r="M197" s="215">
        <v>0</v>
      </c>
      <c r="N197" s="215">
        <v>0</v>
      </c>
      <c r="O197" s="215">
        <v>0</v>
      </c>
      <c r="P197" s="215">
        <v>0</v>
      </c>
      <c r="Q197" s="215">
        <v>0</v>
      </c>
    </row>
    <row r="198" spans="2:17" x14ac:dyDescent="0.3">
      <c r="B198" s="259">
        <f t="shared" si="2"/>
        <v>312301.53000000009</v>
      </c>
      <c r="D198" s="2" t="s">
        <v>1331</v>
      </c>
      <c r="E198" s="215">
        <v>312301.53000000003</v>
      </c>
      <c r="F198" s="215">
        <v>312301.53000000003</v>
      </c>
      <c r="G198" s="215">
        <v>312301.53000000003</v>
      </c>
      <c r="H198" s="215">
        <v>312301.53000000003</v>
      </c>
      <c r="I198" s="215">
        <v>312301.53000000003</v>
      </c>
      <c r="J198" s="215">
        <v>312301.53000000003</v>
      </c>
      <c r="K198" s="215">
        <v>312301.53000000003</v>
      </c>
      <c r="L198" s="215">
        <v>312301.53000000003</v>
      </c>
      <c r="M198" s="215">
        <v>312301.53000000003</v>
      </c>
      <c r="N198" s="215">
        <v>312301.53000000003</v>
      </c>
      <c r="O198" s="215">
        <v>312301.53000000003</v>
      </c>
      <c r="P198" s="215">
        <v>312301.53000000003</v>
      </c>
      <c r="Q198" s="215">
        <v>312301.53000000003</v>
      </c>
    </row>
    <row r="199" spans="2:17" x14ac:dyDescent="0.3">
      <c r="B199" s="259">
        <f t="shared" ref="B199:B262" si="3">(E199+Q199+SUM(F199:P199)*2)/24</f>
        <v>0</v>
      </c>
      <c r="D199" s="2" t="s">
        <v>1332</v>
      </c>
      <c r="E199" s="215">
        <v>0</v>
      </c>
      <c r="F199" s="215">
        <v>0</v>
      </c>
      <c r="G199" s="215">
        <v>0</v>
      </c>
      <c r="H199" s="215">
        <v>0</v>
      </c>
      <c r="I199" s="215">
        <v>0</v>
      </c>
      <c r="J199" s="215">
        <v>0</v>
      </c>
      <c r="K199" s="215">
        <v>0</v>
      </c>
      <c r="L199" s="215">
        <v>0</v>
      </c>
      <c r="M199" s="215">
        <v>0</v>
      </c>
      <c r="N199" s="215">
        <v>0</v>
      </c>
      <c r="O199" s="215">
        <v>0</v>
      </c>
      <c r="P199" s="215">
        <v>0</v>
      </c>
      <c r="Q199" s="215">
        <v>0</v>
      </c>
    </row>
    <row r="200" spans="2:17" x14ac:dyDescent="0.3">
      <c r="B200" s="259">
        <f t="shared" si="3"/>
        <v>0</v>
      </c>
      <c r="D200" s="2" t="s">
        <v>1333</v>
      </c>
      <c r="E200" s="215">
        <v>0</v>
      </c>
      <c r="F200" s="215">
        <v>0</v>
      </c>
      <c r="G200" s="215">
        <v>0</v>
      </c>
      <c r="H200" s="215">
        <v>0</v>
      </c>
      <c r="I200" s="215">
        <v>0</v>
      </c>
      <c r="J200" s="215">
        <v>0</v>
      </c>
      <c r="K200" s="215">
        <v>0</v>
      </c>
      <c r="L200" s="215">
        <v>0</v>
      </c>
      <c r="M200" s="215">
        <v>0</v>
      </c>
      <c r="N200" s="215">
        <v>0</v>
      </c>
      <c r="O200" s="215">
        <v>0</v>
      </c>
      <c r="P200" s="215">
        <v>0</v>
      </c>
      <c r="Q200" s="215">
        <v>0</v>
      </c>
    </row>
    <row r="201" spans="2:17" x14ac:dyDescent="0.3">
      <c r="B201" s="259">
        <f t="shared" si="3"/>
        <v>0</v>
      </c>
      <c r="D201" s="2" t="s">
        <v>1334</v>
      </c>
      <c r="E201" s="215">
        <v>0</v>
      </c>
      <c r="F201" s="215">
        <v>0</v>
      </c>
      <c r="G201" s="215">
        <v>0</v>
      </c>
      <c r="H201" s="215">
        <v>0</v>
      </c>
      <c r="I201" s="215">
        <v>0</v>
      </c>
      <c r="J201" s="215">
        <v>0</v>
      </c>
      <c r="K201" s="215">
        <v>0</v>
      </c>
      <c r="L201" s="215">
        <v>0</v>
      </c>
      <c r="M201" s="215">
        <v>0</v>
      </c>
      <c r="N201" s="215">
        <v>0</v>
      </c>
      <c r="O201" s="215">
        <v>0</v>
      </c>
      <c r="P201" s="215">
        <v>0</v>
      </c>
      <c r="Q201" s="215">
        <v>0</v>
      </c>
    </row>
    <row r="202" spans="2:17" x14ac:dyDescent="0.3">
      <c r="B202" s="259">
        <f t="shared" si="3"/>
        <v>305888.91000000003</v>
      </c>
      <c r="D202" s="2" t="s">
        <v>1335</v>
      </c>
      <c r="E202" s="215">
        <v>305888.90999999997</v>
      </c>
      <c r="F202" s="215">
        <v>305888.90999999997</v>
      </c>
      <c r="G202" s="215">
        <v>305888.90999999997</v>
      </c>
      <c r="H202" s="215">
        <v>305888.90999999997</v>
      </c>
      <c r="I202" s="215">
        <v>305888.90999999997</v>
      </c>
      <c r="J202" s="215">
        <v>305888.90999999997</v>
      </c>
      <c r="K202" s="215">
        <v>305888.90999999997</v>
      </c>
      <c r="L202" s="215">
        <v>305888.90999999997</v>
      </c>
      <c r="M202" s="215">
        <v>305888.90999999997</v>
      </c>
      <c r="N202" s="215">
        <v>305888.90999999997</v>
      </c>
      <c r="O202" s="215">
        <v>305888.90999999997</v>
      </c>
      <c r="P202" s="215">
        <v>305888.90999999997</v>
      </c>
      <c r="Q202" s="215">
        <v>305888.90999999997</v>
      </c>
    </row>
    <row r="203" spans="2:17" x14ac:dyDescent="0.3">
      <c r="B203" s="259">
        <f t="shared" si="3"/>
        <v>42946.466666666667</v>
      </c>
      <c r="D203" s="2" t="s">
        <v>911</v>
      </c>
      <c r="E203" s="215">
        <v>0</v>
      </c>
      <c r="F203" s="215">
        <v>0</v>
      </c>
      <c r="G203" s="215">
        <v>0</v>
      </c>
      <c r="H203" s="215">
        <v>0</v>
      </c>
      <c r="I203" s="215">
        <v>0</v>
      </c>
      <c r="J203" s="215">
        <v>0</v>
      </c>
      <c r="K203" s="215">
        <v>0</v>
      </c>
      <c r="L203" s="215">
        <v>0</v>
      </c>
      <c r="M203" s="215">
        <v>0</v>
      </c>
      <c r="N203" s="215">
        <v>143900.20000000001</v>
      </c>
      <c r="O203" s="215">
        <v>145038.43</v>
      </c>
      <c r="P203" s="215">
        <v>145209.17000000001</v>
      </c>
      <c r="Q203" s="215">
        <v>162419.6</v>
      </c>
    </row>
    <row r="204" spans="2:17" x14ac:dyDescent="0.3">
      <c r="B204" s="259">
        <f t="shared" si="3"/>
        <v>50745.998749999999</v>
      </c>
      <c r="D204" s="2" t="s">
        <v>1022</v>
      </c>
      <c r="E204" s="215">
        <v>0</v>
      </c>
      <c r="F204" s="215">
        <v>0</v>
      </c>
      <c r="G204" s="215">
        <v>0</v>
      </c>
      <c r="H204" s="215">
        <v>0</v>
      </c>
      <c r="I204" s="215">
        <v>0</v>
      </c>
      <c r="J204" s="215">
        <v>0</v>
      </c>
      <c r="K204" s="215">
        <v>0</v>
      </c>
      <c r="L204" s="215">
        <v>0</v>
      </c>
      <c r="M204" s="215">
        <v>0</v>
      </c>
      <c r="N204" s="215">
        <v>163835.6</v>
      </c>
      <c r="O204" s="215">
        <v>172694.93</v>
      </c>
      <c r="P204" s="215">
        <v>180349.55</v>
      </c>
      <c r="Q204" s="215">
        <v>184143.81</v>
      </c>
    </row>
    <row r="205" spans="2:17" x14ac:dyDescent="0.3">
      <c r="B205" s="259">
        <f t="shared" si="3"/>
        <v>27004.170000000002</v>
      </c>
      <c r="D205" s="2" t="s">
        <v>1336</v>
      </c>
      <c r="E205" s="215">
        <v>27004.170000000006</v>
      </c>
      <c r="F205" s="215">
        <v>27004.170000000006</v>
      </c>
      <c r="G205" s="215">
        <v>27004.170000000006</v>
      </c>
      <c r="H205" s="215">
        <v>27004.170000000006</v>
      </c>
      <c r="I205" s="215">
        <v>27004.170000000006</v>
      </c>
      <c r="J205" s="215">
        <v>27004.170000000006</v>
      </c>
      <c r="K205" s="215">
        <v>27004.170000000006</v>
      </c>
      <c r="L205" s="215">
        <v>27004.170000000006</v>
      </c>
      <c r="M205" s="215">
        <v>27004.170000000006</v>
      </c>
      <c r="N205" s="215">
        <v>27004.170000000006</v>
      </c>
      <c r="O205" s="215">
        <v>27004.170000000006</v>
      </c>
      <c r="P205" s="215">
        <v>27004.170000000006</v>
      </c>
      <c r="Q205" s="215">
        <v>27004.170000000006</v>
      </c>
    </row>
    <row r="206" spans="2:17" x14ac:dyDescent="0.3">
      <c r="B206" s="259">
        <f t="shared" si="3"/>
        <v>249640.01916666675</v>
      </c>
      <c r="D206" s="2" t="s">
        <v>912</v>
      </c>
      <c r="E206" s="215">
        <v>250954.45</v>
      </c>
      <c r="F206" s="215">
        <v>249582.87000000002</v>
      </c>
      <c r="G206" s="215">
        <v>249582.87000000002</v>
      </c>
      <c r="H206" s="215">
        <v>249582.87000000002</v>
      </c>
      <c r="I206" s="215">
        <v>249582.87000000002</v>
      </c>
      <c r="J206" s="215">
        <v>249582.87000000002</v>
      </c>
      <c r="K206" s="215">
        <v>249582.87000000002</v>
      </c>
      <c r="L206" s="215">
        <v>249582.87000000002</v>
      </c>
      <c r="M206" s="215">
        <v>249582.87000000002</v>
      </c>
      <c r="N206" s="215">
        <v>249582.87000000002</v>
      </c>
      <c r="O206" s="215">
        <v>249582.87000000002</v>
      </c>
      <c r="P206" s="215">
        <v>249582.87000000002</v>
      </c>
      <c r="Q206" s="215">
        <v>249582.87000000002</v>
      </c>
    </row>
    <row r="207" spans="2:17" x14ac:dyDescent="0.3">
      <c r="B207" s="259">
        <f t="shared" si="3"/>
        <v>425.04999999999922</v>
      </c>
      <c r="D207" s="2" t="s">
        <v>1337</v>
      </c>
      <c r="E207" s="215">
        <v>425.04999999999916</v>
      </c>
      <c r="F207" s="215">
        <v>425.04999999999916</v>
      </c>
      <c r="G207" s="215">
        <v>425.04999999999916</v>
      </c>
      <c r="H207" s="215">
        <v>425.04999999999916</v>
      </c>
      <c r="I207" s="215">
        <v>425.04999999999916</v>
      </c>
      <c r="J207" s="215">
        <v>425.04999999999916</v>
      </c>
      <c r="K207" s="215">
        <v>425.04999999999916</v>
      </c>
      <c r="L207" s="215">
        <v>425.04999999999916</v>
      </c>
      <c r="M207" s="215">
        <v>425.04999999999916</v>
      </c>
      <c r="N207" s="215">
        <v>425.04999999999916</v>
      </c>
      <c r="O207" s="215">
        <v>425.04999999999916</v>
      </c>
      <c r="P207" s="215">
        <v>425.04999999999916</v>
      </c>
      <c r="Q207" s="215">
        <v>425.04999999999916</v>
      </c>
    </row>
    <row r="208" spans="2:17" x14ac:dyDescent="0.3">
      <c r="B208" s="259">
        <f t="shared" si="3"/>
        <v>299819.39624999993</v>
      </c>
      <c r="D208" s="2" t="s">
        <v>262</v>
      </c>
      <c r="E208" s="215">
        <v>327695.64</v>
      </c>
      <c r="F208" s="215">
        <v>327357.88</v>
      </c>
      <c r="G208" s="215">
        <v>327357.88</v>
      </c>
      <c r="H208" s="215">
        <v>292554.65000000002</v>
      </c>
      <c r="I208" s="215">
        <v>292554.65000000002</v>
      </c>
      <c r="J208" s="215">
        <v>292554.65000000002</v>
      </c>
      <c r="K208" s="215">
        <v>292554.65000000002</v>
      </c>
      <c r="L208" s="215">
        <v>292554.65000000002</v>
      </c>
      <c r="M208" s="215">
        <v>292554.65000000002</v>
      </c>
      <c r="N208" s="215">
        <v>292554.65000000002</v>
      </c>
      <c r="O208" s="215">
        <v>292554.65000000002</v>
      </c>
      <c r="P208" s="215">
        <v>292554.65000000002</v>
      </c>
      <c r="Q208" s="215">
        <v>292554.65000000002</v>
      </c>
    </row>
    <row r="209" spans="2:17" x14ac:dyDescent="0.3">
      <c r="B209" s="259">
        <f t="shared" si="3"/>
        <v>17841.677083333332</v>
      </c>
      <c r="D209" s="2" t="s">
        <v>1024</v>
      </c>
      <c r="E209" s="215">
        <v>0</v>
      </c>
      <c r="F209" s="215">
        <v>0</v>
      </c>
      <c r="G209" s="215">
        <v>0</v>
      </c>
      <c r="H209" s="215">
        <v>0</v>
      </c>
      <c r="I209" s="215">
        <v>0</v>
      </c>
      <c r="J209" s="215">
        <v>0</v>
      </c>
      <c r="K209" s="215">
        <v>0</v>
      </c>
      <c r="L209" s="215">
        <v>0</v>
      </c>
      <c r="M209" s="215">
        <v>0</v>
      </c>
      <c r="N209" s="215">
        <v>0</v>
      </c>
      <c r="O209" s="215">
        <v>0</v>
      </c>
      <c r="P209" s="215">
        <v>0</v>
      </c>
      <c r="Q209" s="215">
        <v>428200.25</v>
      </c>
    </row>
    <row r="210" spans="2:17" x14ac:dyDescent="0.3">
      <c r="B210" s="259">
        <f t="shared" si="3"/>
        <v>1961451.91</v>
      </c>
      <c r="D210" s="2" t="s">
        <v>1338</v>
      </c>
      <c r="E210" s="215">
        <v>1961451.91</v>
      </c>
      <c r="F210" s="215">
        <v>1961451.91</v>
      </c>
      <c r="G210" s="215">
        <v>1961451.91</v>
      </c>
      <c r="H210" s="215">
        <v>1961451.91</v>
      </c>
      <c r="I210" s="215">
        <v>1961451.91</v>
      </c>
      <c r="J210" s="215">
        <v>1961451.91</v>
      </c>
      <c r="K210" s="215">
        <v>1961451.91</v>
      </c>
      <c r="L210" s="215">
        <v>1961451.91</v>
      </c>
      <c r="M210" s="215">
        <v>1961451.91</v>
      </c>
      <c r="N210" s="215">
        <v>1961451.91</v>
      </c>
      <c r="O210" s="215">
        <v>1961451.91</v>
      </c>
      <c r="P210" s="215">
        <v>1961451.91</v>
      </c>
      <c r="Q210" s="215">
        <v>1961451.91</v>
      </c>
    </row>
    <row r="211" spans="2:17" x14ac:dyDescent="0.3">
      <c r="B211" s="259">
        <f t="shared" si="3"/>
        <v>19981.150000000001</v>
      </c>
      <c r="D211" s="2" t="s">
        <v>1339</v>
      </c>
      <c r="E211" s="215">
        <v>19981.150000000005</v>
      </c>
      <c r="F211" s="215">
        <v>19981.150000000005</v>
      </c>
      <c r="G211" s="215">
        <v>19981.150000000005</v>
      </c>
      <c r="H211" s="215">
        <v>19981.150000000005</v>
      </c>
      <c r="I211" s="215">
        <v>19981.150000000005</v>
      </c>
      <c r="J211" s="215">
        <v>19981.150000000005</v>
      </c>
      <c r="K211" s="215">
        <v>19981.150000000005</v>
      </c>
      <c r="L211" s="215">
        <v>19981.150000000005</v>
      </c>
      <c r="M211" s="215">
        <v>19981.150000000005</v>
      </c>
      <c r="N211" s="215">
        <v>19981.150000000005</v>
      </c>
      <c r="O211" s="215">
        <v>19981.150000000005</v>
      </c>
      <c r="P211" s="215">
        <v>19981.150000000005</v>
      </c>
      <c r="Q211" s="215">
        <v>19981.150000000005</v>
      </c>
    </row>
    <row r="212" spans="2:17" x14ac:dyDescent="0.3">
      <c r="B212" s="259">
        <f t="shared" si="3"/>
        <v>3346674.6608333341</v>
      </c>
      <c r="D212" s="2" t="s">
        <v>264</v>
      </c>
      <c r="E212" s="215">
        <v>3157927.13</v>
      </c>
      <c r="F212" s="215">
        <v>3182103.33</v>
      </c>
      <c r="G212" s="215">
        <v>3227011.39</v>
      </c>
      <c r="H212" s="215">
        <v>3259549.3600000003</v>
      </c>
      <c r="I212" s="215">
        <v>3292087.3300000005</v>
      </c>
      <c r="J212" s="215">
        <v>3292087.3300000005</v>
      </c>
      <c r="K212" s="215">
        <v>3287378.3700000006</v>
      </c>
      <c r="L212" s="215">
        <v>3287378.3700000006</v>
      </c>
      <c r="M212" s="215">
        <v>3287729.4700000007</v>
      </c>
      <c r="N212" s="215">
        <v>2769736.8500000006</v>
      </c>
      <c r="O212" s="215">
        <v>2769736.8500000006</v>
      </c>
      <c r="P212" s="215">
        <v>2769736.8500000006</v>
      </c>
      <c r="Q212" s="215">
        <v>8313193.7300000004</v>
      </c>
    </row>
    <row r="213" spans="2:17" x14ac:dyDescent="0.3">
      <c r="B213" s="259">
        <f t="shared" si="3"/>
        <v>5796.9458333333341</v>
      </c>
      <c r="D213" s="2" t="s">
        <v>1026</v>
      </c>
      <c r="E213" s="215">
        <v>0</v>
      </c>
      <c r="F213" s="215">
        <v>0</v>
      </c>
      <c r="G213" s="215">
        <v>0</v>
      </c>
      <c r="H213" s="215">
        <v>0</v>
      </c>
      <c r="I213" s="215">
        <v>0</v>
      </c>
      <c r="J213" s="215">
        <v>0</v>
      </c>
      <c r="K213" s="215">
        <v>0</v>
      </c>
      <c r="L213" s="215">
        <v>0</v>
      </c>
      <c r="M213" s="215">
        <v>0</v>
      </c>
      <c r="N213" s="215">
        <v>0</v>
      </c>
      <c r="O213" s="215">
        <v>0</v>
      </c>
      <c r="P213" s="215">
        <v>0</v>
      </c>
      <c r="Q213" s="215">
        <v>139126.70000000001</v>
      </c>
    </row>
    <row r="214" spans="2:17" x14ac:dyDescent="0.3">
      <c r="B214" s="259">
        <f t="shared" si="3"/>
        <v>0</v>
      </c>
      <c r="D214" s="2" t="s">
        <v>1340</v>
      </c>
      <c r="E214" s="215">
        <v>0</v>
      </c>
      <c r="F214" s="215">
        <v>0</v>
      </c>
      <c r="G214" s="215">
        <v>0</v>
      </c>
      <c r="H214" s="215">
        <v>0</v>
      </c>
      <c r="I214" s="215">
        <v>0</v>
      </c>
      <c r="J214" s="215">
        <v>0</v>
      </c>
      <c r="K214" s="215">
        <v>0</v>
      </c>
      <c r="L214" s="215">
        <v>0</v>
      </c>
      <c r="M214" s="215">
        <v>0</v>
      </c>
      <c r="N214" s="215">
        <v>0</v>
      </c>
      <c r="O214" s="215">
        <v>0</v>
      </c>
      <c r="P214" s="215">
        <v>0</v>
      </c>
      <c r="Q214" s="215">
        <v>0</v>
      </c>
    </row>
    <row r="215" spans="2:17" x14ac:dyDescent="0.3">
      <c r="B215" s="259">
        <f t="shared" si="3"/>
        <v>0</v>
      </c>
      <c r="D215" s="2" t="s">
        <v>1341</v>
      </c>
      <c r="E215" s="215">
        <v>0</v>
      </c>
      <c r="F215" s="215">
        <v>0</v>
      </c>
      <c r="G215" s="215">
        <v>0</v>
      </c>
      <c r="H215" s="215">
        <v>0</v>
      </c>
      <c r="I215" s="215">
        <v>0</v>
      </c>
      <c r="J215" s="215">
        <v>0</v>
      </c>
      <c r="K215" s="215">
        <v>0</v>
      </c>
      <c r="L215" s="215">
        <v>0</v>
      </c>
      <c r="M215" s="215">
        <v>0</v>
      </c>
      <c r="N215" s="215">
        <v>0</v>
      </c>
      <c r="O215" s="215">
        <v>0</v>
      </c>
      <c r="P215" s="215">
        <v>0</v>
      </c>
      <c r="Q215" s="215">
        <v>0</v>
      </c>
    </row>
    <row r="216" spans="2:17" x14ac:dyDescent="0.3">
      <c r="B216" s="259">
        <f t="shared" si="3"/>
        <v>0</v>
      </c>
      <c r="D216" s="2" t="s">
        <v>1342</v>
      </c>
      <c r="E216" s="215">
        <v>0</v>
      </c>
      <c r="F216" s="215">
        <v>0</v>
      </c>
      <c r="G216" s="215">
        <v>0</v>
      </c>
      <c r="H216" s="215">
        <v>0</v>
      </c>
      <c r="I216" s="215">
        <v>0</v>
      </c>
      <c r="J216" s="215">
        <v>0</v>
      </c>
      <c r="K216" s="215">
        <v>0</v>
      </c>
      <c r="L216" s="215">
        <v>0</v>
      </c>
      <c r="M216" s="215">
        <v>0</v>
      </c>
      <c r="N216" s="215">
        <v>0</v>
      </c>
      <c r="O216" s="215">
        <v>0</v>
      </c>
      <c r="P216" s="215">
        <v>0</v>
      </c>
      <c r="Q216" s="215">
        <v>0</v>
      </c>
    </row>
    <row r="217" spans="2:17" x14ac:dyDescent="0.3">
      <c r="B217" s="259">
        <f t="shared" si="3"/>
        <v>0</v>
      </c>
      <c r="D217" s="2" t="s">
        <v>1343</v>
      </c>
      <c r="E217" s="215">
        <v>0</v>
      </c>
      <c r="F217" s="215">
        <v>0</v>
      </c>
      <c r="G217" s="215">
        <v>0</v>
      </c>
      <c r="H217" s="215">
        <v>0</v>
      </c>
      <c r="I217" s="215">
        <v>0</v>
      </c>
      <c r="J217" s="215">
        <v>0</v>
      </c>
      <c r="K217" s="215">
        <v>0</v>
      </c>
      <c r="L217" s="215">
        <v>0</v>
      </c>
      <c r="M217" s="215">
        <v>0</v>
      </c>
      <c r="N217" s="215">
        <v>0</v>
      </c>
      <c r="O217" s="215">
        <v>0</v>
      </c>
      <c r="P217" s="215">
        <v>0</v>
      </c>
      <c r="Q217" s="215">
        <v>0</v>
      </c>
    </row>
    <row r="218" spans="2:17" x14ac:dyDescent="0.3">
      <c r="B218" s="259">
        <f t="shared" si="3"/>
        <v>0</v>
      </c>
      <c r="D218" s="2" t="s">
        <v>1344</v>
      </c>
      <c r="E218" s="215">
        <v>0</v>
      </c>
      <c r="F218" s="215">
        <v>0</v>
      </c>
      <c r="G218" s="215">
        <v>0</v>
      </c>
      <c r="H218" s="215">
        <v>0</v>
      </c>
      <c r="I218" s="215">
        <v>0</v>
      </c>
      <c r="J218" s="215">
        <v>0</v>
      </c>
      <c r="K218" s="215">
        <v>0</v>
      </c>
      <c r="L218" s="215">
        <v>0</v>
      </c>
      <c r="M218" s="215">
        <v>0</v>
      </c>
      <c r="N218" s="215">
        <v>0</v>
      </c>
      <c r="O218" s="215">
        <v>0</v>
      </c>
      <c r="P218" s="215">
        <v>0</v>
      </c>
      <c r="Q218" s="215">
        <v>0</v>
      </c>
    </row>
    <row r="219" spans="2:17" x14ac:dyDescent="0.3">
      <c r="B219" s="259">
        <f t="shared" si="3"/>
        <v>116729.84375</v>
      </c>
      <c r="D219" s="2" t="s">
        <v>266</v>
      </c>
      <c r="E219" s="215">
        <v>0</v>
      </c>
      <c r="F219" s="215">
        <v>0</v>
      </c>
      <c r="G219" s="215">
        <v>0</v>
      </c>
      <c r="H219" s="215">
        <v>0</v>
      </c>
      <c r="I219" s="215">
        <v>0</v>
      </c>
      <c r="J219" s="215">
        <v>0</v>
      </c>
      <c r="K219" s="215">
        <v>215501.25</v>
      </c>
      <c r="L219" s="215">
        <v>215501.25</v>
      </c>
      <c r="M219" s="215">
        <v>215501.25</v>
      </c>
      <c r="N219" s="215">
        <v>215501.25</v>
      </c>
      <c r="O219" s="215">
        <v>215501.25</v>
      </c>
      <c r="P219" s="215">
        <v>215501.25</v>
      </c>
      <c r="Q219" s="215">
        <v>215501.25</v>
      </c>
    </row>
    <row r="220" spans="2:17" x14ac:dyDescent="0.3">
      <c r="B220" s="259">
        <f t="shared" si="3"/>
        <v>425238.87999999995</v>
      </c>
      <c r="D220" s="2" t="s">
        <v>268</v>
      </c>
      <c r="E220" s="215">
        <v>425238.88</v>
      </c>
      <c r="F220" s="215">
        <v>425238.88</v>
      </c>
      <c r="G220" s="215">
        <v>425238.88</v>
      </c>
      <c r="H220" s="215">
        <v>425238.88</v>
      </c>
      <c r="I220" s="215">
        <v>425238.88</v>
      </c>
      <c r="J220" s="215">
        <v>425238.88</v>
      </c>
      <c r="K220" s="215">
        <v>425238.88</v>
      </c>
      <c r="L220" s="215">
        <v>425238.88</v>
      </c>
      <c r="M220" s="215">
        <v>425238.88</v>
      </c>
      <c r="N220" s="215">
        <v>425238.88</v>
      </c>
      <c r="O220" s="215">
        <v>425238.88</v>
      </c>
      <c r="P220" s="215">
        <v>425238.88</v>
      </c>
      <c r="Q220" s="215">
        <v>425238.88</v>
      </c>
    </row>
    <row r="221" spans="2:17" x14ac:dyDescent="0.3">
      <c r="B221" s="259">
        <f t="shared" si="3"/>
        <v>115602.29916666665</v>
      </c>
      <c r="D221" s="2" t="s">
        <v>270</v>
      </c>
      <c r="E221" s="215">
        <v>113200.85</v>
      </c>
      <c r="F221" s="215">
        <v>115706.71</v>
      </c>
      <c r="G221" s="215">
        <v>115706.71</v>
      </c>
      <c r="H221" s="215">
        <v>115706.71</v>
      </c>
      <c r="I221" s="215">
        <v>115706.71</v>
      </c>
      <c r="J221" s="215">
        <v>115706.71</v>
      </c>
      <c r="K221" s="215">
        <v>115706.71</v>
      </c>
      <c r="L221" s="215">
        <v>115706.71</v>
      </c>
      <c r="M221" s="215">
        <v>115706.71</v>
      </c>
      <c r="N221" s="215">
        <v>115706.71</v>
      </c>
      <c r="O221" s="215">
        <v>115706.71</v>
      </c>
      <c r="P221" s="215">
        <v>115706.71</v>
      </c>
      <c r="Q221" s="215">
        <v>115706.71</v>
      </c>
    </row>
    <row r="222" spans="2:17" x14ac:dyDescent="0.3">
      <c r="B222" s="259">
        <f t="shared" si="3"/>
        <v>38937.391666666663</v>
      </c>
      <c r="D222" s="2" t="s">
        <v>1028</v>
      </c>
      <c r="E222" s="215">
        <v>0</v>
      </c>
      <c r="F222" s="215">
        <v>0</v>
      </c>
      <c r="G222" s="215">
        <v>0</v>
      </c>
      <c r="H222" s="215">
        <v>0</v>
      </c>
      <c r="I222" s="215">
        <v>0</v>
      </c>
      <c r="J222" s="215">
        <v>0</v>
      </c>
      <c r="K222" s="215">
        <v>0</v>
      </c>
      <c r="L222" s="215">
        <v>0</v>
      </c>
      <c r="M222" s="215">
        <v>0</v>
      </c>
      <c r="N222" s="215">
        <v>0</v>
      </c>
      <c r="O222" s="215">
        <v>186899.47999999998</v>
      </c>
      <c r="P222" s="215">
        <v>186899.47999999998</v>
      </c>
      <c r="Q222" s="215">
        <v>186899.47999999998</v>
      </c>
    </row>
    <row r="223" spans="2:17" x14ac:dyDescent="0.3">
      <c r="B223" s="259">
        <f t="shared" si="3"/>
        <v>299332.45000000007</v>
      </c>
      <c r="D223" s="2" t="s">
        <v>1345</v>
      </c>
      <c r="E223" s="215">
        <v>299332.45</v>
      </c>
      <c r="F223" s="215">
        <v>299332.45</v>
      </c>
      <c r="G223" s="215">
        <v>299332.45</v>
      </c>
      <c r="H223" s="215">
        <v>299332.45</v>
      </c>
      <c r="I223" s="215">
        <v>299332.45</v>
      </c>
      <c r="J223" s="215">
        <v>299332.45</v>
      </c>
      <c r="K223" s="215">
        <v>299332.45</v>
      </c>
      <c r="L223" s="215">
        <v>299332.45</v>
      </c>
      <c r="M223" s="215">
        <v>299332.45</v>
      </c>
      <c r="N223" s="215">
        <v>299332.45</v>
      </c>
      <c r="O223" s="215">
        <v>299332.45</v>
      </c>
      <c r="P223" s="215">
        <v>299332.45</v>
      </c>
      <c r="Q223" s="215">
        <v>299332.45</v>
      </c>
    </row>
    <row r="224" spans="2:17" x14ac:dyDescent="0.3">
      <c r="B224" s="259">
        <f t="shared" si="3"/>
        <v>0</v>
      </c>
      <c r="D224" s="2" t="s">
        <v>1346</v>
      </c>
      <c r="E224" s="215">
        <v>0</v>
      </c>
      <c r="F224" s="215">
        <v>0</v>
      </c>
      <c r="G224" s="215">
        <v>0</v>
      </c>
      <c r="H224" s="215">
        <v>0</v>
      </c>
      <c r="I224" s="215">
        <v>0</v>
      </c>
      <c r="J224" s="215">
        <v>0</v>
      </c>
      <c r="K224" s="215">
        <v>0</v>
      </c>
      <c r="L224" s="215">
        <v>0</v>
      </c>
      <c r="M224" s="215">
        <v>0</v>
      </c>
      <c r="N224" s="215">
        <v>0</v>
      </c>
      <c r="O224" s="215">
        <v>0</v>
      </c>
      <c r="P224" s="215">
        <v>0</v>
      </c>
      <c r="Q224" s="215">
        <v>0</v>
      </c>
    </row>
    <row r="225" spans="2:17" x14ac:dyDescent="0.3">
      <c r="B225" s="259">
        <f t="shared" si="3"/>
        <v>277977.20750000002</v>
      </c>
      <c r="D225" s="2" t="s">
        <v>274</v>
      </c>
      <c r="E225" s="215">
        <v>306484.38</v>
      </c>
      <c r="F225" s="215">
        <v>308637.65999999997</v>
      </c>
      <c r="G225" s="215">
        <v>273699.68</v>
      </c>
      <c r="H225" s="215">
        <v>273699.68</v>
      </c>
      <c r="I225" s="215">
        <v>273699.68</v>
      </c>
      <c r="J225" s="215">
        <v>273699.68</v>
      </c>
      <c r="K225" s="215">
        <v>273699.68</v>
      </c>
      <c r="L225" s="215">
        <v>273699.68</v>
      </c>
      <c r="M225" s="215">
        <v>273699.68</v>
      </c>
      <c r="N225" s="215">
        <v>273699.68</v>
      </c>
      <c r="O225" s="215">
        <v>273699.68</v>
      </c>
      <c r="P225" s="215">
        <v>273699.68</v>
      </c>
      <c r="Q225" s="215">
        <v>273699.68</v>
      </c>
    </row>
    <row r="226" spans="2:17" x14ac:dyDescent="0.3">
      <c r="B226" s="259">
        <f t="shared" si="3"/>
        <v>21785.029166666667</v>
      </c>
      <c r="D226" s="2" t="s">
        <v>1030</v>
      </c>
      <c r="E226" s="215">
        <v>0</v>
      </c>
      <c r="F226" s="215">
        <v>0</v>
      </c>
      <c r="G226" s="215">
        <v>0</v>
      </c>
      <c r="H226" s="215">
        <v>0</v>
      </c>
      <c r="I226" s="215">
        <v>0</v>
      </c>
      <c r="J226" s="215">
        <v>0</v>
      </c>
      <c r="K226" s="215">
        <v>0</v>
      </c>
      <c r="L226" s="215">
        <v>0</v>
      </c>
      <c r="M226" s="215">
        <v>0</v>
      </c>
      <c r="N226" s="215">
        <v>0</v>
      </c>
      <c r="O226" s="215">
        <v>0</v>
      </c>
      <c r="P226" s="215">
        <v>0</v>
      </c>
      <c r="Q226" s="215">
        <v>522840.7</v>
      </c>
    </row>
    <row r="227" spans="2:17" x14ac:dyDescent="0.3">
      <c r="B227" s="259">
        <f t="shared" si="3"/>
        <v>0</v>
      </c>
      <c r="D227" s="2" t="s">
        <v>1347</v>
      </c>
      <c r="E227" s="215">
        <v>0</v>
      </c>
      <c r="F227" s="215">
        <v>0</v>
      </c>
      <c r="G227" s="215">
        <v>0</v>
      </c>
      <c r="H227" s="215">
        <v>0</v>
      </c>
      <c r="I227" s="215">
        <v>0</v>
      </c>
      <c r="J227" s="215">
        <v>0</v>
      </c>
      <c r="K227" s="215">
        <v>0</v>
      </c>
      <c r="L227" s="215">
        <v>0</v>
      </c>
      <c r="M227" s="215">
        <v>0</v>
      </c>
      <c r="N227" s="215">
        <v>0</v>
      </c>
      <c r="O227" s="215">
        <v>0</v>
      </c>
      <c r="P227" s="215">
        <v>0</v>
      </c>
      <c r="Q227" s="215">
        <v>0</v>
      </c>
    </row>
    <row r="228" spans="2:17" x14ac:dyDescent="0.3">
      <c r="B228" s="259">
        <f t="shared" si="3"/>
        <v>73787.27</v>
      </c>
      <c r="D228" s="2" t="s">
        <v>1348</v>
      </c>
      <c r="E228" s="215">
        <v>73787.26999999999</v>
      </c>
      <c r="F228" s="215">
        <v>73787.26999999999</v>
      </c>
      <c r="G228" s="215">
        <v>73787.26999999999</v>
      </c>
      <c r="H228" s="215">
        <v>73787.26999999999</v>
      </c>
      <c r="I228" s="215">
        <v>73787.26999999999</v>
      </c>
      <c r="J228" s="215">
        <v>73787.26999999999</v>
      </c>
      <c r="K228" s="215">
        <v>73787.26999999999</v>
      </c>
      <c r="L228" s="215">
        <v>73787.26999999999</v>
      </c>
      <c r="M228" s="215">
        <v>73787.26999999999</v>
      </c>
      <c r="N228" s="215">
        <v>73787.26999999999</v>
      </c>
      <c r="O228" s="215">
        <v>73787.26999999999</v>
      </c>
      <c r="P228" s="215">
        <v>73787.26999999999</v>
      </c>
      <c r="Q228" s="215">
        <v>73787.26999999999</v>
      </c>
    </row>
    <row r="229" spans="2:17" x14ac:dyDescent="0.3">
      <c r="B229" s="259">
        <f t="shared" si="3"/>
        <v>50274.332499999997</v>
      </c>
      <c r="D229" s="2" t="s">
        <v>914</v>
      </c>
      <c r="E229" s="215">
        <v>0</v>
      </c>
      <c r="F229" s="215">
        <v>0</v>
      </c>
      <c r="G229" s="215">
        <v>0</v>
      </c>
      <c r="H229" s="215">
        <v>55161.39</v>
      </c>
      <c r="I229" s="215">
        <v>54615.659999999996</v>
      </c>
      <c r="J229" s="215">
        <v>54617.24</v>
      </c>
      <c r="K229" s="215">
        <v>57531.27</v>
      </c>
      <c r="L229" s="215">
        <v>58191.93</v>
      </c>
      <c r="M229" s="215">
        <v>59470.02</v>
      </c>
      <c r="N229" s="215">
        <v>62492.99</v>
      </c>
      <c r="O229" s="215">
        <v>62492.99</v>
      </c>
      <c r="P229" s="215">
        <v>92479</v>
      </c>
      <c r="Q229" s="215">
        <v>92479</v>
      </c>
    </row>
    <row r="230" spans="2:17" x14ac:dyDescent="0.3">
      <c r="B230" s="259">
        <f t="shared" si="3"/>
        <v>4764444.6179166669</v>
      </c>
      <c r="D230" s="2" t="s">
        <v>276</v>
      </c>
      <c r="E230" s="215">
        <v>3356315.0699999994</v>
      </c>
      <c r="F230" s="215">
        <v>3384459.5099999993</v>
      </c>
      <c r="G230" s="215">
        <v>3650220.1499999994</v>
      </c>
      <c r="H230" s="215">
        <v>3681268.2399999993</v>
      </c>
      <c r="I230" s="215">
        <v>3720769.3999999994</v>
      </c>
      <c r="J230" s="215">
        <v>3993881.7999999993</v>
      </c>
      <c r="K230" s="215">
        <v>5588202.9199999999</v>
      </c>
      <c r="L230" s="215">
        <v>5600693.9100000001</v>
      </c>
      <c r="M230" s="215">
        <v>5614960.75</v>
      </c>
      <c r="N230" s="215">
        <v>5617728.9500000002</v>
      </c>
      <c r="O230" s="215">
        <v>5622683.71</v>
      </c>
      <c r="P230" s="215">
        <v>6012359.4899999993</v>
      </c>
      <c r="Q230" s="215">
        <v>6015898.0999999996</v>
      </c>
    </row>
    <row r="231" spans="2:17" x14ac:dyDescent="0.3">
      <c r="B231" s="259">
        <f t="shared" si="3"/>
        <v>1437719.2870833334</v>
      </c>
      <c r="D231" s="2" t="s">
        <v>278</v>
      </c>
      <c r="E231" s="215">
        <v>1428860.6400000001</v>
      </c>
      <c r="F231" s="215">
        <v>1433407.7200000002</v>
      </c>
      <c r="G231" s="215">
        <v>1433706.7800000003</v>
      </c>
      <c r="H231" s="215">
        <v>1439061.7500000002</v>
      </c>
      <c r="I231" s="215">
        <v>1439061.7500000002</v>
      </c>
      <c r="J231" s="215">
        <v>1439061.7500000002</v>
      </c>
      <c r="K231" s="215">
        <v>1439061.7500000002</v>
      </c>
      <c r="L231" s="215">
        <v>1439061.7500000002</v>
      </c>
      <c r="M231" s="215">
        <v>1439061.7500000002</v>
      </c>
      <c r="N231" s="215">
        <v>1439061.7500000002</v>
      </c>
      <c r="O231" s="215">
        <v>1439061.7500000002</v>
      </c>
      <c r="P231" s="215">
        <v>1439061.7500000002</v>
      </c>
      <c r="Q231" s="215">
        <v>1439061.7500000002</v>
      </c>
    </row>
    <row r="232" spans="2:17" x14ac:dyDescent="0.3">
      <c r="B232" s="259">
        <f t="shared" si="3"/>
        <v>156192.51041666666</v>
      </c>
      <c r="D232" s="2" t="s">
        <v>916</v>
      </c>
      <c r="E232" s="215">
        <v>0</v>
      </c>
      <c r="F232" s="215">
        <v>0</v>
      </c>
      <c r="G232" s="215">
        <v>0</v>
      </c>
      <c r="H232" s="215">
        <v>0</v>
      </c>
      <c r="I232" s="215">
        <v>0</v>
      </c>
      <c r="J232" s="215">
        <v>0</v>
      </c>
      <c r="K232" s="215">
        <v>263831.33</v>
      </c>
      <c r="L232" s="215">
        <v>285234.24</v>
      </c>
      <c r="M232" s="215">
        <v>294440.94</v>
      </c>
      <c r="N232" s="215">
        <v>294440.94</v>
      </c>
      <c r="O232" s="215">
        <v>294545.07</v>
      </c>
      <c r="P232" s="215">
        <v>294545.07</v>
      </c>
      <c r="Q232" s="215">
        <v>294545.07</v>
      </c>
    </row>
    <row r="233" spans="2:17" x14ac:dyDescent="0.3">
      <c r="B233" s="259">
        <f t="shared" si="3"/>
        <v>524957.7300000001</v>
      </c>
      <c r="D233" s="2" t="s">
        <v>1349</v>
      </c>
      <c r="E233" s="215">
        <v>524957.73</v>
      </c>
      <c r="F233" s="215">
        <v>524957.73</v>
      </c>
      <c r="G233" s="215">
        <v>524957.73</v>
      </c>
      <c r="H233" s="215">
        <v>524957.73</v>
      </c>
      <c r="I233" s="215">
        <v>524957.73</v>
      </c>
      <c r="J233" s="215">
        <v>524957.73</v>
      </c>
      <c r="K233" s="215">
        <v>524957.73</v>
      </c>
      <c r="L233" s="215">
        <v>524957.73</v>
      </c>
      <c r="M233" s="215">
        <v>524957.73</v>
      </c>
      <c r="N233" s="215">
        <v>524957.73</v>
      </c>
      <c r="O233" s="215">
        <v>524957.73</v>
      </c>
      <c r="P233" s="215">
        <v>524957.73</v>
      </c>
      <c r="Q233" s="215">
        <v>524957.73</v>
      </c>
    </row>
    <row r="234" spans="2:17" x14ac:dyDescent="0.3">
      <c r="B234" s="259">
        <f t="shared" si="3"/>
        <v>33306.698333333334</v>
      </c>
      <c r="D234" s="2" t="s">
        <v>1032</v>
      </c>
      <c r="E234" s="215">
        <v>0</v>
      </c>
      <c r="F234" s="215">
        <v>0</v>
      </c>
      <c r="G234" s="215">
        <v>0</v>
      </c>
      <c r="H234" s="215">
        <v>0</v>
      </c>
      <c r="I234" s="215">
        <v>0</v>
      </c>
      <c r="J234" s="215">
        <v>0</v>
      </c>
      <c r="K234" s="215">
        <v>0</v>
      </c>
      <c r="L234" s="215">
        <v>0</v>
      </c>
      <c r="M234" s="215">
        <v>0</v>
      </c>
      <c r="N234" s="215">
        <v>0</v>
      </c>
      <c r="O234" s="215">
        <v>0</v>
      </c>
      <c r="P234" s="215">
        <v>0</v>
      </c>
      <c r="Q234" s="215">
        <v>799360.76</v>
      </c>
    </row>
    <row r="235" spans="2:17" x14ac:dyDescent="0.3">
      <c r="B235" s="259">
        <f t="shared" si="3"/>
        <v>181562.66625000001</v>
      </c>
      <c r="D235" s="2" t="s">
        <v>280</v>
      </c>
      <c r="E235" s="215">
        <v>173015.98</v>
      </c>
      <c r="F235" s="215">
        <v>173015.98</v>
      </c>
      <c r="G235" s="215">
        <v>173015.98</v>
      </c>
      <c r="H235" s="215">
        <v>173015.98</v>
      </c>
      <c r="I235" s="215">
        <v>173015.98</v>
      </c>
      <c r="J235" s="215">
        <v>173015.98</v>
      </c>
      <c r="K235" s="215">
        <v>173015.98</v>
      </c>
      <c r="L235" s="215">
        <v>173015.98</v>
      </c>
      <c r="M235" s="215">
        <v>173015.98</v>
      </c>
      <c r="N235" s="215">
        <v>173015.98</v>
      </c>
      <c r="O235" s="215">
        <v>173015.98</v>
      </c>
      <c r="P235" s="215">
        <v>173015.98</v>
      </c>
      <c r="Q235" s="215">
        <v>378136.45</v>
      </c>
    </row>
    <row r="236" spans="2:17" x14ac:dyDescent="0.3">
      <c r="B236" s="259">
        <f t="shared" si="3"/>
        <v>496454.1504166667</v>
      </c>
      <c r="D236" s="2" t="s">
        <v>282</v>
      </c>
      <c r="E236" s="215">
        <v>247721.98</v>
      </c>
      <c r="F236" s="215">
        <v>247721.98</v>
      </c>
      <c r="G236" s="215">
        <v>247730.05000000002</v>
      </c>
      <c r="H236" s="215">
        <v>251810.18000000002</v>
      </c>
      <c r="I236" s="215">
        <v>251848.15000000002</v>
      </c>
      <c r="J236" s="215">
        <v>258739.01</v>
      </c>
      <c r="K236" s="215">
        <v>258860.91</v>
      </c>
      <c r="L236" s="215">
        <v>646687.36</v>
      </c>
      <c r="M236" s="215">
        <v>687529.98</v>
      </c>
      <c r="N236" s="215">
        <v>687773.80999999994</v>
      </c>
      <c r="O236" s="215">
        <v>694561.97</v>
      </c>
      <c r="P236" s="215">
        <v>696315.5</v>
      </c>
      <c r="Q236" s="215">
        <v>1808019.83</v>
      </c>
    </row>
    <row r="237" spans="2:17" x14ac:dyDescent="0.3">
      <c r="B237" s="259">
        <f t="shared" si="3"/>
        <v>68394.523333333331</v>
      </c>
      <c r="D237" s="2" t="s">
        <v>918</v>
      </c>
      <c r="E237" s="215">
        <v>0</v>
      </c>
      <c r="F237" s="215">
        <v>0</v>
      </c>
      <c r="G237" s="215">
        <v>0</v>
      </c>
      <c r="H237" s="215">
        <v>0</v>
      </c>
      <c r="I237" s="215">
        <v>0</v>
      </c>
      <c r="J237" s="215">
        <v>106156.73</v>
      </c>
      <c r="K237" s="215">
        <v>106156.73</v>
      </c>
      <c r="L237" s="215">
        <v>108241.58</v>
      </c>
      <c r="M237" s="215">
        <v>106035.64</v>
      </c>
      <c r="N237" s="215">
        <v>105414.75</v>
      </c>
      <c r="O237" s="215">
        <v>115491.54</v>
      </c>
      <c r="P237" s="215">
        <v>115491.54</v>
      </c>
      <c r="Q237" s="215">
        <v>115491.54</v>
      </c>
    </row>
    <row r="238" spans="2:17" x14ac:dyDescent="0.3">
      <c r="B238" s="259">
        <f t="shared" si="3"/>
        <v>882038.44000000006</v>
      </c>
      <c r="D238" s="2" t="s">
        <v>1350</v>
      </c>
      <c r="E238" s="215">
        <v>882038.44000000006</v>
      </c>
      <c r="F238" s="215">
        <v>882038.44000000006</v>
      </c>
      <c r="G238" s="215">
        <v>882038.44000000006</v>
      </c>
      <c r="H238" s="215">
        <v>882038.44000000006</v>
      </c>
      <c r="I238" s="215">
        <v>882038.44000000006</v>
      </c>
      <c r="J238" s="215">
        <v>882038.44000000006</v>
      </c>
      <c r="K238" s="215">
        <v>882038.44000000006</v>
      </c>
      <c r="L238" s="215">
        <v>882038.44000000006</v>
      </c>
      <c r="M238" s="215">
        <v>882038.44000000006</v>
      </c>
      <c r="N238" s="215">
        <v>882038.44000000006</v>
      </c>
      <c r="O238" s="215">
        <v>882038.44000000006</v>
      </c>
      <c r="P238" s="215">
        <v>882038.44000000006</v>
      </c>
      <c r="Q238" s="215">
        <v>882038.44000000006</v>
      </c>
    </row>
    <row r="239" spans="2:17" x14ac:dyDescent="0.3">
      <c r="B239" s="259">
        <f t="shared" si="3"/>
        <v>5388.1704166666668</v>
      </c>
      <c r="D239" s="2" t="s">
        <v>1034</v>
      </c>
      <c r="E239" s="215">
        <v>0</v>
      </c>
      <c r="F239" s="215">
        <v>0</v>
      </c>
      <c r="G239" s="215">
        <v>0</v>
      </c>
      <c r="H239" s="215">
        <v>0</v>
      </c>
      <c r="I239" s="215">
        <v>0</v>
      </c>
      <c r="J239" s="215">
        <v>0</v>
      </c>
      <c r="K239" s="215">
        <v>0</v>
      </c>
      <c r="L239" s="215">
        <v>0</v>
      </c>
      <c r="M239" s="215">
        <v>0</v>
      </c>
      <c r="N239" s="215">
        <v>0</v>
      </c>
      <c r="O239" s="215">
        <v>0</v>
      </c>
      <c r="P239" s="215">
        <v>0</v>
      </c>
      <c r="Q239" s="215">
        <v>129316.09</v>
      </c>
    </row>
    <row r="240" spans="2:17" x14ac:dyDescent="0.3">
      <c r="B240" s="259">
        <f t="shared" si="3"/>
        <v>5284.4991666666665</v>
      </c>
      <c r="D240" s="2" t="s">
        <v>1036</v>
      </c>
      <c r="E240" s="215">
        <v>0</v>
      </c>
      <c r="F240" s="215">
        <v>0</v>
      </c>
      <c r="G240" s="215">
        <v>0</v>
      </c>
      <c r="H240" s="215">
        <v>0</v>
      </c>
      <c r="I240" s="215">
        <v>0</v>
      </c>
      <c r="J240" s="215">
        <v>0</v>
      </c>
      <c r="K240" s="215">
        <v>0</v>
      </c>
      <c r="L240" s="215">
        <v>0</v>
      </c>
      <c r="M240" s="215">
        <v>0</v>
      </c>
      <c r="N240" s="215">
        <v>0</v>
      </c>
      <c r="O240" s="215">
        <v>0</v>
      </c>
      <c r="P240" s="215">
        <v>0</v>
      </c>
      <c r="Q240" s="215">
        <v>126827.98</v>
      </c>
    </row>
    <row r="241" spans="2:17" x14ac:dyDescent="0.3">
      <c r="B241" s="259">
        <f t="shared" si="3"/>
        <v>0</v>
      </c>
      <c r="D241" s="2" t="s">
        <v>1351</v>
      </c>
      <c r="E241" s="215">
        <v>0</v>
      </c>
      <c r="F241" s="215">
        <v>0</v>
      </c>
      <c r="G241" s="215">
        <v>0</v>
      </c>
      <c r="H241" s="215">
        <v>0</v>
      </c>
      <c r="I241" s="215">
        <v>0</v>
      </c>
      <c r="J241" s="215">
        <v>0</v>
      </c>
      <c r="K241" s="215">
        <v>0</v>
      </c>
      <c r="L241" s="215">
        <v>0</v>
      </c>
      <c r="M241" s="215">
        <v>0</v>
      </c>
      <c r="N241" s="215">
        <v>0</v>
      </c>
      <c r="O241" s="215">
        <v>0</v>
      </c>
      <c r="P241" s="215">
        <v>0</v>
      </c>
      <c r="Q241" s="215">
        <v>0</v>
      </c>
    </row>
    <row r="242" spans="2:17" x14ac:dyDescent="0.3">
      <c r="B242" s="259">
        <f t="shared" si="3"/>
        <v>470084.62000000005</v>
      </c>
      <c r="D242" s="2" t="s">
        <v>1352</v>
      </c>
      <c r="E242" s="215">
        <v>470084.62</v>
      </c>
      <c r="F242" s="215">
        <v>470084.62</v>
      </c>
      <c r="G242" s="215">
        <v>470084.62</v>
      </c>
      <c r="H242" s="215">
        <v>470084.62</v>
      </c>
      <c r="I242" s="215">
        <v>470084.62</v>
      </c>
      <c r="J242" s="215">
        <v>470084.62</v>
      </c>
      <c r="K242" s="215">
        <v>470084.62</v>
      </c>
      <c r="L242" s="215">
        <v>470084.62</v>
      </c>
      <c r="M242" s="215">
        <v>470084.62</v>
      </c>
      <c r="N242" s="215">
        <v>470084.62</v>
      </c>
      <c r="O242" s="215">
        <v>470084.62</v>
      </c>
      <c r="P242" s="215">
        <v>470084.62</v>
      </c>
      <c r="Q242" s="215">
        <v>470084.62</v>
      </c>
    </row>
    <row r="243" spans="2:17" x14ac:dyDescent="0.3">
      <c r="B243" s="259">
        <f t="shared" si="3"/>
        <v>576230.9425</v>
      </c>
      <c r="D243" s="2" t="s">
        <v>284</v>
      </c>
      <c r="E243" s="215">
        <v>576124.28</v>
      </c>
      <c r="F243" s="215">
        <v>576124.28</v>
      </c>
      <c r="G243" s="215">
        <v>576246.18000000005</v>
      </c>
      <c r="H243" s="215">
        <v>576246.18000000005</v>
      </c>
      <c r="I243" s="215">
        <v>576246.18000000005</v>
      </c>
      <c r="J243" s="215">
        <v>576246.18000000005</v>
      </c>
      <c r="K243" s="215">
        <v>576246.18000000005</v>
      </c>
      <c r="L243" s="215">
        <v>576246.18000000005</v>
      </c>
      <c r="M243" s="215">
        <v>576246.18000000005</v>
      </c>
      <c r="N243" s="215">
        <v>576246.18000000005</v>
      </c>
      <c r="O243" s="215">
        <v>576246.18000000005</v>
      </c>
      <c r="P243" s="215">
        <v>576246.18000000005</v>
      </c>
      <c r="Q243" s="215">
        <v>576246.18000000005</v>
      </c>
    </row>
    <row r="244" spans="2:17" x14ac:dyDescent="0.3">
      <c r="B244" s="259">
        <f t="shared" si="3"/>
        <v>33539.710000000006</v>
      </c>
      <c r="D244" s="2" t="s">
        <v>1353</v>
      </c>
      <c r="E244" s="215">
        <v>33539.71</v>
      </c>
      <c r="F244" s="215">
        <v>33539.71</v>
      </c>
      <c r="G244" s="215">
        <v>33539.71</v>
      </c>
      <c r="H244" s="215">
        <v>33539.71</v>
      </c>
      <c r="I244" s="215">
        <v>33539.71</v>
      </c>
      <c r="J244" s="215">
        <v>33539.71</v>
      </c>
      <c r="K244" s="215">
        <v>33539.71</v>
      </c>
      <c r="L244" s="215">
        <v>33539.71</v>
      </c>
      <c r="M244" s="215">
        <v>33539.71</v>
      </c>
      <c r="N244" s="215">
        <v>33539.71</v>
      </c>
      <c r="O244" s="215">
        <v>33539.71</v>
      </c>
      <c r="P244" s="215">
        <v>33539.71</v>
      </c>
      <c r="Q244" s="215">
        <v>33539.71</v>
      </c>
    </row>
    <row r="245" spans="2:17" x14ac:dyDescent="0.3">
      <c r="B245" s="259">
        <f t="shared" si="3"/>
        <v>509616.88541666669</v>
      </c>
      <c r="D245" s="2" t="s">
        <v>286</v>
      </c>
      <c r="E245" s="215">
        <v>476264.60000000003</v>
      </c>
      <c r="F245" s="215">
        <v>478222.42000000004</v>
      </c>
      <c r="G245" s="215">
        <v>481055.04000000004</v>
      </c>
      <c r="H245" s="215">
        <v>484151.46</v>
      </c>
      <c r="I245" s="215">
        <v>491474.43</v>
      </c>
      <c r="J245" s="215">
        <v>481808.45</v>
      </c>
      <c r="K245" s="215">
        <v>481808.45</v>
      </c>
      <c r="L245" s="215">
        <v>481808.45</v>
      </c>
      <c r="M245" s="215">
        <v>481808.45</v>
      </c>
      <c r="N245" s="215">
        <v>481808.45</v>
      </c>
      <c r="O245" s="215">
        <v>525242.35</v>
      </c>
      <c r="P245" s="215">
        <v>525242.35</v>
      </c>
      <c r="Q245" s="215">
        <v>965680.05</v>
      </c>
    </row>
    <row r="246" spans="2:17" x14ac:dyDescent="0.3">
      <c r="B246" s="259">
        <f t="shared" si="3"/>
        <v>0</v>
      </c>
      <c r="D246" s="2" t="s">
        <v>1354</v>
      </c>
      <c r="E246" s="215">
        <v>0</v>
      </c>
      <c r="F246" s="215">
        <v>0</v>
      </c>
      <c r="G246" s="215">
        <v>0</v>
      </c>
      <c r="H246" s="215">
        <v>0</v>
      </c>
      <c r="I246" s="215">
        <v>0</v>
      </c>
      <c r="J246" s="215">
        <v>0</v>
      </c>
      <c r="K246" s="215">
        <v>0</v>
      </c>
      <c r="L246" s="215">
        <v>0</v>
      </c>
      <c r="M246" s="215">
        <v>0</v>
      </c>
      <c r="N246" s="215">
        <v>0</v>
      </c>
      <c r="O246" s="215">
        <v>0</v>
      </c>
      <c r="P246" s="215">
        <v>0</v>
      </c>
      <c r="Q246" s="215">
        <v>0</v>
      </c>
    </row>
    <row r="247" spans="2:17" x14ac:dyDescent="0.3">
      <c r="B247" s="259">
        <f t="shared" si="3"/>
        <v>93040.030000000013</v>
      </c>
      <c r="D247" s="2" t="s">
        <v>1355</v>
      </c>
      <c r="E247" s="215">
        <v>93040.03</v>
      </c>
      <c r="F247" s="215">
        <v>93040.03</v>
      </c>
      <c r="G247" s="215">
        <v>93040.03</v>
      </c>
      <c r="H247" s="215">
        <v>93040.03</v>
      </c>
      <c r="I247" s="215">
        <v>93040.03</v>
      </c>
      <c r="J247" s="215">
        <v>93040.03</v>
      </c>
      <c r="K247" s="215">
        <v>93040.03</v>
      </c>
      <c r="L247" s="215">
        <v>93040.03</v>
      </c>
      <c r="M247" s="215">
        <v>93040.03</v>
      </c>
      <c r="N247" s="215">
        <v>93040.03</v>
      </c>
      <c r="O247" s="215">
        <v>93040.03</v>
      </c>
      <c r="P247" s="215">
        <v>93040.03</v>
      </c>
      <c r="Q247" s="215">
        <v>93040.03</v>
      </c>
    </row>
    <row r="248" spans="2:17" x14ac:dyDescent="0.3">
      <c r="B248" s="259">
        <f t="shared" si="3"/>
        <v>224597.53500000003</v>
      </c>
      <c r="D248" s="2" t="s">
        <v>288</v>
      </c>
      <c r="E248" s="215">
        <v>148811.32999999999</v>
      </c>
      <c r="F248" s="215">
        <v>149032.47</v>
      </c>
      <c r="G248" s="215">
        <v>163363.41</v>
      </c>
      <c r="H248" s="215">
        <v>180144.45</v>
      </c>
      <c r="I248" s="215">
        <v>180144.45</v>
      </c>
      <c r="J248" s="215">
        <v>180144.45</v>
      </c>
      <c r="K248" s="215">
        <v>180144.45</v>
      </c>
      <c r="L248" s="215">
        <v>180144.45</v>
      </c>
      <c r="M248" s="215">
        <v>596633.41</v>
      </c>
      <c r="N248" s="215">
        <v>206707.07</v>
      </c>
      <c r="O248" s="215">
        <v>207366.91</v>
      </c>
      <c r="P248" s="215">
        <v>211352.97</v>
      </c>
      <c r="Q248" s="215">
        <v>371172.53</v>
      </c>
    </row>
    <row r="249" spans="2:17" x14ac:dyDescent="0.3">
      <c r="B249" s="259">
        <f t="shared" si="3"/>
        <v>0</v>
      </c>
      <c r="D249" s="2" t="s">
        <v>1356</v>
      </c>
      <c r="E249" s="215">
        <v>0</v>
      </c>
      <c r="F249" s="215">
        <v>0</v>
      </c>
      <c r="G249" s="215">
        <v>0</v>
      </c>
      <c r="H249" s="215">
        <v>0</v>
      </c>
      <c r="I249" s="215">
        <v>0</v>
      </c>
      <c r="J249" s="215">
        <v>0</v>
      </c>
      <c r="K249" s="215">
        <v>0</v>
      </c>
      <c r="L249" s="215">
        <v>0</v>
      </c>
      <c r="M249" s="215">
        <v>0</v>
      </c>
      <c r="N249" s="215">
        <v>0</v>
      </c>
      <c r="O249" s="215">
        <v>0</v>
      </c>
      <c r="P249" s="215">
        <v>0</v>
      </c>
      <c r="Q249" s="215">
        <v>0</v>
      </c>
    </row>
    <row r="250" spans="2:17" x14ac:dyDescent="0.3">
      <c r="B250" s="259">
        <f t="shared" si="3"/>
        <v>64189.180416666662</v>
      </c>
      <c r="D250" s="2" t="s">
        <v>290</v>
      </c>
      <c r="E250" s="215">
        <v>57991.95</v>
      </c>
      <c r="F250" s="215">
        <v>57408.14</v>
      </c>
      <c r="G250" s="215">
        <v>58047.67</v>
      </c>
      <c r="H250" s="215">
        <v>58047.67</v>
      </c>
      <c r="I250" s="215">
        <v>58047.67</v>
      </c>
      <c r="J250" s="215">
        <v>58047.67</v>
      </c>
      <c r="K250" s="215">
        <v>58047.67</v>
      </c>
      <c r="L250" s="215">
        <v>58047.67</v>
      </c>
      <c r="M250" s="215">
        <v>58047.67</v>
      </c>
      <c r="N250" s="215">
        <v>58047.67</v>
      </c>
      <c r="O250" s="215">
        <v>58047.67</v>
      </c>
      <c r="P250" s="215">
        <v>58047.67</v>
      </c>
      <c r="Q250" s="215">
        <v>206778.69999999998</v>
      </c>
    </row>
    <row r="251" spans="2:17" x14ac:dyDescent="0.3">
      <c r="B251" s="259">
        <f t="shared" si="3"/>
        <v>68093.810000000012</v>
      </c>
      <c r="D251" s="2" t="s">
        <v>1357</v>
      </c>
      <c r="E251" s="215">
        <v>68093.81</v>
      </c>
      <c r="F251" s="215">
        <v>68093.81</v>
      </c>
      <c r="G251" s="215">
        <v>68093.81</v>
      </c>
      <c r="H251" s="215">
        <v>68093.81</v>
      </c>
      <c r="I251" s="215">
        <v>68093.81</v>
      </c>
      <c r="J251" s="215">
        <v>68093.81</v>
      </c>
      <c r="K251" s="215">
        <v>68093.81</v>
      </c>
      <c r="L251" s="215">
        <v>68093.81</v>
      </c>
      <c r="M251" s="215">
        <v>68093.81</v>
      </c>
      <c r="N251" s="215">
        <v>68093.81</v>
      </c>
      <c r="O251" s="215">
        <v>68093.81</v>
      </c>
      <c r="P251" s="215">
        <v>68093.81</v>
      </c>
      <c r="Q251" s="215">
        <v>68093.81</v>
      </c>
    </row>
    <row r="252" spans="2:17" x14ac:dyDescent="0.3">
      <c r="B252" s="259">
        <f t="shared" si="3"/>
        <v>0</v>
      </c>
      <c r="D252" s="2" t="s">
        <v>1358</v>
      </c>
      <c r="E252" s="215">
        <v>0</v>
      </c>
      <c r="F252" s="215">
        <v>0</v>
      </c>
      <c r="G252" s="215">
        <v>0</v>
      </c>
      <c r="H252" s="215">
        <v>0</v>
      </c>
      <c r="I252" s="215">
        <v>0</v>
      </c>
      <c r="J252" s="215">
        <v>0</v>
      </c>
      <c r="K252" s="215">
        <v>0</v>
      </c>
      <c r="L252" s="215">
        <v>0</v>
      </c>
      <c r="M252" s="215">
        <v>0</v>
      </c>
      <c r="N252" s="215">
        <v>0</v>
      </c>
      <c r="O252" s="215">
        <v>0</v>
      </c>
      <c r="P252" s="215">
        <v>0</v>
      </c>
      <c r="Q252" s="215">
        <v>0</v>
      </c>
    </row>
    <row r="253" spans="2:17" x14ac:dyDescent="0.3">
      <c r="B253" s="259">
        <f t="shared" si="3"/>
        <v>225526.31083333329</v>
      </c>
      <c r="D253" s="2" t="s">
        <v>292</v>
      </c>
      <c r="E253" s="215">
        <v>146553.16999999998</v>
      </c>
      <c r="F253" s="215">
        <v>174982.86</v>
      </c>
      <c r="G253" s="215">
        <v>177533.71999999997</v>
      </c>
      <c r="H253" s="215">
        <v>211074.35999999996</v>
      </c>
      <c r="I253" s="215">
        <v>212354.46999999994</v>
      </c>
      <c r="J253" s="215">
        <v>213061.94999999995</v>
      </c>
      <c r="K253" s="215">
        <v>215596.77999999994</v>
      </c>
      <c r="L253" s="215">
        <v>229000.08999999997</v>
      </c>
      <c r="M253" s="215">
        <v>229359.81999999995</v>
      </c>
      <c r="N253" s="215">
        <v>230288.55</v>
      </c>
      <c r="O253" s="215">
        <v>230288.55</v>
      </c>
      <c r="P253" s="215">
        <v>230288.55</v>
      </c>
      <c r="Q253" s="215">
        <v>558418.89</v>
      </c>
    </row>
    <row r="254" spans="2:17" x14ac:dyDescent="0.3">
      <c r="B254" s="259">
        <f t="shared" si="3"/>
        <v>0</v>
      </c>
      <c r="D254" s="2" t="s">
        <v>1359</v>
      </c>
      <c r="E254" s="215">
        <v>0</v>
      </c>
      <c r="F254" s="215">
        <v>0</v>
      </c>
      <c r="G254" s="215">
        <v>0</v>
      </c>
      <c r="H254" s="215">
        <v>0</v>
      </c>
      <c r="I254" s="215">
        <v>0</v>
      </c>
      <c r="J254" s="215">
        <v>0</v>
      </c>
      <c r="K254" s="215">
        <v>0</v>
      </c>
      <c r="L254" s="215">
        <v>0</v>
      </c>
      <c r="M254" s="215">
        <v>0</v>
      </c>
      <c r="N254" s="215">
        <v>0</v>
      </c>
      <c r="O254" s="215">
        <v>0</v>
      </c>
      <c r="P254" s="215">
        <v>0</v>
      </c>
      <c r="Q254" s="215">
        <v>0</v>
      </c>
    </row>
    <row r="255" spans="2:17" x14ac:dyDescent="0.3">
      <c r="B255" s="259">
        <f t="shared" si="3"/>
        <v>405774.37000000005</v>
      </c>
      <c r="D255" s="2" t="s">
        <v>1360</v>
      </c>
      <c r="E255" s="215">
        <v>405774.37</v>
      </c>
      <c r="F255" s="215">
        <v>405774.37</v>
      </c>
      <c r="G255" s="215">
        <v>405774.37</v>
      </c>
      <c r="H255" s="215">
        <v>405774.37</v>
      </c>
      <c r="I255" s="215">
        <v>405774.37</v>
      </c>
      <c r="J255" s="215">
        <v>405774.37</v>
      </c>
      <c r="K255" s="215">
        <v>405774.37</v>
      </c>
      <c r="L255" s="215">
        <v>405774.37</v>
      </c>
      <c r="M255" s="215">
        <v>405774.37</v>
      </c>
      <c r="N255" s="215">
        <v>405774.37</v>
      </c>
      <c r="O255" s="215">
        <v>405774.37</v>
      </c>
      <c r="P255" s="215">
        <v>405774.37</v>
      </c>
      <c r="Q255" s="215">
        <v>405774.37</v>
      </c>
    </row>
    <row r="256" spans="2:17" x14ac:dyDescent="0.3">
      <c r="B256" s="259">
        <f t="shared" si="3"/>
        <v>832388.77124999987</v>
      </c>
      <c r="D256" s="2" t="s">
        <v>294</v>
      </c>
      <c r="E256" s="215">
        <v>508126.07</v>
      </c>
      <c r="F256" s="215">
        <v>626968.87</v>
      </c>
      <c r="G256" s="215">
        <v>637936.82999999996</v>
      </c>
      <c r="H256" s="215">
        <v>637936.82999999996</v>
      </c>
      <c r="I256" s="215">
        <v>637936.82999999996</v>
      </c>
      <c r="J256" s="215">
        <v>896626.8899999999</v>
      </c>
      <c r="K256" s="215">
        <v>968799.37999999989</v>
      </c>
      <c r="L256" s="215">
        <v>968799.37999999989</v>
      </c>
      <c r="M256" s="215">
        <v>968799.37999999989</v>
      </c>
      <c r="N256" s="215">
        <v>968799.37999999989</v>
      </c>
      <c r="O256" s="215">
        <v>968799.37999999989</v>
      </c>
      <c r="P256" s="215">
        <v>968799.37999999989</v>
      </c>
      <c r="Q256" s="215">
        <v>968799.37999999989</v>
      </c>
    </row>
    <row r="257" spans="2:17" x14ac:dyDescent="0.3">
      <c r="B257" s="259">
        <f t="shared" si="3"/>
        <v>77748.975416666668</v>
      </c>
      <c r="D257" s="2" t="s">
        <v>296</v>
      </c>
      <c r="E257" s="215">
        <v>75762.13</v>
      </c>
      <c r="F257" s="215">
        <v>77835.360000000001</v>
      </c>
      <c r="G257" s="215">
        <v>77835.360000000001</v>
      </c>
      <c r="H257" s="215">
        <v>77835.360000000001</v>
      </c>
      <c r="I257" s="215">
        <v>77835.360000000001</v>
      </c>
      <c r="J257" s="215">
        <v>77835.360000000001</v>
      </c>
      <c r="K257" s="215">
        <v>77835.360000000001</v>
      </c>
      <c r="L257" s="215">
        <v>77835.360000000001</v>
      </c>
      <c r="M257" s="215">
        <v>77835.360000000001</v>
      </c>
      <c r="N257" s="215">
        <v>77835.360000000001</v>
      </c>
      <c r="O257" s="215">
        <v>77835.360000000001</v>
      </c>
      <c r="P257" s="215">
        <v>77835.360000000001</v>
      </c>
      <c r="Q257" s="215">
        <v>77835.360000000001</v>
      </c>
    </row>
    <row r="258" spans="2:17" x14ac:dyDescent="0.3">
      <c r="B258" s="259">
        <f t="shared" si="3"/>
        <v>1319265.1554166663</v>
      </c>
      <c r="D258" s="2" t="s">
        <v>298</v>
      </c>
      <c r="E258" s="215">
        <v>1318800.5499999998</v>
      </c>
      <c r="F258" s="215">
        <v>1319677.3799999999</v>
      </c>
      <c r="G258" s="215">
        <v>1319248.02</v>
      </c>
      <c r="H258" s="215">
        <v>1319248.02</v>
      </c>
      <c r="I258" s="215">
        <v>1319248.02</v>
      </c>
      <c r="J258" s="215">
        <v>1319248.02</v>
      </c>
      <c r="K258" s="215">
        <v>1319248.02</v>
      </c>
      <c r="L258" s="215">
        <v>1319248.02</v>
      </c>
      <c r="M258" s="215">
        <v>1319248.02</v>
      </c>
      <c r="N258" s="215">
        <v>1319248.02</v>
      </c>
      <c r="O258" s="215">
        <v>1319248.02</v>
      </c>
      <c r="P258" s="215">
        <v>1319248.02</v>
      </c>
      <c r="Q258" s="215">
        <v>1319248.02</v>
      </c>
    </row>
    <row r="259" spans="2:17" x14ac:dyDescent="0.3">
      <c r="B259" s="259">
        <f t="shared" si="3"/>
        <v>581778.47958333336</v>
      </c>
      <c r="D259" s="2" t="s">
        <v>300</v>
      </c>
      <c r="E259" s="215">
        <v>321365.08000000007</v>
      </c>
      <c r="F259" s="215">
        <v>327355.63000000006</v>
      </c>
      <c r="G259" s="215">
        <v>328808.76</v>
      </c>
      <c r="H259" s="215">
        <v>356917.62000000005</v>
      </c>
      <c r="I259" s="215">
        <v>357347.14000000007</v>
      </c>
      <c r="J259" s="215">
        <v>358566.27000000008</v>
      </c>
      <c r="K259" s="215">
        <v>362760.6100000001</v>
      </c>
      <c r="L259" s="215">
        <v>362882.51000000007</v>
      </c>
      <c r="M259" s="215">
        <v>363392.20000000007</v>
      </c>
      <c r="N259" s="215">
        <v>368287.43000000005</v>
      </c>
      <c r="O259" s="215">
        <v>371347.06000000006</v>
      </c>
      <c r="P259" s="215">
        <v>1924032.09</v>
      </c>
      <c r="Q259" s="215">
        <v>2677923.79</v>
      </c>
    </row>
    <row r="260" spans="2:17" x14ac:dyDescent="0.3">
      <c r="B260" s="259">
        <f t="shared" si="3"/>
        <v>1244576.51</v>
      </c>
      <c r="D260" s="2" t="s">
        <v>1361</v>
      </c>
      <c r="E260" s="215">
        <v>1244576.51</v>
      </c>
      <c r="F260" s="215">
        <v>1244576.51</v>
      </c>
      <c r="G260" s="215">
        <v>1244576.51</v>
      </c>
      <c r="H260" s="215">
        <v>1244576.51</v>
      </c>
      <c r="I260" s="215">
        <v>1244576.51</v>
      </c>
      <c r="J260" s="215">
        <v>1244576.51</v>
      </c>
      <c r="K260" s="215">
        <v>1244576.51</v>
      </c>
      <c r="L260" s="215">
        <v>1244576.51</v>
      </c>
      <c r="M260" s="215">
        <v>1244576.51</v>
      </c>
      <c r="N260" s="215">
        <v>1244576.51</v>
      </c>
      <c r="O260" s="215">
        <v>1244576.51</v>
      </c>
      <c r="P260" s="215">
        <v>1244576.51</v>
      </c>
      <c r="Q260" s="215">
        <v>1244576.51</v>
      </c>
    </row>
    <row r="261" spans="2:17" x14ac:dyDescent="0.3">
      <c r="B261" s="259">
        <f t="shared" si="3"/>
        <v>0</v>
      </c>
      <c r="D261" s="2" t="s">
        <v>1362</v>
      </c>
      <c r="E261" s="215">
        <v>0</v>
      </c>
      <c r="F261" s="215">
        <v>0</v>
      </c>
      <c r="G261" s="215">
        <v>0</v>
      </c>
      <c r="H261" s="215">
        <v>0</v>
      </c>
      <c r="I261" s="215">
        <v>0</v>
      </c>
      <c r="J261" s="215">
        <v>0</v>
      </c>
      <c r="K261" s="215">
        <v>0</v>
      </c>
      <c r="L261" s="215">
        <v>0</v>
      </c>
      <c r="M261" s="215">
        <v>0</v>
      </c>
      <c r="N261" s="215">
        <v>0</v>
      </c>
      <c r="O261" s="215">
        <v>0</v>
      </c>
      <c r="P261" s="215">
        <v>0</v>
      </c>
      <c r="Q261" s="215">
        <v>0</v>
      </c>
    </row>
    <row r="262" spans="2:17" x14ac:dyDescent="0.3">
      <c r="B262" s="259">
        <f t="shared" si="3"/>
        <v>18530.537916666668</v>
      </c>
      <c r="D262" s="2" t="s">
        <v>1038</v>
      </c>
      <c r="E262" s="215">
        <v>0</v>
      </c>
      <c r="F262" s="215">
        <v>0</v>
      </c>
      <c r="G262" s="215">
        <v>0</v>
      </c>
      <c r="H262" s="215">
        <v>0</v>
      </c>
      <c r="I262" s="215">
        <v>0</v>
      </c>
      <c r="J262" s="215">
        <v>0</v>
      </c>
      <c r="K262" s="215">
        <v>0</v>
      </c>
      <c r="L262" s="215">
        <v>0</v>
      </c>
      <c r="M262" s="215">
        <v>0</v>
      </c>
      <c r="N262" s="215">
        <v>0</v>
      </c>
      <c r="O262" s="215">
        <v>27234.43</v>
      </c>
      <c r="P262" s="215">
        <v>27234.43</v>
      </c>
      <c r="Q262" s="215">
        <v>335795.19</v>
      </c>
    </row>
    <row r="263" spans="2:17" x14ac:dyDescent="0.3">
      <c r="B263" s="259">
        <f t="shared" ref="B263:B326" si="4">(E263+Q263+SUM(F263:P263)*2)/24</f>
        <v>10221.986250000002</v>
      </c>
      <c r="D263" s="2" t="s">
        <v>920</v>
      </c>
      <c r="E263" s="215">
        <v>0</v>
      </c>
      <c r="F263" s="215">
        <v>0</v>
      </c>
      <c r="G263" s="215">
        <v>11682.27</v>
      </c>
      <c r="H263" s="215">
        <v>11682.27</v>
      </c>
      <c r="I263" s="215">
        <v>11682.27</v>
      </c>
      <c r="J263" s="215">
        <v>11682.27</v>
      </c>
      <c r="K263" s="215">
        <v>11682.27</v>
      </c>
      <c r="L263" s="215">
        <v>11682.27</v>
      </c>
      <c r="M263" s="215">
        <v>11682.27</v>
      </c>
      <c r="N263" s="215">
        <v>11682.27</v>
      </c>
      <c r="O263" s="215">
        <v>11682.27</v>
      </c>
      <c r="P263" s="215">
        <v>11682.27</v>
      </c>
      <c r="Q263" s="215">
        <v>11682.27</v>
      </c>
    </row>
    <row r="264" spans="2:17" x14ac:dyDescent="0.3">
      <c r="B264" s="259">
        <f t="shared" si="4"/>
        <v>139346.36000000004</v>
      </c>
      <c r="D264" s="2" t="s">
        <v>302</v>
      </c>
      <c r="E264" s="215">
        <v>139346.36000000002</v>
      </c>
      <c r="F264" s="215">
        <v>139346.36000000002</v>
      </c>
      <c r="G264" s="215">
        <v>139346.36000000002</v>
      </c>
      <c r="H264" s="215">
        <v>139346.36000000002</v>
      </c>
      <c r="I264" s="215">
        <v>139346.36000000002</v>
      </c>
      <c r="J264" s="215">
        <v>139346.36000000002</v>
      </c>
      <c r="K264" s="215">
        <v>139346.36000000002</v>
      </c>
      <c r="L264" s="215">
        <v>139346.36000000002</v>
      </c>
      <c r="M264" s="215">
        <v>139346.36000000002</v>
      </c>
      <c r="N264" s="215">
        <v>139346.36000000002</v>
      </c>
      <c r="O264" s="215">
        <v>139346.36000000002</v>
      </c>
      <c r="P264" s="215">
        <v>139346.36000000002</v>
      </c>
      <c r="Q264" s="215">
        <v>139346.36000000002</v>
      </c>
    </row>
    <row r="265" spans="2:17" x14ac:dyDescent="0.3">
      <c r="B265" s="259">
        <f t="shared" si="4"/>
        <v>596672.58000000007</v>
      </c>
      <c r="D265" s="2" t="s">
        <v>1363</v>
      </c>
      <c r="E265" s="215">
        <v>596672.58000000007</v>
      </c>
      <c r="F265" s="215">
        <v>596672.58000000007</v>
      </c>
      <c r="G265" s="215">
        <v>596672.58000000007</v>
      </c>
      <c r="H265" s="215">
        <v>596672.58000000007</v>
      </c>
      <c r="I265" s="215">
        <v>596672.58000000007</v>
      </c>
      <c r="J265" s="215">
        <v>596672.58000000007</v>
      </c>
      <c r="K265" s="215">
        <v>596672.58000000007</v>
      </c>
      <c r="L265" s="215">
        <v>596672.58000000007</v>
      </c>
      <c r="M265" s="215">
        <v>596672.58000000007</v>
      </c>
      <c r="N265" s="215">
        <v>596672.58000000007</v>
      </c>
      <c r="O265" s="215">
        <v>596672.58000000007</v>
      </c>
      <c r="P265" s="215">
        <v>596672.58000000007</v>
      </c>
      <c r="Q265" s="215">
        <v>596672.58000000007</v>
      </c>
    </row>
    <row r="266" spans="2:17" x14ac:dyDescent="0.3">
      <c r="B266" s="259">
        <f t="shared" si="4"/>
        <v>292458.53375</v>
      </c>
      <c r="D266" s="2" t="s">
        <v>304</v>
      </c>
      <c r="E266" s="215">
        <v>0</v>
      </c>
      <c r="F266" s="215">
        <v>0</v>
      </c>
      <c r="G266" s="215">
        <v>0</v>
      </c>
      <c r="H266" s="215">
        <v>0</v>
      </c>
      <c r="I266" s="215">
        <v>0</v>
      </c>
      <c r="J266" s="215">
        <v>0</v>
      </c>
      <c r="K266" s="215">
        <v>0</v>
      </c>
      <c r="L266" s="215">
        <v>0</v>
      </c>
      <c r="M266" s="215">
        <v>0</v>
      </c>
      <c r="N266" s="215">
        <v>989908.12</v>
      </c>
      <c r="O266" s="215">
        <v>997954.03</v>
      </c>
      <c r="P266" s="215">
        <v>1003202.0399999999</v>
      </c>
      <c r="Q266" s="215">
        <v>1036876.4299999999</v>
      </c>
    </row>
    <row r="267" spans="2:17" x14ac:dyDescent="0.3">
      <c r="B267" s="259">
        <f t="shared" si="4"/>
        <v>160713.31541666668</v>
      </c>
      <c r="D267" s="2" t="s">
        <v>306</v>
      </c>
      <c r="E267" s="215">
        <v>0</v>
      </c>
      <c r="F267" s="215">
        <v>0</v>
      </c>
      <c r="G267" s="215">
        <v>0</v>
      </c>
      <c r="H267" s="215">
        <v>0</v>
      </c>
      <c r="I267" s="215">
        <v>0</v>
      </c>
      <c r="J267" s="215">
        <v>0</v>
      </c>
      <c r="K267" s="215">
        <v>0</v>
      </c>
      <c r="L267" s="215">
        <v>0</v>
      </c>
      <c r="M267" s="215">
        <v>0</v>
      </c>
      <c r="N267" s="215">
        <v>506886.56</v>
      </c>
      <c r="O267" s="215">
        <v>508994.63</v>
      </c>
      <c r="P267" s="215">
        <v>622535.84000000008</v>
      </c>
      <c r="Q267" s="215">
        <v>580285.51</v>
      </c>
    </row>
    <row r="268" spans="2:17" x14ac:dyDescent="0.3">
      <c r="B268" s="259">
        <f t="shared" si="4"/>
        <v>0</v>
      </c>
      <c r="D268" s="2" t="s">
        <v>1364</v>
      </c>
      <c r="E268" s="215">
        <v>0</v>
      </c>
      <c r="F268" s="215">
        <v>0</v>
      </c>
      <c r="G268" s="215">
        <v>0</v>
      </c>
      <c r="H268" s="215">
        <v>0</v>
      </c>
      <c r="I268" s="215">
        <v>0</v>
      </c>
      <c r="J268" s="215">
        <v>0</v>
      </c>
      <c r="K268" s="215">
        <v>0</v>
      </c>
      <c r="L268" s="215">
        <v>0</v>
      </c>
      <c r="M268" s="215">
        <v>0</v>
      </c>
      <c r="N268" s="215">
        <v>0</v>
      </c>
      <c r="O268" s="215">
        <v>0</v>
      </c>
      <c r="P268" s="215">
        <v>0</v>
      </c>
      <c r="Q268" s="215">
        <v>0</v>
      </c>
    </row>
    <row r="269" spans="2:17" x14ac:dyDescent="0.3">
      <c r="B269" s="259">
        <f t="shared" si="4"/>
        <v>25395.841249999998</v>
      </c>
      <c r="D269" s="2" t="s">
        <v>922</v>
      </c>
      <c r="E269" s="215">
        <v>0</v>
      </c>
      <c r="F269" s="215">
        <v>0</v>
      </c>
      <c r="G269" s="215">
        <v>0</v>
      </c>
      <c r="H269" s="215">
        <v>0</v>
      </c>
      <c r="I269" s="215">
        <v>0</v>
      </c>
      <c r="J269" s="215">
        <v>0</v>
      </c>
      <c r="K269" s="215">
        <v>46884.63</v>
      </c>
      <c r="L269" s="215">
        <v>46884.63</v>
      </c>
      <c r="M269" s="215">
        <v>46884.63</v>
      </c>
      <c r="N269" s="215">
        <v>46884.63</v>
      </c>
      <c r="O269" s="215">
        <v>46884.63</v>
      </c>
      <c r="P269" s="215">
        <v>46884.63</v>
      </c>
      <c r="Q269" s="215">
        <v>46884.63</v>
      </c>
    </row>
    <row r="270" spans="2:17" x14ac:dyDescent="0.3">
      <c r="B270" s="259">
        <f t="shared" si="4"/>
        <v>402444.10000000003</v>
      </c>
      <c r="D270" s="2" t="s">
        <v>1365</v>
      </c>
      <c r="E270" s="215">
        <v>402444.1</v>
      </c>
      <c r="F270" s="215">
        <v>402444.1</v>
      </c>
      <c r="G270" s="215">
        <v>402444.1</v>
      </c>
      <c r="H270" s="215">
        <v>402444.1</v>
      </c>
      <c r="I270" s="215">
        <v>402444.1</v>
      </c>
      <c r="J270" s="215">
        <v>402444.1</v>
      </c>
      <c r="K270" s="215">
        <v>402444.1</v>
      </c>
      <c r="L270" s="215">
        <v>402444.1</v>
      </c>
      <c r="M270" s="215">
        <v>402444.1</v>
      </c>
      <c r="N270" s="215">
        <v>402444.1</v>
      </c>
      <c r="O270" s="215">
        <v>402444.1</v>
      </c>
      <c r="P270" s="215">
        <v>402444.1</v>
      </c>
      <c r="Q270" s="215">
        <v>402444.1</v>
      </c>
    </row>
    <row r="271" spans="2:17" x14ac:dyDescent="0.3">
      <c r="B271" s="259">
        <f t="shared" si="4"/>
        <v>4803143</v>
      </c>
      <c r="D271" s="2" t="s">
        <v>1366</v>
      </c>
      <c r="E271" s="215">
        <v>4803143</v>
      </c>
      <c r="F271" s="215">
        <v>4803143</v>
      </c>
      <c r="G271" s="215">
        <v>4803143</v>
      </c>
      <c r="H271" s="215">
        <v>4803143</v>
      </c>
      <c r="I271" s="215">
        <v>4803143</v>
      </c>
      <c r="J271" s="215">
        <v>4803143</v>
      </c>
      <c r="K271" s="215">
        <v>4803143</v>
      </c>
      <c r="L271" s="215">
        <v>4803143</v>
      </c>
      <c r="M271" s="215">
        <v>4803143</v>
      </c>
      <c r="N271" s="215">
        <v>4803143</v>
      </c>
      <c r="O271" s="215">
        <v>4803143</v>
      </c>
      <c r="P271" s="215">
        <v>4803143</v>
      </c>
      <c r="Q271" s="215">
        <v>4803143</v>
      </c>
    </row>
    <row r="272" spans="2:17" x14ac:dyDescent="0.3">
      <c r="B272" s="259">
        <f t="shared" si="4"/>
        <v>13513539.77708333</v>
      </c>
      <c r="D272" s="2" t="s">
        <v>864</v>
      </c>
      <c r="E272" s="215">
        <v>13890829.819999998</v>
      </c>
      <c r="F272" s="215">
        <v>13890829.819999998</v>
      </c>
      <c r="G272" s="215">
        <v>12283147.819999998</v>
      </c>
      <c r="H272" s="215">
        <v>12283147.819999998</v>
      </c>
      <c r="I272" s="215">
        <v>12283147.819999998</v>
      </c>
      <c r="J272" s="215">
        <v>12283147.819999998</v>
      </c>
      <c r="K272" s="215">
        <v>12283147.819999998</v>
      </c>
      <c r="L272" s="215">
        <v>12283147.819999998</v>
      </c>
      <c r="M272" s="215">
        <v>12283147.819999998</v>
      </c>
      <c r="N272" s="215">
        <v>12283147.819999998</v>
      </c>
      <c r="O272" s="215">
        <v>12283147.819999998</v>
      </c>
      <c r="P272" s="215">
        <v>12283147.819999998</v>
      </c>
      <c r="Q272" s="215">
        <v>36989508.789999999</v>
      </c>
    </row>
    <row r="273" spans="2:17" x14ac:dyDescent="0.3">
      <c r="B273" s="259">
        <f t="shared" si="4"/>
        <v>94392.658750000002</v>
      </c>
      <c r="D273" s="2" t="s">
        <v>924</v>
      </c>
      <c r="E273" s="215">
        <v>0</v>
      </c>
      <c r="F273" s="215">
        <v>38647.5</v>
      </c>
      <c r="G273" s="215">
        <v>38647.5</v>
      </c>
      <c r="H273" s="215">
        <v>62236.84</v>
      </c>
      <c r="I273" s="215">
        <v>62236.84</v>
      </c>
      <c r="J273" s="215">
        <v>100573.54</v>
      </c>
      <c r="K273" s="215">
        <v>100573.54</v>
      </c>
      <c r="L273" s="215">
        <v>100573.54</v>
      </c>
      <c r="M273" s="215">
        <v>100573.54</v>
      </c>
      <c r="N273" s="215">
        <v>100573.54</v>
      </c>
      <c r="O273" s="215">
        <v>100573.54</v>
      </c>
      <c r="P273" s="215">
        <v>100573.54</v>
      </c>
      <c r="Q273" s="215">
        <v>453856.89</v>
      </c>
    </row>
    <row r="274" spans="2:17" x14ac:dyDescent="0.3">
      <c r="B274" s="259">
        <f t="shared" si="4"/>
        <v>3774788.577083332</v>
      </c>
      <c r="D274" s="2" t="s">
        <v>309</v>
      </c>
      <c r="E274" s="215">
        <v>3464827.4699999997</v>
      </c>
      <c r="F274" s="215">
        <v>3655305.3599999994</v>
      </c>
      <c r="G274" s="215">
        <v>3655814.3299999996</v>
      </c>
      <c r="H274" s="215">
        <v>3659523.5699999994</v>
      </c>
      <c r="I274" s="215">
        <v>3659974.8299999991</v>
      </c>
      <c r="J274" s="215">
        <v>3660115.8499999992</v>
      </c>
      <c r="K274" s="215">
        <v>3660115.8499999992</v>
      </c>
      <c r="L274" s="215">
        <v>3660115.8499999992</v>
      </c>
      <c r="M274" s="215">
        <v>3660115.8499999992</v>
      </c>
      <c r="N274" s="215">
        <v>3660115.8499999992</v>
      </c>
      <c r="O274" s="215">
        <v>3660115.8499999992</v>
      </c>
      <c r="P274" s="215">
        <v>3660115.8499999992</v>
      </c>
      <c r="Q274" s="215">
        <v>6627240.2999999989</v>
      </c>
    </row>
    <row r="275" spans="2:17" x14ac:dyDescent="0.3">
      <c r="B275" s="259">
        <f t="shared" si="4"/>
        <v>92102.460833333316</v>
      </c>
      <c r="D275" s="2" t="s">
        <v>311</v>
      </c>
      <c r="E275" s="215">
        <v>92038.92</v>
      </c>
      <c r="F275" s="215">
        <v>92778.73</v>
      </c>
      <c r="G275" s="215">
        <v>92041.08</v>
      </c>
      <c r="H275" s="215">
        <v>92041.08</v>
      </c>
      <c r="I275" s="215">
        <v>92041.08</v>
      </c>
      <c r="J275" s="215">
        <v>92041.08</v>
      </c>
      <c r="K275" s="215">
        <v>92041.08</v>
      </c>
      <c r="L275" s="215">
        <v>92041.08</v>
      </c>
      <c r="M275" s="215">
        <v>92041.08</v>
      </c>
      <c r="N275" s="215">
        <v>92041.08</v>
      </c>
      <c r="O275" s="215">
        <v>92041.08</v>
      </c>
      <c r="P275" s="215">
        <v>92041.08</v>
      </c>
      <c r="Q275" s="215">
        <v>92041.08</v>
      </c>
    </row>
    <row r="276" spans="2:17" x14ac:dyDescent="0.3">
      <c r="B276" s="259">
        <f t="shared" si="4"/>
        <v>0</v>
      </c>
      <c r="D276" s="2" t="s">
        <v>1367</v>
      </c>
      <c r="E276" s="215">
        <v>0</v>
      </c>
      <c r="F276" s="215">
        <v>0</v>
      </c>
      <c r="G276" s="215">
        <v>0</v>
      </c>
      <c r="H276" s="215">
        <v>0</v>
      </c>
      <c r="I276" s="215">
        <v>0</v>
      </c>
      <c r="J276" s="215">
        <v>0</v>
      </c>
      <c r="K276" s="215">
        <v>0</v>
      </c>
      <c r="L276" s="215">
        <v>0</v>
      </c>
      <c r="M276" s="215">
        <v>0</v>
      </c>
      <c r="N276" s="215">
        <v>0</v>
      </c>
      <c r="O276" s="215">
        <v>0</v>
      </c>
      <c r="P276" s="215">
        <v>0</v>
      </c>
      <c r="Q276" s="215">
        <v>0</v>
      </c>
    </row>
    <row r="277" spans="2:17" x14ac:dyDescent="0.3">
      <c r="B277" s="259">
        <f t="shared" si="4"/>
        <v>0</v>
      </c>
      <c r="D277" s="2" t="s">
        <v>1368</v>
      </c>
      <c r="E277" s="215">
        <v>0</v>
      </c>
      <c r="F277" s="215">
        <v>0</v>
      </c>
      <c r="G277" s="215">
        <v>0</v>
      </c>
      <c r="H277" s="215">
        <v>0</v>
      </c>
      <c r="I277" s="215">
        <v>0</v>
      </c>
      <c r="J277" s="215">
        <v>0</v>
      </c>
      <c r="K277" s="215">
        <v>0</v>
      </c>
      <c r="L277" s="215">
        <v>0</v>
      </c>
      <c r="M277" s="215">
        <v>0</v>
      </c>
      <c r="N277" s="215">
        <v>0</v>
      </c>
      <c r="O277" s="215">
        <v>0</v>
      </c>
      <c r="P277" s="215">
        <v>0</v>
      </c>
      <c r="Q277" s="215">
        <v>0</v>
      </c>
    </row>
    <row r="278" spans="2:17" x14ac:dyDescent="0.3">
      <c r="B278" s="259">
        <f t="shared" si="4"/>
        <v>25684.69875</v>
      </c>
      <c r="D278" s="2" t="s">
        <v>1040</v>
      </c>
      <c r="E278" s="215">
        <v>0</v>
      </c>
      <c r="F278" s="215">
        <v>0</v>
      </c>
      <c r="G278" s="215">
        <v>0</v>
      </c>
      <c r="H278" s="215">
        <v>0</v>
      </c>
      <c r="I278" s="215">
        <v>0</v>
      </c>
      <c r="J278" s="215">
        <v>0</v>
      </c>
      <c r="K278" s="215">
        <v>0</v>
      </c>
      <c r="L278" s="215">
        <v>0</v>
      </c>
      <c r="M278" s="215">
        <v>0</v>
      </c>
      <c r="N278" s="215">
        <v>0</v>
      </c>
      <c r="O278" s="215">
        <v>0</v>
      </c>
      <c r="P278" s="215">
        <v>0</v>
      </c>
      <c r="Q278" s="215">
        <v>616432.77</v>
      </c>
    </row>
    <row r="279" spans="2:17" x14ac:dyDescent="0.3">
      <c r="B279" s="259">
        <f t="shared" si="4"/>
        <v>0</v>
      </c>
      <c r="D279" s="2" t="s">
        <v>1369</v>
      </c>
      <c r="E279" s="215">
        <v>0</v>
      </c>
      <c r="F279" s="215">
        <v>0</v>
      </c>
      <c r="G279" s="215">
        <v>0</v>
      </c>
      <c r="H279" s="215">
        <v>0</v>
      </c>
      <c r="I279" s="215">
        <v>0</v>
      </c>
      <c r="J279" s="215">
        <v>0</v>
      </c>
      <c r="K279" s="215">
        <v>0</v>
      </c>
      <c r="L279" s="215">
        <v>0</v>
      </c>
      <c r="M279" s="215">
        <v>0</v>
      </c>
      <c r="N279" s="215">
        <v>0</v>
      </c>
      <c r="O279" s="215">
        <v>0</v>
      </c>
      <c r="P279" s="215">
        <v>0</v>
      </c>
      <c r="Q279" s="215">
        <v>0</v>
      </c>
    </row>
    <row r="280" spans="2:17" x14ac:dyDescent="0.3">
      <c r="B280" s="259">
        <f t="shared" si="4"/>
        <v>0</v>
      </c>
      <c r="D280" s="2" t="s">
        <v>1370</v>
      </c>
      <c r="E280" s="215">
        <v>0</v>
      </c>
      <c r="F280" s="215">
        <v>0</v>
      </c>
      <c r="G280" s="215">
        <v>0</v>
      </c>
      <c r="H280" s="215">
        <v>0</v>
      </c>
      <c r="I280" s="215">
        <v>0</v>
      </c>
      <c r="J280" s="215">
        <v>0</v>
      </c>
      <c r="K280" s="215">
        <v>0</v>
      </c>
      <c r="L280" s="215">
        <v>0</v>
      </c>
      <c r="M280" s="215">
        <v>0</v>
      </c>
      <c r="N280" s="215">
        <v>0</v>
      </c>
      <c r="O280" s="215">
        <v>0</v>
      </c>
      <c r="P280" s="215">
        <v>0</v>
      </c>
      <c r="Q280" s="215">
        <v>0</v>
      </c>
    </row>
    <row r="281" spans="2:17" x14ac:dyDescent="0.3">
      <c r="B281" s="259">
        <f t="shared" si="4"/>
        <v>0</v>
      </c>
      <c r="D281" s="2" t="s">
        <v>1371</v>
      </c>
      <c r="E281" s="215">
        <v>0</v>
      </c>
      <c r="F281" s="215">
        <v>0</v>
      </c>
      <c r="G281" s="215">
        <v>0</v>
      </c>
      <c r="H281" s="215">
        <v>0</v>
      </c>
      <c r="I281" s="215">
        <v>0</v>
      </c>
      <c r="J281" s="215">
        <v>0</v>
      </c>
      <c r="K281" s="215">
        <v>0</v>
      </c>
      <c r="L281" s="215">
        <v>0</v>
      </c>
      <c r="M281" s="215">
        <v>0</v>
      </c>
      <c r="N281" s="215">
        <v>0</v>
      </c>
      <c r="O281" s="215">
        <v>0</v>
      </c>
      <c r="P281" s="215">
        <v>0</v>
      </c>
      <c r="Q281" s="215">
        <v>0</v>
      </c>
    </row>
    <row r="282" spans="2:17" x14ac:dyDescent="0.3">
      <c r="B282" s="259">
        <f t="shared" si="4"/>
        <v>0</v>
      </c>
      <c r="D282" s="2" t="s">
        <v>1372</v>
      </c>
      <c r="E282" s="215">
        <v>0</v>
      </c>
      <c r="F282" s="215">
        <v>0</v>
      </c>
      <c r="G282" s="215">
        <v>0</v>
      </c>
      <c r="H282" s="215">
        <v>0</v>
      </c>
      <c r="I282" s="215">
        <v>0</v>
      </c>
      <c r="J282" s="215">
        <v>0</v>
      </c>
      <c r="K282" s="215">
        <v>0</v>
      </c>
      <c r="L282" s="215">
        <v>0</v>
      </c>
      <c r="M282" s="215">
        <v>0</v>
      </c>
      <c r="N282" s="215">
        <v>0</v>
      </c>
      <c r="O282" s="215">
        <v>0</v>
      </c>
      <c r="P282" s="215">
        <v>0</v>
      </c>
      <c r="Q282" s="215">
        <v>0</v>
      </c>
    </row>
    <row r="283" spans="2:17" x14ac:dyDescent="0.3">
      <c r="B283" s="259">
        <f t="shared" si="4"/>
        <v>0</v>
      </c>
      <c r="D283" s="2" t="s">
        <v>1373</v>
      </c>
      <c r="E283" s="215">
        <v>0</v>
      </c>
      <c r="F283" s="215">
        <v>0</v>
      </c>
      <c r="G283" s="215">
        <v>0</v>
      </c>
      <c r="H283" s="215">
        <v>0</v>
      </c>
      <c r="I283" s="215">
        <v>0</v>
      </c>
      <c r="J283" s="215">
        <v>0</v>
      </c>
      <c r="K283" s="215">
        <v>0</v>
      </c>
      <c r="L283" s="215">
        <v>0</v>
      </c>
      <c r="M283" s="215">
        <v>0</v>
      </c>
      <c r="N283" s="215">
        <v>0</v>
      </c>
      <c r="O283" s="215">
        <v>0</v>
      </c>
      <c r="P283" s="215">
        <v>0</v>
      </c>
      <c r="Q283" s="215">
        <v>0</v>
      </c>
    </row>
    <row r="284" spans="2:17" x14ac:dyDescent="0.3">
      <c r="B284" s="259">
        <f t="shared" si="4"/>
        <v>57195.387916666667</v>
      </c>
      <c r="D284" s="2" t="s">
        <v>1042</v>
      </c>
      <c r="E284" s="215">
        <v>0</v>
      </c>
      <c r="F284" s="215">
        <v>0</v>
      </c>
      <c r="G284" s="215">
        <v>0</v>
      </c>
      <c r="H284" s="215">
        <v>0</v>
      </c>
      <c r="I284" s="215">
        <v>0</v>
      </c>
      <c r="J284" s="215">
        <v>0</v>
      </c>
      <c r="K284" s="215">
        <v>0</v>
      </c>
      <c r="L284" s="215">
        <v>0</v>
      </c>
      <c r="M284" s="215">
        <v>0</v>
      </c>
      <c r="N284" s="215">
        <v>0</v>
      </c>
      <c r="O284" s="215">
        <v>0</v>
      </c>
      <c r="P284" s="215">
        <v>0</v>
      </c>
      <c r="Q284" s="215">
        <v>1372689.31</v>
      </c>
    </row>
    <row r="285" spans="2:17" x14ac:dyDescent="0.3">
      <c r="B285" s="259">
        <f t="shared" si="4"/>
        <v>0</v>
      </c>
      <c r="D285" s="2" t="s">
        <v>1374</v>
      </c>
      <c r="E285" s="215">
        <v>0</v>
      </c>
      <c r="F285" s="215">
        <v>0</v>
      </c>
      <c r="G285" s="215">
        <v>0</v>
      </c>
      <c r="H285" s="215">
        <v>0</v>
      </c>
      <c r="I285" s="215">
        <v>0</v>
      </c>
      <c r="J285" s="215">
        <v>0</v>
      </c>
      <c r="K285" s="215">
        <v>0</v>
      </c>
      <c r="L285" s="215">
        <v>0</v>
      </c>
      <c r="M285" s="215">
        <v>0</v>
      </c>
      <c r="N285" s="215">
        <v>0</v>
      </c>
      <c r="O285" s="215">
        <v>0</v>
      </c>
      <c r="P285" s="215">
        <v>0</v>
      </c>
      <c r="Q285" s="215">
        <v>0</v>
      </c>
    </row>
    <row r="286" spans="2:17" x14ac:dyDescent="0.3">
      <c r="B286" s="259">
        <f t="shared" si="4"/>
        <v>31392.826666666671</v>
      </c>
      <c r="D286" s="2" t="s">
        <v>1044</v>
      </c>
      <c r="E286" s="215">
        <v>0</v>
      </c>
      <c r="F286" s="215">
        <v>0</v>
      </c>
      <c r="G286" s="215">
        <v>0</v>
      </c>
      <c r="H286" s="215">
        <v>0</v>
      </c>
      <c r="I286" s="215">
        <v>0</v>
      </c>
      <c r="J286" s="215">
        <v>0</v>
      </c>
      <c r="K286" s="215">
        <v>0</v>
      </c>
      <c r="L286" s="215">
        <v>0</v>
      </c>
      <c r="M286" s="215">
        <v>0</v>
      </c>
      <c r="N286" s="215">
        <v>0</v>
      </c>
      <c r="O286" s="215">
        <v>110733.27</v>
      </c>
      <c r="P286" s="215">
        <v>159431.70000000001</v>
      </c>
      <c r="Q286" s="215">
        <v>213097.9</v>
      </c>
    </row>
    <row r="287" spans="2:17" x14ac:dyDescent="0.3">
      <c r="B287" s="259">
        <f t="shared" si="4"/>
        <v>0</v>
      </c>
      <c r="D287" s="2" t="s">
        <v>1375</v>
      </c>
      <c r="E287" s="215">
        <v>0</v>
      </c>
      <c r="F287" s="215">
        <v>0</v>
      </c>
      <c r="G287" s="215">
        <v>0</v>
      </c>
      <c r="H287" s="215">
        <v>0</v>
      </c>
      <c r="I287" s="215">
        <v>0</v>
      </c>
      <c r="J287" s="215">
        <v>0</v>
      </c>
      <c r="K287" s="215">
        <v>0</v>
      </c>
      <c r="L287" s="215">
        <v>0</v>
      </c>
      <c r="M287" s="215">
        <v>0</v>
      </c>
      <c r="N287" s="215">
        <v>0</v>
      </c>
      <c r="O287" s="215">
        <v>0</v>
      </c>
      <c r="P287" s="215">
        <v>0</v>
      </c>
      <c r="Q287" s="215">
        <v>0</v>
      </c>
    </row>
    <row r="288" spans="2:17" x14ac:dyDescent="0.3">
      <c r="B288" s="259">
        <f t="shared" si="4"/>
        <v>12718.160000000002</v>
      </c>
      <c r="D288" s="2" t="s">
        <v>1376</v>
      </c>
      <c r="E288" s="215">
        <v>12718.16</v>
      </c>
      <c r="F288" s="215">
        <v>12718.16</v>
      </c>
      <c r="G288" s="215">
        <v>12718.16</v>
      </c>
      <c r="H288" s="215">
        <v>12718.16</v>
      </c>
      <c r="I288" s="215">
        <v>12718.16</v>
      </c>
      <c r="J288" s="215">
        <v>12718.16</v>
      </c>
      <c r="K288" s="215">
        <v>12718.16</v>
      </c>
      <c r="L288" s="215">
        <v>12718.16</v>
      </c>
      <c r="M288" s="215">
        <v>12718.16</v>
      </c>
      <c r="N288" s="215">
        <v>12718.16</v>
      </c>
      <c r="O288" s="215">
        <v>12718.16</v>
      </c>
      <c r="P288" s="215">
        <v>12718.16</v>
      </c>
      <c r="Q288" s="215">
        <v>12718.16</v>
      </c>
    </row>
    <row r="289" spans="2:17" x14ac:dyDescent="0.3">
      <c r="B289" s="259">
        <f t="shared" si="4"/>
        <v>183047.76916666669</v>
      </c>
      <c r="D289" s="2" t="s">
        <v>926</v>
      </c>
      <c r="E289" s="215">
        <v>0</v>
      </c>
      <c r="F289" s="215">
        <v>0</v>
      </c>
      <c r="G289" s="215">
        <v>0</v>
      </c>
      <c r="H289" s="215">
        <v>122595.67000000001</v>
      </c>
      <c r="I289" s="215">
        <v>243997.36000000002</v>
      </c>
      <c r="J289" s="215">
        <v>243997.36000000002</v>
      </c>
      <c r="K289" s="215">
        <v>243997.36000000002</v>
      </c>
      <c r="L289" s="215">
        <v>243997.36000000002</v>
      </c>
      <c r="M289" s="215">
        <v>243997.36000000002</v>
      </c>
      <c r="N289" s="215">
        <v>243997.36000000002</v>
      </c>
      <c r="O289" s="215">
        <v>243997.36000000002</v>
      </c>
      <c r="P289" s="215">
        <v>243997.36000000002</v>
      </c>
      <c r="Q289" s="215">
        <v>243997.36000000002</v>
      </c>
    </row>
    <row r="290" spans="2:17" x14ac:dyDescent="0.3">
      <c r="B290" s="259">
        <f t="shared" si="4"/>
        <v>1102222.7666666666</v>
      </c>
      <c r="D290" s="2" t="s">
        <v>928</v>
      </c>
      <c r="E290" s="215">
        <v>0</v>
      </c>
      <c r="F290" s="215">
        <v>1118328.55</v>
      </c>
      <c r="G290" s="215">
        <v>828246.08</v>
      </c>
      <c r="H290" s="215">
        <v>1253596.07</v>
      </c>
      <c r="I290" s="215">
        <v>1283632.0799999998</v>
      </c>
      <c r="J290" s="215">
        <v>1319203.4100000001</v>
      </c>
      <c r="K290" s="215">
        <v>1353868.8099999998</v>
      </c>
      <c r="L290" s="215">
        <v>1365249.41</v>
      </c>
      <c r="M290" s="215">
        <v>1155922.3400000001</v>
      </c>
      <c r="N290" s="215">
        <v>1014568.26</v>
      </c>
      <c r="O290" s="215">
        <v>1044290.8899999999</v>
      </c>
      <c r="P290" s="215">
        <v>1052140.3600000001</v>
      </c>
      <c r="Q290" s="215">
        <v>875253.87999999989</v>
      </c>
    </row>
    <row r="291" spans="2:17" x14ac:dyDescent="0.3">
      <c r="B291" s="259">
        <f t="shared" si="4"/>
        <v>867363.13000000024</v>
      </c>
      <c r="D291" s="2" t="s">
        <v>313</v>
      </c>
      <c r="E291" s="215">
        <v>836483.47000000009</v>
      </c>
      <c r="F291" s="215">
        <v>864144.95000000007</v>
      </c>
      <c r="G291" s="215">
        <v>863683.03</v>
      </c>
      <c r="H291" s="215">
        <v>863683.03</v>
      </c>
      <c r="I291" s="215">
        <v>872617.17</v>
      </c>
      <c r="J291" s="215">
        <v>872617.17</v>
      </c>
      <c r="K291" s="215">
        <v>872152.77</v>
      </c>
      <c r="L291" s="215">
        <v>869312.31</v>
      </c>
      <c r="M291" s="215">
        <v>869312.31</v>
      </c>
      <c r="N291" s="215">
        <v>869312.31</v>
      </c>
      <c r="O291" s="215">
        <v>869312.31</v>
      </c>
      <c r="P291" s="215">
        <v>869312.31</v>
      </c>
      <c r="Q291" s="215">
        <v>869312.31</v>
      </c>
    </row>
    <row r="292" spans="2:17" x14ac:dyDescent="0.3">
      <c r="B292" s="259">
        <f t="shared" si="4"/>
        <v>59322.219999999979</v>
      </c>
      <c r="D292" s="2" t="s">
        <v>1377</v>
      </c>
      <c r="E292" s="215">
        <v>59322.22</v>
      </c>
      <c r="F292" s="215">
        <v>59322.22</v>
      </c>
      <c r="G292" s="215">
        <v>59322.22</v>
      </c>
      <c r="H292" s="215">
        <v>59322.22</v>
      </c>
      <c r="I292" s="215">
        <v>59322.22</v>
      </c>
      <c r="J292" s="215">
        <v>59322.22</v>
      </c>
      <c r="K292" s="215">
        <v>59322.22</v>
      </c>
      <c r="L292" s="215">
        <v>59322.22</v>
      </c>
      <c r="M292" s="215">
        <v>59322.22</v>
      </c>
      <c r="N292" s="215">
        <v>59322.22</v>
      </c>
      <c r="O292" s="215">
        <v>59322.22</v>
      </c>
      <c r="P292" s="215">
        <v>59322.22</v>
      </c>
      <c r="Q292" s="215">
        <v>59322.22</v>
      </c>
    </row>
    <row r="293" spans="2:17" x14ac:dyDescent="0.3">
      <c r="B293" s="259">
        <f t="shared" si="4"/>
        <v>17325.929166666665</v>
      </c>
      <c r="D293" s="2" t="s">
        <v>1046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15">
        <v>0</v>
      </c>
      <c r="N293" s="215">
        <v>0</v>
      </c>
      <c r="O293" s="215">
        <v>0</v>
      </c>
      <c r="P293" s="215">
        <v>0</v>
      </c>
      <c r="Q293" s="215">
        <v>415822.3</v>
      </c>
    </row>
    <row r="294" spans="2:17" x14ac:dyDescent="0.3">
      <c r="B294" s="259">
        <f t="shared" si="4"/>
        <v>0</v>
      </c>
      <c r="D294" s="2" t="s">
        <v>1378</v>
      </c>
      <c r="E294" s="215">
        <v>0</v>
      </c>
      <c r="F294" s="215">
        <v>0</v>
      </c>
      <c r="G294" s="215">
        <v>0</v>
      </c>
      <c r="H294" s="215">
        <v>0</v>
      </c>
      <c r="I294" s="215">
        <v>0</v>
      </c>
      <c r="J294" s="215">
        <v>0</v>
      </c>
      <c r="K294" s="215">
        <v>0</v>
      </c>
      <c r="L294" s="215">
        <v>0</v>
      </c>
      <c r="M294" s="215">
        <v>0</v>
      </c>
      <c r="N294" s="215">
        <v>0</v>
      </c>
      <c r="O294" s="215">
        <v>0</v>
      </c>
      <c r="P294" s="215">
        <v>0</v>
      </c>
      <c r="Q294" s="215">
        <v>0</v>
      </c>
    </row>
    <row r="295" spans="2:17" x14ac:dyDescent="0.3">
      <c r="B295" s="259">
        <f t="shared" si="4"/>
        <v>0</v>
      </c>
      <c r="D295" s="2" t="s">
        <v>1379</v>
      </c>
      <c r="E295" s="215">
        <v>0</v>
      </c>
      <c r="F295" s="215">
        <v>0</v>
      </c>
      <c r="G295" s="215">
        <v>0</v>
      </c>
      <c r="H295" s="215">
        <v>0</v>
      </c>
      <c r="I295" s="215">
        <v>0</v>
      </c>
      <c r="J295" s="215">
        <v>0</v>
      </c>
      <c r="K295" s="215">
        <v>0</v>
      </c>
      <c r="L295" s="215">
        <v>0</v>
      </c>
      <c r="M295" s="215">
        <v>0</v>
      </c>
      <c r="N295" s="215">
        <v>0</v>
      </c>
      <c r="O295" s="215">
        <v>0</v>
      </c>
      <c r="P295" s="215">
        <v>0</v>
      </c>
      <c r="Q295" s="215">
        <v>0</v>
      </c>
    </row>
    <row r="296" spans="2:17" x14ac:dyDescent="0.3">
      <c r="B296" s="259">
        <f t="shared" si="4"/>
        <v>21865008.785833329</v>
      </c>
      <c r="D296" s="2" t="s">
        <v>1380</v>
      </c>
      <c r="E296" s="215">
        <v>17791726.729999997</v>
      </c>
      <c r="F296" s="215">
        <v>18767713.27</v>
      </c>
      <c r="G296" s="215">
        <v>20308869.609999999</v>
      </c>
      <c r="H296" s="215">
        <v>20382749.609999999</v>
      </c>
      <c r="I296" s="215">
        <v>20969579.439999998</v>
      </c>
      <c r="J296" s="215">
        <v>21047867.149999999</v>
      </c>
      <c r="K296" s="215">
        <v>22454813.669999994</v>
      </c>
      <c r="L296" s="215">
        <v>23476649.189999998</v>
      </c>
      <c r="M296" s="215">
        <v>24679057.269999996</v>
      </c>
      <c r="N296" s="215">
        <v>24590088.969999999</v>
      </c>
      <c r="O296" s="215">
        <v>21754238.019999996</v>
      </c>
      <c r="P296" s="215">
        <v>22933378.209999993</v>
      </c>
      <c r="Q296" s="215">
        <v>24238475.309999995</v>
      </c>
    </row>
    <row r="297" spans="2:17" x14ac:dyDescent="0.3">
      <c r="B297" s="259">
        <f t="shared" si="4"/>
        <v>340465.44750000007</v>
      </c>
      <c r="D297" s="2" t="s">
        <v>315</v>
      </c>
      <c r="E297" s="215">
        <v>148152.47</v>
      </c>
      <c r="F297" s="215">
        <v>148152.47</v>
      </c>
      <c r="G297" s="215">
        <v>289061.13</v>
      </c>
      <c r="H297" s="215">
        <v>289061.13</v>
      </c>
      <c r="I297" s="215">
        <v>289061.13</v>
      </c>
      <c r="J297" s="215">
        <v>289061.13</v>
      </c>
      <c r="K297" s="215">
        <v>411008.68</v>
      </c>
      <c r="L297" s="215">
        <v>411008.68</v>
      </c>
      <c r="M297" s="215">
        <v>411008.68</v>
      </c>
      <c r="N297" s="215">
        <v>411008.68</v>
      </c>
      <c r="O297" s="215">
        <v>411008.68</v>
      </c>
      <c r="P297" s="215">
        <v>411008.68</v>
      </c>
      <c r="Q297" s="215">
        <v>482120.13</v>
      </c>
    </row>
    <row r="298" spans="2:17" x14ac:dyDescent="0.3">
      <c r="B298" s="259">
        <f t="shared" si="4"/>
        <v>124877.82208333333</v>
      </c>
      <c r="D298" s="2" t="s">
        <v>317</v>
      </c>
      <c r="E298" s="215">
        <v>117661.39</v>
      </c>
      <c r="F298" s="215">
        <v>117661.39</v>
      </c>
      <c r="G298" s="215">
        <v>124900.9</v>
      </c>
      <c r="H298" s="215">
        <v>124900.9</v>
      </c>
      <c r="I298" s="215">
        <v>124900.9</v>
      </c>
      <c r="J298" s="215">
        <v>124900.9</v>
      </c>
      <c r="K298" s="215">
        <v>124900.9</v>
      </c>
      <c r="L298" s="215">
        <v>124900.9</v>
      </c>
      <c r="M298" s="215">
        <v>124900.9</v>
      </c>
      <c r="N298" s="215">
        <v>124900.9</v>
      </c>
      <c r="O298" s="215">
        <v>124900.9</v>
      </c>
      <c r="P298" s="215">
        <v>124900.9</v>
      </c>
      <c r="Q298" s="215">
        <v>146065.56</v>
      </c>
    </row>
    <row r="299" spans="2:17" x14ac:dyDescent="0.3">
      <c r="B299" s="259">
        <f t="shared" si="4"/>
        <v>3417065.5008333339</v>
      </c>
      <c r="D299" s="2" t="s">
        <v>319</v>
      </c>
      <c r="E299" s="215">
        <v>3271155.48</v>
      </c>
      <c r="F299" s="215">
        <v>3273244.03</v>
      </c>
      <c r="G299" s="215">
        <v>3273244.03</v>
      </c>
      <c r="H299" s="215">
        <v>3273244.03</v>
      </c>
      <c r="I299" s="215">
        <v>3273244.03</v>
      </c>
      <c r="J299" s="215">
        <v>3273244.03</v>
      </c>
      <c r="K299" s="215">
        <v>3273244.03</v>
      </c>
      <c r="L299" s="215">
        <v>3273244.03</v>
      </c>
      <c r="M299" s="215">
        <v>3273244.03</v>
      </c>
      <c r="N299" s="215">
        <v>3273244.03</v>
      </c>
      <c r="O299" s="215">
        <v>3964004.8</v>
      </c>
      <c r="P299" s="215">
        <v>3964004.8</v>
      </c>
      <c r="Q299" s="215">
        <v>3964004.8</v>
      </c>
    </row>
    <row r="300" spans="2:17" x14ac:dyDescent="0.3">
      <c r="B300" s="259">
        <f t="shared" si="4"/>
        <v>14040.687083333332</v>
      </c>
      <c r="D300" s="2" t="s">
        <v>321</v>
      </c>
      <c r="E300" s="215">
        <v>4351.8999999999996</v>
      </c>
      <c r="F300" s="215">
        <v>4351.8999999999996</v>
      </c>
      <c r="G300" s="215">
        <v>14077.689999999999</v>
      </c>
      <c r="H300" s="215">
        <v>14077.689999999999</v>
      </c>
      <c r="I300" s="215">
        <v>14077.689999999999</v>
      </c>
      <c r="J300" s="215">
        <v>14077.689999999999</v>
      </c>
      <c r="K300" s="215">
        <v>14077.689999999999</v>
      </c>
      <c r="L300" s="215">
        <v>14077.689999999999</v>
      </c>
      <c r="M300" s="215">
        <v>14077.689999999999</v>
      </c>
      <c r="N300" s="215">
        <v>14077.689999999999</v>
      </c>
      <c r="O300" s="215">
        <v>14077.689999999999</v>
      </c>
      <c r="P300" s="215">
        <v>14077.689999999999</v>
      </c>
      <c r="Q300" s="215">
        <v>42366.990000000005</v>
      </c>
    </row>
    <row r="301" spans="2:17" x14ac:dyDescent="0.3">
      <c r="B301" s="259">
        <f t="shared" si="4"/>
        <v>6855945.3499999987</v>
      </c>
      <c r="D301" s="2" t="s">
        <v>1381</v>
      </c>
      <c r="E301" s="215">
        <v>6855945.3500000006</v>
      </c>
      <c r="F301" s="215">
        <v>6855945.3500000006</v>
      </c>
      <c r="G301" s="215">
        <v>6855945.3500000006</v>
      </c>
      <c r="H301" s="215">
        <v>6855945.3500000006</v>
      </c>
      <c r="I301" s="215">
        <v>6855945.3500000006</v>
      </c>
      <c r="J301" s="215">
        <v>6855945.3500000006</v>
      </c>
      <c r="K301" s="215">
        <v>6855945.3500000006</v>
      </c>
      <c r="L301" s="215">
        <v>6855945.3500000006</v>
      </c>
      <c r="M301" s="215">
        <v>6855945.3500000006</v>
      </c>
      <c r="N301" s="215">
        <v>6855945.3500000006</v>
      </c>
      <c r="O301" s="215">
        <v>6855945.3500000006</v>
      </c>
      <c r="P301" s="215">
        <v>6855945.3500000006</v>
      </c>
      <c r="Q301" s="215">
        <v>6855945.3500000006</v>
      </c>
    </row>
    <row r="302" spans="2:17" x14ac:dyDescent="0.3">
      <c r="B302" s="259">
        <f t="shared" si="4"/>
        <v>1624.43</v>
      </c>
      <c r="D302" s="2" t="s">
        <v>1382</v>
      </c>
      <c r="E302" s="215">
        <v>1624.43</v>
      </c>
      <c r="F302" s="215">
        <v>1624.43</v>
      </c>
      <c r="G302" s="215">
        <v>1624.43</v>
      </c>
      <c r="H302" s="215">
        <v>1624.43</v>
      </c>
      <c r="I302" s="215">
        <v>1624.43</v>
      </c>
      <c r="J302" s="215">
        <v>1624.43</v>
      </c>
      <c r="K302" s="215">
        <v>1624.43</v>
      </c>
      <c r="L302" s="215">
        <v>1624.43</v>
      </c>
      <c r="M302" s="215">
        <v>1624.43</v>
      </c>
      <c r="N302" s="215">
        <v>1624.43</v>
      </c>
      <c r="O302" s="215">
        <v>1624.43</v>
      </c>
      <c r="P302" s="215">
        <v>1624.43</v>
      </c>
      <c r="Q302" s="215">
        <v>1624.43</v>
      </c>
    </row>
    <row r="303" spans="2:17" x14ac:dyDescent="0.3">
      <c r="B303" s="259">
        <f t="shared" si="4"/>
        <v>0</v>
      </c>
      <c r="D303" s="2" t="s">
        <v>1383</v>
      </c>
      <c r="E303" s="215">
        <v>0</v>
      </c>
      <c r="F303" s="215">
        <v>0</v>
      </c>
      <c r="G303" s="215">
        <v>0</v>
      </c>
      <c r="H303" s="215">
        <v>0</v>
      </c>
      <c r="I303" s="215">
        <v>0</v>
      </c>
      <c r="J303" s="215">
        <v>0</v>
      </c>
      <c r="K303" s="215">
        <v>0</v>
      </c>
      <c r="L303" s="215">
        <v>0</v>
      </c>
      <c r="M303" s="215">
        <v>0</v>
      </c>
      <c r="N303" s="215">
        <v>0</v>
      </c>
      <c r="O303" s="215">
        <v>0</v>
      </c>
      <c r="P303" s="215">
        <v>0</v>
      </c>
      <c r="Q303" s="215">
        <v>0</v>
      </c>
    </row>
    <row r="304" spans="2:17" x14ac:dyDescent="0.3">
      <c r="B304" s="259">
        <f t="shared" si="4"/>
        <v>17743207.134999998</v>
      </c>
      <c r="D304" s="2" t="s">
        <v>323</v>
      </c>
      <c r="E304" s="215">
        <v>17735305.920000002</v>
      </c>
      <c r="F304" s="215">
        <v>17742122.5</v>
      </c>
      <c r="G304" s="215">
        <v>17742491.59</v>
      </c>
      <c r="H304" s="215">
        <v>17742491.59</v>
      </c>
      <c r="I304" s="215">
        <v>17743967.879999999</v>
      </c>
      <c r="J304" s="215">
        <v>17743967.879999999</v>
      </c>
      <c r="K304" s="215">
        <v>17743967.879999999</v>
      </c>
      <c r="L304" s="215">
        <v>17743967.879999999</v>
      </c>
      <c r="M304" s="215">
        <v>17743967.879999999</v>
      </c>
      <c r="N304" s="215">
        <v>17743967.879999999</v>
      </c>
      <c r="O304" s="215">
        <v>17743967.879999999</v>
      </c>
      <c r="P304" s="215">
        <v>17743967.879999999</v>
      </c>
      <c r="Q304" s="215">
        <v>17743967.879999999</v>
      </c>
    </row>
    <row r="305" spans="2:17" x14ac:dyDescent="0.3">
      <c r="B305" s="259">
        <f t="shared" si="4"/>
        <v>905880.25</v>
      </c>
      <c r="D305" s="2" t="s">
        <v>325</v>
      </c>
      <c r="E305" s="215">
        <v>900406.27000000014</v>
      </c>
      <c r="F305" s="215">
        <v>900406.27000000014</v>
      </c>
      <c r="G305" s="215">
        <v>900406.27000000014</v>
      </c>
      <c r="H305" s="215">
        <v>900406.27000000014</v>
      </c>
      <c r="I305" s="215">
        <v>900406.27000000014</v>
      </c>
      <c r="J305" s="215">
        <v>900406.27000000014</v>
      </c>
      <c r="K305" s="215">
        <v>902030.42000000016</v>
      </c>
      <c r="L305" s="215">
        <v>909834.50000000012</v>
      </c>
      <c r="M305" s="215">
        <v>912515.66000000015</v>
      </c>
      <c r="N305" s="215">
        <v>912515.66000000015</v>
      </c>
      <c r="O305" s="215">
        <v>912572.91000000015</v>
      </c>
      <c r="P305" s="215">
        <v>912572.91000000015</v>
      </c>
      <c r="Q305" s="215">
        <v>912572.91000000015</v>
      </c>
    </row>
    <row r="306" spans="2:17" x14ac:dyDescent="0.3">
      <c r="B306" s="259">
        <f t="shared" si="4"/>
        <v>0</v>
      </c>
      <c r="D306" s="2" t="s">
        <v>1384</v>
      </c>
      <c r="E306" s="215">
        <v>0</v>
      </c>
      <c r="F306" s="215">
        <v>0</v>
      </c>
      <c r="G306" s="215">
        <v>0</v>
      </c>
      <c r="H306" s="215">
        <v>0</v>
      </c>
      <c r="I306" s="215">
        <v>0</v>
      </c>
      <c r="J306" s="215">
        <v>0</v>
      </c>
      <c r="K306" s="215">
        <v>0</v>
      </c>
      <c r="L306" s="215">
        <v>0</v>
      </c>
      <c r="M306" s="215">
        <v>0</v>
      </c>
      <c r="N306" s="215">
        <v>0</v>
      </c>
      <c r="O306" s="215">
        <v>0</v>
      </c>
      <c r="P306" s="215">
        <v>0</v>
      </c>
      <c r="Q306" s="215">
        <v>0</v>
      </c>
    </row>
    <row r="307" spans="2:17" x14ac:dyDescent="0.3">
      <c r="B307" s="259">
        <f t="shared" si="4"/>
        <v>501793.97458333336</v>
      </c>
      <c r="D307" s="2" t="s">
        <v>327</v>
      </c>
      <c r="E307" s="215">
        <v>73042.259999999995</v>
      </c>
      <c r="F307" s="215">
        <v>73042.259999999995</v>
      </c>
      <c r="G307" s="215">
        <v>73042.259999999995</v>
      </c>
      <c r="H307" s="215">
        <v>73042.259999999995</v>
      </c>
      <c r="I307" s="215">
        <v>73042.259999999995</v>
      </c>
      <c r="J307" s="215">
        <v>73042.259999999995</v>
      </c>
      <c r="K307" s="215">
        <v>73042.259999999995</v>
      </c>
      <c r="L307" s="215">
        <v>73042.259999999995</v>
      </c>
      <c r="M307" s="215">
        <v>73042.259999999995</v>
      </c>
      <c r="N307" s="215">
        <v>73042.259999999995</v>
      </c>
      <c r="O307" s="215">
        <v>73042.259999999995</v>
      </c>
      <c r="P307" s="215">
        <v>73042.259999999995</v>
      </c>
      <c r="Q307" s="215">
        <v>10363083.41</v>
      </c>
    </row>
    <row r="308" spans="2:17" x14ac:dyDescent="0.3">
      <c r="B308" s="259">
        <f t="shared" si="4"/>
        <v>214347.37458333335</v>
      </c>
      <c r="D308" s="2" t="s">
        <v>329</v>
      </c>
      <c r="E308" s="215">
        <v>0</v>
      </c>
      <c r="F308" s="215">
        <v>0</v>
      </c>
      <c r="G308" s="215">
        <v>0</v>
      </c>
      <c r="H308" s="215">
        <v>0</v>
      </c>
      <c r="I308" s="215">
        <v>0</v>
      </c>
      <c r="J308" s="215">
        <v>0</v>
      </c>
      <c r="K308" s="215">
        <v>0</v>
      </c>
      <c r="L308" s="215">
        <v>0</v>
      </c>
      <c r="M308" s="215">
        <v>0</v>
      </c>
      <c r="N308" s="215">
        <v>0</v>
      </c>
      <c r="O308" s="215">
        <v>0</v>
      </c>
      <c r="P308" s="215">
        <v>0</v>
      </c>
      <c r="Q308" s="215">
        <v>5144336.99</v>
      </c>
    </row>
    <row r="309" spans="2:17" x14ac:dyDescent="0.3">
      <c r="B309" s="259">
        <f t="shared" si="4"/>
        <v>17153.780000000002</v>
      </c>
      <c r="D309" s="2" t="s">
        <v>1385</v>
      </c>
      <c r="E309" s="215">
        <v>17153.780000000002</v>
      </c>
      <c r="F309" s="215">
        <v>17153.780000000002</v>
      </c>
      <c r="G309" s="215">
        <v>17153.780000000002</v>
      </c>
      <c r="H309" s="215">
        <v>17153.780000000002</v>
      </c>
      <c r="I309" s="215">
        <v>17153.780000000002</v>
      </c>
      <c r="J309" s="215">
        <v>17153.780000000002</v>
      </c>
      <c r="K309" s="215">
        <v>17153.780000000002</v>
      </c>
      <c r="L309" s="215">
        <v>17153.780000000002</v>
      </c>
      <c r="M309" s="215">
        <v>17153.780000000002</v>
      </c>
      <c r="N309" s="215">
        <v>17153.780000000002</v>
      </c>
      <c r="O309" s="215">
        <v>17153.780000000002</v>
      </c>
      <c r="P309" s="215">
        <v>17153.780000000002</v>
      </c>
      <c r="Q309" s="215">
        <v>17153.780000000002</v>
      </c>
    </row>
    <row r="310" spans="2:17" x14ac:dyDescent="0.3">
      <c r="B310" s="259">
        <f t="shared" si="4"/>
        <v>2674907.1350000007</v>
      </c>
      <c r="D310" s="2" t="s">
        <v>331</v>
      </c>
      <c r="E310" s="215">
        <v>2630258.21</v>
      </c>
      <c r="F310" s="215">
        <v>2663748.12</v>
      </c>
      <c r="G310" s="215">
        <v>2663748.12</v>
      </c>
      <c r="H310" s="215">
        <v>2663748.12</v>
      </c>
      <c r="I310" s="215">
        <v>2663748.12</v>
      </c>
      <c r="J310" s="215">
        <v>2663748.12</v>
      </c>
      <c r="K310" s="215">
        <v>2663748.12</v>
      </c>
      <c r="L310" s="215">
        <v>2663748.12</v>
      </c>
      <c r="M310" s="215">
        <v>2663748.12</v>
      </c>
      <c r="N310" s="215">
        <v>2663748.12</v>
      </c>
      <c r="O310" s="215">
        <v>2663748.12</v>
      </c>
      <c r="P310" s="215">
        <v>2663748.12</v>
      </c>
      <c r="Q310" s="215">
        <v>2965054.39</v>
      </c>
    </row>
    <row r="311" spans="2:17" x14ac:dyDescent="0.3">
      <c r="B311" s="259">
        <f t="shared" si="4"/>
        <v>8759.5500000000011</v>
      </c>
      <c r="D311" s="2" t="s">
        <v>333</v>
      </c>
      <c r="E311" s="215">
        <v>8759.5500000000011</v>
      </c>
      <c r="F311" s="215">
        <v>8759.5500000000011</v>
      </c>
      <c r="G311" s="215">
        <v>8759.5500000000011</v>
      </c>
      <c r="H311" s="215">
        <v>8759.5500000000011</v>
      </c>
      <c r="I311" s="215">
        <v>8759.5500000000011</v>
      </c>
      <c r="J311" s="215">
        <v>8759.5500000000011</v>
      </c>
      <c r="K311" s="215">
        <v>8759.5500000000011</v>
      </c>
      <c r="L311" s="215">
        <v>8759.5500000000011</v>
      </c>
      <c r="M311" s="215">
        <v>8759.5500000000011</v>
      </c>
      <c r="N311" s="215">
        <v>8759.5500000000011</v>
      </c>
      <c r="O311" s="215">
        <v>8759.5500000000011</v>
      </c>
      <c r="P311" s="215">
        <v>8759.5500000000011</v>
      </c>
      <c r="Q311" s="215">
        <v>8759.5500000000011</v>
      </c>
    </row>
    <row r="312" spans="2:17" x14ac:dyDescent="0.3">
      <c r="B312" s="259">
        <f t="shared" si="4"/>
        <v>2049858.7620833332</v>
      </c>
      <c r="D312" s="2" t="s">
        <v>335</v>
      </c>
      <c r="E312" s="215">
        <v>1198744.01</v>
      </c>
      <c r="F312" s="215">
        <v>1238885.8799999999</v>
      </c>
      <c r="G312" s="215">
        <v>2031209.43</v>
      </c>
      <c r="H312" s="215">
        <v>2031209.43</v>
      </c>
      <c r="I312" s="215">
        <v>2031209.43</v>
      </c>
      <c r="J312" s="215">
        <v>2031209.43</v>
      </c>
      <c r="K312" s="215">
        <v>2031209.43</v>
      </c>
      <c r="L312" s="215">
        <v>2031209.43</v>
      </c>
      <c r="M312" s="215">
        <v>2207661.75</v>
      </c>
      <c r="N312" s="215">
        <v>2207661.75</v>
      </c>
      <c r="O312" s="215">
        <v>2207661.75</v>
      </c>
      <c r="P312" s="215">
        <v>2622071.06</v>
      </c>
      <c r="Q312" s="215">
        <v>2655468.7400000002</v>
      </c>
    </row>
    <row r="313" spans="2:17" x14ac:dyDescent="0.3">
      <c r="B313" s="259">
        <f t="shared" si="4"/>
        <v>0</v>
      </c>
      <c r="D313" s="2" t="s">
        <v>1386</v>
      </c>
      <c r="E313" s="215">
        <v>0</v>
      </c>
      <c r="F313" s="215">
        <v>0</v>
      </c>
      <c r="G313" s="215">
        <v>0</v>
      </c>
      <c r="H313" s="215">
        <v>0</v>
      </c>
      <c r="I313" s="215">
        <v>0</v>
      </c>
      <c r="J313" s="215">
        <v>0</v>
      </c>
      <c r="K313" s="215">
        <v>0</v>
      </c>
      <c r="L313" s="215">
        <v>0</v>
      </c>
      <c r="M313" s="215">
        <v>0</v>
      </c>
      <c r="N313" s="215">
        <v>0</v>
      </c>
      <c r="O313" s="215">
        <v>0</v>
      </c>
      <c r="P313" s="215">
        <v>0</v>
      </c>
      <c r="Q313" s="215">
        <v>0</v>
      </c>
    </row>
    <row r="314" spans="2:17" x14ac:dyDescent="0.3">
      <c r="B314" s="259">
        <f t="shared" si="4"/>
        <v>0</v>
      </c>
      <c r="D314" s="2" t="s">
        <v>1387</v>
      </c>
      <c r="E314" s="215">
        <v>0</v>
      </c>
      <c r="F314" s="215">
        <v>0</v>
      </c>
      <c r="G314" s="215">
        <v>0</v>
      </c>
      <c r="H314" s="215">
        <v>0</v>
      </c>
      <c r="I314" s="215">
        <v>0</v>
      </c>
      <c r="J314" s="215">
        <v>0</v>
      </c>
      <c r="K314" s="215">
        <v>0</v>
      </c>
      <c r="L314" s="215">
        <v>0</v>
      </c>
      <c r="M314" s="215">
        <v>0</v>
      </c>
      <c r="N314" s="215">
        <v>0</v>
      </c>
      <c r="O314" s="215">
        <v>0</v>
      </c>
      <c r="P314" s="215">
        <v>0</v>
      </c>
      <c r="Q314" s="215">
        <v>0</v>
      </c>
    </row>
    <row r="315" spans="2:17" x14ac:dyDescent="0.3">
      <c r="B315" s="259">
        <f t="shared" si="4"/>
        <v>2335924.5387500003</v>
      </c>
      <c r="D315" s="2" t="s">
        <v>337</v>
      </c>
      <c r="E315" s="215">
        <v>584026.15</v>
      </c>
      <c r="F315" s="215">
        <v>584026.15</v>
      </c>
      <c r="G315" s="215">
        <v>1276944.1499999999</v>
      </c>
      <c r="H315" s="215">
        <v>1276944.1499999999</v>
      </c>
      <c r="I315" s="215">
        <v>1276944.1499999999</v>
      </c>
      <c r="J315" s="215">
        <v>1276944.1499999999</v>
      </c>
      <c r="K315" s="215">
        <v>1512813.92</v>
      </c>
      <c r="L315" s="215">
        <v>1517141.88</v>
      </c>
      <c r="M315" s="215">
        <v>4013108.8</v>
      </c>
      <c r="N315" s="215">
        <v>4037567.42</v>
      </c>
      <c r="O315" s="215">
        <v>4255234.32</v>
      </c>
      <c r="P315" s="215">
        <v>4338485.29</v>
      </c>
      <c r="Q315" s="215">
        <v>4745854.0199999996</v>
      </c>
    </row>
    <row r="316" spans="2:17" x14ac:dyDescent="0.3">
      <c r="B316" s="259">
        <f t="shared" si="4"/>
        <v>9646604.8058333341</v>
      </c>
      <c r="D316" s="2" t="s">
        <v>930</v>
      </c>
      <c r="E316" s="215">
        <v>0</v>
      </c>
      <c r="F316" s="215">
        <v>0</v>
      </c>
      <c r="G316" s="215">
        <v>0</v>
      </c>
      <c r="H316" s="215">
        <v>0</v>
      </c>
      <c r="I316" s="215">
        <v>0</v>
      </c>
      <c r="J316" s="215">
        <v>0</v>
      </c>
      <c r="K316" s="215">
        <v>0</v>
      </c>
      <c r="L316" s="215">
        <v>12878325.959999999</v>
      </c>
      <c r="M316" s="215">
        <v>19862517.899999999</v>
      </c>
      <c r="N316" s="215">
        <v>21589064.699999999</v>
      </c>
      <c r="O316" s="215">
        <v>22265817.07</v>
      </c>
      <c r="P316" s="215">
        <v>26010244.390000001</v>
      </c>
      <c r="Q316" s="215">
        <v>26306575.300000001</v>
      </c>
    </row>
    <row r="317" spans="2:17" x14ac:dyDescent="0.3">
      <c r="B317" s="259">
        <f t="shared" si="4"/>
        <v>439798.57208333333</v>
      </c>
      <c r="D317" s="2" t="s">
        <v>339</v>
      </c>
      <c r="E317" s="215">
        <v>137200.89000000001</v>
      </c>
      <c r="F317" s="215">
        <v>137200.89000000001</v>
      </c>
      <c r="G317" s="215">
        <v>137200.89000000001</v>
      </c>
      <c r="H317" s="215">
        <v>137200.89000000001</v>
      </c>
      <c r="I317" s="215">
        <v>137200.89000000001</v>
      </c>
      <c r="J317" s="215">
        <v>215629.02</v>
      </c>
      <c r="K317" s="215">
        <v>215629.02</v>
      </c>
      <c r="L317" s="215">
        <v>480618.39</v>
      </c>
      <c r="M317" s="215">
        <v>803679.07</v>
      </c>
      <c r="N317" s="215">
        <v>803679.07</v>
      </c>
      <c r="O317" s="215">
        <v>844634.1</v>
      </c>
      <c r="P317" s="215">
        <v>844634.1</v>
      </c>
      <c r="Q317" s="215">
        <v>903352.17999999993</v>
      </c>
    </row>
    <row r="318" spans="2:17" x14ac:dyDescent="0.3">
      <c r="B318" s="259">
        <f t="shared" si="4"/>
        <v>1809814.6012500001</v>
      </c>
      <c r="D318" s="2" t="s">
        <v>1048</v>
      </c>
      <c r="E318" s="215">
        <v>0</v>
      </c>
      <c r="F318" s="215">
        <v>0</v>
      </c>
      <c r="G318" s="215">
        <v>0</v>
      </c>
      <c r="H318" s="215">
        <v>0</v>
      </c>
      <c r="I318" s="215">
        <v>0</v>
      </c>
      <c r="J318" s="215">
        <v>0</v>
      </c>
      <c r="K318" s="215">
        <v>0</v>
      </c>
      <c r="L318" s="215">
        <v>3981023.18</v>
      </c>
      <c r="M318" s="215">
        <v>3947613.44</v>
      </c>
      <c r="N318" s="215">
        <v>3947613.44</v>
      </c>
      <c r="O318" s="215">
        <v>3947613.44</v>
      </c>
      <c r="P318" s="215">
        <v>3947613.44</v>
      </c>
      <c r="Q318" s="215">
        <v>3892596.55</v>
      </c>
    </row>
    <row r="319" spans="2:17" x14ac:dyDescent="0.3">
      <c r="B319" s="259">
        <f t="shared" si="4"/>
        <v>22237.367916666666</v>
      </c>
      <c r="D319" s="2" t="s">
        <v>341</v>
      </c>
      <c r="E319" s="215">
        <v>22178.059999999998</v>
      </c>
      <c r="F319" s="215">
        <v>22178.059999999998</v>
      </c>
      <c r="G319" s="215">
        <v>22178.059999999998</v>
      </c>
      <c r="H319" s="215">
        <v>22178.059999999998</v>
      </c>
      <c r="I319" s="215">
        <v>22178.059999999998</v>
      </c>
      <c r="J319" s="215">
        <v>22178.059999999998</v>
      </c>
      <c r="K319" s="215">
        <v>22178.059999999998</v>
      </c>
      <c r="L319" s="215">
        <v>22178.059999999998</v>
      </c>
      <c r="M319" s="215">
        <v>22178.059999999998</v>
      </c>
      <c r="N319" s="215">
        <v>22178.059999999998</v>
      </c>
      <c r="O319" s="215">
        <v>22178.059999999998</v>
      </c>
      <c r="P319" s="215">
        <v>22178.059999999998</v>
      </c>
      <c r="Q319" s="215">
        <v>23601.449999999997</v>
      </c>
    </row>
    <row r="320" spans="2:17" x14ac:dyDescent="0.3">
      <c r="B320" s="259">
        <f t="shared" si="4"/>
        <v>4214670.3</v>
      </c>
      <c r="D320" s="2" t="s">
        <v>343</v>
      </c>
      <c r="E320" s="215">
        <v>655845.82000000007</v>
      </c>
      <c r="F320" s="215">
        <v>1940175.3599999999</v>
      </c>
      <c r="G320" s="215">
        <v>4306615.37</v>
      </c>
      <c r="H320" s="215">
        <v>4312885.5199999996</v>
      </c>
      <c r="I320" s="215">
        <v>4343388.54</v>
      </c>
      <c r="J320" s="215">
        <v>4408784.7</v>
      </c>
      <c r="K320" s="215">
        <v>4642147.0999999996</v>
      </c>
      <c r="L320" s="215">
        <v>4667751.71</v>
      </c>
      <c r="M320" s="215">
        <v>4682631.55</v>
      </c>
      <c r="N320" s="215">
        <v>4688342.7300000004</v>
      </c>
      <c r="O320" s="215">
        <v>4718637.84</v>
      </c>
      <c r="P320" s="215">
        <v>4975571.29</v>
      </c>
      <c r="Q320" s="215">
        <v>5122377.96</v>
      </c>
    </row>
    <row r="321" spans="2:17" x14ac:dyDescent="0.3">
      <c r="B321" s="259">
        <f t="shared" si="4"/>
        <v>0</v>
      </c>
      <c r="D321" s="2" t="s">
        <v>1388</v>
      </c>
      <c r="E321" s="215">
        <v>0</v>
      </c>
      <c r="F321" s="215">
        <v>0</v>
      </c>
      <c r="G321" s="215">
        <v>0</v>
      </c>
      <c r="H321" s="215">
        <v>0</v>
      </c>
      <c r="I321" s="215">
        <v>0</v>
      </c>
      <c r="J321" s="215">
        <v>0</v>
      </c>
      <c r="K321" s="215">
        <v>0</v>
      </c>
      <c r="L321" s="215">
        <v>0</v>
      </c>
      <c r="M321" s="215">
        <v>0</v>
      </c>
      <c r="N321" s="215">
        <v>0</v>
      </c>
      <c r="O321" s="215">
        <v>0</v>
      </c>
      <c r="P321" s="215">
        <v>0</v>
      </c>
      <c r="Q321" s="215">
        <v>0</v>
      </c>
    </row>
    <row r="322" spans="2:17" x14ac:dyDescent="0.3">
      <c r="B322" s="259">
        <f t="shared" si="4"/>
        <v>0</v>
      </c>
      <c r="D322" s="2" t="s">
        <v>1389</v>
      </c>
      <c r="E322" s="215">
        <v>0</v>
      </c>
      <c r="F322" s="215">
        <v>0</v>
      </c>
      <c r="G322" s="215">
        <v>0</v>
      </c>
      <c r="H322" s="215">
        <v>0</v>
      </c>
      <c r="I322" s="215">
        <v>0</v>
      </c>
      <c r="J322" s="215">
        <v>0</v>
      </c>
      <c r="K322" s="215">
        <v>0</v>
      </c>
      <c r="L322" s="215">
        <v>0</v>
      </c>
      <c r="M322" s="215">
        <v>0</v>
      </c>
      <c r="N322" s="215">
        <v>0</v>
      </c>
      <c r="O322" s="215">
        <v>0</v>
      </c>
      <c r="P322" s="215">
        <v>0</v>
      </c>
      <c r="Q322" s="215">
        <v>0</v>
      </c>
    </row>
    <row r="323" spans="2:17" x14ac:dyDescent="0.3">
      <c r="B323" s="259">
        <f t="shared" si="4"/>
        <v>8998.5299999999988</v>
      </c>
      <c r="D323" s="2" t="s">
        <v>345</v>
      </c>
      <c r="E323" s="215">
        <v>8998.5299999999988</v>
      </c>
      <c r="F323" s="215">
        <v>8998.5299999999988</v>
      </c>
      <c r="G323" s="215">
        <v>8998.5299999999988</v>
      </c>
      <c r="H323" s="215">
        <v>8998.5299999999988</v>
      </c>
      <c r="I323" s="215">
        <v>8998.5299999999988</v>
      </c>
      <c r="J323" s="215">
        <v>8998.5299999999988</v>
      </c>
      <c r="K323" s="215">
        <v>8998.5299999999988</v>
      </c>
      <c r="L323" s="215">
        <v>8998.5299999999988</v>
      </c>
      <c r="M323" s="215">
        <v>8998.5299999999988</v>
      </c>
      <c r="N323" s="215">
        <v>8998.5299999999988</v>
      </c>
      <c r="O323" s="215">
        <v>8998.5299999999988</v>
      </c>
      <c r="P323" s="215">
        <v>8998.5299999999988</v>
      </c>
      <c r="Q323" s="215">
        <v>8998.5299999999988</v>
      </c>
    </row>
    <row r="324" spans="2:17" x14ac:dyDescent="0.3">
      <c r="B324" s="259">
        <f t="shared" si="4"/>
        <v>2572960.1654166663</v>
      </c>
      <c r="D324" s="2" t="s">
        <v>347</v>
      </c>
      <c r="E324" s="215">
        <v>2139214.87</v>
      </c>
      <c r="F324" s="215">
        <v>2503725.09</v>
      </c>
      <c r="G324" s="215">
        <v>2557717.8699999996</v>
      </c>
      <c r="H324" s="215">
        <v>2558985.86</v>
      </c>
      <c r="I324" s="215">
        <v>2558985.86</v>
      </c>
      <c r="J324" s="215">
        <v>2599901.0799999996</v>
      </c>
      <c r="K324" s="215">
        <v>2618655.4499999997</v>
      </c>
      <c r="L324" s="215">
        <v>2618697.56</v>
      </c>
      <c r="M324" s="215">
        <v>2618697.56</v>
      </c>
      <c r="N324" s="215">
        <v>2619873.34</v>
      </c>
      <c r="O324" s="215">
        <v>2620194.16</v>
      </c>
      <c r="P324" s="215">
        <v>2620320.48</v>
      </c>
      <c r="Q324" s="215">
        <v>2620320.48</v>
      </c>
    </row>
    <row r="325" spans="2:17" x14ac:dyDescent="0.3">
      <c r="B325" s="259">
        <f t="shared" si="4"/>
        <v>2146746.197916666</v>
      </c>
      <c r="D325" s="2" t="s">
        <v>1050</v>
      </c>
      <c r="E325" s="215">
        <v>0</v>
      </c>
      <c r="F325" s="215">
        <v>0</v>
      </c>
      <c r="G325" s="215">
        <v>0</v>
      </c>
      <c r="H325" s="215">
        <v>0</v>
      </c>
      <c r="I325" s="215">
        <v>0</v>
      </c>
      <c r="J325" s="215">
        <v>3431697.7699999996</v>
      </c>
      <c r="K325" s="215">
        <v>3431398.5299999993</v>
      </c>
      <c r="L325" s="215">
        <v>3431398.5299999993</v>
      </c>
      <c r="M325" s="215">
        <v>3436991.0099999993</v>
      </c>
      <c r="N325" s="215">
        <v>3436991.0099999993</v>
      </c>
      <c r="O325" s="215">
        <v>3436991.0099999993</v>
      </c>
      <c r="P325" s="215">
        <v>3436991.0099999993</v>
      </c>
      <c r="Q325" s="215">
        <v>3436991.0099999993</v>
      </c>
    </row>
    <row r="326" spans="2:17" x14ac:dyDescent="0.3">
      <c r="B326" s="259">
        <f t="shared" si="4"/>
        <v>0</v>
      </c>
      <c r="D326" s="2" t="s">
        <v>1390</v>
      </c>
      <c r="E326" s="215">
        <v>0</v>
      </c>
      <c r="F326" s="215">
        <v>0</v>
      </c>
      <c r="G326" s="215">
        <v>0</v>
      </c>
      <c r="H326" s="215">
        <v>0</v>
      </c>
      <c r="I326" s="215">
        <v>0</v>
      </c>
      <c r="J326" s="215">
        <v>0</v>
      </c>
      <c r="K326" s="215">
        <v>0</v>
      </c>
      <c r="L326" s="215">
        <v>0</v>
      </c>
      <c r="M326" s="215">
        <v>0</v>
      </c>
      <c r="N326" s="215">
        <v>0</v>
      </c>
      <c r="O326" s="215">
        <v>0</v>
      </c>
      <c r="P326" s="215">
        <v>0</v>
      </c>
      <c r="Q326" s="215">
        <v>0</v>
      </c>
    </row>
    <row r="327" spans="2:17" x14ac:dyDescent="0.3">
      <c r="B327" s="259">
        <f t="shared" ref="B327:B390" si="5">(E327+Q327+SUM(F327:P327)*2)/24</f>
        <v>0</v>
      </c>
      <c r="D327" s="2" t="s">
        <v>1391</v>
      </c>
      <c r="E327" s="215">
        <v>0</v>
      </c>
      <c r="F327" s="215">
        <v>0</v>
      </c>
      <c r="G327" s="215">
        <v>0</v>
      </c>
      <c r="H327" s="215">
        <v>0</v>
      </c>
      <c r="I327" s="215">
        <v>0</v>
      </c>
      <c r="J327" s="215">
        <v>0</v>
      </c>
      <c r="K327" s="215">
        <v>0</v>
      </c>
      <c r="L327" s="215">
        <v>0</v>
      </c>
      <c r="M327" s="215">
        <v>0</v>
      </c>
      <c r="N327" s="215">
        <v>0</v>
      </c>
      <c r="O327" s="215">
        <v>0</v>
      </c>
      <c r="P327" s="215">
        <v>0</v>
      </c>
      <c r="Q327" s="215">
        <v>0</v>
      </c>
    </row>
    <row r="328" spans="2:17" x14ac:dyDescent="0.3">
      <c r="B328" s="259">
        <f t="shared" si="5"/>
        <v>126005.21999999999</v>
      </c>
      <c r="D328" s="2" t="s">
        <v>1392</v>
      </c>
      <c r="E328" s="215">
        <v>126005.22</v>
      </c>
      <c r="F328" s="215">
        <v>126005.22</v>
      </c>
      <c r="G328" s="215">
        <v>126005.22</v>
      </c>
      <c r="H328" s="215">
        <v>126005.22</v>
      </c>
      <c r="I328" s="215">
        <v>126005.22</v>
      </c>
      <c r="J328" s="215">
        <v>126005.22</v>
      </c>
      <c r="K328" s="215">
        <v>126005.22</v>
      </c>
      <c r="L328" s="215">
        <v>126005.22</v>
      </c>
      <c r="M328" s="215">
        <v>126005.22</v>
      </c>
      <c r="N328" s="215">
        <v>126005.22</v>
      </c>
      <c r="O328" s="215">
        <v>126005.22</v>
      </c>
      <c r="P328" s="215">
        <v>126005.22</v>
      </c>
      <c r="Q328" s="215">
        <v>126005.22</v>
      </c>
    </row>
    <row r="329" spans="2:17" x14ac:dyDescent="0.3">
      <c r="B329" s="259">
        <f t="shared" si="5"/>
        <v>-29641.090000000007</v>
      </c>
      <c r="D329" s="2" t="s">
        <v>1393</v>
      </c>
      <c r="E329" s="215">
        <v>-29641.09</v>
      </c>
      <c r="F329" s="215">
        <v>-29641.09</v>
      </c>
      <c r="G329" s="215">
        <v>-29641.09</v>
      </c>
      <c r="H329" s="215">
        <v>-29641.09</v>
      </c>
      <c r="I329" s="215">
        <v>-29641.09</v>
      </c>
      <c r="J329" s="215">
        <v>-29641.09</v>
      </c>
      <c r="K329" s="215">
        <v>-29641.09</v>
      </c>
      <c r="L329" s="215">
        <v>-29641.09</v>
      </c>
      <c r="M329" s="215">
        <v>-29641.09</v>
      </c>
      <c r="N329" s="215">
        <v>-29641.09</v>
      </c>
      <c r="O329" s="215">
        <v>-29641.09</v>
      </c>
      <c r="P329" s="215">
        <v>-29641.09</v>
      </c>
      <c r="Q329" s="215">
        <v>-29641.09</v>
      </c>
    </row>
    <row r="330" spans="2:17" x14ac:dyDescent="0.3">
      <c r="B330" s="259">
        <f t="shared" si="5"/>
        <v>47666.241249999999</v>
      </c>
      <c r="D330" s="2" t="s">
        <v>351</v>
      </c>
      <c r="E330" s="215">
        <v>44521.57</v>
      </c>
      <c r="F330" s="215">
        <v>44521.57</v>
      </c>
      <c r="G330" s="215">
        <v>44521.57</v>
      </c>
      <c r="H330" s="215">
        <v>44521.57</v>
      </c>
      <c r="I330" s="215">
        <v>44521.57</v>
      </c>
      <c r="J330" s="215">
        <v>44521.57</v>
      </c>
      <c r="K330" s="215">
        <v>44521.57</v>
      </c>
      <c r="L330" s="215">
        <v>44521.57</v>
      </c>
      <c r="M330" s="215">
        <v>44521.57</v>
      </c>
      <c r="N330" s="215">
        <v>44521.57</v>
      </c>
      <c r="O330" s="215">
        <v>44521.57</v>
      </c>
      <c r="P330" s="215">
        <v>44521.57</v>
      </c>
      <c r="Q330" s="215">
        <v>119993.68</v>
      </c>
    </row>
    <row r="331" spans="2:17" x14ac:dyDescent="0.3">
      <c r="B331" s="259">
        <f t="shared" si="5"/>
        <v>1862032.3745833335</v>
      </c>
      <c r="D331" s="2" t="s">
        <v>353</v>
      </c>
      <c r="E331" s="215">
        <v>1669853.0900000003</v>
      </c>
      <c r="F331" s="215">
        <v>1679281.9000000001</v>
      </c>
      <c r="G331" s="215">
        <v>1679281.9000000001</v>
      </c>
      <c r="H331" s="215">
        <v>1680174.9700000002</v>
      </c>
      <c r="I331" s="215">
        <v>1681492.3900000001</v>
      </c>
      <c r="J331" s="215">
        <v>1681098.3200000003</v>
      </c>
      <c r="K331" s="215">
        <v>1681493.5700000003</v>
      </c>
      <c r="L331" s="215">
        <v>2003098.34</v>
      </c>
      <c r="M331" s="215">
        <v>2037737.0900000003</v>
      </c>
      <c r="N331" s="215">
        <v>2037082.11</v>
      </c>
      <c r="O331" s="215">
        <v>2037082.11</v>
      </c>
      <c r="P331" s="215">
        <v>2167083.5499999998</v>
      </c>
      <c r="Q331" s="215">
        <v>2289111.4000000004</v>
      </c>
    </row>
    <row r="332" spans="2:17" x14ac:dyDescent="0.3">
      <c r="B332" s="259">
        <f t="shared" si="5"/>
        <v>-3595.8600000000006</v>
      </c>
      <c r="D332" s="2" t="s">
        <v>1394</v>
      </c>
      <c r="E332" s="215">
        <v>-3595.8600000000006</v>
      </c>
      <c r="F332" s="215">
        <v>-3595.8600000000006</v>
      </c>
      <c r="G332" s="215">
        <v>-3595.8600000000006</v>
      </c>
      <c r="H332" s="215">
        <v>-3595.8600000000006</v>
      </c>
      <c r="I332" s="215">
        <v>-3595.8600000000006</v>
      </c>
      <c r="J332" s="215">
        <v>-3595.8600000000006</v>
      </c>
      <c r="K332" s="215">
        <v>-3595.8600000000006</v>
      </c>
      <c r="L332" s="215">
        <v>-3595.8600000000006</v>
      </c>
      <c r="M332" s="215">
        <v>-3595.8600000000006</v>
      </c>
      <c r="N332" s="215">
        <v>-3595.8600000000006</v>
      </c>
      <c r="O332" s="215">
        <v>-3595.8600000000006</v>
      </c>
      <c r="P332" s="215">
        <v>-3595.8600000000006</v>
      </c>
      <c r="Q332" s="215">
        <v>-3595.8600000000006</v>
      </c>
    </row>
    <row r="333" spans="2:17" x14ac:dyDescent="0.3">
      <c r="B333" s="259">
        <f t="shared" si="5"/>
        <v>0</v>
      </c>
      <c r="D333" s="2" t="s">
        <v>1395</v>
      </c>
      <c r="E333" s="215">
        <v>0</v>
      </c>
      <c r="F333" s="215">
        <v>0</v>
      </c>
      <c r="G333" s="215">
        <v>0</v>
      </c>
      <c r="H333" s="215">
        <v>0</v>
      </c>
      <c r="I333" s="215">
        <v>0</v>
      </c>
      <c r="J333" s="215">
        <v>0</v>
      </c>
      <c r="K333" s="215">
        <v>0</v>
      </c>
      <c r="L333" s="215">
        <v>0</v>
      </c>
      <c r="M333" s="215">
        <v>0</v>
      </c>
      <c r="N333" s="215">
        <v>0</v>
      </c>
      <c r="O333" s="215">
        <v>0</v>
      </c>
      <c r="P333" s="215">
        <v>0</v>
      </c>
      <c r="Q333" s="215">
        <v>0</v>
      </c>
    </row>
    <row r="334" spans="2:17" x14ac:dyDescent="0.3">
      <c r="B334" s="259">
        <f t="shared" si="5"/>
        <v>2404839.2145833331</v>
      </c>
      <c r="D334" s="2" t="s">
        <v>355</v>
      </c>
      <c r="E334" s="215">
        <v>1701868.5699999998</v>
      </c>
      <c r="F334" s="215">
        <v>1731467.72</v>
      </c>
      <c r="G334" s="215">
        <v>1763817.09</v>
      </c>
      <c r="H334" s="215">
        <v>1791936.42</v>
      </c>
      <c r="I334" s="215">
        <v>1817434.97</v>
      </c>
      <c r="J334" s="215">
        <v>1834150.78</v>
      </c>
      <c r="K334" s="215">
        <v>1868282.7599999998</v>
      </c>
      <c r="L334" s="215">
        <v>2786450.2499999995</v>
      </c>
      <c r="M334" s="215">
        <v>2801439.8</v>
      </c>
      <c r="N334" s="215">
        <v>3038639.7399999998</v>
      </c>
      <c r="O334" s="215">
        <v>3282501.9999999995</v>
      </c>
      <c r="P334" s="215">
        <v>3342850.8899999997</v>
      </c>
      <c r="Q334" s="215">
        <v>3896327.7399999998</v>
      </c>
    </row>
    <row r="335" spans="2:17" x14ac:dyDescent="0.3">
      <c r="B335" s="259">
        <f t="shared" si="5"/>
        <v>6937.3758333333317</v>
      </c>
      <c r="D335" s="2" t="s">
        <v>357</v>
      </c>
      <c r="E335" s="215">
        <v>5780.45</v>
      </c>
      <c r="F335" s="215">
        <v>5780.45</v>
      </c>
      <c r="G335" s="215">
        <v>5780.45</v>
      </c>
      <c r="H335" s="215">
        <v>5780.45</v>
      </c>
      <c r="I335" s="215">
        <v>5780.45</v>
      </c>
      <c r="J335" s="215">
        <v>5780.45</v>
      </c>
      <c r="K335" s="215">
        <v>5780.45</v>
      </c>
      <c r="L335" s="215">
        <v>5780.45</v>
      </c>
      <c r="M335" s="215">
        <v>5780.45</v>
      </c>
      <c r="N335" s="215">
        <v>5780.45</v>
      </c>
      <c r="O335" s="215">
        <v>5780.45</v>
      </c>
      <c r="P335" s="215">
        <v>5780.45</v>
      </c>
      <c r="Q335" s="215">
        <v>33546.67</v>
      </c>
    </row>
    <row r="336" spans="2:17" x14ac:dyDescent="0.3">
      <c r="B336" s="259">
        <f t="shared" si="5"/>
        <v>17926.794583333332</v>
      </c>
      <c r="D336" s="2" t="s">
        <v>359</v>
      </c>
      <c r="E336" s="215">
        <v>17826.53</v>
      </c>
      <c r="F336" s="215">
        <v>17826.53</v>
      </c>
      <c r="G336" s="215">
        <v>17826.53</v>
      </c>
      <c r="H336" s="215">
        <v>17826.53</v>
      </c>
      <c r="I336" s="215">
        <v>17826.53</v>
      </c>
      <c r="J336" s="215">
        <v>17826.53</v>
      </c>
      <c r="K336" s="215">
        <v>17826.53</v>
      </c>
      <c r="L336" s="215">
        <v>17826.53</v>
      </c>
      <c r="M336" s="215">
        <v>17826.53</v>
      </c>
      <c r="N336" s="215">
        <v>17826.53</v>
      </c>
      <c r="O336" s="215">
        <v>17826.53</v>
      </c>
      <c r="P336" s="215">
        <v>17826.53</v>
      </c>
      <c r="Q336" s="215">
        <v>20232.879999999997</v>
      </c>
    </row>
    <row r="337" spans="2:17" x14ac:dyDescent="0.3">
      <c r="B337" s="259">
        <f t="shared" si="5"/>
        <v>2334918.4658333333</v>
      </c>
      <c r="D337" s="2" t="s">
        <v>361</v>
      </c>
      <c r="E337" s="215">
        <v>1972210.1</v>
      </c>
      <c r="F337" s="215">
        <v>1987829</v>
      </c>
      <c r="G337" s="215">
        <v>2238347.2199999997</v>
      </c>
      <c r="H337" s="215">
        <v>2267810.6799999997</v>
      </c>
      <c r="I337" s="215">
        <v>2287390.02</v>
      </c>
      <c r="J337" s="215">
        <v>2313528.4900000002</v>
      </c>
      <c r="K337" s="215">
        <v>2338250.16</v>
      </c>
      <c r="L337" s="215">
        <v>2338250.16</v>
      </c>
      <c r="M337" s="215">
        <v>2385995.7599999998</v>
      </c>
      <c r="N337" s="215">
        <v>2386024.36</v>
      </c>
      <c r="O337" s="215">
        <v>2386024.36</v>
      </c>
      <c r="P337" s="215">
        <v>2386008.54</v>
      </c>
      <c r="Q337" s="215">
        <v>3434915.5799999996</v>
      </c>
    </row>
    <row r="338" spans="2:17" x14ac:dyDescent="0.3">
      <c r="B338" s="259">
        <f t="shared" si="5"/>
        <v>334163.31166666665</v>
      </c>
      <c r="D338" s="2" t="s">
        <v>363</v>
      </c>
      <c r="E338" s="215">
        <v>297080.39</v>
      </c>
      <c r="F338" s="215">
        <v>297080.39</v>
      </c>
      <c r="G338" s="215">
        <v>297080.39</v>
      </c>
      <c r="H338" s="215">
        <v>297080.39</v>
      </c>
      <c r="I338" s="215">
        <v>301466.65000000002</v>
      </c>
      <c r="J338" s="215">
        <v>301466.65000000002</v>
      </c>
      <c r="K338" s="215">
        <v>348853.62</v>
      </c>
      <c r="L338" s="215">
        <v>361608.01</v>
      </c>
      <c r="M338" s="215">
        <v>361608.01</v>
      </c>
      <c r="N338" s="215">
        <v>361608.01</v>
      </c>
      <c r="O338" s="215">
        <v>373426.97</v>
      </c>
      <c r="P338" s="215">
        <v>373426.97</v>
      </c>
      <c r="Q338" s="215">
        <v>373426.97</v>
      </c>
    </row>
    <row r="339" spans="2:17" x14ac:dyDescent="0.3">
      <c r="B339" s="259">
        <f t="shared" si="5"/>
        <v>3054790.899999999</v>
      </c>
      <c r="D339" s="2" t="s">
        <v>1396</v>
      </c>
      <c r="E339" s="215">
        <v>3054790.9</v>
      </c>
      <c r="F339" s="215">
        <v>3054790.9</v>
      </c>
      <c r="G339" s="215">
        <v>3054790.9</v>
      </c>
      <c r="H339" s="215">
        <v>3054790.9</v>
      </c>
      <c r="I339" s="215">
        <v>3054790.9</v>
      </c>
      <c r="J339" s="215">
        <v>3054790.9</v>
      </c>
      <c r="K339" s="215">
        <v>3054790.9</v>
      </c>
      <c r="L339" s="215">
        <v>3054790.9</v>
      </c>
      <c r="M339" s="215">
        <v>3054790.9</v>
      </c>
      <c r="N339" s="215">
        <v>3054790.9</v>
      </c>
      <c r="O339" s="215">
        <v>3054790.9</v>
      </c>
      <c r="P339" s="215">
        <v>3054790.9</v>
      </c>
      <c r="Q339" s="215">
        <v>3054790.9</v>
      </c>
    </row>
    <row r="340" spans="2:17" x14ac:dyDescent="0.3">
      <c r="B340" s="259">
        <f t="shared" si="5"/>
        <v>0</v>
      </c>
      <c r="D340" s="2" t="s">
        <v>1397</v>
      </c>
      <c r="E340" s="215">
        <v>0</v>
      </c>
      <c r="F340" s="215">
        <v>0</v>
      </c>
      <c r="G340" s="215">
        <v>0</v>
      </c>
      <c r="H340" s="215">
        <v>0</v>
      </c>
      <c r="I340" s="215">
        <v>0</v>
      </c>
      <c r="J340" s="215">
        <v>0</v>
      </c>
      <c r="K340" s="215">
        <v>0</v>
      </c>
      <c r="L340" s="215">
        <v>0</v>
      </c>
      <c r="M340" s="215">
        <v>0</v>
      </c>
      <c r="N340" s="215">
        <v>0</v>
      </c>
      <c r="O340" s="215">
        <v>0</v>
      </c>
      <c r="P340" s="215">
        <v>0</v>
      </c>
      <c r="Q340" s="215">
        <v>0</v>
      </c>
    </row>
    <row r="341" spans="2:17" x14ac:dyDescent="0.3">
      <c r="B341" s="259">
        <f t="shared" si="5"/>
        <v>0</v>
      </c>
      <c r="D341" s="2" t="s">
        <v>1398</v>
      </c>
      <c r="E341" s="215">
        <v>0</v>
      </c>
      <c r="F341" s="215">
        <v>0</v>
      </c>
      <c r="G341" s="215">
        <v>0</v>
      </c>
      <c r="H341" s="215">
        <v>0</v>
      </c>
      <c r="I341" s="215">
        <v>0</v>
      </c>
      <c r="J341" s="215">
        <v>0</v>
      </c>
      <c r="K341" s="215">
        <v>0</v>
      </c>
      <c r="L341" s="215">
        <v>0</v>
      </c>
      <c r="M341" s="215">
        <v>0</v>
      </c>
      <c r="N341" s="215">
        <v>0</v>
      </c>
      <c r="O341" s="215">
        <v>0</v>
      </c>
      <c r="P341" s="215">
        <v>0</v>
      </c>
      <c r="Q341" s="215">
        <v>0</v>
      </c>
    </row>
    <row r="342" spans="2:17" x14ac:dyDescent="0.3">
      <c r="B342" s="259">
        <f t="shared" si="5"/>
        <v>0</v>
      </c>
      <c r="D342" s="2" t="s">
        <v>1399</v>
      </c>
      <c r="E342" s="215">
        <v>0</v>
      </c>
      <c r="F342" s="215">
        <v>0</v>
      </c>
      <c r="G342" s="215">
        <v>0</v>
      </c>
      <c r="H342" s="215">
        <v>0</v>
      </c>
      <c r="I342" s="215">
        <v>0</v>
      </c>
      <c r="J342" s="215">
        <v>0</v>
      </c>
      <c r="K342" s="215">
        <v>0</v>
      </c>
      <c r="L342" s="215">
        <v>0</v>
      </c>
      <c r="M342" s="215">
        <v>0</v>
      </c>
      <c r="N342" s="215">
        <v>0</v>
      </c>
      <c r="O342" s="215">
        <v>0</v>
      </c>
      <c r="P342" s="215">
        <v>0</v>
      </c>
      <c r="Q342" s="215">
        <v>0</v>
      </c>
    </row>
    <row r="343" spans="2:17" x14ac:dyDescent="0.3">
      <c r="B343" s="259">
        <f t="shared" si="5"/>
        <v>5926039.5804166673</v>
      </c>
      <c r="D343" s="2" t="s">
        <v>365</v>
      </c>
      <c r="E343" s="215">
        <v>2366622.3299999996</v>
      </c>
      <c r="F343" s="215">
        <v>2548559.8099999991</v>
      </c>
      <c r="G343" s="215">
        <v>2900868.4899999993</v>
      </c>
      <c r="H343" s="215">
        <v>3174979.0299999993</v>
      </c>
      <c r="I343" s="215">
        <v>3299582.1099999994</v>
      </c>
      <c r="J343" s="215">
        <v>3739620.0699999994</v>
      </c>
      <c r="K343" s="215">
        <v>3779639.5399999991</v>
      </c>
      <c r="L343" s="215">
        <v>5778241.6099999994</v>
      </c>
      <c r="M343" s="215">
        <v>7462914.4299999988</v>
      </c>
      <c r="N343" s="215">
        <v>9019780.9899999984</v>
      </c>
      <c r="O343" s="215">
        <v>10558865.25</v>
      </c>
      <c r="P343" s="215">
        <v>11569217.390000001</v>
      </c>
      <c r="Q343" s="215">
        <v>12193790.16</v>
      </c>
    </row>
    <row r="344" spans="2:17" x14ac:dyDescent="0.3">
      <c r="B344" s="259">
        <f t="shared" si="5"/>
        <v>9314.6883333333317</v>
      </c>
      <c r="D344" s="2" t="s">
        <v>367</v>
      </c>
      <c r="E344" s="215">
        <v>8794.6999999999989</v>
      </c>
      <c r="F344" s="215">
        <v>8794.6999999999989</v>
      </c>
      <c r="G344" s="215">
        <v>8794.6999999999989</v>
      </c>
      <c r="H344" s="215">
        <v>8794.6999999999989</v>
      </c>
      <c r="I344" s="215">
        <v>8794.6999999999989</v>
      </c>
      <c r="J344" s="215">
        <v>8794.6999999999989</v>
      </c>
      <c r="K344" s="215">
        <v>8794.6999999999989</v>
      </c>
      <c r="L344" s="215">
        <v>8794.6999999999989</v>
      </c>
      <c r="M344" s="215">
        <v>8794.6999999999989</v>
      </c>
      <c r="N344" s="215">
        <v>8794.6999999999989</v>
      </c>
      <c r="O344" s="215">
        <v>8794.6999999999989</v>
      </c>
      <c r="P344" s="215">
        <v>8794.6999999999989</v>
      </c>
      <c r="Q344" s="215">
        <v>21274.42</v>
      </c>
    </row>
    <row r="345" spans="2:17" x14ac:dyDescent="0.3">
      <c r="B345" s="259">
        <f t="shared" si="5"/>
        <v>28702.457083333331</v>
      </c>
      <c r="D345" s="2" t="s">
        <v>932</v>
      </c>
      <c r="E345" s="215">
        <v>0</v>
      </c>
      <c r="F345" s="215">
        <v>0</v>
      </c>
      <c r="G345" s="215">
        <v>0</v>
      </c>
      <c r="H345" s="215">
        <v>0</v>
      </c>
      <c r="I345" s="215">
        <v>0</v>
      </c>
      <c r="J345" s="215">
        <v>43140.55</v>
      </c>
      <c r="K345" s="215">
        <v>43140.55</v>
      </c>
      <c r="L345" s="215">
        <v>43140.55</v>
      </c>
      <c r="M345" s="215">
        <v>43140.55</v>
      </c>
      <c r="N345" s="215">
        <v>43140.55</v>
      </c>
      <c r="O345" s="215">
        <v>43140.55</v>
      </c>
      <c r="P345" s="215">
        <v>43140.55</v>
      </c>
      <c r="Q345" s="215">
        <v>84891.27</v>
      </c>
    </row>
    <row r="346" spans="2:17" x14ac:dyDescent="0.3">
      <c r="B346" s="259">
        <f t="shared" si="5"/>
        <v>57901.184166666666</v>
      </c>
      <c r="D346" s="2" t="s">
        <v>369</v>
      </c>
      <c r="E346" s="215">
        <v>0</v>
      </c>
      <c r="F346" s="215">
        <v>0</v>
      </c>
      <c r="G346" s="215">
        <v>82292.929999999993</v>
      </c>
      <c r="H346" s="215">
        <v>82292.929999999993</v>
      </c>
      <c r="I346" s="215">
        <v>82292.929999999993</v>
      </c>
      <c r="J346" s="215">
        <v>56239.749999999993</v>
      </c>
      <c r="K346" s="215">
        <v>56239.749999999993</v>
      </c>
      <c r="L346" s="215">
        <v>56239.749999999993</v>
      </c>
      <c r="M346" s="215">
        <v>56239.749999999993</v>
      </c>
      <c r="N346" s="215">
        <v>56239.749999999993</v>
      </c>
      <c r="O346" s="215">
        <v>56239.749999999993</v>
      </c>
      <c r="P346" s="215">
        <v>56239.749999999993</v>
      </c>
      <c r="Q346" s="215">
        <v>108514.34</v>
      </c>
    </row>
    <row r="347" spans="2:17" x14ac:dyDescent="0.3">
      <c r="B347" s="259">
        <f t="shared" si="5"/>
        <v>2308874.5891666668</v>
      </c>
      <c r="D347" s="2" t="s">
        <v>371</v>
      </c>
      <c r="E347" s="215">
        <v>1658913.7800000003</v>
      </c>
      <c r="F347" s="215">
        <v>1988183.6500000001</v>
      </c>
      <c r="G347" s="215">
        <v>1988183.6500000001</v>
      </c>
      <c r="H347" s="215">
        <v>2006108.48</v>
      </c>
      <c r="I347" s="215">
        <v>2008881.35</v>
      </c>
      <c r="J347" s="215">
        <v>2052830.8</v>
      </c>
      <c r="K347" s="215">
        <v>2145593.41</v>
      </c>
      <c r="L347" s="215">
        <v>2145593.41</v>
      </c>
      <c r="M347" s="215">
        <v>2354766.4600000004</v>
      </c>
      <c r="N347" s="215">
        <v>2547152.11</v>
      </c>
      <c r="O347" s="215">
        <v>2726960.64</v>
      </c>
      <c r="P347" s="215">
        <v>2781677.82</v>
      </c>
      <c r="Q347" s="215">
        <v>4262212.8</v>
      </c>
    </row>
    <row r="348" spans="2:17" x14ac:dyDescent="0.3">
      <c r="B348" s="259">
        <f t="shared" si="5"/>
        <v>14435849.020000001</v>
      </c>
      <c r="D348" s="2" t="s">
        <v>1102</v>
      </c>
      <c r="E348" s="215">
        <v>14435849.020000001</v>
      </c>
      <c r="F348" s="215">
        <v>14435849.020000001</v>
      </c>
      <c r="G348" s="215">
        <v>14435849.020000001</v>
      </c>
      <c r="H348" s="215">
        <v>14435849.020000001</v>
      </c>
      <c r="I348" s="215">
        <v>14435849.020000001</v>
      </c>
      <c r="J348" s="215">
        <v>14435849.020000001</v>
      </c>
      <c r="K348" s="215">
        <v>14435849.020000001</v>
      </c>
      <c r="L348" s="215">
        <v>14435849.020000001</v>
      </c>
      <c r="M348" s="215">
        <v>14435849.020000001</v>
      </c>
      <c r="N348" s="215">
        <v>14435849.020000001</v>
      </c>
      <c r="O348" s="215">
        <v>14435849.020000001</v>
      </c>
      <c r="P348" s="215">
        <v>14435849.020000001</v>
      </c>
      <c r="Q348" s="215">
        <v>14435849.020000001</v>
      </c>
    </row>
    <row r="349" spans="2:17" x14ac:dyDescent="0.3">
      <c r="B349" s="259">
        <f t="shared" si="5"/>
        <v>11252071.782083333</v>
      </c>
      <c r="D349" s="2" t="s">
        <v>1052</v>
      </c>
      <c r="E349" s="215">
        <v>0</v>
      </c>
      <c r="F349" s="215">
        <v>0</v>
      </c>
      <c r="G349" s="215">
        <v>0</v>
      </c>
      <c r="H349" s="215">
        <v>0</v>
      </c>
      <c r="I349" s="215">
        <v>0</v>
      </c>
      <c r="J349" s="215">
        <v>0</v>
      </c>
      <c r="K349" s="215">
        <v>0</v>
      </c>
      <c r="L349" s="215">
        <v>24640635.289999999</v>
      </c>
      <c r="M349" s="215">
        <v>24643737.27</v>
      </c>
      <c r="N349" s="215">
        <v>24497987.5</v>
      </c>
      <c r="O349" s="215">
        <v>24497000.530000001</v>
      </c>
      <c r="P349" s="215">
        <v>24497000.530000001</v>
      </c>
      <c r="Q349" s="215">
        <v>24497000.530000001</v>
      </c>
    </row>
    <row r="350" spans="2:17" x14ac:dyDescent="0.3">
      <c r="B350" s="259">
        <f t="shared" si="5"/>
        <v>301710.25333333336</v>
      </c>
      <c r="D350" s="2" t="s">
        <v>374</v>
      </c>
      <c r="E350" s="215">
        <v>86166.02</v>
      </c>
      <c r="F350" s="215">
        <v>86166.02</v>
      </c>
      <c r="G350" s="215">
        <v>86166.02</v>
      </c>
      <c r="H350" s="215">
        <v>358432.42000000004</v>
      </c>
      <c r="I350" s="215">
        <v>358432.42000000004</v>
      </c>
      <c r="J350" s="215">
        <v>358432.42000000004</v>
      </c>
      <c r="K350" s="215">
        <v>358432.42000000004</v>
      </c>
      <c r="L350" s="215">
        <v>358432.42000000004</v>
      </c>
      <c r="M350" s="215">
        <v>358432.42000000004</v>
      </c>
      <c r="N350" s="215">
        <v>358432.42000000004</v>
      </c>
      <c r="O350" s="215">
        <v>358432.42000000004</v>
      </c>
      <c r="P350" s="215">
        <v>358432.42000000004</v>
      </c>
      <c r="Q350" s="215">
        <v>358432.42000000004</v>
      </c>
    </row>
    <row r="351" spans="2:17" x14ac:dyDescent="0.3">
      <c r="B351" s="259">
        <f t="shared" si="5"/>
        <v>3849.15625</v>
      </c>
      <c r="D351" s="2" t="s">
        <v>376</v>
      </c>
      <c r="E351" s="215">
        <v>1338.08</v>
      </c>
      <c r="F351" s="215">
        <v>1338.08</v>
      </c>
      <c r="G351" s="215">
        <v>3997.1099999999997</v>
      </c>
      <c r="H351" s="215">
        <v>3997.1099999999997</v>
      </c>
      <c r="I351" s="215">
        <v>3997.1099999999997</v>
      </c>
      <c r="J351" s="215">
        <v>3997.1099999999997</v>
      </c>
      <c r="K351" s="215">
        <v>3997.1099999999997</v>
      </c>
      <c r="L351" s="215">
        <v>3997.1099999999997</v>
      </c>
      <c r="M351" s="215">
        <v>3997.1099999999997</v>
      </c>
      <c r="N351" s="215">
        <v>3997.1099999999997</v>
      </c>
      <c r="O351" s="215">
        <v>3997.1099999999997</v>
      </c>
      <c r="P351" s="215">
        <v>3997.1099999999997</v>
      </c>
      <c r="Q351" s="215">
        <v>8423.31</v>
      </c>
    </row>
    <row r="352" spans="2:17" x14ac:dyDescent="0.3">
      <c r="B352" s="259">
        <f t="shared" si="5"/>
        <v>0</v>
      </c>
      <c r="D352" s="2" t="s">
        <v>1400</v>
      </c>
      <c r="E352" s="215">
        <v>0</v>
      </c>
      <c r="F352" s="215">
        <v>0</v>
      </c>
      <c r="G352" s="215">
        <v>0</v>
      </c>
      <c r="H352" s="215">
        <v>0</v>
      </c>
      <c r="I352" s="215">
        <v>0</v>
      </c>
      <c r="J352" s="215">
        <v>0</v>
      </c>
      <c r="K352" s="215">
        <v>0</v>
      </c>
      <c r="L352" s="215">
        <v>0</v>
      </c>
      <c r="M352" s="215">
        <v>0</v>
      </c>
      <c r="N352" s="215">
        <v>0</v>
      </c>
      <c r="O352" s="215">
        <v>0</v>
      </c>
      <c r="P352" s="215">
        <v>0</v>
      </c>
      <c r="Q352" s="215">
        <v>0</v>
      </c>
    </row>
    <row r="353" spans="2:17" x14ac:dyDescent="0.3">
      <c r="B353" s="259">
        <f t="shared" si="5"/>
        <v>1796843.84</v>
      </c>
      <c r="D353" s="2" t="s">
        <v>1401</v>
      </c>
      <c r="E353" s="215">
        <v>1796843.84</v>
      </c>
      <c r="F353" s="215">
        <v>1796843.84</v>
      </c>
      <c r="G353" s="215">
        <v>1796843.84</v>
      </c>
      <c r="H353" s="215">
        <v>1796843.84</v>
      </c>
      <c r="I353" s="215">
        <v>1796843.84</v>
      </c>
      <c r="J353" s="215">
        <v>1796843.84</v>
      </c>
      <c r="K353" s="215">
        <v>1796843.84</v>
      </c>
      <c r="L353" s="215">
        <v>1796843.84</v>
      </c>
      <c r="M353" s="215">
        <v>1796843.84</v>
      </c>
      <c r="N353" s="215">
        <v>1796843.84</v>
      </c>
      <c r="O353" s="215">
        <v>1796843.84</v>
      </c>
      <c r="P353" s="215">
        <v>1796843.84</v>
      </c>
      <c r="Q353" s="215">
        <v>1796843.84</v>
      </c>
    </row>
    <row r="354" spans="2:17" x14ac:dyDescent="0.3">
      <c r="B354" s="259">
        <f t="shared" si="5"/>
        <v>4469.6199999999981</v>
      </c>
      <c r="D354" s="2" t="s">
        <v>378</v>
      </c>
      <c r="E354" s="215">
        <v>4469.619999999999</v>
      </c>
      <c r="F354" s="215">
        <v>4469.619999999999</v>
      </c>
      <c r="G354" s="215">
        <v>4469.619999999999</v>
      </c>
      <c r="H354" s="215">
        <v>4469.619999999999</v>
      </c>
      <c r="I354" s="215">
        <v>4469.619999999999</v>
      </c>
      <c r="J354" s="215">
        <v>4469.619999999999</v>
      </c>
      <c r="K354" s="215">
        <v>4469.619999999999</v>
      </c>
      <c r="L354" s="215">
        <v>4469.619999999999</v>
      </c>
      <c r="M354" s="215">
        <v>4469.619999999999</v>
      </c>
      <c r="N354" s="215">
        <v>4469.619999999999</v>
      </c>
      <c r="O354" s="215">
        <v>4469.619999999999</v>
      </c>
      <c r="P354" s="215">
        <v>4469.619999999999</v>
      </c>
      <c r="Q354" s="215">
        <v>4469.619999999999</v>
      </c>
    </row>
    <row r="355" spans="2:17" x14ac:dyDescent="0.3">
      <c r="B355" s="259">
        <f t="shared" si="5"/>
        <v>4677457.0116666658</v>
      </c>
      <c r="D355" s="2" t="s">
        <v>380</v>
      </c>
      <c r="E355" s="215">
        <v>3891601.1999999997</v>
      </c>
      <c r="F355" s="215">
        <v>3891458.2699999996</v>
      </c>
      <c r="G355" s="215">
        <v>3987441.9299999997</v>
      </c>
      <c r="H355" s="215">
        <v>3987441.9299999997</v>
      </c>
      <c r="I355" s="215">
        <v>4023877.9599999995</v>
      </c>
      <c r="J355" s="215">
        <v>4031677.7699999996</v>
      </c>
      <c r="K355" s="215">
        <v>4057854.9699999997</v>
      </c>
      <c r="L355" s="215">
        <v>5807274.2199999997</v>
      </c>
      <c r="M355" s="215">
        <v>5421479.2199999997</v>
      </c>
      <c r="N355" s="215">
        <v>5421479.2199999997</v>
      </c>
      <c r="O355" s="215">
        <v>5421479.2199999997</v>
      </c>
      <c r="P355" s="215">
        <v>5421479.2199999997</v>
      </c>
      <c r="Q355" s="215">
        <v>5421479.2199999997</v>
      </c>
    </row>
    <row r="356" spans="2:17" x14ac:dyDescent="0.3">
      <c r="B356" s="259">
        <f t="shared" si="5"/>
        <v>0</v>
      </c>
      <c r="D356" s="2" t="s">
        <v>1402</v>
      </c>
      <c r="E356" s="215">
        <v>0</v>
      </c>
      <c r="F356" s="215">
        <v>0</v>
      </c>
      <c r="G356" s="215">
        <v>0</v>
      </c>
      <c r="H356" s="215">
        <v>0</v>
      </c>
      <c r="I356" s="215">
        <v>0</v>
      </c>
      <c r="J356" s="215">
        <v>0</v>
      </c>
      <c r="K356" s="215">
        <v>0</v>
      </c>
      <c r="L356" s="215">
        <v>0</v>
      </c>
      <c r="M356" s="215">
        <v>0</v>
      </c>
      <c r="N356" s="215">
        <v>0</v>
      </c>
      <c r="O356" s="215">
        <v>0</v>
      </c>
      <c r="P356" s="215">
        <v>0</v>
      </c>
      <c r="Q356" s="215">
        <v>0</v>
      </c>
    </row>
    <row r="357" spans="2:17" x14ac:dyDescent="0.3">
      <c r="B357" s="259">
        <f t="shared" si="5"/>
        <v>37532.825416666674</v>
      </c>
      <c r="D357" s="2" t="s">
        <v>382</v>
      </c>
      <c r="E357" s="215">
        <v>37404.859999999993</v>
      </c>
      <c r="F357" s="215">
        <v>37522.639999999999</v>
      </c>
      <c r="G357" s="215">
        <v>37522.639999999999</v>
      </c>
      <c r="H357" s="215">
        <v>37522.639999999999</v>
      </c>
      <c r="I357" s="215">
        <v>37522.639999999999</v>
      </c>
      <c r="J357" s="215">
        <v>37522.639999999999</v>
      </c>
      <c r="K357" s="215">
        <v>37522.639999999999</v>
      </c>
      <c r="L357" s="215">
        <v>37522.639999999999</v>
      </c>
      <c r="M357" s="215">
        <v>37522.639999999999</v>
      </c>
      <c r="N357" s="215">
        <v>37522.639999999999</v>
      </c>
      <c r="O357" s="215">
        <v>37522.639999999999</v>
      </c>
      <c r="P357" s="215">
        <v>37522.639999999999</v>
      </c>
      <c r="Q357" s="215">
        <v>37884.869999999995</v>
      </c>
    </row>
    <row r="358" spans="2:17" x14ac:dyDescent="0.3">
      <c r="B358" s="259">
        <f t="shared" si="5"/>
        <v>13631.938749999999</v>
      </c>
      <c r="D358" s="2" t="s">
        <v>384</v>
      </c>
      <c r="E358" s="215">
        <v>13591.179999999998</v>
      </c>
      <c r="F358" s="215">
        <v>11268.069999999998</v>
      </c>
      <c r="G358" s="215">
        <v>13859.009999999998</v>
      </c>
      <c r="H358" s="215">
        <v>13859.009999999998</v>
      </c>
      <c r="I358" s="215">
        <v>13859.009999999998</v>
      </c>
      <c r="J358" s="215">
        <v>13859.009999999998</v>
      </c>
      <c r="K358" s="215">
        <v>13859.009999999998</v>
      </c>
      <c r="L358" s="215">
        <v>13859.009999999998</v>
      </c>
      <c r="M358" s="215">
        <v>13859.009999999998</v>
      </c>
      <c r="N358" s="215">
        <v>13859.009999999998</v>
      </c>
      <c r="O358" s="215">
        <v>13859.009999999998</v>
      </c>
      <c r="P358" s="215">
        <v>13859.009999999998</v>
      </c>
      <c r="Q358" s="215">
        <v>13859.009999999998</v>
      </c>
    </row>
    <row r="359" spans="2:17" x14ac:dyDescent="0.3">
      <c r="B359" s="259">
        <f t="shared" si="5"/>
        <v>0</v>
      </c>
      <c r="D359" s="2" t="s">
        <v>1403</v>
      </c>
      <c r="E359" s="215">
        <v>0</v>
      </c>
      <c r="F359" s="215">
        <v>0</v>
      </c>
      <c r="G359" s="215">
        <v>0</v>
      </c>
      <c r="H359" s="215">
        <v>0</v>
      </c>
      <c r="I359" s="215">
        <v>0</v>
      </c>
      <c r="J359" s="215">
        <v>0</v>
      </c>
      <c r="K359" s="215">
        <v>0</v>
      </c>
      <c r="L359" s="215">
        <v>0</v>
      </c>
      <c r="M359" s="215">
        <v>0</v>
      </c>
      <c r="N359" s="215">
        <v>0</v>
      </c>
      <c r="O359" s="215">
        <v>0</v>
      </c>
      <c r="P359" s="215">
        <v>0</v>
      </c>
      <c r="Q359" s="215">
        <v>0</v>
      </c>
    </row>
    <row r="360" spans="2:17" x14ac:dyDescent="0.3">
      <c r="B360" s="259">
        <f t="shared" si="5"/>
        <v>684.16</v>
      </c>
      <c r="D360" s="2" t="s">
        <v>1404</v>
      </c>
      <c r="E360" s="215">
        <v>684.16000000000008</v>
      </c>
      <c r="F360" s="215">
        <v>684.16000000000008</v>
      </c>
      <c r="G360" s="215">
        <v>684.16000000000008</v>
      </c>
      <c r="H360" s="215">
        <v>684.16000000000008</v>
      </c>
      <c r="I360" s="215">
        <v>684.16000000000008</v>
      </c>
      <c r="J360" s="215">
        <v>684.16000000000008</v>
      </c>
      <c r="K360" s="215">
        <v>684.16000000000008</v>
      </c>
      <c r="L360" s="215">
        <v>684.16000000000008</v>
      </c>
      <c r="M360" s="215">
        <v>684.16000000000008</v>
      </c>
      <c r="N360" s="215">
        <v>684.16000000000008</v>
      </c>
      <c r="O360" s="215">
        <v>684.16000000000008</v>
      </c>
      <c r="P360" s="215">
        <v>684.16000000000008</v>
      </c>
      <c r="Q360" s="215">
        <v>684.16000000000008</v>
      </c>
    </row>
    <row r="361" spans="2:17" x14ac:dyDescent="0.3">
      <c r="B361" s="259">
        <f t="shared" si="5"/>
        <v>275238.84375</v>
      </c>
      <c r="D361" s="2" t="s">
        <v>934</v>
      </c>
      <c r="E361" s="215">
        <v>0</v>
      </c>
      <c r="F361" s="215">
        <v>0</v>
      </c>
      <c r="G361" s="215">
        <v>0</v>
      </c>
      <c r="H361" s="215">
        <v>0</v>
      </c>
      <c r="I361" s="215">
        <v>0</v>
      </c>
      <c r="J361" s="215">
        <v>440382.14999999997</v>
      </c>
      <c r="K361" s="215">
        <v>440382.14999999997</v>
      </c>
      <c r="L361" s="215">
        <v>440382.14999999997</v>
      </c>
      <c r="M361" s="215">
        <v>440382.14999999997</v>
      </c>
      <c r="N361" s="215">
        <v>440382.14999999997</v>
      </c>
      <c r="O361" s="215">
        <v>440382.14999999997</v>
      </c>
      <c r="P361" s="215">
        <v>440382.14999999997</v>
      </c>
      <c r="Q361" s="215">
        <v>440382.14999999997</v>
      </c>
    </row>
    <row r="362" spans="2:17" x14ac:dyDescent="0.3">
      <c r="B362" s="259">
        <f t="shared" si="5"/>
        <v>24710.078750000001</v>
      </c>
      <c r="D362" s="2" t="s">
        <v>386</v>
      </c>
      <c r="E362" s="215">
        <v>0</v>
      </c>
      <c r="F362" s="215">
        <v>0</v>
      </c>
      <c r="G362" s="215">
        <v>28240.09</v>
      </c>
      <c r="H362" s="215">
        <v>28240.09</v>
      </c>
      <c r="I362" s="215">
        <v>28240.09</v>
      </c>
      <c r="J362" s="215">
        <v>28240.09</v>
      </c>
      <c r="K362" s="215">
        <v>28240.09</v>
      </c>
      <c r="L362" s="215">
        <v>28240.09</v>
      </c>
      <c r="M362" s="215">
        <v>28240.09</v>
      </c>
      <c r="N362" s="215">
        <v>28240.09</v>
      </c>
      <c r="O362" s="215">
        <v>28240.09</v>
      </c>
      <c r="P362" s="215">
        <v>28240.09</v>
      </c>
      <c r="Q362" s="215">
        <v>28240.09</v>
      </c>
    </row>
    <row r="363" spans="2:17" x14ac:dyDescent="0.3">
      <c r="B363" s="259">
        <f t="shared" si="5"/>
        <v>1612640.6895833334</v>
      </c>
      <c r="D363" s="2" t="s">
        <v>388</v>
      </c>
      <c r="E363" s="215">
        <v>1432511.2600000002</v>
      </c>
      <c r="F363" s="215">
        <v>1610100.35</v>
      </c>
      <c r="G363" s="215">
        <v>1610100.35</v>
      </c>
      <c r="H363" s="215">
        <v>1610100.35</v>
      </c>
      <c r="I363" s="215">
        <v>1610100.35</v>
      </c>
      <c r="J363" s="215">
        <v>1610100.35</v>
      </c>
      <c r="K363" s="215">
        <v>1625878.4900000002</v>
      </c>
      <c r="L363" s="215">
        <v>1625878.4900000002</v>
      </c>
      <c r="M363" s="215">
        <v>1625878.4900000002</v>
      </c>
      <c r="N363" s="215">
        <v>1625878.4900000002</v>
      </c>
      <c r="O363" s="215">
        <v>1625878.4900000002</v>
      </c>
      <c r="P363" s="215">
        <v>1625878.4900000002</v>
      </c>
      <c r="Q363" s="215">
        <v>1659319.9100000001</v>
      </c>
    </row>
    <row r="364" spans="2:17" x14ac:dyDescent="0.3">
      <c r="B364" s="259">
        <f t="shared" si="5"/>
        <v>0</v>
      </c>
      <c r="D364" s="2" t="s">
        <v>1405</v>
      </c>
      <c r="E364" s="215">
        <v>0</v>
      </c>
      <c r="F364" s="215">
        <v>0</v>
      </c>
      <c r="G364" s="215">
        <v>0</v>
      </c>
      <c r="H364" s="215">
        <v>0</v>
      </c>
      <c r="I364" s="215">
        <v>0</v>
      </c>
      <c r="J364" s="215">
        <v>0</v>
      </c>
      <c r="K364" s="215">
        <v>0</v>
      </c>
      <c r="L364" s="215">
        <v>0</v>
      </c>
      <c r="M364" s="215">
        <v>0</v>
      </c>
      <c r="N364" s="215">
        <v>0</v>
      </c>
      <c r="O364" s="215">
        <v>0</v>
      </c>
      <c r="P364" s="215">
        <v>0</v>
      </c>
      <c r="Q364" s="215">
        <v>0</v>
      </c>
    </row>
    <row r="365" spans="2:17" x14ac:dyDescent="0.3">
      <c r="B365" s="259">
        <f t="shared" si="5"/>
        <v>866.56249999999989</v>
      </c>
      <c r="D365" s="2" t="s">
        <v>390</v>
      </c>
      <c r="E365" s="215">
        <v>0</v>
      </c>
      <c r="F365" s="215">
        <v>0</v>
      </c>
      <c r="G365" s="215">
        <v>0</v>
      </c>
      <c r="H365" s="215">
        <v>0</v>
      </c>
      <c r="I365" s="215">
        <v>0</v>
      </c>
      <c r="J365" s="215">
        <v>1386.4999999999998</v>
      </c>
      <c r="K365" s="215">
        <v>1386.4999999999998</v>
      </c>
      <c r="L365" s="215">
        <v>1386.4999999999998</v>
      </c>
      <c r="M365" s="215">
        <v>1386.4999999999998</v>
      </c>
      <c r="N365" s="215">
        <v>1386.4999999999998</v>
      </c>
      <c r="O365" s="215">
        <v>1386.4999999999998</v>
      </c>
      <c r="P365" s="215">
        <v>1386.4999999999998</v>
      </c>
      <c r="Q365" s="215">
        <v>1386.4999999999998</v>
      </c>
    </row>
    <row r="366" spans="2:17" x14ac:dyDescent="0.3">
      <c r="B366" s="259">
        <f t="shared" si="5"/>
        <v>46326.6175</v>
      </c>
      <c r="D366" s="2" t="s">
        <v>392</v>
      </c>
      <c r="E366" s="215">
        <v>21598.04</v>
      </c>
      <c r="F366" s="215">
        <v>27359.81</v>
      </c>
      <c r="G366" s="215">
        <v>27359.81</v>
      </c>
      <c r="H366" s="215">
        <v>27359.81</v>
      </c>
      <c r="I366" s="215">
        <v>27359.81</v>
      </c>
      <c r="J366" s="215">
        <v>58090.82</v>
      </c>
      <c r="K366" s="215">
        <v>58090.82</v>
      </c>
      <c r="L366" s="215">
        <v>58090.82</v>
      </c>
      <c r="M366" s="215">
        <v>58090.82</v>
      </c>
      <c r="N366" s="215">
        <v>58090.82</v>
      </c>
      <c r="O366" s="215">
        <v>58090.82</v>
      </c>
      <c r="P366" s="215">
        <v>58090.82</v>
      </c>
      <c r="Q366" s="215">
        <v>58090.82</v>
      </c>
    </row>
    <row r="367" spans="2:17" x14ac:dyDescent="0.3">
      <c r="B367" s="259">
        <f t="shared" si="5"/>
        <v>3868942.0612500007</v>
      </c>
      <c r="D367" s="2" t="s">
        <v>394</v>
      </c>
      <c r="E367" s="215">
        <v>2341537.3700000006</v>
      </c>
      <c r="F367" s="215">
        <v>2352023.9800000009</v>
      </c>
      <c r="G367" s="215">
        <v>2362367.1000000006</v>
      </c>
      <c r="H367" s="215">
        <v>2576197.7700000009</v>
      </c>
      <c r="I367" s="215">
        <v>3286698.7700000009</v>
      </c>
      <c r="J367" s="215">
        <v>3305864.7300000009</v>
      </c>
      <c r="K367" s="215">
        <v>3716770.5700000008</v>
      </c>
      <c r="L367" s="215">
        <v>4327877.7800000012</v>
      </c>
      <c r="M367" s="215">
        <v>4358074.6000000006</v>
      </c>
      <c r="N367" s="215">
        <v>4861366.45</v>
      </c>
      <c r="O367" s="215">
        <v>5387653.8200000012</v>
      </c>
      <c r="P367" s="215">
        <v>5808163.6600000001</v>
      </c>
      <c r="Q367" s="215">
        <v>5826953.6400000006</v>
      </c>
    </row>
    <row r="368" spans="2:17" x14ac:dyDescent="0.3">
      <c r="B368" s="259">
        <f t="shared" si="5"/>
        <v>0</v>
      </c>
      <c r="D368" s="2" t="s">
        <v>1406</v>
      </c>
      <c r="E368" s="215">
        <v>0</v>
      </c>
      <c r="F368" s="215">
        <v>0</v>
      </c>
      <c r="G368" s="215">
        <v>0</v>
      </c>
      <c r="H368" s="215">
        <v>0</v>
      </c>
      <c r="I368" s="215">
        <v>0</v>
      </c>
      <c r="J368" s="215">
        <v>0</v>
      </c>
      <c r="K368" s="215">
        <v>0</v>
      </c>
      <c r="L368" s="215">
        <v>0</v>
      </c>
      <c r="M368" s="215">
        <v>0</v>
      </c>
      <c r="N368" s="215">
        <v>0</v>
      </c>
      <c r="O368" s="215">
        <v>0</v>
      </c>
      <c r="P368" s="215">
        <v>0</v>
      </c>
      <c r="Q368" s="215">
        <v>0</v>
      </c>
    </row>
    <row r="369" spans="2:17" x14ac:dyDescent="0.3">
      <c r="B369" s="259">
        <f t="shared" si="5"/>
        <v>0</v>
      </c>
      <c r="D369" s="2" t="s">
        <v>1407</v>
      </c>
      <c r="E369" s="215">
        <v>0</v>
      </c>
      <c r="F369" s="215">
        <v>0</v>
      </c>
      <c r="G369" s="215">
        <v>0</v>
      </c>
      <c r="H369" s="215">
        <v>0</v>
      </c>
      <c r="I369" s="215">
        <v>0</v>
      </c>
      <c r="J369" s="215">
        <v>0</v>
      </c>
      <c r="K369" s="215">
        <v>0</v>
      </c>
      <c r="L369" s="215">
        <v>0</v>
      </c>
      <c r="M369" s="215">
        <v>0</v>
      </c>
      <c r="N369" s="215">
        <v>0</v>
      </c>
      <c r="O369" s="215">
        <v>0</v>
      </c>
      <c r="P369" s="215">
        <v>0</v>
      </c>
      <c r="Q369" s="215">
        <v>0</v>
      </c>
    </row>
    <row r="370" spans="2:17" x14ac:dyDescent="0.3">
      <c r="B370" s="259">
        <f t="shared" si="5"/>
        <v>0</v>
      </c>
      <c r="D370" s="2" t="s">
        <v>1408</v>
      </c>
      <c r="E370" s="215">
        <v>0</v>
      </c>
      <c r="F370" s="215">
        <v>0</v>
      </c>
      <c r="G370" s="215">
        <v>0</v>
      </c>
      <c r="H370" s="215">
        <v>0</v>
      </c>
      <c r="I370" s="215">
        <v>0</v>
      </c>
      <c r="J370" s="215">
        <v>0</v>
      </c>
      <c r="K370" s="215">
        <v>0</v>
      </c>
      <c r="L370" s="215">
        <v>0</v>
      </c>
      <c r="M370" s="215">
        <v>0</v>
      </c>
      <c r="N370" s="215">
        <v>0</v>
      </c>
      <c r="O370" s="215">
        <v>0</v>
      </c>
      <c r="P370" s="215">
        <v>0</v>
      </c>
      <c r="Q370" s="215">
        <v>0</v>
      </c>
    </row>
    <row r="371" spans="2:17" x14ac:dyDescent="0.3">
      <c r="B371" s="259">
        <f t="shared" si="5"/>
        <v>0</v>
      </c>
      <c r="D371" s="2" t="s">
        <v>1409</v>
      </c>
      <c r="E371" s="215">
        <v>0</v>
      </c>
      <c r="F371" s="215">
        <v>0</v>
      </c>
      <c r="G371" s="215">
        <v>0</v>
      </c>
      <c r="H371" s="215">
        <v>0</v>
      </c>
      <c r="I371" s="215">
        <v>0</v>
      </c>
      <c r="J371" s="215">
        <v>0</v>
      </c>
      <c r="K371" s="215">
        <v>0</v>
      </c>
      <c r="L371" s="215">
        <v>0</v>
      </c>
      <c r="M371" s="215">
        <v>0</v>
      </c>
      <c r="N371" s="215">
        <v>0</v>
      </c>
      <c r="O371" s="215">
        <v>0</v>
      </c>
      <c r="P371" s="215">
        <v>0</v>
      </c>
      <c r="Q371" s="215">
        <v>0</v>
      </c>
    </row>
    <row r="372" spans="2:17" x14ac:dyDescent="0.3">
      <c r="B372" s="259">
        <f t="shared" si="5"/>
        <v>0</v>
      </c>
      <c r="D372" s="2" t="s">
        <v>1410</v>
      </c>
      <c r="E372" s="215">
        <v>0</v>
      </c>
      <c r="F372" s="215">
        <v>0</v>
      </c>
      <c r="G372" s="215">
        <v>0</v>
      </c>
      <c r="H372" s="215">
        <v>0</v>
      </c>
      <c r="I372" s="215">
        <v>0</v>
      </c>
      <c r="J372" s="215">
        <v>0</v>
      </c>
      <c r="K372" s="215">
        <v>0</v>
      </c>
      <c r="L372" s="215">
        <v>0</v>
      </c>
      <c r="M372" s="215">
        <v>0</v>
      </c>
      <c r="N372" s="215">
        <v>0</v>
      </c>
      <c r="O372" s="215">
        <v>0</v>
      </c>
      <c r="P372" s="215">
        <v>0</v>
      </c>
      <c r="Q372" s="215">
        <v>0</v>
      </c>
    </row>
    <row r="373" spans="2:17" x14ac:dyDescent="0.3">
      <c r="B373" s="259">
        <f t="shared" si="5"/>
        <v>0</v>
      </c>
      <c r="D373" s="2" t="s">
        <v>1411</v>
      </c>
      <c r="E373" s="215">
        <v>0</v>
      </c>
      <c r="F373" s="215">
        <v>0</v>
      </c>
      <c r="G373" s="215">
        <v>0</v>
      </c>
      <c r="H373" s="215">
        <v>0</v>
      </c>
      <c r="I373" s="215">
        <v>0</v>
      </c>
      <c r="J373" s="215">
        <v>0</v>
      </c>
      <c r="K373" s="215">
        <v>0</v>
      </c>
      <c r="L373" s="215">
        <v>0</v>
      </c>
      <c r="M373" s="215">
        <v>0</v>
      </c>
      <c r="N373" s="215">
        <v>0</v>
      </c>
      <c r="O373" s="215">
        <v>0</v>
      </c>
      <c r="P373" s="215">
        <v>0</v>
      </c>
      <c r="Q373" s="215">
        <v>0</v>
      </c>
    </row>
    <row r="374" spans="2:17" x14ac:dyDescent="0.3">
      <c r="B374" s="259">
        <f t="shared" si="5"/>
        <v>0</v>
      </c>
      <c r="D374" s="2" t="s">
        <v>1412</v>
      </c>
      <c r="E374" s="215">
        <v>0</v>
      </c>
      <c r="F374" s="215">
        <v>0</v>
      </c>
      <c r="G374" s="215">
        <v>0</v>
      </c>
      <c r="H374" s="215">
        <v>0</v>
      </c>
      <c r="I374" s="215">
        <v>0</v>
      </c>
      <c r="J374" s="215">
        <v>0</v>
      </c>
      <c r="K374" s="215">
        <v>0</v>
      </c>
      <c r="L374" s="215">
        <v>0</v>
      </c>
      <c r="M374" s="215">
        <v>0</v>
      </c>
      <c r="N374" s="215">
        <v>0</v>
      </c>
      <c r="O374" s="215">
        <v>0</v>
      </c>
      <c r="P374" s="215">
        <v>0</v>
      </c>
      <c r="Q374" s="215">
        <v>0</v>
      </c>
    </row>
    <row r="375" spans="2:17" x14ac:dyDescent="0.3">
      <c r="B375" s="259">
        <f t="shared" si="5"/>
        <v>0</v>
      </c>
      <c r="D375" s="2" t="s">
        <v>1413</v>
      </c>
      <c r="E375" s="215">
        <v>0</v>
      </c>
      <c r="F375" s="215">
        <v>0</v>
      </c>
      <c r="G375" s="215">
        <v>0</v>
      </c>
      <c r="H375" s="215">
        <v>0</v>
      </c>
      <c r="I375" s="215">
        <v>0</v>
      </c>
      <c r="J375" s="215">
        <v>0</v>
      </c>
      <c r="K375" s="215">
        <v>0</v>
      </c>
      <c r="L375" s="215">
        <v>0</v>
      </c>
      <c r="M375" s="215">
        <v>0</v>
      </c>
      <c r="N375" s="215">
        <v>0</v>
      </c>
      <c r="O375" s="215">
        <v>0</v>
      </c>
      <c r="P375" s="215">
        <v>0</v>
      </c>
      <c r="Q375" s="215">
        <v>0</v>
      </c>
    </row>
    <row r="376" spans="2:17" x14ac:dyDescent="0.3">
      <c r="B376" s="259">
        <f t="shared" si="5"/>
        <v>0</v>
      </c>
      <c r="D376" s="2" t="s">
        <v>1414</v>
      </c>
      <c r="E376" s="215">
        <v>0</v>
      </c>
      <c r="F376" s="215">
        <v>0</v>
      </c>
      <c r="G376" s="215">
        <v>0</v>
      </c>
      <c r="H376" s="215">
        <v>0</v>
      </c>
      <c r="I376" s="215">
        <v>0</v>
      </c>
      <c r="J376" s="215">
        <v>0</v>
      </c>
      <c r="K376" s="215">
        <v>0</v>
      </c>
      <c r="L376" s="215">
        <v>0</v>
      </c>
      <c r="M376" s="215">
        <v>0</v>
      </c>
      <c r="N376" s="215">
        <v>0</v>
      </c>
      <c r="O376" s="215">
        <v>0</v>
      </c>
      <c r="P376" s="215">
        <v>0</v>
      </c>
      <c r="Q376" s="215">
        <v>0</v>
      </c>
    </row>
    <row r="377" spans="2:17" x14ac:dyDescent="0.3">
      <c r="B377" s="259">
        <f t="shared" si="5"/>
        <v>0</v>
      </c>
      <c r="D377" s="2" t="s">
        <v>1415</v>
      </c>
      <c r="E377" s="215">
        <v>0</v>
      </c>
      <c r="F377" s="215">
        <v>0</v>
      </c>
      <c r="G377" s="215">
        <v>0</v>
      </c>
      <c r="H377" s="215">
        <v>0</v>
      </c>
      <c r="I377" s="215">
        <v>0</v>
      </c>
      <c r="J377" s="215">
        <v>0</v>
      </c>
      <c r="K377" s="215">
        <v>0</v>
      </c>
      <c r="L377" s="215">
        <v>0</v>
      </c>
      <c r="M377" s="215">
        <v>0</v>
      </c>
      <c r="N377" s="215">
        <v>0</v>
      </c>
      <c r="O377" s="215">
        <v>0</v>
      </c>
      <c r="P377" s="215">
        <v>0</v>
      </c>
      <c r="Q377" s="215">
        <v>0</v>
      </c>
    </row>
    <row r="378" spans="2:17" x14ac:dyDescent="0.3">
      <c r="B378" s="259">
        <f t="shared" si="5"/>
        <v>0</v>
      </c>
      <c r="D378" s="2" t="s">
        <v>1416</v>
      </c>
      <c r="E378" s="215">
        <v>0</v>
      </c>
      <c r="F378" s="215">
        <v>0</v>
      </c>
      <c r="G378" s="215">
        <v>0</v>
      </c>
      <c r="H378" s="215">
        <v>0</v>
      </c>
      <c r="I378" s="215">
        <v>0</v>
      </c>
      <c r="J378" s="215">
        <v>0</v>
      </c>
      <c r="K378" s="215">
        <v>0</v>
      </c>
      <c r="L378" s="215">
        <v>0</v>
      </c>
      <c r="M378" s="215">
        <v>0</v>
      </c>
      <c r="N378" s="215">
        <v>0</v>
      </c>
      <c r="O378" s="215">
        <v>0</v>
      </c>
      <c r="P378" s="215">
        <v>0</v>
      </c>
      <c r="Q378" s="215">
        <v>0</v>
      </c>
    </row>
    <row r="379" spans="2:17" x14ac:dyDescent="0.3">
      <c r="B379" s="259">
        <f t="shared" si="5"/>
        <v>0</v>
      </c>
      <c r="D379" s="2" t="s">
        <v>1417</v>
      </c>
      <c r="E379" s="215">
        <v>0</v>
      </c>
      <c r="F379" s="215">
        <v>0</v>
      </c>
      <c r="G379" s="215">
        <v>0</v>
      </c>
      <c r="H379" s="215">
        <v>0</v>
      </c>
      <c r="I379" s="215">
        <v>0</v>
      </c>
      <c r="J379" s="215">
        <v>0</v>
      </c>
      <c r="K379" s="215">
        <v>0</v>
      </c>
      <c r="L379" s="215">
        <v>0</v>
      </c>
      <c r="M379" s="215">
        <v>0</v>
      </c>
      <c r="N379" s="215">
        <v>0</v>
      </c>
      <c r="O379" s="215">
        <v>0</v>
      </c>
      <c r="P379" s="215">
        <v>0</v>
      </c>
      <c r="Q379" s="215">
        <v>0</v>
      </c>
    </row>
    <row r="380" spans="2:17" x14ac:dyDescent="0.3">
      <c r="B380" s="259">
        <f t="shared" si="5"/>
        <v>0</v>
      </c>
      <c r="D380" s="2" t="s">
        <v>1418</v>
      </c>
      <c r="E380" s="215">
        <v>0</v>
      </c>
      <c r="F380" s="215">
        <v>0</v>
      </c>
      <c r="G380" s="215">
        <v>0</v>
      </c>
      <c r="H380" s="215">
        <v>0</v>
      </c>
      <c r="I380" s="215">
        <v>0</v>
      </c>
      <c r="J380" s="215">
        <v>0</v>
      </c>
      <c r="K380" s="215">
        <v>0</v>
      </c>
      <c r="L380" s="215">
        <v>0</v>
      </c>
      <c r="M380" s="215">
        <v>0</v>
      </c>
      <c r="N380" s="215">
        <v>0</v>
      </c>
      <c r="O380" s="215">
        <v>0</v>
      </c>
      <c r="P380" s="215">
        <v>0</v>
      </c>
      <c r="Q380" s="215">
        <v>0</v>
      </c>
    </row>
    <row r="381" spans="2:17" x14ac:dyDescent="0.3">
      <c r="B381" s="259">
        <f t="shared" si="5"/>
        <v>0</v>
      </c>
      <c r="D381" s="2" t="s">
        <v>1419</v>
      </c>
      <c r="E381" s="215">
        <v>0</v>
      </c>
      <c r="F381" s="215">
        <v>0</v>
      </c>
      <c r="G381" s="215">
        <v>0</v>
      </c>
      <c r="H381" s="215">
        <v>0</v>
      </c>
      <c r="I381" s="215">
        <v>0</v>
      </c>
      <c r="J381" s="215">
        <v>0</v>
      </c>
      <c r="K381" s="215">
        <v>0</v>
      </c>
      <c r="L381" s="215">
        <v>0</v>
      </c>
      <c r="M381" s="215">
        <v>0</v>
      </c>
      <c r="N381" s="215">
        <v>0</v>
      </c>
      <c r="O381" s="215">
        <v>0</v>
      </c>
      <c r="P381" s="215">
        <v>0</v>
      </c>
      <c r="Q381" s="215">
        <v>0</v>
      </c>
    </row>
    <row r="382" spans="2:17" x14ac:dyDescent="0.3">
      <c r="B382" s="259">
        <f t="shared" si="5"/>
        <v>0</v>
      </c>
      <c r="D382" s="2" t="s">
        <v>1420</v>
      </c>
      <c r="E382" s="215">
        <v>0</v>
      </c>
      <c r="F382" s="215">
        <v>0</v>
      </c>
      <c r="G382" s="215">
        <v>0</v>
      </c>
      <c r="H382" s="215">
        <v>0</v>
      </c>
      <c r="I382" s="215">
        <v>0</v>
      </c>
      <c r="J382" s="215">
        <v>0</v>
      </c>
      <c r="K382" s="215">
        <v>0</v>
      </c>
      <c r="L382" s="215">
        <v>0</v>
      </c>
      <c r="M382" s="215">
        <v>0</v>
      </c>
      <c r="N382" s="215">
        <v>0</v>
      </c>
      <c r="O382" s="215">
        <v>0</v>
      </c>
      <c r="P382" s="215">
        <v>0</v>
      </c>
      <c r="Q382" s="215">
        <v>0</v>
      </c>
    </row>
    <row r="383" spans="2:17" x14ac:dyDescent="0.3">
      <c r="B383" s="259">
        <f t="shared" si="5"/>
        <v>0</v>
      </c>
      <c r="D383" s="2" t="s">
        <v>1421</v>
      </c>
      <c r="E383" s="215">
        <v>0</v>
      </c>
      <c r="F383" s="215">
        <v>0</v>
      </c>
      <c r="G383" s="215">
        <v>0</v>
      </c>
      <c r="H383" s="215">
        <v>0</v>
      </c>
      <c r="I383" s="215">
        <v>0</v>
      </c>
      <c r="J383" s="215">
        <v>0</v>
      </c>
      <c r="K383" s="215">
        <v>0</v>
      </c>
      <c r="L383" s="215">
        <v>0</v>
      </c>
      <c r="M383" s="215">
        <v>0</v>
      </c>
      <c r="N383" s="215">
        <v>0</v>
      </c>
      <c r="O383" s="215">
        <v>0</v>
      </c>
      <c r="P383" s="215">
        <v>0</v>
      </c>
      <c r="Q383" s="215">
        <v>0</v>
      </c>
    </row>
    <row r="384" spans="2:17" x14ac:dyDescent="0.3">
      <c r="B384" s="259">
        <f t="shared" si="5"/>
        <v>0</v>
      </c>
      <c r="D384" s="2" t="s">
        <v>1422</v>
      </c>
      <c r="E384" s="215">
        <v>0</v>
      </c>
      <c r="F384" s="215">
        <v>0</v>
      </c>
      <c r="G384" s="215">
        <v>0</v>
      </c>
      <c r="H384" s="215">
        <v>0</v>
      </c>
      <c r="I384" s="215">
        <v>0</v>
      </c>
      <c r="J384" s="215">
        <v>0</v>
      </c>
      <c r="K384" s="215">
        <v>0</v>
      </c>
      <c r="L384" s="215">
        <v>0</v>
      </c>
      <c r="M384" s="215">
        <v>0</v>
      </c>
      <c r="N384" s="215">
        <v>0</v>
      </c>
      <c r="O384" s="215">
        <v>0</v>
      </c>
      <c r="P384" s="215">
        <v>0</v>
      </c>
      <c r="Q384" s="215">
        <v>0</v>
      </c>
    </row>
    <row r="385" spans="2:17" x14ac:dyDescent="0.3">
      <c r="B385" s="259">
        <f t="shared" si="5"/>
        <v>0</v>
      </c>
      <c r="D385" s="2" t="s">
        <v>1423</v>
      </c>
      <c r="E385" s="215">
        <v>0</v>
      </c>
      <c r="F385" s="215">
        <v>0</v>
      </c>
      <c r="G385" s="215">
        <v>0</v>
      </c>
      <c r="H385" s="215">
        <v>0</v>
      </c>
      <c r="I385" s="215">
        <v>0</v>
      </c>
      <c r="J385" s="215">
        <v>0</v>
      </c>
      <c r="K385" s="215">
        <v>0</v>
      </c>
      <c r="L385" s="215">
        <v>0</v>
      </c>
      <c r="M385" s="215">
        <v>0</v>
      </c>
      <c r="N385" s="215">
        <v>0</v>
      </c>
      <c r="O385" s="215">
        <v>0</v>
      </c>
      <c r="P385" s="215">
        <v>0</v>
      </c>
      <c r="Q385" s="215">
        <v>0</v>
      </c>
    </row>
    <row r="386" spans="2:17" x14ac:dyDescent="0.3">
      <c r="B386" s="259">
        <f t="shared" si="5"/>
        <v>0</v>
      </c>
      <c r="D386" s="2" t="s">
        <v>1424</v>
      </c>
      <c r="E386" s="215">
        <v>0</v>
      </c>
      <c r="F386" s="215">
        <v>0</v>
      </c>
      <c r="G386" s="215">
        <v>0</v>
      </c>
      <c r="H386" s="215">
        <v>0</v>
      </c>
      <c r="I386" s="215">
        <v>0</v>
      </c>
      <c r="J386" s="215">
        <v>0</v>
      </c>
      <c r="K386" s="215">
        <v>0</v>
      </c>
      <c r="L386" s="215">
        <v>0</v>
      </c>
      <c r="M386" s="215">
        <v>0</v>
      </c>
      <c r="N386" s="215">
        <v>0</v>
      </c>
      <c r="O386" s="215">
        <v>0</v>
      </c>
      <c r="P386" s="215">
        <v>0</v>
      </c>
      <c r="Q386" s="215">
        <v>0</v>
      </c>
    </row>
    <row r="387" spans="2:17" x14ac:dyDescent="0.3">
      <c r="B387" s="259">
        <f t="shared" si="5"/>
        <v>0</v>
      </c>
      <c r="D387" s="2" t="s">
        <v>1425</v>
      </c>
      <c r="E387" s="215">
        <v>0</v>
      </c>
      <c r="F387" s="215">
        <v>0</v>
      </c>
      <c r="G387" s="215">
        <v>0</v>
      </c>
      <c r="H387" s="215">
        <v>0</v>
      </c>
      <c r="I387" s="215">
        <v>0</v>
      </c>
      <c r="J387" s="215">
        <v>0</v>
      </c>
      <c r="K387" s="215">
        <v>0</v>
      </c>
      <c r="L387" s="215">
        <v>0</v>
      </c>
      <c r="M387" s="215">
        <v>0</v>
      </c>
      <c r="N387" s="215">
        <v>0</v>
      </c>
      <c r="O387" s="215">
        <v>0</v>
      </c>
      <c r="P387" s="215">
        <v>0</v>
      </c>
      <c r="Q387" s="215">
        <v>0</v>
      </c>
    </row>
    <row r="388" spans="2:17" x14ac:dyDescent="0.3">
      <c r="B388" s="259">
        <f t="shared" si="5"/>
        <v>0</v>
      </c>
      <c r="D388" s="2" t="s">
        <v>1426</v>
      </c>
      <c r="E388" s="215">
        <v>0</v>
      </c>
      <c r="F388" s="215">
        <v>0</v>
      </c>
      <c r="G388" s="215">
        <v>0</v>
      </c>
      <c r="H388" s="215">
        <v>0</v>
      </c>
      <c r="I388" s="215">
        <v>0</v>
      </c>
      <c r="J388" s="215">
        <v>0</v>
      </c>
      <c r="K388" s="215">
        <v>0</v>
      </c>
      <c r="L388" s="215">
        <v>0</v>
      </c>
      <c r="M388" s="215">
        <v>0</v>
      </c>
      <c r="N388" s="215">
        <v>0</v>
      </c>
      <c r="O388" s="215">
        <v>0</v>
      </c>
      <c r="P388" s="215">
        <v>0</v>
      </c>
      <c r="Q388" s="215">
        <v>0</v>
      </c>
    </row>
    <row r="389" spans="2:17" x14ac:dyDescent="0.3">
      <c r="B389" s="259">
        <f t="shared" si="5"/>
        <v>0</v>
      </c>
      <c r="D389" s="2" t="s">
        <v>1427</v>
      </c>
      <c r="E389" s="215">
        <v>0</v>
      </c>
      <c r="F389" s="215">
        <v>0</v>
      </c>
      <c r="G389" s="215">
        <v>0</v>
      </c>
      <c r="H389" s="215">
        <v>0</v>
      </c>
      <c r="I389" s="215">
        <v>0</v>
      </c>
      <c r="J389" s="215">
        <v>0</v>
      </c>
      <c r="K389" s="215">
        <v>0</v>
      </c>
      <c r="L389" s="215">
        <v>0</v>
      </c>
      <c r="M389" s="215">
        <v>0</v>
      </c>
      <c r="N389" s="215">
        <v>0</v>
      </c>
      <c r="O389" s="215">
        <v>0</v>
      </c>
      <c r="P389" s="215">
        <v>0</v>
      </c>
      <c r="Q389" s="215">
        <v>0</v>
      </c>
    </row>
    <row r="390" spans="2:17" x14ac:dyDescent="0.3">
      <c r="B390" s="259">
        <f t="shared" si="5"/>
        <v>0</v>
      </c>
      <c r="D390" s="2" t="s">
        <v>1428</v>
      </c>
      <c r="E390" s="215">
        <v>0</v>
      </c>
      <c r="F390" s="215">
        <v>0</v>
      </c>
      <c r="G390" s="215">
        <v>0</v>
      </c>
      <c r="H390" s="215">
        <v>0</v>
      </c>
      <c r="I390" s="215">
        <v>0</v>
      </c>
      <c r="J390" s="215">
        <v>0</v>
      </c>
      <c r="K390" s="215">
        <v>0</v>
      </c>
      <c r="L390" s="215">
        <v>0</v>
      </c>
      <c r="M390" s="215">
        <v>0</v>
      </c>
      <c r="N390" s="215">
        <v>0</v>
      </c>
      <c r="O390" s="215">
        <v>0</v>
      </c>
      <c r="P390" s="215">
        <v>0</v>
      </c>
      <c r="Q390" s="215">
        <v>0</v>
      </c>
    </row>
    <row r="391" spans="2:17" x14ac:dyDescent="0.3">
      <c r="B391" s="259">
        <f t="shared" ref="B391:B454" si="6">(E391+Q391+SUM(F391:P391)*2)/24</f>
        <v>0</v>
      </c>
      <c r="D391" s="2" t="s">
        <v>1429</v>
      </c>
      <c r="E391" s="215">
        <v>0</v>
      </c>
      <c r="F391" s="215">
        <v>0</v>
      </c>
      <c r="G391" s="215">
        <v>0</v>
      </c>
      <c r="H391" s="215">
        <v>0</v>
      </c>
      <c r="I391" s="215">
        <v>0</v>
      </c>
      <c r="J391" s="215">
        <v>0</v>
      </c>
      <c r="K391" s="215">
        <v>0</v>
      </c>
      <c r="L391" s="215">
        <v>0</v>
      </c>
      <c r="M391" s="215">
        <v>0</v>
      </c>
      <c r="N391" s="215">
        <v>0</v>
      </c>
      <c r="O391" s="215">
        <v>0</v>
      </c>
      <c r="P391" s="215">
        <v>0</v>
      </c>
      <c r="Q391" s="215">
        <v>0</v>
      </c>
    </row>
    <row r="392" spans="2:17" x14ac:dyDescent="0.3">
      <c r="B392" s="259">
        <f t="shared" si="6"/>
        <v>0</v>
      </c>
      <c r="D392" s="2" t="s">
        <v>1430</v>
      </c>
      <c r="E392" s="215">
        <v>0</v>
      </c>
      <c r="F392" s="215">
        <v>0</v>
      </c>
      <c r="G392" s="215">
        <v>0</v>
      </c>
      <c r="H392" s="215">
        <v>0</v>
      </c>
      <c r="I392" s="215">
        <v>0</v>
      </c>
      <c r="J392" s="215">
        <v>0</v>
      </c>
      <c r="K392" s="215">
        <v>0</v>
      </c>
      <c r="L392" s="215">
        <v>0</v>
      </c>
      <c r="M392" s="215">
        <v>0</v>
      </c>
      <c r="N392" s="215">
        <v>0</v>
      </c>
      <c r="O392" s="215">
        <v>0</v>
      </c>
      <c r="P392" s="215">
        <v>0</v>
      </c>
      <c r="Q392" s="215">
        <v>0</v>
      </c>
    </row>
    <row r="393" spans="2:17" x14ac:dyDescent="0.3">
      <c r="B393" s="259">
        <f t="shared" si="6"/>
        <v>0</v>
      </c>
      <c r="D393" s="2" t="s">
        <v>1431</v>
      </c>
      <c r="E393" s="215">
        <v>0</v>
      </c>
      <c r="F393" s="215">
        <v>0</v>
      </c>
      <c r="G393" s="215">
        <v>0</v>
      </c>
      <c r="H393" s="215">
        <v>0</v>
      </c>
      <c r="I393" s="215">
        <v>0</v>
      </c>
      <c r="J393" s="215">
        <v>0</v>
      </c>
      <c r="K393" s="215">
        <v>0</v>
      </c>
      <c r="L393" s="215">
        <v>0</v>
      </c>
      <c r="M393" s="215">
        <v>0</v>
      </c>
      <c r="N393" s="215">
        <v>0</v>
      </c>
      <c r="O393" s="215">
        <v>0</v>
      </c>
      <c r="P393" s="215">
        <v>0</v>
      </c>
      <c r="Q393" s="215">
        <v>0</v>
      </c>
    </row>
    <row r="394" spans="2:17" x14ac:dyDescent="0.3">
      <c r="B394" s="259">
        <f t="shared" si="6"/>
        <v>0</v>
      </c>
      <c r="D394" s="2" t="s">
        <v>1432</v>
      </c>
      <c r="E394" s="215">
        <v>0</v>
      </c>
      <c r="F394" s="215">
        <v>0</v>
      </c>
      <c r="G394" s="215">
        <v>0</v>
      </c>
      <c r="H394" s="215">
        <v>0</v>
      </c>
      <c r="I394" s="215">
        <v>0</v>
      </c>
      <c r="J394" s="215">
        <v>0</v>
      </c>
      <c r="K394" s="215">
        <v>0</v>
      </c>
      <c r="L394" s="215">
        <v>0</v>
      </c>
      <c r="M394" s="215">
        <v>0</v>
      </c>
      <c r="N394" s="215">
        <v>0</v>
      </c>
      <c r="O394" s="215">
        <v>0</v>
      </c>
      <c r="P394" s="215">
        <v>0</v>
      </c>
      <c r="Q394" s="215">
        <v>0</v>
      </c>
    </row>
    <row r="395" spans="2:17" x14ac:dyDescent="0.3">
      <c r="B395" s="259">
        <f t="shared" si="6"/>
        <v>0</v>
      </c>
      <c r="D395" s="2" t="s">
        <v>1433</v>
      </c>
      <c r="E395" s="215">
        <v>0</v>
      </c>
      <c r="F395" s="215">
        <v>0</v>
      </c>
      <c r="G395" s="215">
        <v>0</v>
      </c>
      <c r="H395" s="215">
        <v>0</v>
      </c>
      <c r="I395" s="215">
        <v>0</v>
      </c>
      <c r="J395" s="215">
        <v>0</v>
      </c>
      <c r="K395" s="215">
        <v>0</v>
      </c>
      <c r="L395" s="215">
        <v>0</v>
      </c>
      <c r="M395" s="215">
        <v>0</v>
      </c>
      <c r="N395" s="215">
        <v>0</v>
      </c>
      <c r="O395" s="215">
        <v>0</v>
      </c>
      <c r="P395" s="215">
        <v>0</v>
      </c>
      <c r="Q395" s="215">
        <v>0</v>
      </c>
    </row>
    <row r="396" spans="2:17" x14ac:dyDescent="0.3">
      <c r="B396" s="259">
        <f t="shared" si="6"/>
        <v>0</v>
      </c>
      <c r="D396" s="2" t="s">
        <v>1434</v>
      </c>
      <c r="E396" s="215">
        <v>0</v>
      </c>
      <c r="F396" s="215">
        <v>0</v>
      </c>
      <c r="G396" s="215">
        <v>0</v>
      </c>
      <c r="H396" s="215">
        <v>0</v>
      </c>
      <c r="I396" s="215">
        <v>0</v>
      </c>
      <c r="J396" s="215">
        <v>0</v>
      </c>
      <c r="K396" s="215">
        <v>0</v>
      </c>
      <c r="L396" s="215">
        <v>0</v>
      </c>
      <c r="M396" s="215">
        <v>0</v>
      </c>
      <c r="N396" s="215">
        <v>0</v>
      </c>
      <c r="O396" s="215">
        <v>0</v>
      </c>
      <c r="P396" s="215">
        <v>0</v>
      </c>
      <c r="Q396" s="215">
        <v>0</v>
      </c>
    </row>
    <row r="397" spans="2:17" x14ac:dyDescent="0.3">
      <c r="B397" s="259">
        <f t="shared" si="6"/>
        <v>0</v>
      </c>
      <c r="D397" s="2" t="s">
        <v>1435</v>
      </c>
      <c r="E397" s="215">
        <v>0</v>
      </c>
      <c r="F397" s="215">
        <v>0</v>
      </c>
      <c r="G397" s="215">
        <v>0</v>
      </c>
      <c r="H397" s="215">
        <v>0</v>
      </c>
      <c r="I397" s="215">
        <v>0</v>
      </c>
      <c r="J397" s="215">
        <v>0</v>
      </c>
      <c r="K397" s="215">
        <v>0</v>
      </c>
      <c r="L397" s="215">
        <v>0</v>
      </c>
      <c r="M397" s="215">
        <v>0</v>
      </c>
      <c r="N397" s="215">
        <v>0</v>
      </c>
      <c r="O397" s="215">
        <v>0</v>
      </c>
      <c r="P397" s="215">
        <v>0</v>
      </c>
      <c r="Q397" s="215">
        <v>0</v>
      </c>
    </row>
    <row r="398" spans="2:17" x14ac:dyDescent="0.3">
      <c r="B398" s="259">
        <f t="shared" si="6"/>
        <v>0</v>
      </c>
      <c r="D398" s="2" t="s">
        <v>1436</v>
      </c>
      <c r="E398" s="215">
        <v>0</v>
      </c>
      <c r="F398" s="215">
        <v>0</v>
      </c>
      <c r="G398" s="215">
        <v>0</v>
      </c>
      <c r="H398" s="215">
        <v>0</v>
      </c>
      <c r="I398" s="215">
        <v>0</v>
      </c>
      <c r="J398" s="215">
        <v>0</v>
      </c>
      <c r="K398" s="215">
        <v>0</v>
      </c>
      <c r="L398" s="215">
        <v>0</v>
      </c>
      <c r="M398" s="215">
        <v>0</v>
      </c>
      <c r="N398" s="215">
        <v>0</v>
      </c>
      <c r="O398" s="215">
        <v>0</v>
      </c>
      <c r="P398" s="215">
        <v>0</v>
      </c>
      <c r="Q398" s="215">
        <v>0</v>
      </c>
    </row>
    <row r="399" spans="2:17" x14ac:dyDescent="0.3">
      <c r="B399" s="259">
        <f t="shared" si="6"/>
        <v>0</v>
      </c>
      <c r="D399" s="2" t="s">
        <v>1437</v>
      </c>
      <c r="E399" s="215">
        <v>0</v>
      </c>
      <c r="F399" s="215">
        <v>0</v>
      </c>
      <c r="G399" s="215">
        <v>0</v>
      </c>
      <c r="H399" s="215">
        <v>0</v>
      </c>
      <c r="I399" s="215">
        <v>0</v>
      </c>
      <c r="J399" s="215">
        <v>0</v>
      </c>
      <c r="K399" s="215">
        <v>0</v>
      </c>
      <c r="L399" s="215">
        <v>0</v>
      </c>
      <c r="M399" s="215">
        <v>0</v>
      </c>
      <c r="N399" s="215">
        <v>0</v>
      </c>
      <c r="O399" s="215">
        <v>0</v>
      </c>
      <c r="P399" s="215">
        <v>0</v>
      </c>
      <c r="Q399" s="215">
        <v>0</v>
      </c>
    </row>
    <row r="400" spans="2:17" x14ac:dyDescent="0.3">
      <c r="B400" s="259">
        <f t="shared" si="6"/>
        <v>0</v>
      </c>
      <c r="D400" s="2" t="s">
        <v>1438</v>
      </c>
      <c r="E400" s="215">
        <v>0</v>
      </c>
      <c r="F400" s="215">
        <v>0</v>
      </c>
      <c r="G400" s="215">
        <v>0</v>
      </c>
      <c r="H400" s="215">
        <v>0</v>
      </c>
      <c r="I400" s="215">
        <v>0</v>
      </c>
      <c r="J400" s="215">
        <v>0</v>
      </c>
      <c r="K400" s="215">
        <v>0</v>
      </c>
      <c r="L400" s="215">
        <v>0</v>
      </c>
      <c r="M400" s="215">
        <v>0</v>
      </c>
      <c r="N400" s="215">
        <v>0</v>
      </c>
      <c r="O400" s="215">
        <v>0</v>
      </c>
      <c r="P400" s="215">
        <v>0</v>
      </c>
      <c r="Q400" s="215">
        <v>0</v>
      </c>
    </row>
    <row r="401" spans="2:17" x14ac:dyDescent="0.3">
      <c r="B401" s="259">
        <f t="shared" si="6"/>
        <v>0</v>
      </c>
      <c r="D401" s="2" t="s">
        <v>1439</v>
      </c>
      <c r="E401" s="215">
        <v>0</v>
      </c>
      <c r="F401" s="215">
        <v>0</v>
      </c>
      <c r="G401" s="215">
        <v>0</v>
      </c>
      <c r="H401" s="215">
        <v>0</v>
      </c>
      <c r="I401" s="215">
        <v>0</v>
      </c>
      <c r="J401" s="215">
        <v>0</v>
      </c>
      <c r="K401" s="215">
        <v>0</v>
      </c>
      <c r="L401" s="215">
        <v>0</v>
      </c>
      <c r="M401" s="215">
        <v>0</v>
      </c>
      <c r="N401" s="215">
        <v>0</v>
      </c>
      <c r="O401" s="215">
        <v>0</v>
      </c>
      <c r="P401" s="215">
        <v>0</v>
      </c>
      <c r="Q401" s="215">
        <v>0</v>
      </c>
    </row>
    <row r="402" spans="2:17" x14ac:dyDescent="0.3">
      <c r="B402" s="259">
        <f t="shared" si="6"/>
        <v>0</v>
      </c>
      <c r="D402" s="2" t="s">
        <v>1440</v>
      </c>
      <c r="E402" s="215">
        <v>0</v>
      </c>
      <c r="F402" s="215">
        <v>0</v>
      </c>
      <c r="G402" s="215">
        <v>0</v>
      </c>
      <c r="H402" s="215">
        <v>0</v>
      </c>
      <c r="I402" s="215">
        <v>0</v>
      </c>
      <c r="J402" s="215">
        <v>0</v>
      </c>
      <c r="K402" s="215">
        <v>0</v>
      </c>
      <c r="L402" s="215">
        <v>0</v>
      </c>
      <c r="M402" s="215">
        <v>0</v>
      </c>
      <c r="N402" s="215">
        <v>0</v>
      </c>
      <c r="O402" s="215">
        <v>0</v>
      </c>
      <c r="P402" s="215">
        <v>0</v>
      </c>
      <c r="Q402" s="215">
        <v>0</v>
      </c>
    </row>
    <row r="403" spans="2:17" x14ac:dyDescent="0.3">
      <c r="B403" s="259">
        <f t="shared" si="6"/>
        <v>0</v>
      </c>
      <c r="D403" s="2" t="s">
        <v>1441</v>
      </c>
      <c r="E403" s="215">
        <v>0</v>
      </c>
      <c r="F403" s="215">
        <v>0</v>
      </c>
      <c r="G403" s="215">
        <v>0</v>
      </c>
      <c r="H403" s="215">
        <v>0</v>
      </c>
      <c r="I403" s="215">
        <v>0</v>
      </c>
      <c r="J403" s="215">
        <v>0</v>
      </c>
      <c r="K403" s="215">
        <v>0</v>
      </c>
      <c r="L403" s="215">
        <v>0</v>
      </c>
      <c r="M403" s="215">
        <v>0</v>
      </c>
      <c r="N403" s="215">
        <v>0</v>
      </c>
      <c r="O403" s="215">
        <v>0</v>
      </c>
      <c r="P403" s="215">
        <v>0</v>
      </c>
      <c r="Q403" s="215">
        <v>0</v>
      </c>
    </row>
    <row r="404" spans="2:17" x14ac:dyDescent="0.3">
      <c r="B404" s="259">
        <f t="shared" si="6"/>
        <v>0</v>
      </c>
      <c r="D404" s="2" t="s">
        <v>1442</v>
      </c>
      <c r="E404" s="215">
        <v>0</v>
      </c>
      <c r="F404" s="215">
        <v>0</v>
      </c>
      <c r="G404" s="215">
        <v>0</v>
      </c>
      <c r="H404" s="215">
        <v>0</v>
      </c>
      <c r="I404" s="215">
        <v>0</v>
      </c>
      <c r="J404" s="215">
        <v>0</v>
      </c>
      <c r="K404" s="215">
        <v>0</v>
      </c>
      <c r="L404" s="215">
        <v>0</v>
      </c>
      <c r="M404" s="215">
        <v>0</v>
      </c>
      <c r="N404" s="215">
        <v>0</v>
      </c>
      <c r="O404" s="215">
        <v>0</v>
      </c>
      <c r="P404" s="215">
        <v>0</v>
      </c>
      <c r="Q404" s="215">
        <v>0</v>
      </c>
    </row>
    <row r="405" spans="2:17" x14ac:dyDescent="0.3">
      <c r="B405" s="259">
        <f t="shared" si="6"/>
        <v>0</v>
      </c>
      <c r="D405" s="2" t="s">
        <v>1443</v>
      </c>
      <c r="E405" s="215">
        <v>0</v>
      </c>
      <c r="F405" s="215">
        <v>0</v>
      </c>
      <c r="G405" s="215">
        <v>0</v>
      </c>
      <c r="H405" s="215">
        <v>0</v>
      </c>
      <c r="I405" s="215">
        <v>0</v>
      </c>
      <c r="J405" s="215">
        <v>0</v>
      </c>
      <c r="K405" s="215">
        <v>0</v>
      </c>
      <c r="L405" s="215">
        <v>0</v>
      </c>
      <c r="M405" s="215">
        <v>0</v>
      </c>
      <c r="N405" s="215">
        <v>0</v>
      </c>
      <c r="O405" s="215">
        <v>0</v>
      </c>
      <c r="P405" s="215">
        <v>0</v>
      </c>
      <c r="Q405" s="215">
        <v>0</v>
      </c>
    </row>
    <row r="406" spans="2:17" x14ac:dyDescent="0.3">
      <c r="B406" s="259">
        <f t="shared" si="6"/>
        <v>0</v>
      </c>
      <c r="D406" s="2" t="s">
        <v>1444</v>
      </c>
      <c r="E406" s="215">
        <v>0</v>
      </c>
      <c r="F406" s="215">
        <v>0</v>
      </c>
      <c r="G406" s="215">
        <v>0</v>
      </c>
      <c r="H406" s="215">
        <v>0</v>
      </c>
      <c r="I406" s="215">
        <v>0</v>
      </c>
      <c r="J406" s="215">
        <v>0</v>
      </c>
      <c r="K406" s="215">
        <v>0</v>
      </c>
      <c r="L406" s="215">
        <v>0</v>
      </c>
      <c r="M406" s="215">
        <v>0</v>
      </c>
      <c r="N406" s="215">
        <v>0</v>
      </c>
      <c r="O406" s="215">
        <v>0</v>
      </c>
      <c r="P406" s="215">
        <v>0</v>
      </c>
      <c r="Q406" s="215">
        <v>0</v>
      </c>
    </row>
    <row r="407" spans="2:17" x14ac:dyDescent="0.3">
      <c r="B407" s="259">
        <f t="shared" si="6"/>
        <v>0</v>
      </c>
      <c r="D407" s="2" t="s">
        <v>1445</v>
      </c>
      <c r="E407" s="215">
        <v>0</v>
      </c>
      <c r="F407" s="215">
        <v>0</v>
      </c>
      <c r="G407" s="215">
        <v>0</v>
      </c>
      <c r="H407" s="215">
        <v>0</v>
      </c>
      <c r="I407" s="215">
        <v>0</v>
      </c>
      <c r="J407" s="215">
        <v>0</v>
      </c>
      <c r="K407" s="215">
        <v>0</v>
      </c>
      <c r="L407" s="215">
        <v>0</v>
      </c>
      <c r="M407" s="215">
        <v>0</v>
      </c>
      <c r="N407" s="215">
        <v>0</v>
      </c>
      <c r="O407" s="215">
        <v>0</v>
      </c>
      <c r="P407" s="215">
        <v>0</v>
      </c>
      <c r="Q407" s="215">
        <v>0</v>
      </c>
    </row>
    <row r="408" spans="2:17" x14ac:dyDescent="0.3">
      <c r="B408" s="259">
        <f t="shared" si="6"/>
        <v>0</v>
      </c>
      <c r="D408" s="2" t="s">
        <v>1446</v>
      </c>
      <c r="E408" s="215">
        <v>0</v>
      </c>
      <c r="F408" s="215">
        <v>0</v>
      </c>
      <c r="G408" s="215">
        <v>0</v>
      </c>
      <c r="H408" s="215">
        <v>0</v>
      </c>
      <c r="I408" s="215">
        <v>0</v>
      </c>
      <c r="J408" s="215">
        <v>0</v>
      </c>
      <c r="K408" s="215">
        <v>0</v>
      </c>
      <c r="L408" s="215">
        <v>0</v>
      </c>
      <c r="M408" s="215">
        <v>0</v>
      </c>
      <c r="N408" s="215">
        <v>0</v>
      </c>
      <c r="O408" s="215">
        <v>0</v>
      </c>
      <c r="P408" s="215">
        <v>0</v>
      </c>
      <c r="Q408" s="215">
        <v>0</v>
      </c>
    </row>
    <row r="409" spans="2:17" x14ac:dyDescent="0.3">
      <c r="B409" s="259">
        <f t="shared" si="6"/>
        <v>0</v>
      </c>
      <c r="D409" s="2" t="s">
        <v>1447</v>
      </c>
      <c r="E409" s="215">
        <v>0</v>
      </c>
      <c r="F409" s="215">
        <v>0</v>
      </c>
      <c r="G409" s="215">
        <v>0</v>
      </c>
      <c r="H409" s="215">
        <v>0</v>
      </c>
      <c r="I409" s="215">
        <v>0</v>
      </c>
      <c r="J409" s="215">
        <v>0</v>
      </c>
      <c r="K409" s="215">
        <v>0</v>
      </c>
      <c r="L409" s="215">
        <v>0</v>
      </c>
      <c r="M409" s="215">
        <v>0</v>
      </c>
      <c r="N409" s="215">
        <v>0</v>
      </c>
      <c r="O409" s="215">
        <v>0</v>
      </c>
      <c r="P409" s="215">
        <v>0</v>
      </c>
      <c r="Q409" s="215">
        <v>0</v>
      </c>
    </row>
    <row r="410" spans="2:17" x14ac:dyDescent="0.3">
      <c r="B410" s="259">
        <f t="shared" si="6"/>
        <v>0</v>
      </c>
      <c r="D410" s="2" t="s">
        <v>1448</v>
      </c>
      <c r="E410" s="215">
        <v>0</v>
      </c>
      <c r="F410" s="215">
        <v>0</v>
      </c>
      <c r="G410" s="215">
        <v>0</v>
      </c>
      <c r="H410" s="215">
        <v>0</v>
      </c>
      <c r="I410" s="215">
        <v>0</v>
      </c>
      <c r="J410" s="215">
        <v>0</v>
      </c>
      <c r="K410" s="215">
        <v>0</v>
      </c>
      <c r="L410" s="215">
        <v>0</v>
      </c>
      <c r="M410" s="215">
        <v>0</v>
      </c>
      <c r="N410" s="215">
        <v>0</v>
      </c>
      <c r="O410" s="215">
        <v>0</v>
      </c>
      <c r="P410" s="215">
        <v>0</v>
      </c>
      <c r="Q410" s="215">
        <v>0</v>
      </c>
    </row>
    <row r="411" spans="2:17" x14ac:dyDescent="0.3">
      <c r="B411" s="259">
        <f t="shared" si="6"/>
        <v>0</v>
      </c>
      <c r="D411" s="2" t="s">
        <v>1449</v>
      </c>
      <c r="E411" s="215">
        <v>0</v>
      </c>
      <c r="F411" s="215">
        <v>0</v>
      </c>
      <c r="G411" s="215">
        <v>0</v>
      </c>
      <c r="H411" s="215">
        <v>0</v>
      </c>
      <c r="I411" s="215">
        <v>0</v>
      </c>
      <c r="J411" s="215">
        <v>0</v>
      </c>
      <c r="K411" s="215">
        <v>0</v>
      </c>
      <c r="L411" s="215">
        <v>0</v>
      </c>
      <c r="M411" s="215">
        <v>0</v>
      </c>
      <c r="N411" s="215">
        <v>0</v>
      </c>
      <c r="O411" s="215">
        <v>0</v>
      </c>
      <c r="P411" s="215">
        <v>0</v>
      </c>
      <c r="Q411" s="215">
        <v>0</v>
      </c>
    </row>
    <row r="412" spans="2:17" x14ac:dyDescent="0.3">
      <c r="B412" s="259">
        <f t="shared" si="6"/>
        <v>0</v>
      </c>
      <c r="D412" s="2" t="s">
        <v>1450</v>
      </c>
      <c r="E412" s="215">
        <v>0</v>
      </c>
      <c r="F412" s="215">
        <v>0</v>
      </c>
      <c r="G412" s="215">
        <v>0</v>
      </c>
      <c r="H412" s="215">
        <v>0</v>
      </c>
      <c r="I412" s="215">
        <v>0</v>
      </c>
      <c r="J412" s="215">
        <v>0</v>
      </c>
      <c r="K412" s="215">
        <v>0</v>
      </c>
      <c r="L412" s="215">
        <v>0</v>
      </c>
      <c r="M412" s="215">
        <v>0</v>
      </c>
      <c r="N412" s="215">
        <v>0</v>
      </c>
      <c r="O412" s="215">
        <v>0</v>
      </c>
      <c r="P412" s="215">
        <v>0</v>
      </c>
      <c r="Q412" s="215">
        <v>0</v>
      </c>
    </row>
    <row r="413" spans="2:17" x14ac:dyDescent="0.3">
      <c r="B413" s="259">
        <f t="shared" si="6"/>
        <v>0</v>
      </c>
      <c r="D413" s="2" t="s">
        <v>1451</v>
      </c>
      <c r="E413" s="215">
        <v>0</v>
      </c>
      <c r="F413" s="215">
        <v>0</v>
      </c>
      <c r="G413" s="215">
        <v>0</v>
      </c>
      <c r="H413" s="215">
        <v>0</v>
      </c>
      <c r="I413" s="215">
        <v>0</v>
      </c>
      <c r="J413" s="215">
        <v>0</v>
      </c>
      <c r="K413" s="215">
        <v>0</v>
      </c>
      <c r="L413" s="215">
        <v>0</v>
      </c>
      <c r="M413" s="215">
        <v>0</v>
      </c>
      <c r="N413" s="215">
        <v>0</v>
      </c>
      <c r="O413" s="215">
        <v>0</v>
      </c>
      <c r="P413" s="215">
        <v>0</v>
      </c>
      <c r="Q413" s="215">
        <v>0</v>
      </c>
    </row>
    <row r="414" spans="2:17" x14ac:dyDescent="0.3">
      <c r="B414" s="259">
        <f t="shared" si="6"/>
        <v>0</v>
      </c>
      <c r="D414" s="2" t="s">
        <v>1452</v>
      </c>
      <c r="E414" s="215">
        <v>0</v>
      </c>
      <c r="F414" s="215">
        <v>0</v>
      </c>
      <c r="G414" s="215">
        <v>0</v>
      </c>
      <c r="H414" s="215">
        <v>0</v>
      </c>
      <c r="I414" s="215">
        <v>0</v>
      </c>
      <c r="J414" s="215">
        <v>0</v>
      </c>
      <c r="K414" s="215">
        <v>0</v>
      </c>
      <c r="L414" s="215">
        <v>0</v>
      </c>
      <c r="M414" s="215">
        <v>0</v>
      </c>
      <c r="N414" s="215">
        <v>0</v>
      </c>
      <c r="O414" s="215">
        <v>0</v>
      </c>
      <c r="P414" s="215">
        <v>0</v>
      </c>
      <c r="Q414" s="215">
        <v>0</v>
      </c>
    </row>
    <row r="415" spans="2:17" x14ac:dyDescent="0.3">
      <c r="B415" s="259">
        <f t="shared" si="6"/>
        <v>0</v>
      </c>
      <c r="D415" s="2" t="s">
        <v>1453</v>
      </c>
      <c r="E415" s="215">
        <v>0</v>
      </c>
      <c r="F415" s="215">
        <v>0</v>
      </c>
      <c r="G415" s="215">
        <v>0</v>
      </c>
      <c r="H415" s="215">
        <v>0</v>
      </c>
      <c r="I415" s="215">
        <v>0</v>
      </c>
      <c r="J415" s="215">
        <v>0</v>
      </c>
      <c r="K415" s="215">
        <v>0</v>
      </c>
      <c r="L415" s="215">
        <v>0</v>
      </c>
      <c r="M415" s="215">
        <v>0</v>
      </c>
      <c r="N415" s="215">
        <v>0</v>
      </c>
      <c r="O415" s="215">
        <v>0</v>
      </c>
      <c r="P415" s="215">
        <v>0</v>
      </c>
      <c r="Q415" s="215">
        <v>0</v>
      </c>
    </row>
    <row r="416" spans="2:17" x14ac:dyDescent="0.3">
      <c r="B416" s="259">
        <f t="shared" si="6"/>
        <v>0</v>
      </c>
      <c r="D416" s="2" t="s">
        <v>1454</v>
      </c>
      <c r="E416" s="215">
        <v>0</v>
      </c>
      <c r="F416" s="215">
        <v>0</v>
      </c>
      <c r="G416" s="215">
        <v>0</v>
      </c>
      <c r="H416" s="215">
        <v>0</v>
      </c>
      <c r="I416" s="215">
        <v>0</v>
      </c>
      <c r="J416" s="215">
        <v>0</v>
      </c>
      <c r="K416" s="215">
        <v>0</v>
      </c>
      <c r="L416" s="215">
        <v>0</v>
      </c>
      <c r="M416" s="215">
        <v>0</v>
      </c>
      <c r="N416" s="215">
        <v>0</v>
      </c>
      <c r="O416" s="215">
        <v>0</v>
      </c>
      <c r="P416" s="215">
        <v>0</v>
      </c>
      <c r="Q416" s="215">
        <v>0</v>
      </c>
    </row>
    <row r="417" spans="2:17" x14ac:dyDescent="0.3">
      <c r="B417" s="259">
        <f t="shared" si="6"/>
        <v>0</v>
      </c>
      <c r="D417" s="2" t="s">
        <v>1455</v>
      </c>
      <c r="E417" s="215">
        <v>0</v>
      </c>
      <c r="F417" s="215">
        <v>0</v>
      </c>
      <c r="G417" s="215">
        <v>0</v>
      </c>
      <c r="H417" s="215">
        <v>0</v>
      </c>
      <c r="I417" s="215">
        <v>0</v>
      </c>
      <c r="J417" s="215">
        <v>0</v>
      </c>
      <c r="K417" s="215">
        <v>0</v>
      </c>
      <c r="L417" s="215">
        <v>0</v>
      </c>
      <c r="M417" s="215">
        <v>0</v>
      </c>
      <c r="N417" s="215">
        <v>0</v>
      </c>
      <c r="O417" s="215">
        <v>0</v>
      </c>
      <c r="P417" s="215">
        <v>0</v>
      </c>
      <c r="Q417" s="215">
        <v>0</v>
      </c>
    </row>
    <row r="418" spans="2:17" x14ac:dyDescent="0.3">
      <c r="B418" s="259">
        <f t="shared" si="6"/>
        <v>0</v>
      </c>
      <c r="D418" s="2" t="s">
        <v>1456</v>
      </c>
      <c r="E418" s="215">
        <v>0</v>
      </c>
      <c r="F418" s="215">
        <v>0</v>
      </c>
      <c r="G418" s="215">
        <v>0</v>
      </c>
      <c r="H418" s="215">
        <v>0</v>
      </c>
      <c r="I418" s="215">
        <v>0</v>
      </c>
      <c r="J418" s="215">
        <v>0</v>
      </c>
      <c r="K418" s="215">
        <v>0</v>
      </c>
      <c r="L418" s="215">
        <v>0</v>
      </c>
      <c r="M418" s="215">
        <v>0</v>
      </c>
      <c r="N418" s="215">
        <v>0</v>
      </c>
      <c r="O418" s="215">
        <v>0</v>
      </c>
      <c r="P418" s="215">
        <v>0</v>
      </c>
      <c r="Q418" s="215">
        <v>0</v>
      </c>
    </row>
    <row r="419" spans="2:17" x14ac:dyDescent="0.3">
      <c r="B419" s="259">
        <f t="shared" si="6"/>
        <v>0</v>
      </c>
      <c r="D419" s="2" t="s">
        <v>1457</v>
      </c>
      <c r="E419" s="215">
        <v>0</v>
      </c>
      <c r="F419" s="215">
        <v>0</v>
      </c>
      <c r="G419" s="215">
        <v>0</v>
      </c>
      <c r="H419" s="215">
        <v>0</v>
      </c>
      <c r="I419" s="215">
        <v>0</v>
      </c>
      <c r="J419" s="215">
        <v>0</v>
      </c>
      <c r="K419" s="215">
        <v>0</v>
      </c>
      <c r="L419" s="215">
        <v>0</v>
      </c>
      <c r="M419" s="215">
        <v>0</v>
      </c>
      <c r="N419" s="215">
        <v>0</v>
      </c>
      <c r="O419" s="215">
        <v>0</v>
      </c>
      <c r="P419" s="215">
        <v>0</v>
      </c>
      <c r="Q419" s="215">
        <v>0</v>
      </c>
    </row>
    <row r="420" spans="2:17" x14ac:dyDescent="0.3">
      <c r="B420" s="259">
        <f t="shared" si="6"/>
        <v>0</v>
      </c>
      <c r="D420" s="2" t="s">
        <v>1458</v>
      </c>
      <c r="E420" s="215">
        <v>0</v>
      </c>
      <c r="F420" s="215">
        <v>0</v>
      </c>
      <c r="G420" s="215">
        <v>0</v>
      </c>
      <c r="H420" s="215">
        <v>0</v>
      </c>
      <c r="I420" s="215">
        <v>0</v>
      </c>
      <c r="J420" s="215">
        <v>0</v>
      </c>
      <c r="K420" s="215">
        <v>0</v>
      </c>
      <c r="L420" s="215">
        <v>0</v>
      </c>
      <c r="M420" s="215">
        <v>0</v>
      </c>
      <c r="N420" s="215">
        <v>0</v>
      </c>
      <c r="O420" s="215">
        <v>0</v>
      </c>
      <c r="P420" s="215">
        <v>0</v>
      </c>
      <c r="Q420" s="215">
        <v>0</v>
      </c>
    </row>
    <row r="421" spans="2:17" x14ac:dyDescent="0.3">
      <c r="B421" s="259">
        <f t="shared" si="6"/>
        <v>0</v>
      </c>
      <c r="D421" s="2" t="s">
        <v>1459</v>
      </c>
      <c r="E421" s="215">
        <v>0</v>
      </c>
      <c r="F421" s="215">
        <v>0</v>
      </c>
      <c r="G421" s="215">
        <v>0</v>
      </c>
      <c r="H421" s="215">
        <v>0</v>
      </c>
      <c r="I421" s="215">
        <v>0</v>
      </c>
      <c r="J421" s="215">
        <v>0</v>
      </c>
      <c r="K421" s="215">
        <v>0</v>
      </c>
      <c r="L421" s="215">
        <v>0</v>
      </c>
      <c r="M421" s="215">
        <v>0</v>
      </c>
      <c r="N421" s="215">
        <v>0</v>
      </c>
      <c r="O421" s="215">
        <v>0</v>
      </c>
      <c r="P421" s="215">
        <v>0</v>
      </c>
      <c r="Q421" s="215">
        <v>0</v>
      </c>
    </row>
    <row r="422" spans="2:17" x14ac:dyDescent="0.3">
      <c r="B422" s="259">
        <f t="shared" si="6"/>
        <v>0</v>
      </c>
      <c r="D422" s="2" t="s">
        <v>1460</v>
      </c>
      <c r="E422" s="215">
        <v>0</v>
      </c>
      <c r="F422" s="215">
        <v>0</v>
      </c>
      <c r="G422" s="215">
        <v>0</v>
      </c>
      <c r="H422" s="215">
        <v>0</v>
      </c>
      <c r="I422" s="215">
        <v>0</v>
      </c>
      <c r="J422" s="215">
        <v>0</v>
      </c>
      <c r="K422" s="215">
        <v>0</v>
      </c>
      <c r="L422" s="215">
        <v>0</v>
      </c>
      <c r="M422" s="215">
        <v>0</v>
      </c>
      <c r="N422" s="215">
        <v>0</v>
      </c>
      <c r="O422" s="215">
        <v>0</v>
      </c>
      <c r="P422" s="215">
        <v>0</v>
      </c>
      <c r="Q422" s="215">
        <v>0</v>
      </c>
    </row>
    <row r="423" spans="2:17" x14ac:dyDescent="0.3">
      <c r="B423" s="259">
        <f t="shared" si="6"/>
        <v>0</v>
      </c>
      <c r="D423" s="2" t="s">
        <v>1461</v>
      </c>
      <c r="E423" s="215">
        <v>0</v>
      </c>
      <c r="F423" s="215">
        <v>0</v>
      </c>
      <c r="G423" s="215">
        <v>0</v>
      </c>
      <c r="H423" s="215">
        <v>0</v>
      </c>
      <c r="I423" s="215">
        <v>0</v>
      </c>
      <c r="J423" s="215">
        <v>0</v>
      </c>
      <c r="K423" s="215">
        <v>0</v>
      </c>
      <c r="L423" s="215">
        <v>0</v>
      </c>
      <c r="M423" s="215">
        <v>0</v>
      </c>
      <c r="N423" s="215">
        <v>0</v>
      </c>
      <c r="O423" s="215">
        <v>0</v>
      </c>
      <c r="P423" s="215">
        <v>0</v>
      </c>
      <c r="Q423" s="215">
        <v>0</v>
      </c>
    </row>
    <row r="424" spans="2:17" x14ac:dyDescent="0.3">
      <c r="B424" s="259">
        <f t="shared" si="6"/>
        <v>0</v>
      </c>
      <c r="D424" s="2" t="s">
        <v>1462</v>
      </c>
      <c r="E424" s="215">
        <v>0</v>
      </c>
      <c r="F424" s="215">
        <v>0</v>
      </c>
      <c r="G424" s="215">
        <v>0</v>
      </c>
      <c r="H424" s="215">
        <v>0</v>
      </c>
      <c r="I424" s="215">
        <v>0</v>
      </c>
      <c r="J424" s="215">
        <v>0</v>
      </c>
      <c r="K424" s="215">
        <v>0</v>
      </c>
      <c r="L424" s="215">
        <v>0</v>
      </c>
      <c r="M424" s="215">
        <v>0</v>
      </c>
      <c r="N424" s="215">
        <v>0</v>
      </c>
      <c r="O424" s="215">
        <v>0</v>
      </c>
      <c r="P424" s="215">
        <v>0</v>
      </c>
      <c r="Q424" s="215">
        <v>0</v>
      </c>
    </row>
    <row r="425" spans="2:17" x14ac:dyDescent="0.3">
      <c r="B425" s="259">
        <f t="shared" si="6"/>
        <v>0</v>
      </c>
      <c r="D425" s="2" t="s">
        <v>1463</v>
      </c>
      <c r="E425" s="215">
        <v>0</v>
      </c>
      <c r="F425" s="215">
        <v>0</v>
      </c>
      <c r="G425" s="215">
        <v>0</v>
      </c>
      <c r="H425" s="215">
        <v>0</v>
      </c>
      <c r="I425" s="215">
        <v>0</v>
      </c>
      <c r="J425" s="215">
        <v>0</v>
      </c>
      <c r="K425" s="215">
        <v>0</v>
      </c>
      <c r="L425" s="215">
        <v>0</v>
      </c>
      <c r="M425" s="215">
        <v>0</v>
      </c>
      <c r="N425" s="215">
        <v>0</v>
      </c>
      <c r="O425" s="215">
        <v>0</v>
      </c>
      <c r="P425" s="215">
        <v>0</v>
      </c>
      <c r="Q425" s="215">
        <v>0</v>
      </c>
    </row>
    <row r="426" spans="2:17" x14ac:dyDescent="0.3">
      <c r="B426" s="259">
        <f t="shared" si="6"/>
        <v>0</v>
      </c>
      <c r="D426" s="2" t="s">
        <v>1464</v>
      </c>
      <c r="E426" s="215">
        <v>0</v>
      </c>
      <c r="F426" s="215">
        <v>0</v>
      </c>
      <c r="G426" s="215">
        <v>0</v>
      </c>
      <c r="H426" s="215">
        <v>0</v>
      </c>
      <c r="I426" s="215">
        <v>0</v>
      </c>
      <c r="J426" s="215">
        <v>0</v>
      </c>
      <c r="K426" s="215">
        <v>0</v>
      </c>
      <c r="L426" s="215">
        <v>0</v>
      </c>
      <c r="M426" s="215">
        <v>0</v>
      </c>
      <c r="N426" s="215">
        <v>0</v>
      </c>
      <c r="O426" s="215">
        <v>0</v>
      </c>
      <c r="P426" s="215">
        <v>0</v>
      </c>
      <c r="Q426" s="215">
        <v>0</v>
      </c>
    </row>
    <row r="427" spans="2:17" x14ac:dyDescent="0.3">
      <c r="B427" s="259">
        <f t="shared" si="6"/>
        <v>0</v>
      </c>
      <c r="D427" s="2" t="s">
        <v>1465</v>
      </c>
      <c r="E427" s="215">
        <v>0</v>
      </c>
      <c r="F427" s="215">
        <v>0</v>
      </c>
      <c r="G427" s="215">
        <v>0</v>
      </c>
      <c r="H427" s="215">
        <v>0</v>
      </c>
      <c r="I427" s="215">
        <v>0</v>
      </c>
      <c r="J427" s="215">
        <v>0</v>
      </c>
      <c r="K427" s="215">
        <v>0</v>
      </c>
      <c r="L427" s="215">
        <v>0</v>
      </c>
      <c r="M427" s="215">
        <v>0</v>
      </c>
      <c r="N427" s="215">
        <v>0</v>
      </c>
      <c r="O427" s="215">
        <v>0</v>
      </c>
      <c r="P427" s="215">
        <v>0</v>
      </c>
      <c r="Q427" s="215">
        <v>0</v>
      </c>
    </row>
    <row r="428" spans="2:17" x14ac:dyDescent="0.3">
      <c r="B428" s="259">
        <f t="shared" si="6"/>
        <v>0</v>
      </c>
      <c r="D428" s="2" t="s">
        <v>1466</v>
      </c>
      <c r="E428" s="215">
        <v>0</v>
      </c>
      <c r="F428" s="215">
        <v>0</v>
      </c>
      <c r="G428" s="215">
        <v>0</v>
      </c>
      <c r="H428" s="215">
        <v>0</v>
      </c>
      <c r="I428" s="215">
        <v>0</v>
      </c>
      <c r="J428" s="215">
        <v>0</v>
      </c>
      <c r="K428" s="215">
        <v>0</v>
      </c>
      <c r="L428" s="215">
        <v>0</v>
      </c>
      <c r="M428" s="215">
        <v>0</v>
      </c>
      <c r="N428" s="215">
        <v>0</v>
      </c>
      <c r="O428" s="215">
        <v>0</v>
      </c>
      <c r="P428" s="215">
        <v>0</v>
      </c>
      <c r="Q428" s="215">
        <v>0</v>
      </c>
    </row>
    <row r="429" spans="2:17" x14ac:dyDescent="0.3">
      <c r="B429" s="259">
        <f t="shared" si="6"/>
        <v>0</v>
      </c>
      <c r="D429" s="2" t="s">
        <v>1467</v>
      </c>
      <c r="E429" s="215">
        <v>0</v>
      </c>
      <c r="F429" s="215">
        <v>0</v>
      </c>
      <c r="G429" s="215">
        <v>0</v>
      </c>
      <c r="H429" s="215">
        <v>0</v>
      </c>
      <c r="I429" s="215">
        <v>0</v>
      </c>
      <c r="J429" s="215">
        <v>0</v>
      </c>
      <c r="K429" s="215">
        <v>0</v>
      </c>
      <c r="L429" s="215">
        <v>0</v>
      </c>
      <c r="M429" s="215">
        <v>0</v>
      </c>
      <c r="N429" s="215">
        <v>0</v>
      </c>
      <c r="O429" s="215">
        <v>0</v>
      </c>
      <c r="P429" s="215">
        <v>0</v>
      </c>
      <c r="Q429" s="215">
        <v>0</v>
      </c>
    </row>
    <row r="430" spans="2:17" x14ac:dyDescent="0.3">
      <c r="B430" s="259">
        <f t="shared" si="6"/>
        <v>0</v>
      </c>
      <c r="D430" s="2" t="s">
        <v>1468</v>
      </c>
      <c r="E430" s="215">
        <v>0</v>
      </c>
      <c r="F430" s="215">
        <v>0</v>
      </c>
      <c r="G430" s="215">
        <v>0</v>
      </c>
      <c r="H430" s="215">
        <v>0</v>
      </c>
      <c r="I430" s="215">
        <v>0</v>
      </c>
      <c r="J430" s="215">
        <v>0</v>
      </c>
      <c r="K430" s="215">
        <v>0</v>
      </c>
      <c r="L430" s="215">
        <v>0</v>
      </c>
      <c r="M430" s="215">
        <v>0</v>
      </c>
      <c r="N430" s="215">
        <v>0</v>
      </c>
      <c r="O430" s="215">
        <v>0</v>
      </c>
      <c r="P430" s="215">
        <v>0</v>
      </c>
      <c r="Q430" s="215">
        <v>0</v>
      </c>
    </row>
    <row r="431" spans="2:17" x14ac:dyDescent="0.3">
      <c r="B431" s="259">
        <f t="shared" si="6"/>
        <v>0</v>
      </c>
      <c r="D431" s="2" t="s">
        <v>1469</v>
      </c>
      <c r="E431" s="215">
        <v>0</v>
      </c>
      <c r="F431" s="215">
        <v>0</v>
      </c>
      <c r="G431" s="215">
        <v>0</v>
      </c>
      <c r="H431" s="215">
        <v>0</v>
      </c>
      <c r="I431" s="215">
        <v>0</v>
      </c>
      <c r="J431" s="215">
        <v>0</v>
      </c>
      <c r="K431" s="215">
        <v>0</v>
      </c>
      <c r="L431" s="215">
        <v>0</v>
      </c>
      <c r="M431" s="215">
        <v>0</v>
      </c>
      <c r="N431" s="215">
        <v>0</v>
      </c>
      <c r="O431" s="215">
        <v>0</v>
      </c>
      <c r="P431" s="215">
        <v>0</v>
      </c>
      <c r="Q431" s="215">
        <v>0</v>
      </c>
    </row>
    <row r="432" spans="2:17" x14ac:dyDescent="0.3">
      <c r="B432" s="259">
        <f t="shared" si="6"/>
        <v>0</v>
      </c>
      <c r="D432" s="2" t="s">
        <v>396</v>
      </c>
      <c r="E432" s="215">
        <v>0</v>
      </c>
      <c r="F432" s="215">
        <v>0</v>
      </c>
      <c r="G432" s="215">
        <v>0</v>
      </c>
      <c r="H432" s="215">
        <v>0</v>
      </c>
      <c r="I432" s="215">
        <v>0</v>
      </c>
      <c r="J432" s="215">
        <v>0</v>
      </c>
      <c r="K432" s="215">
        <v>0</v>
      </c>
      <c r="L432" s="215">
        <v>0</v>
      </c>
      <c r="M432" s="215">
        <v>0</v>
      </c>
      <c r="N432" s="215">
        <v>0</v>
      </c>
      <c r="O432" s="215">
        <v>0</v>
      </c>
      <c r="P432" s="215">
        <v>0</v>
      </c>
      <c r="Q432" s="215">
        <v>0</v>
      </c>
    </row>
    <row r="433" spans="2:18" x14ac:dyDescent="0.3">
      <c r="B433" s="259">
        <f t="shared" si="6"/>
        <v>13023623.093333334</v>
      </c>
      <c r="D433" s="2" t="s">
        <v>398</v>
      </c>
      <c r="E433" s="215">
        <v>79903.81</v>
      </c>
      <c r="F433" s="215">
        <v>79954.289999999994</v>
      </c>
      <c r="G433" s="215">
        <v>50825.24</v>
      </c>
      <c r="H433" s="215">
        <v>77430.03</v>
      </c>
      <c r="I433" s="215">
        <v>80136.17</v>
      </c>
      <c r="J433" s="215">
        <v>77438.01999999999</v>
      </c>
      <c r="K433" s="215">
        <v>77438.01999999999</v>
      </c>
      <c r="L433" s="215">
        <v>77438.01999999999</v>
      </c>
      <c r="M433" s="215">
        <v>77438.01999999999</v>
      </c>
      <c r="N433" s="215">
        <v>44334145.719999999</v>
      </c>
      <c r="O433" s="215">
        <v>44452783.119999997</v>
      </c>
      <c r="P433" s="215">
        <v>44563597.959999993</v>
      </c>
      <c r="Q433" s="215">
        <v>44589801.209999993</v>
      </c>
      <c r="R433" t="s">
        <v>1963</v>
      </c>
    </row>
    <row r="434" spans="2:18" x14ac:dyDescent="0.3">
      <c r="B434" s="259">
        <f t="shared" si="6"/>
        <v>2217.5700000000002</v>
      </c>
      <c r="D434" s="2" t="s">
        <v>400</v>
      </c>
      <c r="E434" s="215">
        <v>1952.77</v>
      </c>
      <c r="F434" s="215">
        <v>1952.77</v>
      </c>
      <c r="G434" s="215">
        <v>1952.77</v>
      </c>
      <c r="H434" s="215">
        <v>1952.77</v>
      </c>
      <c r="I434" s="215">
        <v>1952.77</v>
      </c>
      <c r="J434" s="215">
        <v>2376.4499999999998</v>
      </c>
      <c r="K434" s="215">
        <v>2376.4499999999998</v>
      </c>
      <c r="L434" s="215">
        <v>2376.4499999999998</v>
      </c>
      <c r="M434" s="215">
        <v>2376.4499999999998</v>
      </c>
      <c r="N434" s="215">
        <v>2376.4499999999998</v>
      </c>
      <c r="O434" s="215">
        <v>2376.4499999999998</v>
      </c>
      <c r="P434" s="215">
        <v>2376.4499999999998</v>
      </c>
      <c r="Q434" s="215">
        <v>2376.4499999999998</v>
      </c>
    </row>
    <row r="435" spans="2:18" x14ac:dyDescent="0.3">
      <c r="B435" s="259">
        <f t="shared" si="6"/>
        <v>0</v>
      </c>
      <c r="D435" s="2" t="s">
        <v>402</v>
      </c>
      <c r="E435" s="215">
        <v>0</v>
      </c>
      <c r="F435" s="215">
        <v>0</v>
      </c>
      <c r="G435" s="215">
        <v>0</v>
      </c>
      <c r="H435" s="215">
        <v>0</v>
      </c>
      <c r="I435" s="215">
        <v>0</v>
      </c>
      <c r="J435" s="215">
        <v>0</v>
      </c>
      <c r="K435" s="215">
        <v>0</v>
      </c>
      <c r="L435" s="215">
        <v>0</v>
      </c>
      <c r="M435" s="215">
        <v>0</v>
      </c>
      <c r="N435" s="215">
        <v>0</v>
      </c>
      <c r="O435" s="215">
        <v>0</v>
      </c>
      <c r="P435" s="215">
        <v>0</v>
      </c>
      <c r="Q435" s="215">
        <v>0</v>
      </c>
    </row>
    <row r="436" spans="2:18" x14ac:dyDescent="0.3">
      <c r="B436" s="259">
        <f t="shared" si="6"/>
        <v>0</v>
      </c>
      <c r="D436" s="2" t="s">
        <v>1470</v>
      </c>
      <c r="E436" s="215">
        <v>0</v>
      </c>
      <c r="F436" s="215">
        <v>0</v>
      </c>
      <c r="G436" s="215">
        <v>0</v>
      </c>
      <c r="H436" s="215">
        <v>0</v>
      </c>
      <c r="I436" s="215">
        <v>0</v>
      </c>
      <c r="J436" s="215">
        <v>0</v>
      </c>
      <c r="K436" s="215">
        <v>0</v>
      </c>
      <c r="L436" s="215">
        <v>0</v>
      </c>
      <c r="M436" s="215">
        <v>0</v>
      </c>
      <c r="N436" s="215">
        <v>0</v>
      </c>
      <c r="O436" s="215">
        <v>0</v>
      </c>
      <c r="P436" s="215">
        <v>0</v>
      </c>
      <c r="Q436" s="215">
        <v>0</v>
      </c>
    </row>
    <row r="437" spans="2:18" x14ac:dyDescent="0.3">
      <c r="B437" s="259">
        <f t="shared" si="6"/>
        <v>0</v>
      </c>
      <c r="D437" s="2" t="s">
        <v>1471</v>
      </c>
      <c r="E437" s="215">
        <v>0</v>
      </c>
      <c r="F437" s="215">
        <v>0</v>
      </c>
      <c r="G437" s="215">
        <v>0</v>
      </c>
      <c r="H437" s="215">
        <v>0</v>
      </c>
      <c r="I437" s="215">
        <v>0</v>
      </c>
      <c r="J437" s="215">
        <v>0</v>
      </c>
      <c r="K437" s="215">
        <v>0</v>
      </c>
      <c r="L437" s="215">
        <v>0</v>
      </c>
      <c r="M437" s="215">
        <v>0</v>
      </c>
      <c r="N437" s="215">
        <v>0</v>
      </c>
      <c r="O437" s="215">
        <v>0</v>
      </c>
      <c r="P437" s="215">
        <v>0</v>
      </c>
      <c r="Q437" s="215">
        <v>0</v>
      </c>
    </row>
    <row r="438" spans="2:18" x14ac:dyDescent="0.3">
      <c r="B438" s="259">
        <f t="shared" si="6"/>
        <v>41160201.408333324</v>
      </c>
      <c r="D438" s="2" t="s">
        <v>404</v>
      </c>
      <c r="E438" s="215">
        <v>275434.15999999997</v>
      </c>
      <c r="F438" s="215">
        <v>275487.56</v>
      </c>
      <c r="G438" s="215">
        <v>275569.74</v>
      </c>
      <c r="H438" s="215">
        <v>275445.74</v>
      </c>
      <c r="I438" s="215">
        <v>275426.74999999994</v>
      </c>
      <c r="J438" s="215">
        <v>268854.42</v>
      </c>
      <c r="K438" s="215">
        <v>269160.50999999995</v>
      </c>
      <c r="L438" s="215">
        <v>269149.69999999995</v>
      </c>
      <c r="M438" s="215">
        <v>269147.8</v>
      </c>
      <c r="N438" s="215">
        <v>95810922.819999993</v>
      </c>
      <c r="O438" s="215">
        <v>157866849.32999998</v>
      </c>
      <c r="P438" s="215">
        <v>158383072.82999998</v>
      </c>
      <c r="Q438" s="215">
        <v>159091225.23999998</v>
      </c>
      <c r="R438" t="s">
        <v>1963</v>
      </c>
    </row>
    <row r="439" spans="2:18" x14ac:dyDescent="0.3">
      <c r="B439" s="259">
        <f t="shared" si="6"/>
        <v>61310.670000000006</v>
      </c>
      <c r="D439" s="2" t="s">
        <v>1472</v>
      </c>
      <c r="E439" s="215">
        <v>61310.669999999991</v>
      </c>
      <c r="F439" s="215">
        <v>61310.669999999991</v>
      </c>
      <c r="G439" s="215">
        <v>61310.669999999991</v>
      </c>
      <c r="H439" s="215">
        <v>61310.669999999991</v>
      </c>
      <c r="I439" s="215">
        <v>61310.669999999991</v>
      </c>
      <c r="J439" s="215">
        <v>61310.669999999991</v>
      </c>
      <c r="K439" s="215">
        <v>61310.669999999991</v>
      </c>
      <c r="L439" s="215">
        <v>61310.669999999991</v>
      </c>
      <c r="M439" s="215">
        <v>61310.669999999991</v>
      </c>
      <c r="N439" s="215">
        <v>61310.669999999991</v>
      </c>
      <c r="O439" s="215">
        <v>61310.669999999991</v>
      </c>
      <c r="P439" s="215">
        <v>61310.669999999991</v>
      </c>
      <c r="Q439" s="215">
        <v>61310.669999999991</v>
      </c>
    </row>
    <row r="440" spans="2:18" x14ac:dyDescent="0.3">
      <c r="B440" s="259">
        <f t="shared" si="6"/>
        <v>6739036.0537500009</v>
      </c>
      <c r="D440" s="2" t="s">
        <v>406</v>
      </c>
      <c r="E440" s="215">
        <v>5099694.42</v>
      </c>
      <c r="F440" s="215">
        <v>5114942.13</v>
      </c>
      <c r="G440" s="215">
        <v>5126009.72</v>
      </c>
      <c r="H440" s="215">
        <v>5137259.1499999994</v>
      </c>
      <c r="I440" s="215">
        <v>5253547.68</v>
      </c>
      <c r="J440" s="215">
        <v>6093622.9100000001</v>
      </c>
      <c r="K440" s="215">
        <v>6818462.9000000004</v>
      </c>
      <c r="L440" s="215">
        <v>6835519.9500000002</v>
      </c>
      <c r="M440" s="215">
        <v>6857500.8600000003</v>
      </c>
      <c r="N440" s="215">
        <v>7846530.5900000008</v>
      </c>
      <c r="O440" s="215">
        <v>7889909.4600000009</v>
      </c>
      <c r="P440" s="215">
        <v>10212889.120000001</v>
      </c>
      <c r="Q440" s="215">
        <v>10264781.93</v>
      </c>
    </row>
    <row r="441" spans="2:18" x14ac:dyDescent="0.3">
      <c r="B441" s="259">
        <f t="shared" si="6"/>
        <v>1650120.3387500001</v>
      </c>
      <c r="D441" s="2" t="s">
        <v>408</v>
      </c>
      <c r="E441" s="215">
        <v>1544834.15</v>
      </c>
      <c r="F441" s="215">
        <v>1555529.44</v>
      </c>
      <c r="G441" s="215">
        <v>1562295.28</v>
      </c>
      <c r="H441" s="215">
        <v>1573310.32</v>
      </c>
      <c r="I441" s="215">
        <v>1603629.12</v>
      </c>
      <c r="J441" s="215">
        <v>1610708.8</v>
      </c>
      <c r="K441" s="215">
        <v>1608574.55</v>
      </c>
      <c r="L441" s="215">
        <v>1616939.0300000003</v>
      </c>
      <c r="M441" s="215">
        <v>1649413.96</v>
      </c>
      <c r="N441" s="215">
        <v>1657735.4700000002</v>
      </c>
      <c r="O441" s="215">
        <v>1664177.6600000001</v>
      </c>
      <c r="P441" s="215">
        <v>1904526.83</v>
      </c>
      <c r="Q441" s="215">
        <v>2044373.06</v>
      </c>
    </row>
    <row r="442" spans="2:18" x14ac:dyDescent="0.3">
      <c r="B442" s="259">
        <f t="shared" si="6"/>
        <v>621031.10625000007</v>
      </c>
      <c r="D442" s="2" t="s">
        <v>410</v>
      </c>
      <c r="E442" s="215">
        <v>475541.9</v>
      </c>
      <c r="F442" s="215">
        <v>618250.49</v>
      </c>
      <c r="G442" s="215">
        <v>620331.29</v>
      </c>
      <c r="H442" s="215">
        <v>622492</v>
      </c>
      <c r="I442" s="215">
        <v>624572.82000000007</v>
      </c>
      <c r="J442" s="215">
        <v>626653.76</v>
      </c>
      <c r="K442" s="215">
        <v>629294.9</v>
      </c>
      <c r="L442" s="215">
        <v>631455.83000000007</v>
      </c>
      <c r="M442" s="215">
        <v>631455.83000000007</v>
      </c>
      <c r="N442" s="215">
        <v>631455.83000000007</v>
      </c>
      <c r="O442" s="215">
        <v>631455.83000000007</v>
      </c>
      <c r="P442" s="215">
        <v>631455.83000000007</v>
      </c>
      <c r="Q442" s="215">
        <v>631455.83000000007</v>
      </c>
    </row>
    <row r="443" spans="2:18" x14ac:dyDescent="0.3">
      <c r="B443" s="259">
        <f t="shared" si="6"/>
        <v>2098930.8129166667</v>
      </c>
      <c r="D443" s="2" t="s">
        <v>1054</v>
      </c>
      <c r="E443" s="215">
        <v>1308320.6600000001</v>
      </c>
      <c r="F443" s="215">
        <v>1315650.5000000002</v>
      </c>
      <c r="G443" s="215">
        <v>1317153.1700000002</v>
      </c>
      <c r="H443" s="215">
        <v>1318891.7700000003</v>
      </c>
      <c r="I443" s="215">
        <v>1319667.2100000002</v>
      </c>
      <c r="J443" s="215">
        <v>1320724.9900000002</v>
      </c>
      <c r="K443" s="215">
        <v>1670421.0500000003</v>
      </c>
      <c r="L443" s="215">
        <v>2864879.5700000003</v>
      </c>
      <c r="M443" s="215">
        <v>2914845.3400000003</v>
      </c>
      <c r="N443" s="215">
        <v>2958573.6900000004</v>
      </c>
      <c r="O443" s="215">
        <v>2966772.2500000005</v>
      </c>
      <c r="P443" s="215">
        <v>3042254.8100000005</v>
      </c>
      <c r="Q443" s="215">
        <v>3046350.1500000004</v>
      </c>
    </row>
    <row r="444" spans="2:18" x14ac:dyDescent="0.3">
      <c r="B444" s="259">
        <f t="shared" si="6"/>
        <v>174.46</v>
      </c>
      <c r="D444" s="2" t="s">
        <v>1473</v>
      </c>
      <c r="E444" s="215">
        <v>174.46</v>
      </c>
      <c r="F444" s="215">
        <v>174.46</v>
      </c>
      <c r="G444" s="215">
        <v>174.46</v>
      </c>
      <c r="H444" s="215">
        <v>174.46</v>
      </c>
      <c r="I444" s="215">
        <v>174.46</v>
      </c>
      <c r="J444" s="215">
        <v>174.46</v>
      </c>
      <c r="K444" s="215">
        <v>174.46</v>
      </c>
      <c r="L444" s="215">
        <v>174.46</v>
      </c>
      <c r="M444" s="215">
        <v>174.46</v>
      </c>
      <c r="N444" s="215">
        <v>174.46</v>
      </c>
      <c r="O444" s="215">
        <v>174.46</v>
      </c>
      <c r="P444" s="215">
        <v>174.46</v>
      </c>
      <c r="Q444" s="215">
        <v>174.46</v>
      </c>
    </row>
    <row r="445" spans="2:18" x14ac:dyDescent="0.3">
      <c r="B445" s="259">
        <f t="shared" si="6"/>
        <v>-14236237.534166669</v>
      </c>
      <c r="D445" s="2" t="s">
        <v>412</v>
      </c>
      <c r="E445" s="215">
        <v>-8593299.5</v>
      </c>
      <c r="F445" s="215">
        <v>-8593299.5</v>
      </c>
      <c r="G445" s="215">
        <v>-8593299.5</v>
      </c>
      <c r="H445" s="215">
        <v>-11833343.34</v>
      </c>
      <c r="I445" s="215">
        <v>-11833343.34</v>
      </c>
      <c r="J445" s="215">
        <v>-11833343.34</v>
      </c>
      <c r="K445" s="215">
        <v>-15071155.710000001</v>
      </c>
      <c r="L445" s="215">
        <v>-15071155.710000001</v>
      </c>
      <c r="M445" s="215">
        <v>-15071155.710000001</v>
      </c>
      <c r="N445" s="215">
        <v>-19020042.870000001</v>
      </c>
      <c r="O445" s="215">
        <v>-19020042.870000001</v>
      </c>
      <c r="P445" s="215">
        <v>-19020042.870000001</v>
      </c>
      <c r="Q445" s="215">
        <v>-23155951.800000001</v>
      </c>
    </row>
    <row r="446" spans="2:18" x14ac:dyDescent="0.3">
      <c r="B446" s="259">
        <f t="shared" si="6"/>
        <v>-85122.235416666605</v>
      </c>
      <c r="D446" s="2" t="s">
        <v>414</v>
      </c>
      <c r="E446" s="215">
        <v>-89137.559999999939</v>
      </c>
      <c r="F446" s="215">
        <v>-88961.559999999939</v>
      </c>
      <c r="G446" s="215">
        <v>-88812.619999999937</v>
      </c>
      <c r="H446" s="215">
        <v>-88636.609999999928</v>
      </c>
      <c r="I446" s="215">
        <v>-88480.149999999936</v>
      </c>
      <c r="J446" s="215">
        <v>-86761.259999999937</v>
      </c>
      <c r="K446" s="215">
        <v>-85662.119999999937</v>
      </c>
      <c r="L446" s="215">
        <v>-82439.269999999931</v>
      </c>
      <c r="M446" s="215">
        <v>-82067.93999999993</v>
      </c>
      <c r="N446" s="215">
        <v>-81794.559999999939</v>
      </c>
      <c r="O446" s="215">
        <v>-81638.089999999938</v>
      </c>
      <c r="P446" s="215">
        <v>-81095.909999999931</v>
      </c>
      <c r="Q446" s="215">
        <v>-81095.909999999931</v>
      </c>
    </row>
    <row r="447" spans="2:18" x14ac:dyDescent="0.3">
      <c r="B447" s="259">
        <f t="shared" si="6"/>
        <v>5749455.7404166656</v>
      </c>
      <c r="D447" s="2" t="s">
        <v>416</v>
      </c>
      <c r="E447" s="215">
        <v>3521762.8099999996</v>
      </c>
      <c r="F447" s="215">
        <v>3786931.61</v>
      </c>
      <c r="G447" s="215">
        <v>4155667.88</v>
      </c>
      <c r="H447" s="215">
        <v>4576308.2999999989</v>
      </c>
      <c r="I447" s="215">
        <v>4889027.63</v>
      </c>
      <c r="J447" s="215">
        <v>5272729.4300000006</v>
      </c>
      <c r="K447" s="215">
        <v>5746395.5999999987</v>
      </c>
      <c r="L447" s="215">
        <v>6132682.1499999985</v>
      </c>
      <c r="M447" s="215">
        <v>6547585.5499999998</v>
      </c>
      <c r="N447" s="215">
        <v>6867079.0199999996</v>
      </c>
      <c r="O447" s="215">
        <v>7350688.0999999987</v>
      </c>
      <c r="P447" s="215">
        <v>7824932.1199999992</v>
      </c>
      <c r="Q447" s="215">
        <v>8165120.1799999988</v>
      </c>
    </row>
    <row r="448" spans="2:18" x14ac:dyDescent="0.3">
      <c r="B448" s="259">
        <f t="shared" si="6"/>
        <v>6411287.4466666626</v>
      </c>
      <c r="D448" s="2" t="s">
        <v>418</v>
      </c>
      <c r="E448" s="215">
        <v>4542952.8</v>
      </c>
      <c r="F448" s="215">
        <v>4042139.8999999994</v>
      </c>
      <c r="G448" s="215">
        <v>4415189.4099999992</v>
      </c>
      <c r="H448" s="215">
        <v>5686150.9999999981</v>
      </c>
      <c r="I448" s="215">
        <v>5300989.2299999986</v>
      </c>
      <c r="J448" s="215">
        <v>5655383.4299999978</v>
      </c>
      <c r="K448" s="215">
        <v>7371400.8999999966</v>
      </c>
      <c r="L448" s="215">
        <v>6454050.4499999955</v>
      </c>
      <c r="M448" s="215">
        <v>6906107.8899999969</v>
      </c>
      <c r="N448" s="215">
        <v>8192658.1899999958</v>
      </c>
      <c r="O448" s="215">
        <v>7668464.9199999962</v>
      </c>
      <c r="P448" s="215">
        <v>8133997.8599999957</v>
      </c>
      <c r="Q448" s="215">
        <v>9674879.5599999968</v>
      </c>
    </row>
    <row r="449" spans="2:17" x14ac:dyDescent="0.3">
      <c r="B449" s="259">
        <f t="shared" si="6"/>
        <v>891190.11125000007</v>
      </c>
      <c r="D449" s="2" t="s">
        <v>420</v>
      </c>
      <c r="E449" s="215">
        <v>600383.66000000015</v>
      </c>
      <c r="F449" s="215">
        <v>658070.77000000025</v>
      </c>
      <c r="G449" s="215">
        <v>687620.05000000016</v>
      </c>
      <c r="H449" s="215">
        <v>736956.76000000024</v>
      </c>
      <c r="I449" s="215">
        <v>774572.31000000017</v>
      </c>
      <c r="J449" s="215">
        <v>805828.44000000018</v>
      </c>
      <c r="K449" s="215">
        <v>896136.30000000016</v>
      </c>
      <c r="L449" s="215">
        <v>911416.80000000016</v>
      </c>
      <c r="M449" s="215">
        <v>974058.85000000021</v>
      </c>
      <c r="N449" s="215">
        <v>1041932.2900000002</v>
      </c>
      <c r="O449" s="215">
        <v>1099987.43</v>
      </c>
      <c r="P449" s="215">
        <v>1185077.28</v>
      </c>
      <c r="Q449" s="215">
        <v>1244864.4500000002</v>
      </c>
    </row>
    <row r="450" spans="2:17" x14ac:dyDescent="0.3">
      <c r="B450" s="259">
        <f t="shared" si="6"/>
        <v>21929471.654583335</v>
      </c>
      <c r="D450" s="2" t="s">
        <v>422</v>
      </c>
      <c r="E450" s="215">
        <v>10989968.02</v>
      </c>
      <c r="F450" s="215">
        <v>12051934.190000001</v>
      </c>
      <c r="G450" s="215">
        <v>14355034.170000002</v>
      </c>
      <c r="H450" s="215">
        <v>14305061.98</v>
      </c>
      <c r="I450" s="215">
        <v>16585121.959999999</v>
      </c>
      <c r="J450" s="215">
        <v>20136917.340000004</v>
      </c>
      <c r="K450" s="215">
        <v>21639731.840000004</v>
      </c>
      <c r="L450" s="215">
        <v>23426354.220000003</v>
      </c>
      <c r="M450" s="215">
        <v>26356828.149999995</v>
      </c>
      <c r="N450" s="215">
        <v>28192347.049999997</v>
      </c>
      <c r="O450" s="215">
        <v>30687676.699999996</v>
      </c>
      <c r="P450" s="215">
        <v>32649490.289999999</v>
      </c>
      <c r="Q450" s="215">
        <v>34544355.910000004</v>
      </c>
    </row>
    <row r="451" spans="2:17" x14ac:dyDescent="0.3">
      <c r="B451" s="259">
        <f t="shared" si="6"/>
        <v>4767219.0637499988</v>
      </c>
      <c r="D451" s="2" t="s">
        <v>424</v>
      </c>
      <c r="E451" s="215">
        <v>3462240.88</v>
      </c>
      <c r="F451" s="215">
        <v>2100667.0999999992</v>
      </c>
      <c r="G451" s="215">
        <v>2499467.7399999993</v>
      </c>
      <c r="H451" s="215">
        <v>4342113.7899999991</v>
      </c>
      <c r="I451" s="215">
        <v>3108917.8199999984</v>
      </c>
      <c r="J451" s="215">
        <v>3525590.9499999993</v>
      </c>
      <c r="K451" s="215">
        <v>5800954.7699999986</v>
      </c>
      <c r="L451" s="215">
        <v>4762741.959999999</v>
      </c>
      <c r="M451" s="215">
        <v>4882195.59</v>
      </c>
      <c r="N451" s="215">
        <v>7437296.9199999999</v>
      </c>
      <c r="O451" s="215">
        <v>6272634.4800000004</v>
      </c>
      <c r="P451" s="215">
        <v>6310309.2199999997</v>
      </c>
      <c r="Q451" s="215">
        <v>8865235.9699999988</v>
      </c>
    </row>
    <row r="452" spans="2:17" x14ac:dyDescent="0.3">
      <c r="B452" s="259">
        <f t="shared" si="6"/>
        <v>22676895.47708334</v>
      </c>
      <c r="D452" s="2" t="s">
        <v>426</v>
      </c>
      <c r="E452" s="215">
        <v>16940601.850000009</v>
      </c>
      <c r="F452" s="215">
        <v>16765973.560000006</v>
      </c>
      <c r="G452" s="215">
        <v>17118756.690000005</v>
      </c>
      <c r="H452" s="215">
        <v>17868279.380000006</v>
      </c>
      <c r="I452" s="215">
        <v>18009227.550000004</v>
      </c>
      <c r="J452" s="215">
        <v>21116572.74000001</v>
      </c>
      <c r="K452" s="215">
        <v>24072428.430000007</v>
      </c>
      <c r="L452" s="215">
        <v>23877708.730000008</v>
      </c>
      <c r="M452" s="215">
        <v>24960574.330000009</v>
      </c>
      <c r="N452" s="215">
        <v>27136349.120000008</v>
      </c>
      <c r="O452" s="215">
        <v>27731710.440000005</v>
      </c>
      <c r="P452" s="215">
        <v>29128030.160000004</v>
      </c>
      <c r="Q452" s="215">
        <v>31733667.340000007</v>
      </c>
    </row>
    <row r="453" spans="2:17" x14ac:dyDescent="0.3">
      <c r="B453" s="259">
        <f t="shared" si="6"/>
        <v>16937534.618333332</v>
      </c>
      <c r="D453" s="2" t="s">
        <v>428</v>
      </c>
      <c r="E453" s="215">
        <v>11437921.839999998</v>
      </c>
      <c r="F453" s="215">
        <v>12248053.420000002</v>
      </c>
      <c r="G453" s="215">
        <v>13012835.880000001</v>
      </c>
      <c r="H453" s="215">
        <v>14074548.27</v>
      </c>
      <c r="I453" s="215">
        <v>14677652.92</v>
      </c>
      <c r="J453" s="215">
        <v>16026360.300000001</v>
      </c>
      <c r="K453" s="215">
        <v>17137827.450000003</v>
      </c>
      <c r="L453" s="215">
        <v>17318197.510000002</v>
      </c>
      <c r="M453" s="215">
        <v>18622642.790000003</v>
      </c>
      <c r="N453" s="215">
        <v>19760979.530000005</v>
      </c>
      <c r="O453" s="215">
        <v>20929730.359999999</v>
      </c>
      <c r="P453" s="215">
        <v>22037006.390000001</v>
      </c>
      <c r="Q453" s="215">
        <v>23371239.360000003</v>
      </c>
    </row>
    <row r="454" spans="2:17" x14ac:dyDescent="0.3">
      <c r="B454" s="259">
        <f t="shared" si="6"/>
        <v>6083045.1699999981</v>
      </c>
      <c r="D454" s="2" t="s">
        <v>430</v>
      </c>
      <c r="E454" s="215">
        <v>6310739.6999999993</v>
      </c>
      <c r="F454" s="215">
        <v>6472117.4899999993</v>
      </c>
      <c r="G454" s="215">
        <v>6475217.1799999988</v>
      </c>
      <c r="H454" s="215">
        <v>6456228.0799999991</v>
      </c>
      <c r="I454" s="215">
        <v>6458921.1999999983</v>
      </c>
      <c r="J454" s="215">
        <v>6821112.3099999987</v>
      </c>
      <c r="K454" s="215">
        <v>5786309.3499999987</v>
      </c>
      <c r="L454" s="215">
        <v>5790865.9499999983</v>
      </c>
      <c r="M454" s="215">
        <v>5723202.8199999984</v>
      </c>
      <c r="N454" s="215">
        <v>5699560.0099999988</v>
      </c>
      <c r="O454" s="215">
        <v>5711205.5799999991</v>
      </c>
      <c r="P454" s="215">
        <v>5703723.2999999989</v>
      </c>
      <c r="Q454" s="215">
        <v>5485417.8399999989</v>
      </c>
    </row>
    <row r="455" spans="2:17" x14ac:dyDescent="0.3">
      <c r="B455" s="259">
        <f t="shared" ref="B455:B518" si="7">(E455+Q455+SUM(F455:P455)*2)/24</f>
        <v>435418.28999999986</v>
      </c>
      <c r="D455" s="2" t="s">
        <v>432</v>
      </c>
      <c r="E455" s="215">
        <v>679501.53999999992</v>
      </c>
      <c r="F455" s="215">
        <v>679597.64999999991</v>
      </c>
      <c r="G455" s="215">
        <v>872286.48999999987</v>
      </c>
      <c r="H455" s="215">
        <v>870676.64999999979</v>
      </c>
      <c r="I455" s="215">
        <v>870676.64999999979</v>
      </c>
      <c r="J455" s="215">
        <v>446348.74999999994</v>
      </c>
      <c r="K455" s="215">
        <v>446348.74999999994</v>
      </c>
      <c r="L455" s="215">
        <v>446348.74999999994</v>
      </c>
      <c r="M455" s="215">
        <v>446348.74999999994</v>
      </c>
      <c r="N455" s="215">
        <v>-55259.080000000089</v>
      </c>
      <c r="O455" s="215">
        <v>-55241.860000000073</v>
      </c>
      <c r="P455" s="215">
        <v>-55241.860000000073</v>
      </c>
      <c r="Q455" s="215">
        <v>-55241.860000000073</v>
      </c>
    </row>
    <row r="456" spans="2:17" x14ac:dyDescent="0.3">
      <c r="B456" s="259">
        <f t="shared" si="7"/>
        <v>0</v>
      </c>
      <c r="D456" s="2" t="s">
        <v>1474</v>
      </c>
      <c r="E456" s="215">
        <v>0</v>
      </c>
      <c r="F456" s="215">
        <v>0</v>
      </c>
      <c r="G456" s="215">
        <v>0</v>
      </c>
      <c r="H456" s="215">
        <v>0</v>
      </c>
      <c r="I456" s="215">
        <v>0</v>
      </c>
      <c r="J456" s="215">
        <v>0</v>
      </c>
      <c r="K456" s="215">
        <v>0</v>
      </c>
      <c r="L456" s="215">
        <v>0</v>
      </c>
      <c r="M456" s="215">
        <v>0</v>
      </c>
      <c r="N456" s="215">
        <v>0</v>
      </c>
      <c r="O456" s="215">
        <v>0</v>
      </c>
      <c r="P456" s="215">
        <v>0</v>
      </c>
      <c r="Q456" s="215">
        <v>0</v>
      </c>
    </row>
    <row r="457" spans="2:17" x14ac:dyDescent="0.3">
      <c r="B457" s="259">
        <f t="shared" si="7"/>
        <v>304051.17541667382</v>
      </c>
      <c r="D457" s="2" t="s">
        <v>434</v>
      </c>
      <c r="E457" s="215">
        <v>-184634.01000000536</v>
      </c>
      <c r="F457" s="215">
        <v>-121167.57000000775</v>
      </c>
      <c r="G457" s="215">
        <v>314368.01000000536</v>
      </c>
      <c r="H457" s="215">
        <v>190225.34999999404</v>
      </c>
      <c r="I457" s="215">
        <v>90565.090000018477</v>
      </c>
      <c r="J457" s="215">
        <v>157053.28000001609</v>
      </c>
      <c r="K457" s="215">
        <v>380659.57999999821</v>
      </c>
      <c r="L457" s="215">
        <v>334430.98000000417</v>
      </c>
      <c r="M457" s="215">
        <v>623356.28000000119</v>
      </c>
      <c r="N457" s="215">
        <v>467232.79000000656</v>
      </c>
      <c r="O457" s="215">
        <v>677771.75000000745</v>
      </c>
      <c r="P457" s="215">
        <v>417628.4600000307</v>
      </c>
      <c r="Q457" s="215">
        <v>417614.22000002861</v>
      </c>
    </row>
    <row r="458" spans="2:17" x14ac:dyDescent="0.3">
      <c r="B458" s="259">
        <f t="shared" si="7"/>
        <v>1971526.1787500696</v>
      </c>
      <c r="D458" s="2" t="s">
        <v>436</v>
      </c>
      <c r="E458" s="215">
        <v>1538250.0800000937</v>
      </c>
      <c r="F458" s="215">
        <v>1589462.100000133</v>
      </c>
      <c r="G458" s="215">
        <v>2001584.9900000973</v>
      </c>
      <c r="H458" s="215">
        <v>2090996.5500000962</v>
      </c>
      <c r="I458" s="215">
        <v>1756975.0700000587</v>
      </c>
      <c r="J458" s="215">
        <v>1850326.1100000557</v>
      </c>
      <c r="K458" s="215">
        <v>1898863.9300000493</v>
      </c>
      <c r="L458" s="215">
        <v>1999091.5800000527</v>
      </c>
      <c r="M458" s="215">
        <v>2126385.7000000533</v>
      </c>
      <c r="N458" s="215">
        <v>1951548.5600000536</v>
      </c>
      <c r="O458" s="215">
        <v>2142289.6600000537</v>
      </c>
      <c r="P458" s="215">
        <v>2229325.4500000537</v>
      </c>
      <c r="Q458" s="215">
        <v>2504678.8100000541</v>
      </c>
    </row>
    <row r="459" spans="2:17" x14ac:dyDescent="0.3">
      <c r="B459" s="259">
        <f t="shared" si="7"/>
        <v>0</v>
      </c>
      <c r="D459" s="2" t="s">
        <v>438</v>
      </c>
      <c r="E459" s="215">
        <v>0</v>
      </c>
      <c r="F459" s="215">
        <v>0</v>
      </c>
      <c r="G459" s="215">
        <v>0</v>
      </c>
      <c r="H459" s="215">
        <v>0</v>
      </c>
      <c r="I459" s="215">
        <v>0</v>
      </c>
      <c r="J459" s="215">
        <v>0</v>
      </c>
      <c r="K459" s="215">
        <v>0</v>
      </c>
      <c r="L459" s="215">
        <v>0</v>
      </c>
      <c r="M459" s="215">
        <v>0</v>
      </c>
      <c r="N459" s="215">
        <v>0</v>
      </c>
      <c r="O459" s="215">
        <v>0</v>
      </c>
      <c r="P459" s="215">
        <v>0</v>
      </c>
      <c r="Q459" s="215">
        <v>0</v>
      </c>
    </row>
    <row r="460" spans="2:17" x14ac:dyDescent="0.3">
      <c r="B460" s="259">
        <f t="shared" si="7"/>
        <v>3985308.5416666665</v>
      </c>
      <c r="D460" s="2" t="s">
        <v>440</v>
      </c>
      <c r="E460" s="215">
        <v>2683766.6299999994</v>
      </c>
      <c r="F460" s="215">
        <v>2749321.9999999995</v>
      </c>
      <c r="G460" s="215">
        <v>2913354.1999999997</v>
      </c>
      <c r="H460" s="215">
        <v>2867095.36</v>
      </c>
      <c r="I460" s="215">
        <v>3092524.44</v>
      </c>
      <c r="J460" s="215">
        <v>3484866.5599999996</v>
      </c>
      <c r="K460" s="215">
        <v>4237975.3999999994</v>
      </c>
      <c r="L460" s="215">
        <v>4217682.2</v>
      </c>
      <c r="M460" s="215">
        <v>4189323.3299999996</v>
      </c>
      <c r="N460" s="215">
        <v>4113249</v>
      </c>
      <c r="O460" s="215">
        <v>5626550.3099999996</v>
      </c>
      <c r="P460" s="215">
        <v>6044293.75</v>
      </c>
      <c r="Q460" s="215">
        <v>5891165.2700000005</v>
      </c>
    </row>
    <row r="461" spans="2:17" x14ac:dyDescent="0.3">
      <c r="B461" s="259">
        <f t="shared" si="7"/>
        <v>20998268.487916663</v>
      </c>
      <c r="D461" s="2" t="s">
        <v>442</v>
      </c>
      <c r="E461" s="215">
        <v>15215794.219999999</v>
      </c>
      <c r="F461" s="215">
        <v>16233981.15</v>
      </c>
      <c r="G461" s="215">
        <v>16474050.779999999</v>
      </c>
      <c r="H461" s="215">
        <v>17684706.420000002</v>
      </c>
      <c r="I461" s="215">
        <v>17856959.969999999</v>
      </c>
      <c r="J461" s="215">
        <v>18048245.779999997</v>
      </c>
      <c r="K461" s="215">
        <v>20331125.32</v>
      </c>
      <c r="L461" s="215">
        <v>22162345.330000002</v>
      </c>
      <c r="M461" s="215">
        <v>24034086.77</v>
      </c>
      <c r="N461" s="215">
        <v>24659197.379999999</v>
      </c>
      <c r="O461" s="215">
        <v>25948916.070000004</v>
      </c>
      <c r="P461" s="215">
        <v>26829422.59</v>
      </c>
      <c r="Q461" s="215">
        <v>28216574.370000001</v>
      </c>
    </row>
    <row r="462" spans="2:17" x14ac:dyDescent="0.3">
      <c r="B462" s="259">
        <f t="shared" si="7"/>
        <v>5067975.2454166664</v>
      </c>
      <c r="D462" s="2" t="s">
        <v>444</v>
      </c>
      <c r="E462" s="215">
        <v>4656066.8699999992</v>
      </c>
      <c r="F462" s="215">
        <v>3842856.75</v>
      </c>
      <c r="G462" s="215">
        <v>3943441.21</v>
      </c>
      <c r="H462" s="215">
        <v>4060162.3999999994</v>
      </c>
      <c r="I462" s="215">
        <v>4403074.79</v>
      </c>
      <c r="J462" s="215">
        <v>5190078.2200000007</v>
      </c>
      <c r="K462" s="215">
        <v>5306303.83</v>
      </c>
      <c r="L462" s="215">
        <v>5377797.4299999997</v>
      </c>
      <c r="M462" s="215">
        <v>5619863.1299999999</v>
      </c>
      <c r="N462" s="215">
        <v>5692717.3499999996</v>
      </c>
      <c r="O462" s="215">
        <v>5698555.3000000007</v>
      </c>
      <c r="P462" s="215">
        <v>5981516.0099999998</v>
      </c>
      <c r="Q462" s="215">
        <v>6742606.1800000006</v>
      </c>
    </row>
    <row r="463" spans="2:17" x14ac:dyDescent="0.3">
      <c r="B463" s="259">
        <f t="shared" si="7"/>
        <v>1169811.8541666667</v>
      </c>
      <c r="D463" s="2" t="s">
        <v>446</v>
      </c>
      <c r="E463" s="215">
        <v>423517.2300000001</v>
      </c>
      <c r="F463" s="215">
        <v>470428.77000000008</v>
      </c>
      <c r="G463" s="215">
        <v>694904.24000000011</v>
      </c>
      <c r="H463" s="215">
        <v>703167.60000000009</v>
      </c>
      <c r="I463" s="215">
        <v>813722.7300000001</v>
      </c>
      <c r="J463" s="215">
        <v>845251.41</v>
      </c>
      <c r="K463" s="215">
        <v>1105081.3700000001</v>
      </c>
      <c r="L463" s="215">
        <v>1099762.26</v>
      </c>
      <c r="M463" s="215">
        <v>1142081.2899999998</v>
      </c>
      <c r="N463" s="215">
        <v>1828602.2799999998</v>
      </c>
      <c r="O463" s="215">
        <v>2020152.1799999997</v>
      </c>
      <c r="P463" s="215">
        <v>2072239.3899999997</v>
      </c>
      <c r="Q463" s="215">
        <v>2061180.2299999997</v>
      </c>
    </row>
    <row r="464" spans="2:17" x14ac:dyDescent="0.3">
      <c r="B464" s="259">
        <f t="shared" si="7"/>
        <v>-156956.60000000003</v>
      </c>
      <c r="D464" s="2" t="s">
        <v>1475</v>
      </c>
      <c r="E464" s="215">
        <v>-156956.6</v>
      </c>
      <c r="F464" s="215">
        <v>-156956.6</v>
      </c>
      <c r="G464" s="215">
        <v>-156956.6</v>
      </c>
      <c r="H464" s="215">
        <v>-156956.6</v>
      </c>
      <c r="I464" s="215">
        <v>-156956.6</v>
      </c>
      <c r="J464" s="215">
        <v>-156956.6</v>
      </c>
      <c r="K464" s="215">
        <v>-156956.6</v>
      </c>
      <c r="L464" s="215">
        <v>-156956.6</v>
      </c>
      <c r="M464" s="215">
        <v>-156956.6</v>
      </c>
      <c r="N464" s="215">
        <v>-156956.6</v>
      </c>
      <c r="O464" s="215">
        <v>-156956.6</v>
      </c>
      <c r="P464" s="215">
        <v>-156956.6</v>
      </c>
      <c r="Q464" s="215">
        <v>-156956.6</v>
      </c>
    </row>
    <row r="465" spans="2:17" x14ac:dyDescent="0.3">
      <c r="B465" s="259">
        <f t="shared" si="7"/>
        <v>212239.24250000005</v>
      </c>
      <c r="D465" s="2" t="s">
        <v>448</v>
      </c>
      <c r="E465" s="215">
        <v>-101800.38999999996</v>
      </c>
      <c r="F465" s="215">
        <v>-73986.699999999968</v>
      </c>
      <c r="G465" s="215">
        <v>-68701.179999999964</v>
      </c>
      <c r="H465" s="215">
        <v>235163.37000000005</v>
      </c>
      <c r="I465" s="215">
        <v>215597.15000000002</v>
      </c>
      <c r="J465" s="215">
        <v>223900.15000000002</v>
      </c>
      <c r="K465" s="215">
        <v>237284.65000000005</v>
      </c>
      <c r="L465" s="215">
        <v>57332.810000000012</v>
      </c>
      <c r="M465" s="215">
        <v>112580.64000000001</v>
      </c>
      <c r="N465" s="215">
        <v>515834.87000000005</v>
      </c>
      <c r="O465" s="215">
        <v>416251.43000000005</v>
      </c>
      <c r="P465" s="215">
        <v>460283.76000000007</v>
      </c>
      <c r="Q465" s="215">
        <v>532460.31000000006</v>
      </c>
    </row>
    <row r="466" spans="2:17" x14ac:dyDescent="0.3">
      <c r="B466" s="259">
        <f t="shared" si="7"/>
        <v>371733.48833333328</v>
      </c>
      <c r="D466" s="2" t="s">
        <v>936</v>
      </c>
      <c r="E466" s="215">
        <v>0</v>
      </c>
      <c r="F466" s="215">
        <v>0</v>
      </c>
      <c r="G466" s="215">
        <v>0</v>
      </c>
      <c r="H466" s="215">
        <v>0</v>
      </c>
      <c r="I466" s="215">
        <v>0</v>
      </c>
      <c r="J466" s="215">
        <v>0</v>
      </c>
      <c r="K466" s="215">
        <v>201288.27</v>
      </c>
      <c r="L466" s="215">
        <v>190357.81999999998</v>
      </c>
      <c r="M466" s="215">
        <v>190357.35</v>
      </c>
      <c r="N466" s="215">
        <v>649227.57999999996</v>
      </c>
      <c r="O466" s="215">
        <v>1284550.78</v>
      </c>
      <c r="P466" s="215">
        <v>1301055.76</v>
      </c>
      <c r="Q466" s="215">
        <v>1287928.6000000001</v>
      </c>
    </row>
    <row r="467" spans="2:17" x14ac:dyDescent="0.3">
      <c r="B467" s="259">
        <f t="shared" si="7"/>
        <v>-1316917.0829166665</v>
      </c>
      <c r="D467" s="2" t="s">
        <v>450</v>
      </c>
      <c r="E467" s="215">
        <v>-1336589.9300000002</v>
      </c>
      <c r="F467" s="215">
        <v>-1336589.9300000002</v>
      </c>
      <c r="G467" s="215">
        <v>-1336589.9300000002</v>
      </c>
      <c r="H467" s="215">
        <v>-1336589.9300000002</v>
      </c>
      <c r="I467" s="215">
        <v>-1336589.9300000002</v>
      </c>
      <c r="J467" s="215">
        <v>-1336589.9300000002</v>
      </c>
      <c r="K467" s="215">
        <v>-1336589.9300000002</v>
      </c>
      <c r="L467" s="215">
        <v>-1336589.9300000002</v>
      </c>
      <c r="M467" s="215">
        <v>-1336589.9300000002</v>
      </c>
      <c r="N467" s="215">
        <v>-1336589.9300000002</v>
      </c>
      <c r="O467" s="215">
        <v>-1336589.9300000002</v>
      </c>
      <c r="P467" s="215">
        <v>-1336589.9300000002</v>
      </c>
      <c r="Q467" s="215">
        <v>-864441.60000000009</v>
      </c>
    </row>
    <row r="468" spans="2:17" x14ac:dyDescent="0.3">
      <c r="B468" s="259">
        <f t="shared" si="7"/>
        <v>1996182.0520833342</v>
      </c>
      <c r="D468" s="2" t="s">
        <v>452</v>
      </c>
      <c r="E468" s="215">
        <v>1989317.7800000003</v>
      </c>
      <c r="F468" s="215">
        <v>1992270.2300000002</v>
      </c>
      <c r="G468" s="215">
        <v>1993802.4600000002</v>
      </c>
      <c r="H468" s="215">
        <v>1994570.6900000002</v>
      </c>
      <c r="I468" s="215">
        <v>1994568.5400000005</v>
      </c>
      <c r="J468" s="215">
        <v>2000578.9600000004</v>
      </c>
      <c r="K468" s="215">
        <v>2000576.9400000004</v>
      </c>
      <c r="L468" s="215">
        <v>1996852.0800000003</v>
      </c>
      <c r="M468" s="215">
        <v>1996852.0800000003</v>
      </c>
      <c r="N468" s="215">
        <v>1996852.0800000003</v>
      </c>
      <c r="O468" s="215">
        <v>1997040.6700000004</v>
      </c>
      <c r="P468" s="215">
        <v>1997040.6700000004</v>
      </c>
      <c r="Q468" s="215">
        <v>1997040.6700000004</v>
      </c>
    </row>
    <row r="469" spans="2:17" x14ac:dyDescent="0.3">
      <c r="B469" s="259">
        <f t="shared" si="7"/>
        <v>235785.49458333338</v>
      </c>
      <c r="D469" s="2" t="s">
        <v>454</v>
      </c>
      <c r="E469" s="215">
        <v>208574.06000000003</v>
      </c>
      <c r="F469" s="215">
        <v>210243.92</v>
      </c>
      <c r="G469" s="215">
        <v>218910.21000000002</v>
      </c>
      <c r="H469" s="215">
        <v>224706.19</v>
      </c>
      <c r="I469" s="215">
        <v>226754.72999999998</v>
      </c>
      <c r="J469" s="215">
        <v>228045.96</v>
      </c>
      <c r="K469" s="215">
        <v>230571.6</v>
      </c>
      <c r="L469" s="215">
        <v>235579.02</v>
      </c>
      <c r="M469" s="215">
        <v>244248.11000000004</v>
      </c>
      <c r="N469" s="215">
        <v>254367.96000000005</v>
      </c>
      <c r="O469" s="215">
        <v>259382.26000000004</v>
      </c>
      <c r="P469" s="215">
        <v>260945.87000000002</v>
      </c>
      <c r="Q469" s="215">
        <v>262766.15000000002</v>
      </c>
    </row>
    <row r="470" spans="2:17" x14ac:dyDescent="0.3">
      <c r="B470" s="259">
        <f t="shared" si="7"/>
        <v>0</v>
      </c>
      <c r="D470" s="2" t="s">
        <v>456</v>
      </c>
      <c r="E470" s="215">
        <v>0</v>
      </c>
      <c r="F470" s="215">
        <v>0</v>
      </c>
      <c r="G470" s="215">
        <v>0</v>
      </c>
      <c r="H470" s="215">
        <v>0</v>
      </c>
      <c r="I470" s="215">
        <v>0</v>
      </c>
      <c r="J470" s="215">
        <v>0</v>
      </c>
      <c r="K470" s="215">
        <v>0</v>
      </c>
      <c r="L470" s="215">
        <v>0</v>
      </c>
      <c r="M470" s="215">
        <v>0</v>
      </c>
      <c r="N470" s="215">
        <v>0</v>
      </c>
      <c r="O470" s="215">
        <v>0</v>
      </c>
      <c r="P470" s="215">
        <v>0</v>
      </c>
      <c r="Q470" s="215">
        <v>0</v>
      </c>
    </row>
    <row r="471" spans="2:17" x14ac:dyDescent="0.3">
      <c r="B471" s="259">
        <f t="shared" si="7"/>
        <v>0</v>
      </c>
      <c r="D471" s="2" t="s">
        <v>1476</v>
      </c>
      <c r="E471" s="215">
        <v>0</v>
      </c>
      <c r="F471" s="215">
        <v>0</v>
      </c>
      <c r="G471" s="215">
        <v>0</v>
      </c>
      <c r="H471" s="215">
        <v>0</v>
      </c>
      <c r="I471" s="215">
        <v>0</v>
      </c>
      <c r="J471" s="215">
        <v>0</v>
      </c>
      <c r="K471" s="215">
        <v>0</v>
      </c>
      <c r="L471" s="215">
        <v>0</v>
      </c>
      <c r="M471" s="215">
        <v>0</v>
      </c>
      <c r="N471" s="215">
        <v>0</v>
      </c>
      <c r="O471" s="215">
        <v>0</v>
      </c>
      <c r="P471" s="215">
        <v>0</v>
      </c>
      <c r="Q471" s="215">
        <v>0</v>
      </c>
    </row>
    <row r="472" spans="2:17" x14ac:dyDescent="0.3">
      <c r="B472" s="259">
        <f t="shared" si="7"/>
        <v>311287.85749999998</v>
      </c>
      <c r="D472" s="2" t="s">
        <v>458</v>
      </c>
      <c r="E472" s="215">
        <v>327481.64</v>
      </c>
      <c r="F472" s="215">
        <v>287900.54000000004</v>
      </c>
      <c r="G472" s="215">
        <v>287900.54000000004</v>
      </c>
      <c r="H472" s="215">
        <v>287900.54000000004</v>
      </c>
      <c r="I472" s="215">
        <v>287900.54000000004</v>
      </c>
      <c r="J472" s="215">
        <v>287900.54000000004</v>
      </c>
      <c r="K472" s="215">
        <v>327600.38</v>
      </c>
      <c r="L472" s="215">
        <v>327600.38</v>
      </c>
      <c r="M472" s="215">
        <v>327600.38</v>
      </c>
      <c r="N472" s="215">
        <v>327600.38</v>
      </c>
      <c r="O472" s="215">
        <v>327600.38</v>
      </c>
      <c r="P472" s="215">
        <v>327600.38</v>
      </c>
      <c r="Q472" s="215">
        <v>333216.98</v>
      </c>
    </row>
    <row r="473" spans="2:17" x14ac:dyDescent="0.3">
      <c r="B473" s="259">
        <f t="shared" si="7"/>
        <v>92371.969999999987</v>
      </c>
      <c r="D473" s="2" t="s">
        <v>1477</v>
      </c>
      <c r="E473" s="215">
        <v>92371.970000000016</v>
      </c>
      <c r="F473" s="215">
        <v>92371.970000000016</v>
      </c>
      <c r="G473" s="215">
        <v>92371.970000000016</v>
      </c>
      <c r="H473" s="215">
        <v>92371.970000000016</v>
      </c>
      <c r="I473" s="215">
        <v>92371.970000000016</v>
      </c>
      <c r="J473" s="215">
        <v>92371.970000000016</v>
      </c>
      <c r="K473" s="215">
        <v>92371.970000000016</v>
      </c>
      <c r="L473" s="215">
        <v>92371.970000000016</v>
      </c>
      <c r="M473" s="215">
        <v>92371.970000000016</v>
      </c>
      <c r="N473" s="215">
        <v>92371.970000000016</v>
      </c>
      <c r="O473" s="215">
        <v>92371.970000000016</v>
      </c>
      <c r="P473" s="215">
        <v>92371.970000000016</v>
      </c>
      <c r="Q473" s="215">
        <v>92371.970000000016</v>
      </c>
    </row>
    <row r="474" spans="2:17" x14ac:dyDescent="0.3">
      <c r="B474" s="259">
        <f t="shared" si="7"/>
        <v>649406.94833333325</v>
      </c>
      <c r="D474" s="2" t="s">
        <v>460</v>
      </c>
      <c r="E474" s="215">
        <v>541599.30000000005</v>
      </c>
      <c r="F474" s="215">
        <v>578339.63</v>
      </c>
      <c r="G474" s="215">
        <v>578339.63</v>
      </c>
      <c r="H474" s="215">
        <v>579128.5199999999</v>
      </c>
      <c r="I474" s="215">
        <v>580356.5</v>
      </c>
      <c r="J474" s="215">
        <v>581669.29999999993</v>
      </c>
      <c r="K474" s="215">
        <v>589564.65999999992</v>
      </c>
      <c r="L474" s="215">
        <v>596016.76</v>
      </c>
      <c r="M474" s="215">
        <v>693632.99</v>
      </c>
      <c r="N474" s="215">
        <v>747487.04</v>
      </c>
      <c r="O474" s="215">
        <v>790195.73</v>
      </c>
      <c r="P474" s="215">
        <v>802863.05999999994</v>
      </c>
      <c r="Q474" s="215">
        <v>808979.82</v>
      </c>
    </row>
    <row r="475" spans="2:17" x14ac:dyDescent="0.3">
      <c r="B475" s="259">
        <f t="shared" si="7"/>
        <v>0</v>
      </c>
      <c r="D475" s="2" t="s">
        <v>1104</v>
      </c>
      <c r="E475" s="215">
        <v>0</v>
      </c>
      <c r="F475" s="215">
        <v>0</v>
      </c>
      <c r="G475" s="215">
        <v>0</v>
      </c>
      <c r="H475" s="215">
        <v>0</v>
      </c>
      <c r="I475" s="215">
        <v>0</v>
      </c>
      <c r="J475" s="215">
        <v>0</v>
      </c>
      <c r="K475" s="215">
        <v>0</v>
      </c>
      <c r="L475" s="215">
        <v>0</v>
      </c>
      <c r="M475" s="215">
        <v>0</v>
      </c>
      <c r="N475" s="215">
        <v>0</v>
      </c>
      <c r="O475" s="215">
        <v>0</v>
      </c>
      <c r="P475" s="215">
        <v>0</v>
      </c>
      <c r="Q475" s="215">
        <v>0</v>
      </c>
    </row>
    <row r="476" spans="2:17" x14ac:dyDescent="0.3">
      <c r="B476" s="259">
        <f t="shared" si="7"/>
        <v>3076216.75</v>
      </c>
      <c r="D476" s="2" t="s">
        <v>462</v>
      </c>
      <c r="E476" s="215">
        <v>1922547.6500000001</v>
      </c>
      <c r="F476" s="215">
        <v>2081623.7799999998</v>
      </c>
      <c r="G476" s="215">
        <v>2224017.6300000004</v>
      </c>
      <c r="H476" s="215">
        <v>2423273.4099999997</v>
      </c>
      <c r="I476" s="215">
        <v>2803390.67</v>
      </c>
      <c r="J476" s="215">
        <v>2935276.76</v>
      </c>
      <c r="K476" s="215">
        <v>3074393.96</v>
      </c>
      <c r="L476" s="215">
        <v>3284383.92</v>
      </c>
      <c r="M476" s="215">
        <v>3385475.74</v>
      </c>
      <c r="N476" s="215">
        <v>3458933.9000000004</v>
      </c>
      <c r="O476" s="215">
        <v>3896558.89</v>
      </c>
      <c r="P476" s="215">
        <v>4165914.9800000004</v>
      </c>
      <c r="Q476" s="215">
        <v>4440167.07</v>
      </c>
    </row>
    <row r="477" spans="2:17" x14ac:dyDescent="0.3">
      <c r="B477" s="259">
        <f t="shared" si="7"/>
        <v>3341514.3891666662</v>
      </c>
      <c r="D477" s="2" t="s">
        <v>464</v>
      </c>
      <c r="E477" s="215">
        <v>2181621.0099999998</v>
      </c>
      <c r="F477" s="215">
        <v>2366196.25</v>
      </c>
      <c r="G477" s="215">
        <v>2476739.46</v>
      </c>
      <c r="H477" s="215">
        <v>2663498.9500000002</v>
      </c>
      <c r="I477" s="215">
        <v>2980918.3600000003</v>
      </c>
      <c r="J477" s="215">
        <v>3204900.13</v>
      </c>
      <c r="K477" s="215">
        <v>3424811.84</v>
      </c>
      <c r="L477" s="215">
        <v>3569311.4400000004</v>
      </c>
      <c r="M477" s="215">
        <v>3812760.59</v>
      </c>
      <c r="N477" s="215">
        <v>3904939.42</v>
      </c>
      <c r="O477" s="215">
        <v>4076135.4299999997</v>
      </c>
      <c r="P477" s="215">
        <v>4285886.3899999997</v>
      </c>
      <c r="Q477" s="215">
        <v>4482527.8099999996</v>
      </c>
    </row>
    <row r="478" spans="2:17" x14ac:dyDescent="0.3">
      <c r="B478" s="259">
        <f t="shared" si="7"/>
        <v>3391591.0187500003</v>
      </c>
      <c r="D478" s="2" t="s">
        <v>466</v>
      </c>
      <c r="E478" s="215">
        <v>2289164.5</v>
      </c>
      <c r="F478" s="215">
        <v>2555604.54</v>
      </c>
      <c r="G478" s="215">
        <v>2554173.3200000003</v>
      </c>
      <c r="H478" s="215">
        <v>2745098.06</v>
      </c>
      <c r="I478" s="215">
        <v>2818648.41</v>
      </c>
      <c r="J478" s="215">
        <v>2895339.01</v>
      </c>
      <c r="K478" s="215">
        <v>3602066.33</v>
      </c>
      <c r="L478" s="215">
        <v>3728689.19</v>
      </c>
      <c r="M478" s="215">
        <v>3753701.79</v>
      </c>
      <c r="N478" s="215">
        <v>4017566.26</v>
      </c>
      <c r="O478" s="215">
        <v>4216509.8699999992</v>
      </c>
      <c r="P478" s="215">
        <v>4336510.8699999992</v>
      </c>
      <c r="Q478" s="215">
        <v>4661204.6499999994</v>
      </c>
    </row>
    <row r="479" spans="2:17" x14ac:dyDescent="0.3">
      <c r="B479" s="259">
        <f t="shared" si="7"/>
        <v>2175332.3041666667</v>
      </c>
      <c r="D479" s="2" t="s">
        <v>468</v>
      </c>
      <c r="E479" s="215">
        <v>1349699.9000000001</v>
      </c>
      <c r="F479" s="215">
        <v>1386455.1199999999</v>
      </c>
      <c r="G479" s="215">
        <v>1499395.5499999998</v>
      </c>
      <c r="H479" s="215">
        <v>1655606.42</v>
      </c>
      <c r="I479" s="215">
        <v>1791946.0199999998</v>
      </c>
      <c r="J479" s="215">
        <v>1880471.78</v>
      </c>
      <c r="K479" s="215">
        <v>2250442.5299999998</v>
      </c>
      <c r="L479" s="215">
        <v>2324086.0099999998</v>
      </c>
      <c r="M479" s="215">
        <v>2370886.91</v>
      </c>
      <c r="N479" s="215">
        <v>2729514.1299999994</v>
      </c>
      <c r="O479" s="215">
        <v>2778826.6799999992</v>
      </c>
      <c r="P479" s="215">
        <v>3055626.9</v>
      </c>
      <c r="Q479" s="215">
        <v>3411759.2999999993</v>
      </c>
    </row>
    <row r="480" spans="2:17" x14ac:dyDescent="0.3">
      <c r="B480" s="259">
        <f t="shared" si="7"/>
        <v>3628635.1687500007</v>
      </c>
      <c r="D480" s="2" t="s">
        <v>470</v>
      </c>
      <c r="E480" s="215">
        <v>2592100.7999999998</v>
      </c>
      <c r="F480" s="215">
        <v>2648785.5500000003</v>
      </c>
      <c r="G480" s="215">
        <v>2650432.7800000003</v>
      </c>
      <c r="H480" s="215">
        <v>2830741.7100000004</v>
      </c>
      <c r="I480" s="215">
        <v>2852507.6700000004</v>
      </c>
      <c r="J480" s="215">
        <v>2876701.72</v>
      </c>
      <c r="K480" s="215">
        <v>2879571.79</v>
      </c>
      <c r="L480" s="215">
        <v>2880120.1500000004</v>
      </c>
      <c r="M480" s="215">
        <v>2880795.5800000005</v>
      </c>
      <c r="N480" s="215">
        <v>3319438.43</v>
      </c>
      <c r="O480" s="215">
        <v>3429474.98</v>
      </c>
      <c r="P480" s="215">
        <v>8546252.5</v>
      </c>
      <c r="Q480" s="215">
        <v>8905497.5300000012</v>
      </c>
    </row>
    <row r="481" spans="2:17" x14ac:dyDescent="0.3">
      <c r="B481" s="259">
        <f t="shared" si="7"/>
        <v>32843694.638333347</v>
      </c>
      <c r="D481" s="2" t="s">
        <v>472</v>
      </c>
      <c r="E481" s="215">
        <v>21769469.100000001</v>
      </c>
      <c r="F481" s="215">
        <v>24347858.770000003</v>
      </c>
      <c r="G481" s="215">
        <v>26179402.890000004</v>
      </c>
      <c r="H481" s="215">
        <v>28292311.590000004</v>
      </c>
      <c r="I481" s="215">
        <v>29900918.360000003</v>
      </c>
      <c r="J481" s="215">
        <v>31284454.890000008</v>
      </c>
      <c r="K481" s="215">
        <v>32901796.230000008</v>
      </c>
      <c r="L481" s="215">
        <v>33803713.050000012</v>
      </c>
      <c r="M481" s="215">
        <v>35635051.20000001</v>
      </c>
      <c r="N481" s="215">
        <v>37185374.210000016</v>
      </c>
      <c r="O481" s="215">
        <v>39679682.190000013</v>
      </c>
      <c r="P481" s="215">
        <v>41812835.56000001</v>
      </c>
      <c r="Q481" s="215">
        <v>44432404.340000011</v>
      </c>
    </row>
    <row r="482" spans="2:17" x14ac:dyDescent="0.3">
      <c r="B482" s="259">
        <f t="shared" si="7"/>
        <v>35245985.888749994</v>
      </c>
      <c r="D482" s="2" t="s">
        <v>474</v>
      </c>
      <c r="E482" s="215">
        <v>23428162.73</v>
      </c>
      <c r="F482" s="215">
        <v>24880566.209999997</v>
      </c>
      <c r="G482" s="215">
        <v>26038463.619999997</v>
      </c>
      <c r="H482" s="215">
        <v>27740386.289999995</v>
      </c>
      <c r="I482" s="215">
        <v>29407329.369999997</v>
      </c>
      <c r="J482" s="215">
        <v>31508632.539999999</v>
      </c>
      <c r="K482" s="215">
        <v>33740899.039999999</v>
      </c>
      <c r="L482" s="215">
        <v>35757710.789999999</v>
      </c>
      <c r="M482" s="215">
        <v>39321787.529999994</v>
      </c>
      <c r="N482" s="215">
        <v>42503970.810000002</v>
      </c>
      <c r="O482" s="215">
        <v>46570615.399999999</v>
      </c>
      <c r="P482" s="215">
        <v>48565391.57</v>
      </c>
      <c r="Q482" s="215">
        <v>50403992.259999998</v>
      </c>
    </row>
    <row r="483" spans="2:17" x14ac:dyDescent="0.3">
      <c r="B483" s="259">
        <f t="shared" si="7"/>
        <v>4117382.3358333339</v>
      </c>
      <c r="D483" s="2" t="s">
        <v>476</v>
      </c>
      <c r="E483" s="215">
        <v>2425364.87</v>
      </c>
      <c r="F483" s="215">
        <v>2679923.9500000002</v>
      </c>
      <c r="G483" s="215">
        <v>2749706.62</v>
      </c>
      <c r="H483" s="215">
        <v>3017571.67</v>
      </c>
      <c r="I483" s="215">
        <v>3613243.37</v>
      </c>
      <c r="J483" s="215">
        <v>4017433.8200000003</v>
      </c>
      <c r="K483" s="215">
        <v>4174599.29</v>
      </c>
      <c r="L483" s="215">
        <v>4386376.9200000009</v>
      </c>
      <c r="M483" s="215">
        <v>4514102.21</v>
      </c>
      <c r="N483" s="215">
        <v>4765738.7000000011</v>
      </c>
      <c r="O483" s="215">
        <v>5158290.9200000009</v>
      </c>
      <c r="P483" s="215">
        <v>5951249.8900000006</v>
      </c>
      <c r="Q483" s="215">
        <v>6335336.4700000007</v>
      </c>
    </row>
    <row r="484" spans="2:17" x14ac:dyDescent="0.3">
      <c r="B484" s="259">
        <f t="shared" si="7"/>
        <v>8999290.3587500025</v>
      </c>
      <c r="D484" s="2" t="s">
        <v>478</v>
      </c>
      <c r="E484" s="215">
        <v>5670839.3100000005</v>
      </c>
      <c r="F484" s="215">
        <v>6125256.3799999999</v>
      </c>
      <c r="G484" s="215">
        <v>6676426.5199999996</v>
      </c>
      <c r="H484" s="215">
        <v>7231670.1699999999</v>
      </c>
      <c r="I484" s="215">
        <v>7670067.3899999997</v>
      </c>
      <c r="J484" s="215">
        <v>8344565.6799999997</v>
      </c>
      <c r="K484" s="215">
        <v>8978784.2300000004</v>
      </c>
      <c r="L484" s="215">
        <v>9243989.7200000007</v>
      </c>
      <c r="M484" s="215">
        <v>10375040.090000002</v>
      </c>
      <c r="N484" s="215">
        <v>11108346.180000002</v>
      </c>
      <c r="O484" s="215">
        <v>11537652.359999998</v>
      </c>
      <c r="P484" s="215">
        <v>11849971.590000002</v>
      </c>
      <c r="Q484" s="215">
        <v>12028588.680000002</v>
      </c>
    </row>
    <row r="485" spans="2:17" x14ac:dyDescent="0.3">
      <c r="B485" s="259">
        <f t="shared" si="7"/>
        <v>-25407.86375</v>
      </c>
      <c r="D485" s="2" t="s">
        <v>480</v>
      </c>
      <c r="E485" s="215">
        <v>-20729.980000000003</v>
      </c>
      <c r="F485" s="215">
        <v>-20503.800000000003</v>
      </c>
      <c r="G485" s="215">
        <v>-20503.800000000003</v>
      </c>
      <c r="H485" s="215">
        <v>-28016.370000000003</v>
      </c>
      <c r="I485" s="215">
        <v>-28016.370000000003</v>
      </c>
      <c r="J485" s="215">
        <v>-26540.91</v>
      </c>
      <c r="K485" s="215">
        <v>-26540.91</v>
      </c>
      <c r="L485" s="215">
        <v>-26540.91</v>
      </c>
      <c r="M485" s="215">
        <v>-26540.91</v>
      </c>
      <c r="N485" s="215">
        <v>-26092.97</v>
      </c>
      <c r="O485" s="215">
        <v>-26092.97</v>
      </c>
      <c r="P485" s="215">
        <v>-26092.97</v>
      </c>
      <c r="Q485" s="215">
        <v>-26092.97</v>
      </c>
    </row>
    <row r="486" spans="2:17" x14ac:dyDescent="0.3">
      <c r="B486" s="259">
        <f t="shared" si="7"/>
        <v>5031545.6291666664</v>
      </c>
      <c r="D486" s="2" t="s">
        <v>482</v>
      </c>
      <c r="E486" s="215">
        <v>3939999.06</v>
      </c>
      <c r="F486" s="215">
        <v>3753426.3899999997</v>
      </c>
      <c r="G486" s="215">
        <v>4157377.8</v>
      </c>
      <c r="H486" s="215">
        <v>4193683.7</v>
      </c>
      <c r="I486" s="215">
        <v>4307122.42</v>
      </c>
      <c r="J486" s="215">
        <v>4364542.42</v>
      </c>
      <c r="K486" s="215">
        <v>4521514.67</v>
      </c>
      <c r="L486" s="215">
        <v>4550836.4600000009</v>
      </c>
      <c r="M486" s="215">
        <v>5897997.6100000013</v>
      </c>
      <c r="N486" s="215">
        <v>5991626.1500000013</v>
      </c>
      <c r="O486" s="215">
        <v>6658414.4700000007</v>
      </c>
      <c r="P486" s="215">
        <v>6668600.7800000003</v>
      </c>
      <c r="Q486" s="215">
        <v>6686810.3000000017</v>
      </c>
    </row>
    <row r="487" spans="2:17" x14ac:dyDescent="0.3">
      <c r="B487" s="259">
        <f t="shared" si="7"/>
        <v>9133.4854166666682</v>
      </c>
      <c r="D487" s="2" t="s">
        <v>938</v>
      </c>
      <c r="E487" s="215">
        <v>0</v>
      </c>
      <c r="F487" s="215">
        <v>0</v>
      </c>
      <c r="G487" s="215">
        <v>0</v>
      </c>
      <c r="H487" s="215">
        <v>0</v>
      </c>
      <c r="I487" s="215">
        <v>0</v>
      </c>
      <c r="J487" s="215">
        <v>0</v>
      </c>
      <c r="K487" s="215">
        <v>0</v>
      </c>
      <c r="L487" s="215">
        <v>0</v>
      </c>
      <c r="M487" s="215">
        <v>0</v>
      </c>
      <c r="N487" s="215">
        <v>0</v>
      </c>
      <c r="O487" s="215">
        <v>43840.73</v>
      </c>
      <c r="P487" s="215">
        <v>43840.73</v>
      </c>
      <c r="Q487" s="215">
        <v>43840.73</v>
      </c>
    </row>
    <row r="488" spans="2:17" x14ac:dyDescent="0.3">
      <c r="B488" s="259">
        <f t="shared" si="7"/>
        <v>538797.11708333332</v>
      </c>
      <c r="D488" s="2" t="s">
        <v>484</v>
      </c>
      <c r="E488" s="215">
        <v>431779.32999999996</v>
      </c>
      <c r="F488" s="215">
        <v>431779.32999999996</v>
      </c>
      <c r="G488" s="215">
        <v>431779.32999999996</v>
      </c>
      <c r="H488" s="215">
        <v>431779.32999999996</v>
      </c>
      <c r="I488" s="215">
        <v>446492.39</v>
      </c>
      <c r="J488" s="215">
        <v>479527.37999999995</v>
      </c>
      <c r="K488" s="215">
        <v>505799.10999999993</v>
      </c>
      <c r="L488" s="215">
        <v>578301.52999999991</v>
      </c>
      <c r="M488" s="215">
        <v>579398.62999999989</v>
      </c>
      <c r="N488" s="215">
        <v>603468.24</v>
      </c>
      <c r="O488" s="215">
        <v>688406.54999999993</v>
      </c>
      <c r="P488" s="215">
        <v>714843.17999999993</v>
      </c>
      <c r="Q488" s="215">
        <v>716201.48</v>
      </c>
    </row>
    <row r="489" spans="2:17" x14ac:dyDescent="0.3">
      <c r="B489" s="259">
        <f t="shared" si="7"/>
        <v>29832678.267499994</v>
      </c>
      <c r="D489" s="2" t="s">
        <v>486</v>
      </c>
      <c r="E489" s="215">
        <v>22024212.32</v>
      </c>
      <c r="F489" s="215">
        <v>23888362.82</v>
      </c>
      <c r="G489" s="215">
        <v>25609582.699999999</v>
      </c>
      <c r="H489" s="215">
        <v>26310374.800000001</v>
      </c>
      <c r="I489" s="215">
        <v>26829581.32</v>
      </c>
      <c r="J489" s="215">
        <v>28095543.549999993</v>
      </c>
      <c r="K489" s="215">
        <v>30648380.249999996</v>
      </c>
      <c r="L489" s="215">
        <v>31770341.199999996</v>
      </c>
      <c r="M489" s="215">
        <v>32918146.379999995</v>
      </c>
      <c r="N489" s="215">
        <v>34236439.269999996</v>
      </c>
      <c r="O489" s="215">
        <v>34381209.030000001</v>
      </c>
      <c r="P489" s="215">
        <v>34698734.339999996</v>
      </c>
      <c r="Q489" s="215">
        <v>35186674.779999994</v>
      </c>
    </row>
    <row r="490" spans="2:17" x14ac:dyDescent="0.3">
      <c r="B490" s="259">
        <f t="shared" si="7"/>
        <v>14841293.470833337</v>
      </c>
      <c r="D490" s="2" t="s">
        <v>488</v>
      </c>
      <c r="E490" s="215">
        <v>5476195.0900000008</v>
      </c>
      <c r="F490" s="215">
        <v>5572626.3900000006</v>
      </c>
      <c r="G490" s="215">
        <v>6450975.2800000003</v>
      </c>
      <c r="H490" s="215">
        <v>7250636.7800000021</v>
      </c>
      <c r="I490" s="215">
        <v>9061552.6700000018</v>
      </c>
      <c r="J490" s="215">
        <v>11590022.220000001</v>
      </c>
      <c r="K490" s="215">
        <v>14106704.250000002</v>
      </c>
      <c r="L490" s="215">
        <v>15416342.490000002</v>
      </c>
      <c r="M490" s="215">
        <v>18803162.490000006</v>
      </c>
      <c r="N490" s="215">
        <v>20081159.600000005</v>
      </c>
      <c r="O490" s="215">
        <v>24291752.710000005</v>
      </c>
      <c r="P490" s="215">
        <v>26770103.360000007</v>
      </c>
      <c r="Q490" s="215">
        <v>31924771.730000008</v>
      </c>
    </row>
    <row r="491" spans="2:17" x14ac:dyDescent="0.3">
      <c r="B491" s="259">
        <f t="shared" si="7"/>
        <v>57.850000000000016</v>
      </c>
      <c r="D491" s="2" t="s">
        <v>1478</v>
      </c>
      <c r="E491" s="215">
        <v>57.85</v>
      </c>
      <c r="F491" s="215">
        <v>57.85</v>
      </c>
      <c r="G491" s="215">
        <v>57.85</v>
      </c>
      <c r="H491" s="215">
        <v>57.85</v>
      </c>
      <c r="I491" s="215">
        <v>57.85</v>
      </c>
      <c r="J491" s="215">
        <v>57.85</v>
      </c>
      <c r="K491" s="215">
        <v>57.85</v>
      </c>
      <c r="L491" s="215">
        <v>57.85</v>
      </c>
      <c r="M491" s="215">
        <v>57.85</v>
      </c>
      <c r="N491" s="215">
        <v>57.85</v>
      </c>
      <c r="O491" s="215">
        <v>57.85</v>
      </c>
      <c r="P491" s="215">
        <v>57.85</v>
      </c>
      <c r="Q491" s="215">
        <v>57.85</v>
      </c>
    </row>
    <row r="492" spans="2:17" x14ac:dyDescent="0.3">
      <c r="B492" s="259">
        <f t="shared" si="7"/>
        <v>336479.67250000004</v>
      </c>
      <c r="D492" s="2" t="s">
        <v>490</v>
      </c>
      <c r="E492" s="215">
        <v>0</v>
      </c>
      <c r="F492" s="215">
        <v>0</v>
      </c>
      <c r="G492" s="215">
        <v>9529.9700000000012</v>
      </c>
      <c r="H492" s="215">
        <v>9529.9700000000012</v>
      </c>
      <c r="I492" s="215">
        <v>9529.9700000000012</v>
      </c>
      <c r="J492" s="215">
        <v>9529.9700000000012</v>
      </c>
      <c r="K492" s="215">
        <v>9529.9700000000012</v>
      </c>
      <c r="L492" s="215">
        <v>9529.9700000000012</v>
      </c>
      <c r="M492" s="215">
        <v>9529.9700000000012</v>
      </c>
      <c r="N492" s="215">
        <v>9529.9700000000012</v>
      </c>
      <c r="O492" s="215">
        <v>9529.9700000000012</v>
      </c>
      <c r="P492" s="215">
        <v>9529.9700000000012</v>
      </c>
      <c r="Q492" s="215">
        <v>7884912.7400000012</v>
      </c>
    </row>
    <row r="493" spans="2:17" x14ac:dyDescent="0.3">
      <c r="B493" s="259">
        <f t="shared" si="7"/>
        <v>7371382.0795833319</v>
      </c>
      <c r="D493" s="2" t="s">
        <v>492</v>
      </c>
      <c r="E493" s="215">
        <v>6293675.3299999991</v>
      </c>
      <c r="F493" s="215">
        <v>6335199.4299999988</v>
      </c>
      <c r="G493" s="215">
        <v>6337038.0299999993</v>
      </c>
      <c r="H493" s="215">
        <v>6330998.3599999994</v>
      </c>
      <c r="I493" s="215">
        <v>6332191.879999999</v>
      </c>
      <c r="J493" s="215">
        <v>6303662.9499999993</v>
      </c>
      <c r="K493" s="215">
        <v>8268515.3599999994</v>
      </c>
      <c r="L493" s="215">
        <v>8244191.2199999988</v>
      </c>
      <c r="M493" s="215">
        <v>8243239.629999999</v>
      </c>
      <c r="N493" s="215">
        <v>8246328.4299999997</v>
      </c>
      <c r="O493" s="215">
        <v>8246360.71</v>
      </c>
      <c r="P493" s="215">
        <v>8298997.29</v>
      </c>
      <c r="Q493" s="215">
        <v>8246048</v>
      </c>
    </row>
    <row r="494" spans="2:17" x14ac:dyDescent="0.3">
      <c r="B494" s="259">
        <f t="shared" si="7"/>
        <v>12973705.247499997</v>
      </c>
      <c r="D494" s="2" t="s">
        <v>494</v>
      </c>
      <c r="E494" s="215">
        <v>10545496.859999999</v>
      </c>
      <c r="F494" s="215">
        <v>10772629.149999999</v>
      </c>
      <c r="G494" s="215">
        <v>10831818.379999997</v>
      </c>
      <c r="H494" s="215">
        <v>11043327.049999999</v>
      </c>
      <c r="I494" s="215">
        <v>12419463.619999997</v>
      </c>
      <c r="J494" s="215">
        <v>12475967.729999999</v>
      </c>
      <c r="K494" s="215">
        <v>12481938.389999999</v>
      </c>
      <c r="L494" s="215">
        <v>12484230.299999999</v>
      </c>
      <c r="M494" s="215">
        <v>15019825.469999999</v>
      </c>
      <c r="N494" s="215">
        <v>15099894.34</v>
      </c>
      <c r="O494" s="215">
        <v>15120308.699999999</v>
      </c>
      <c r="P494" s="215">
        <v>15103545.02</v>
      </c>
      <c r="Q494" s="215">
        <v>15117532.779999999</v>
      </c>
    </row>
    <row r="495" spans="2:17" x14ac:dyDescent="0.3">
      <c r="B495" s="259">
        <f t="shared" si="7"/>
        <v>10707822.53125</v>
      </c>
      <c r="D495" s="2" t="s">
        <v>496</v>
      </c>
      <c r="E495" s="215">
        <v>8456216.1699999999</v>
      </c>
      <c r="F495" s="215">
        <v>8587689.8000000007</v>
      </c>
      <c r="G495" s="215">
        <v>9007644.1600000001</v>
      </c>
      <c r="H495" s="215">
        <v>8866929.9000000022</v>
      </c>
      <c r="I495" s="215">
        <v>8827432.9100000001</v>
      </c>
      <c r="J495" s="215">
        <v>8847858.290000001</v>
      </c>
      <c r="K495" s="215">
        <v>8853668.3200000003</v>
      </c>
      <c r="L495" s="215">
        <v>8872821.5500000007</v>
      </c>
      <c r="M495" s="215">
        <v>12714292.509999998</v>
      </c>
      <c r="N495" s="215">
        <v>12835565.629999999</v>
      </c>
      <c r="O495" s="215">
        <v>12860469.26</v>
      </c>
      <c r="P495" s="215">
        <v>12870878.68</v>
      </c>
      <c r="Q495" s="215">
        <v>22241022.560000002</v>
      </c>
    </row>
    <row r="496" spans="2:17" x14ac:dyDescent="0.3">
      <c r="B496" s="259">
        <f t="shared" si="7"/>
        <v>16604.340416666666</v>
      </c>
      <c r="D496" s="2" t="s">
        <v>940</v>
      </c>
      <c r="E496" s="215">
        <v>0</v>
      </c>
      <c r="F496" s="215">
        <v>0</v>
      </c>
      <c r="G496" s="215">
        <v>0</v>
      </c>
      <c r="H496" s="215">
        <v>0</v>
      </c>
      <c r="I496" s="215">
        <v>0</v>
      </c>
      <c r="J496" s="215">
        <v>0</v>
      </c>
      <c r="K496" s="215">
        <v>0</v>
      </c>
      <c r="L496" s="215">
        <v>0</v>
      </c>
      <c r="M496" s="215">
        <v>0</v>
      </c>
      <c r="N496" s="215">
        <v>0</v>
      </c>
      <c r="O496" s="215">
        <v>0</v>
      </c>
      <c r="P496" s="215">
        <v>131679.5</v>
      </c>
      <c r="Q496" s="215">
        <v>135145.16999999998</v>
      </c>
    </row>
    <row r="497" spans="2:17" x14ac:dyDescent="0.3">
      <c r="B497" s="259">
        <f t="shared" si="7"/>
        <v>4599754.279583334</v>
      </c>
      <c r="D497" s="2" t="s">
        <v>498</v>
      </c>
      <c r="E497" s="215">
        <v>2853195.3200000003</v>
      </c>
      <c r="F497" s="215">
        <v>3031565.7900000005</v>
      </c>
      <c r="G497" s="215">
        <v>3160644.8100000005</v>
      </c>
      <c r="H497" s="215">
        <v>4015792.99</v>
      </c>
      <c r="I497" s="215">
        <v>4232842.16</v>
      </c>
      <c r="J497" s="215">
        <v>4409013.0600000005</v>
      </c>
      <c r="K497" s="215">
        <v>4822674.12</v>
      </c>
      <c r="L497" s="215">
        <v>4879085.12</v>
      </c>
      <c r="M497" s="215">
        <v>5061938.9400000004</v>
      </c>
      <c r="N497" s="215">
        <v>5537549.0700000003</v>
      </c>
      <c r="O497" s="215">
        <v>5727084.5300000003</v>
      </c>
      <c r="P497" s="215">
        <v>5921145.0499999998</v>
      </c>
      <c r="Q497" s="215">
        <v>5942236.1100000003</v>
      </c>
    </row>
    <row r="498" spans="2:17" x14ac:dyDescent="0.3">
      <c r="B498" s="259">
        <f t="shared" si="7"/>
        <v>155988.56000000003</v>
      </c>
      <c r="D498" s="2" t="s">
        <v>1479</v>
      </c>
      <c r="E498" s="215">
        <v>155988.56</v>
      </c>
      <c r="F498" s="215">
        <v>155988.56</v>
      </c>
      <c r="G498" s="215">
        <v>155988.56</v>
      </c>
      <c r="H498" s="215">
        <v>155988.56</v>
      </c>
      <c r="I498" s="215">
        <v>155988.56</v>
      </c>
      <c r="J498" s="215">
        <v>155988.56</v>
      </c>
      <c r="K498" s="215">
        <v>155988.56</v>
      </c>
      <c r="L498" s="215">
        <v>155988.56</v>
      </c>
      <c r="M498" s="215">
        <v>155988.56</v>
      </c>
      <c r="N498" s="215">
        <v>155988.56</v>
      </c>
      <c r="O498" s="215">
        <v>155988.56</v>
      </c>
      <c r="P498" s="215">
        <v>155988.56</v>
      </c>
      <c r="Q498" s="215">
        <v>155988.56</v>
      </c>
    </row>
    <row r="499" spans="2:17" x14ac:dyDescent="0.3">
      <c r="B499" s="259">
        <f t="shared" si="7"/>
        <v>17481134.520833332</v>
      </c>
      <c r="D499" s="2" t="s">
        <v>500</v>
      </c>
      <c r="E499" s="215">
        <v>12084798.299999997</v>
      </c>
      <c r="F499" s="215">
        <v>12448380.439999998</v>
      </c>
      <c r="G499" s="215">
        <v>12667930.899999999</v>
      </c>
      <c r="H499" s="215">
        <v>12892784.019999996</v>
      </c>
      <c r="I499" s="215">
        <v>13010712.069999998</v>
      </c>
      <c r="J499" s="215">
        <v>13143254.869999999</v>
      </c>
      <c r="K499" s="215">
        <v>13879109.399999997</v>
      </c>
      <c r="L499" s="215">
        <v>14600686.139999999</v>
      </c>
      <c r="M499" s="215">
        <v>17819373.789999999</v>
      </c>
      <c r="N499" s="215">
        <v>24115029.199999996</v>
      </c>
      <c r="O499" s="215">
        <v>26533107.909999996</v>
      </c>
      <c r="P499" s="215">
        <v>27189972.919999994</v>
      </c>
      <c r="Q499" s="215">
        <v>30861746.879999995</v>
      </c>
    </row>
    <row r="500" spans="2:17" x14ac:dyDescent="0.3">
      <c r="B500" s="259">
        <f t="shared" si="7"/>
        <v>1932615.1454166665</v>
      </c>
      <c r="D500" s="2" t="s">
        <v>502</v>
      </c>
      <c r="E500" s="215">
        <v>1448819.9</v>
      </c>
      <c r="F500" s="215">
        <v>1542068.69</v>
      </c>
      <c r="G500" s="215">
        <v>1585192.7099999997</v>
      </c>
      <c r="H500" s="215">
        <v>1695417.93</v>
      </c>
      <c r="I500" s="215">
        <v>1726079.1099999999</v>
      </c>
      <c r="J500" s="215">
        <v>1842718.1699999997</v>
      </c>
      <c r="K500" s="215">
        <v>1837222.2799999998</v>
      </c>
      <c r="L500" s="215">
        <v>1896607.0499999996</v>
      </c>
      <c r="M500" s="215">
        <v>1991377.0099999995</v>
      </c>
      <c r="N500" s="215">
        <v>2152708.2699999996</v>
      </c>
      <c r="O500" s="215">
        <v>2357892.2999999993</v>
      </c>
      <c r="P500" s="215">
        <v>2460149.5899999994</v>
      </c>
      <c r="Q500" s="215">
        <v>2759077.3699999992</v>
      </c>
    </row>
    <row r="501" spans="2:17" x14ac:dyDescent="0.3">
      <c r="B501" s="259">
        <f t="shared" si="7"/>
        <v>2685698.6766666672</v>
      </c>
      <c r="D501" s="2" t="s">
        <v>504</v>
      </c>
      <c r="E501" s="215">
        <v>1518266.2999999998</v>
      </c>
      <c r="F501" s="215">
        <v>1595294.5</v>
      </c>
      <c r="G501" s="215">
        <v>1666552.6099999999</v>
      </c>
      <c r="H501" s="215">
        <v>1759222.26</v>
      </c>
      <c r="I501" s="215">
        <v>1859849.6099999999</v>
      </c>
      <c r="J501" s="215">
        <v>1948828.32</v>
      </c>
      <c r="K501" s="215">
        <v>1995325.93</v>
      </c>
      <c r="L501" s="215">
        <v>2062077.11</v>
      </c>
      <c r="M501" s="215">
        <v>2183268.3200000003</v>
      </c>
      <c r="N501" s="215">
        <v>2421355.5</v>
      </c>
      <c r="O501" s="215">
        <v>3812161.7600000002</v>
      </c>
      <c r="P501" s="215">
        <v>4127055.96</v>
      </c>
      <c r="Q501" s="215">
        <v>12076518.18</v>
      </c>
    </row>
    <row r="502" spans="2:17" x14ac:dyDescent="0.3">
      <c r="B502" s="259">
        <f t="shared" si="7"/>
        <v>892.18000000000018</v>
      </c>
      <c r="D502" s="2" t="s">
        <v>506</v>
      </c>
      <c r="E502" s="215">
        <v>892.18</v>
      </c>
      <c r="F502" s="215">
        <v>892.18</v>
      </c>
      <c r="G502" s="215">
        <v>892.18</v>
      </c>
      <c r="H502" s="215">
        <v>892.18</v>
      </c>
      <c r="I502" s="215">
        <v>892.18</v>
      </c>
      <c r="J502" s="215">
        <v>892.18</v>
      </c>
      <c r="K502" s="215">
        <v>892.18</v>
      </c>
      <c r="L502" s="215">
        <v>892.18</v>
      </c>
      <c r="M502" s="215">
        <v>892.18</v>
      </c>
      <c r="N502" s="215">
        <v>892.18</v>
      </c>
      <c r="O502" s="215">
        <v>892.18</v>
      </c>
      <c r="P502" s="215">
        <v>892.18</v>
      </c>
      <c r="Q502" s="215">
        <v>892.18</v>
      </c>
    </row>
    <row r="503" spans="2:17" x14ac:dyDescent="0.3">
      <c r="B503" s="259">
        <f t="shared" si="7"/>
        <v>151128.66750000001</v>
      </c>
      <c r="D503" s="2" t="s">
        <v>508</v>
      </c>
      <c r="E503" s="215">
        <v>28219.919999999998</v>
      </c>
      <c r="F503" s="215">
        <v>28219.919999999998</v>
      </c>
      <c r="G503" s="215">
        <v>168687.06</v>
      </c>
      <c r="H503" s="215">
        <v>168687.06</v>
      </c>
      <c r="I503" s="215">
        <v>168687.06</v>
      </c>
      <c r="J503" s="215">
        <v>168687.06</v>
      </c>
      <c r="K503" s="215">
        <v>168687.06</v>
      </c>
      <c r="L503" s="215">
        <v>168687.06</v>
      </c>
      <c r="M503" s="215">
        <v>168687.06</v>
      </c>
      <c r="N503" s="215">
        <v>168687.06</v>
      </c>
      <c r="O503" s="215">
        <v>168687.06</v>
      </c>
      <c r="P503" s="215">
        <v>168687.06</v>
      </c>
      <c r="Q503" s="215">
        <v>168687.06</v>
      </c>
    </row>
    <row r="504" spans="2:17" x14ac:dyDescent="0.3">
      <c r="B504" s="259">
        <f t="shared" si="7"/>
        <v>0</v>
      </c>
      <c r="D504" s="2" t="s">
        <v>510</v>
      </c>
      <c r="E504" s="215">
        <v>0</v>
      </c>
      <c r="F504" s="215">
        <v>0</v>
      </c>
      <c r="G504" s="215">
        <v>0</v>
      </c>
      <c r="H504" s="215">
        <v>0</v>
      </c>
      <c r="I504" s="215">
        <v>0</v>
      </c>
      <c r="J504" s="215">
        <v>0</v>
      </c>
      <c r="K504" s="215">
        <v>0</v>
      </c>
      <c r="L504" s="215">
        <v>0</v>
      </c>
      <c r="M504" s="215">
        <v>0</v>
      </c>
      <c r="N504" s="215">
        <v>0</v>
      </c>
      <c r="O504" s="215">
        <v>0</v>
      </c>
      <c r="P504" s="215">
        <v>0</v>
      </c>
      <c r="Q504" s="215">
        <v>0</v>
      </c>
    </row>
    <row r="505" spans="2:17" x14ac:dyDescent="0.3">
      <c r="B505" s="259">
        <f t="shared" si="7"/>
        <v>655494.64291666669</v>
      </c>
      <c r="D505" s="2" t="s">
        <v>512</v>
      </c>
      <c r="E505" s="215">
        <v>524.01</v>
      </c>
      <c r="F505" s="215">
        <v>593.42000000000019</v>
      </c>
      <c r="G505" s="215">
        <v>348362.36000000004</v>
      </c>
      <c r="H505" s="215">
        <v>655311.63</v>
      </c>
      <c r="I505" s="215">
        <v>672863.03</v>
      </c>
      <c r="J505" s="215">
        <v>613567.07000000007</v>
      </c>
      <c r="K505" s="215">
        <v>616537.80999999994</v>
      </c>
      <c r="L505" s="215">
        <v>616830.37000000011</v>
      </c>
      <c r="M505" s="215">
        <v>1015861.0399999999</v>
      </c>
      <c r="N505" s="215">
        <v>950876.75</v>
      </c>
      <c r="O505" s="215">
        <v>941779.83</v>
      </c>
      <c r="P505" s="215">
        <v>954720.90999999992</v>
      </c>
      <c r="Q505" s="215">
        <v>956738.98</v>
      </c>
    </row>
    <row r="506" spans="2:17" x14ac:dyDescent="0.3">
      <c r="B506" s="259">
        <f t="shared" si="7"/>
        <v>1341948.1083333336</v>
      </c>
      <c r="D506" s="2" t="s">
        <v>516</v>
      </c>
      <c r="E506" s="215">
        <v>1321999.83</v>
      </c>
      <c r="F506" s="215">
        <v>1322060.1400000001</v>
      </c>
      <c r="G506" s="215">
        <v>1327396.92</v>
      </c>
      <c r="H506" s="215">
        <v>1364255.5599999998</v>
      </c>
      <c r="I506" s="215">
        <v>1374219.23</v>
      </c>
      <c r="J506" s="215">
        <v>1374863.0900000003</v>
      </c>
      <c r="K506" s="215">
        <v>1334550.6200000001</v>
      </c>
      <c r="L506" s="215">
        <v>1334684.1700000002</v>
      </c>
      <c r="M506" s="215">
        <v>1335344.55</v>
      </c>
      <c r="N506" s="215">
        <v>1339763.7500000002</v>
      </c>
      <c r="O506" s="215">
        <v>1331929.8900000001</v>
      </c>
      <c r="P506" s="215">
        <v>1331929.8900000001</v>
      </c>
      <c r="Q506" s="215">
        <v>1342759.1500000001</v>
      </c>
    </row>
    <row r="507" spans="2:17" x14ac:dyDescent="0.3">
      <c r="B507" s="259">
        <f t="shared" si="7"/>
        <v>8700909.3137500007</v>
      </c>
      <c r="D507" s="2" t="s">
        <v>518</v>
      </c>
      <c r="E507" s="215">
        <v>2591543.2200000002</v>
      </c>
      <c r="F507" s="215">
        <v>5930487.4400000004</v>
      </c>
      <c r="G507" s="215">
        <v>5923698.6000000006</v>
      </c>
      <c r="H507" s="215">
        <v>9102539.8800000008</v>
      </c>
      <c r="I507" s="215">
        <v>9128934.2500000019</v>
      </c>
      <c r="J507" s="215">
        <v>9128397.6100000013</v>
      </c>
      <c r="K507" s="215">
        <v>9128691.0899999999</v>
      </c>
      <c r="L507" s="215">
        <v>9155670.3100000005</v>
      </c>
      <c r="M507" s="215">
        <v>9148310.8599999994</v>
      </c>
      <c r="N507" s="215">
        <v>9148323.5600000005</v>
      </c>
      <c r="O507" s="215">
        <v>9148417.2999999989</v>
      </c>
      <c r="P507" s="215">
        <v>9148823.9700000007</v>
      </c>
      <c r="Q507" s="215">
        <v>18045690.57</v>
      </c>
    </row>
    <row r="508" spans="2:17" x14ac:dyDescent="0.3">
      <c r="B508" s="259">
        <f t="shared" si="7"/>
        <v>589402.80208333337</v>
      </c>
      <c r="D508" s="2" t="s">
        <v>520</v>
      </c>
      <c r="E508" s="215">
        <v>147919.03</v>
      </c>
      <c r="F508" s="215">
        <v>147892.19</v>
      </c>
      <c r="G508" s="215">
        <v>155021.28</v>
      </c>
      <c r="H508" s="215">
        <v>194389.06</v>
      </c>
      <c r="I508" s="215">
        <v>213168.96000000002</v>
      </c>
      <c r="J508" s="215">
        <v>755967.85</v>
      </c>
      <c r="K508" s="215">
        <v>772714.89999999991</v>
      </c>
      <c r="L508" s="215">
        <v>796326.19000000006</v>
      </c>
      <c r="M508" s="215">
        <v>816627.84000000008</v>
      </c>
      <c r="N508" s="215">
        <v>858138.91</v>
      </c>
      <c r="O508" s="215">
        <v>889591.69000000006</v>
      </c>
      <c r="P508" s="215">
        <v>922949.33000000019</v>
      </c>
      <c r="Q508" s="215">
        <v>952171.82000000018</v>
      </c>
    </row>
    <row r="509" spans="2:17" x14ac:dyDescent="0.3">
      <c r="B509" s="259">
        <f t="shared" si="7"/>
        <v>787818.55000000016</v>
      </c>
      <c r="D509" s="2" t="s">
        <v>522</v>
      </c>
      <c r="E509" s="215">
        <v>620338.9</v>
      </c>
      <c r="F509" s="215">
        <v>676342.26</v>
      </c>
      <c r="G509" s="215">
        <v>666457.05000000005</v>
      </c>
      <c r="H509" s="215">
        <v>720527.18000000017</v>
      </c>
      <c r="I509" s="215">
        <v>785537.52000000014</v>
      </c>
      <c r="J509" s="215">
        <v>797280.94000000006</v>
      </c>
      <c r="K509" s="215">
        <v>808803.2300000001</v>
      </c>
      <c r="L509" s="215">
        <v>827926.25000000012</v>
      </c>
      <c r="M509" s="215">
        <v>814641.07000000007</v>
      </c>
      <c r="N509" s="215">
        <v>860029.13000000012</v>
      </c>
      <c r="O509" s="215">
        <v>861202.3600000001</v>
      </c>
      <c r="P509" s="215">
        <v>877252.07000000007</v>
      </c>
      <c r="Q509" s="215">
        <v>895308.18</v>
      </c>
    </row>
    <row r="510" spans="2:17" x14ac:dyDescent="0.3">
      <c r="B510" s="259">
        <f t="shared" si="7"/>
        <v>0</v>
      </c>
      <c r="D510" s="2" t="s">
        <v>1480</v>
      </c>
      <c r="E510" s="215">
        <v>0</v>
      </c>
      <c r="F510" s="215">
        <v>0</v>
      </c>
      <c r="G510" s="215">
        <v>0</v>
      </c>
      <c r="H510" s="215">
        <v>0</v>
      </c>
      <c r="I510" s="215">
        <v>0</v>
      </c>
      <c r="J510" s="215">
        <v>0</v>
      </c>
      <c r="K510" s="215">
        <v>0</v>
      </c>
      <c r="L510" s="215">
        <v>0</v>
      </c>
      <c r="M510" s="215">
        <v>0</v>
      </c>
      <c r="N510" s="215">
        <v>0</v>
      </c>
      <c r="O510" s="215">
        <v>0</v>
      </c>
      <c r="P510" s="215">
        <v>0</v>
      </c>
      <c r="Q510" s="215">
        <v>0</v>
      </c>
    </row>
    <row r="511" spans="2:17" x14ac:dyDescent="0.3">
      <c r="B511" s="259">
        <f t="shared" si="7"/>
        <v>5980651.0091666663</v>
      </c>
      <c r="D511" s="2" t="s">
        <v>524</v>
      </c>
      <c r="E511" s="215">
        <v>3985067.6399999997</v>
      </c>
      <c r="F511" s="215">
        <v>4362273.96</v>
      </c>
      <c r="G511" s="215">
        <v>4500729</v>
      </c>
      <c r="H511" s="215">
        <v>4875600.7799999993</v>
      </c>
      <c r="I511" s="215">
        <v>5302791.26</v>
      </c>
      <c r="J511" s="215">
        <v>5615411.3399999999</v>
      </c>
      <c r="K511" s="215">
        <v>5912590.5599999996</v>
      </c>
      <c r="L511" s="215">
        <v>6151125.0099999998</v>
      </c>
      <c r="M511" s="215">
        <v>6537326.2599999998</v>
      </c>
      <c r="N511" s="215">
        <v>6998414.3499999996</v>
      </c>
      <c r="O511" s="215">
        <v>7554826.4300000006</v>
      </c>
      <c r="P511" s="215">
        <v>7862219.3900000006</v>
      </c>
      <c r="Q511" s="215">
        <v>8203939.9000000004</v>
      </c>
    </row>
    <row r="512" spans="2:17" x14ac:dyDescent="0.3">
      <c r="B512" s="259">
        <f t="shared" si="7"/>
        <v>20474.341250000001</v>
      </c>
      <c r="D512" s="2" t="s">
        <v>526</v>
      </c>
      <c r="E512" s="215">
        <v>6439.6200000000008</v>
      </c>
      <c r="F512" s="215">
        <v>16252.53</v>
      </c>
      <c r="G512" s="215">
        <v>17638.150000000001</v>
      </c>
      <c r="H512" s="215">
        <v>17638.150000000001</v>
      </c>
      <c r="I512" s="215">
        <v>20830.080000000002</v>
      </c>
      <c r="J512" s="215">
        <v>21086.690000000002</v>
      </c>
      <c r="K512" s="215">
        <v>21086.690000000002</v>
      </c>
      <c r="L512" s="215">
        <v>21086.690000000002</v>
      </c>
      <c r="M512" s="215">
        <v>21086.690000000002</v>
      </c>
      <c r="N512" s="215">
        <v>21086.690000000002</v>
      </c>
      <c r="O512" s="215">
        <v>21086.690000000002</v>
      </c>
      <c r="P512" s="215">
        <v>21086.690000000002</v>
      </c>
      <c r="Q512" s="215">
        <v>45013.090000000004</v>
      </c>
    </row>
    <row r="513" spans="2:17" x14ac:dyDescent="0.3">
      <c r="B513" s="259">
        <f t="shared" si="7"/>
        <v>10254.73</v>
      </c>
      <c r="D513" s="2" t="s">
        <v>528</v>
      </c>
      <c r="E513" s="215">
        <v>10254.730000000001</v>
      </c>
      <c r="F513" s="215">
        <v>10254.730000000001</v>
      </c>
      <c r="G513" s="215">
        <v>10254.730000000001</v>
      </c>
      <c r="H513" s="215">
        <v>10254.730000000001</v>
      </c>
      <c r="I513" s="215">
        <v>10254.730000000001</v>
      </c>
      <c r="J513" s="215">
        <v>10254.730000000001</v>
      </c>
      <c r="K513" s="215">
        <v>10254.730000000001</v>
      </c>
      <c r="L513" s="215">
        <v>10254.730000000001</v>
      </c>
      <c r="M513" s="215">
        <v>10254.730000000001</v>
      </c>
      <c r="N513" s="215">
        <v>10254.730000000001</v>
      </c>
      <c r="O513" s="215">
        <v>10254.730000000001</v>
      </c>
      <c r="P513" s="215">
        <v>10254.730000000001</v>
      </c>
      <c r="Q513" s="215">
        <v>10254.730000000001</v>
      </c>
    </row>
    <row r="514" spans="2:17" x14ac:dyDescent="0.3">
      <c r="B514" s="259">
        <f t="shared" si="7"/>
        <v>6853356.6195833338</v>
      </c>
      <c r="D514" s="2" t="s">
        <v>530</v>
      </c>
      <c r="E514" s="215">
        <v>4453627.45</v>
      </c>
      <c r="F514" s="215">
        <v>4531733.1300000008</v>
      </c>
      <c r="G514" s="215">
        <v>4632161.0000000009</v>
      </c>
      <c r="H514" s="215">
        <v>4933633.03</v>
      </c>
      <c r="I514" s="215">
        <v>5669863.3100000005</v>
      </c>
      <c r="J514" s="215">
        <v>5790686.4800000004</v>
      </c>
      <c r="K514" s="215">
        <v>6204722.1300000008</v>
      </c>
      <c r="L514" s="215">
        <v>6605232.3600000003</v>
      </c>
      <c r="M514" s="215">
        <v>7509288.8800000008</v>
      </c>
      <c r="N514" s="215">
        <v>8674395.4699999988</v>
      </c>
      <c r="O514" s="215">
        <v>9569220.8200000003</v>
      </c>
      <c r="P514" s="215">
        <v>10373052.35</v>
      </c>
      <c r="Q514" s="215">
        <v>11038953.5</v>
      </c>
    </row>
    <row r="515" spans="2:17" x14ac:dyDescent="0.3">
      <c r="B515" s="259">
        <f t="shared" si="7"/>
        <v>11452599.356666664</v>
      </c>
      <c r="D515" s="2" t="s">
        <v>532</v>
      </c>
      <c r="E515" s="215">
        <v>5863709.6199999992</v>
      </c>
      <c r="F515" s="215">
        <v>7824778.629999999</v>
      </c>
      <c r="G515" s="215">
        <v>9527918.2299999986</v>
      </c>
      <c r="H515" s="215">
        <v>10983004.549999999</v>
      </c>
      <c r="I515" s="215">
        <v>11408559.029999999</v>
      </c>
      <c r="J515" s="215">
        <v>11476881.029999997</v>
      </c>
      <c r="K515" s="215">
        <v>11599993.869999999</v>
      </c>
      <c r="L515" s="215">
        <v>11653003.469999997</v>
      </c>
      <c r="M515" s="215">
        <v>12037066.379999999</v>
      </c>
      <c r="N515" s="215">
        <v>12537676.309999999</v>
      </c>
      <c r="O515" s="215">
        <v>12706125.829999998</v>
      </c>
      <c r="P515" s="215">
        <v>13842244.609999999</v>
      </c>
      <c r="Q515" s="215">
        <v>17804171.059999999</v>
      </c>
    </row>
    <row r="516" spans="2:17" x14ac:dyDescent="0.3">
      <c r="B516" s="259">
        <f t="shared" si="7"/>
        <v>7033122.5791666666</v>
      </c>
      <c r="D516" s="2" t="s">
        <v>534</v>
      </c>
      <c r="E516" s="215">
        <v>6160077.0700000003</v>
      </c>
      <c r="F516" s="215">
        <v>6972829.7100000009</v>
      </c>
      <c r="G516" s="215">
        <v>6972927.790000001</v>
      </c>
      <c r="H516" s="215">
        <v>6984586.0800000001</v>
      </c>
      <c r="I516" s="215">
        <v>6984586.0800000001</v>
      </c>
      <c r="J516" s="215">
        <v>6984586.0800000001</v>
      </c>
      <c r="K516" s="215">
        <v>7124222.9199999999</v>
      </c>
      <c r="L516" s="215">
        <v>7124222.9199999999</v>
      </c>
      <c r="M516" s="215">
        <v>7124222.9199999999</v>
      </c>
      <c r="N516" s="215">
        <v>7124222.9199999999</v>
      </c>
      <c r="O516" s="215">
        <v>7124222.9199999999</v>
      </c>
      <c r="P516" s="215">
        <v>7197868.0500000007</v>
      </c>
      <c r="Q516" s="215">
        <v>7197868.0500000007</v>
      </c>
    </row>
    <row r="517" spans="2:17" x14ac:dyDescent="0.3">
      <c r="B517" s="259">
        <f t="shared" si="7"/>
        <v>146151.60666666672</v>
      </c>
      <c r="D517" s="2" t="s">
        <v>536</v>
      </c>
      <c r="E517" s="215">
        <v>46436.770000000004</v>
      </c>
      <c r="F517" s="215">
        <v>46436.770000000004</v>
      </c>
      <c r="G517" s="215">
        <v>160323.07000000004</v>
      </c>
      <c r="H517" s="215">
        <v>160323.07000000004</v>
      </c>
      <c r="I517" s="215">
        <v>160323.07000000004</v>
      </c>
      <c r="J517" s="215">
        <v>160323.07000000004</v>
      </c>
      <c r="K517" s="215">
        <v>160323.07000000004</v>
      </c>
      <c r="L517" s="215">
        <v>160323.07000000004</v>
      </c>
      <c r="M517" s="215">
        <v>160323.07000000004</v>
      </c>
      <c r="N517" s="215">
        <v>160323.07000000004</v>
      </c>
      <c r="O517" s="215">
        <v>160323.07000000004</v>
      </c>
      <c r="P517" s="215">
        <v>160323.07000000004</v>
      </c>
      <c r="Q517" s="215">
        <v>161866.85</v>
      </c>
    </row>
    <row r="518" spans="2:17" x14ac:dyDescent="0.3">
      <c r="B518" s="259">
        <f t="shared" si="7"/>
        <v>0</v>
      </c>
      <c r="D518" s="2" t="s">
        <v>538</v>
      </c>
      <c r="E518" s="215">
        <v>0</v>
      </c>
      <c r="F518" s="215">
        <v>0</v>
      </c>
      <c r="G518" s="215">
        <v>0</v>
      </c>
      <c r="H518" s="215">
        <v>0</v>
      </c>
      <c r="I518" s="215">
        <v>0</v>
      </c>
      <c r="J518" s="215">
        <v>0</v>
      </c>
      <c r="K518" s="215">
        <v>0</v>
      </c>
      <c r="L518" s="215">
        <v>0</v>
      </c>
      <c r="M518" s="215">
        <v>0</v>
      </c>
      <c r="N518" s="215">
        <v>0</v>
      </c>
      <c r="O518" s="215">
        <v>0</v>
      </c>
      <c r="P518" s="215">
        <v>0</v>
      </c>
      <c r="Q518" s="215">
        <v>0</v>
      </c>
    </row>
    <row r="519" spans="2:17" x14ac:dyDescent="0.3">
      <c r="B519" s="259">
        <f t="shared" ref="B519:B582" si="8">(E519+Q519+SUM(F519:P519)*2)/24</f>
        <v>9386.6879166666677</v>
      </c>
      <c r="D519" s="2" t="s">
        <v>1056</v>
      </c>
      <c r="E519" s="215">
        <v>0</v>
      </c>
      <c r="F519" s="215">
        <v>0</v>
      </c>
      <c r="G519" s="215">
        <v>0</v>
      </c>
      <c r="H519" s="215">
        <v>0</v>
      </c>
      <c r="I519" s="215">
        <v>0</v>
      </c>
      <c r="J519" s="215">
        <v>0</v>
      </c>
      <c r="K519" s="215">
        <v>0</v>
      </c>
      <c r="L519" s="215">
        <v>0</v>
      </c>
      <c r="M519" s="215">
        <v>0</v>
      </c>
      <c r="N519" s="215">
        <v>0</v>
      </c>
      <c r="O519" s="215">
        <v>44881.71</v>
      </c>
      <c r="P519" s="215">
        <v>45003.61</v>
      </c>
      <c r="Q519" s="215">
        <v>45509.87</v>
      </c>
    </row>
    <row r="520" spans="2:17" x14ac:dyDescent="0.3">
      <c r="B520" s="259">
        <f t="shared" si="8"/>
        <v>0</v>
      </c>
      <c r="D520" s="2" t="s">
        <v>540</v>
      </c>
      <c r="E520" s="215">
        <v>0</v>
      </c>
      <c r="F520" s="215">
        <v>0</v>
      </c>
      <c r="G520" s="215">
        <v>0</v>
      </c>
      <c r="H520" s="215">
        <v>0</v>
      </c>
      <c r="I520" s="215">
        <v>0</v>
      </c>
      <c r="J520" s="215">
        <v>0</v>
      </c>
      <c r="K520" s="215">
        <v>0</v>
      </c>
      <c r="L520" s="215">
        <v>0</v>
      </c>
      <c r="M520" s="215">
        <v>0</v>
      </c>
      <c r="N520" s="215">
        <v>0</v>
      </c>
      <c r="O520" s="215">
        <v>0</v>
      </c>
      <c r="P520" s="215">
        <v>0</v>
      </c>
      <c r="Q520" s="215">
        <v>0</v>
      </c>
    </row>
    <row r="521" spans="2:17" x14ac:dyDescent="0.3">
      <c r="B521" s="259">
        <f t="shared" si="8"/>
        <v>0</v>
      </c>
      <c r="D521" s="2" t="s">
        <v>1106</v>
      </c>
      <c r="E521" s="215">
        <v>0</v>
      </c>
      <c r="F521" s="215">
        <v>0</v>
      </c>
      <c r="G521" s="215">
        <v>0</v>
      </c>
      <c r="H521" s="215">
        <v>0</v>
      </c>
      <c r="I521" s="215">
        <v>0</v>
      </c>
      <c r="J521" s="215">
        <v>0</v>
      </c>
      <c r="K521" s="215">
        <v>0</v>
      </c>
      <c r="L521" s="215">
        <v>0</v>
      </c>
      <c r="M521" s="215">
        <v>0</v>
      </c>
      <c r="N521" s="215">
        <v>0</v>
      </c>
      <c r="O521" s="215">
        <v>0</v>
      </c>
      <c r="P521" s="215">
        <v>0</v>
      </c>
      <c r="Q521" s="215">
        <v>0</v>
      </c>
    </row>
    <row r="522" spans="2:17" x14ac:dyDescent="0.3">
      <c r="B522" s="259">
        <f t="shared" si="8"/>
        <v>3929625.9387500007</v>
      </c>
      <c r="D522" s="2" t="s">
        <v>542</v>
      </c>
      <c r="E522" s="215">
        <v>3826724.8500000006</v>
      </c>
      <c r="F522" s="215">
        <v>3900865.5400000005</v>
      </c>
      <c r="G522" s="215">
        <v>3777605.790000001</v>
      </c>
      <c r="H522" s="215">
        <v>4349379.8400000008</v>
      </c>
      <c r="I522" s="215">
        <v>3853281.4499999997</v>
      </c>
      <c r="J522" s="215">
        <v>3896097.34</v>
      </c>
      <c r="K522" s="215">
        <v>3893094.05</v>
      </c>
      <c r="L522" s="215">
        <v>3893895.36</v>
      </c>
      <c r="M522" s="215">
        <v>3896552.27</v>
      </c>
      <c r="N522" s="215">
        <v>3898310.9200000004</v>
      </c>
      <c r="O522" s="215">
        <v>3998421.81</v>
      </c>
      <c r="P522" s="215">
        <v>3930875.2</v>
      </c>
      <c r="Q522" s="215">
        <v>3907538.5400000005</v>
      </c>
    </row>
    <row r="523" spans="2:17" x14ac:dyDescent="0.3">
      <c r="B523" s="259">
        <f t="shared" si="8"/>
        <v>202622.48124999998</v>
      </c>
      <c r="D523" s="2" t="s">
        <v>544</v>
      </c>
      <c r="E523" s="215">
        <v>131730.64000000001</v>
      </c>
      <c r="F523" s="215">
        <v>132128.08000000002</v>
      </c>
      <c r="G523" s="215">
        <v>132128.08000000002</v>
      </c>
      <c r="H523" s="215">
        <v>132128.08000000002</v>
      </c>
      <c r="I523" s="215">
        <v>231541.98000000004</v>
      </c>
      <c r="J523" s="215">
        <v>231541.98000000004</v>
      </c>
      <c r="K523" s="215">
        <v>231541.98000000004</v>
      </c>
      <c r="L523" s="215">
        <v>231541.98000000004</v>
      </c>
      <c r="M523" s="215">
        <v>231541.98000000004</v>
      </c>
      <c r="N523" s="215">
        <v>231541.98000000004</v>
      </c>
      <c r="O523" s="215">
        <v>231541.98000000004</v>
      </c>
      <c r="P523" s="215">
        <v>232141.88</v>
      </c>
      <c r="Q523" s="215">
        <v>232568.95</v>
      </c>
    </row>
    <row r="524" spans="2:17" x14ac:dyDescent="0.3">
      <c r="B524" s="259">
        <f t="shared" si="8"/>
        <v>14877999.473333335</v>
      </c>
      <c r="D524" s="2" t="s">
        <v>546</v>
      </c>
      <c r="E524" s="215">
        <v>12758718.42</v>
      </c>
      <c r="F524" s="215">
        <v>13968999.809999999</v>
      </c>
      <c r="G524" s="215">
        <v>15100306.839999998</v>
      </c>
      <c r="H524" s="215">
        <v>15142740.699999999</v>
      </c>
      <c r="I524" s="215">
        <v>14117166.319999998</v>
      </c>
      <c r="J524" s="215">
        <v>14540052.34</v>
      </c>
      <c r="K524" s="215">
        <v>13575205.76</v>
      </c>
      <c r="L524" s="215">
        <v>13997720.199999999</v>
      </c>
      <c r="M524" s="215">
        <v>13134257</v>
      </c>
      <c r="N524" s="215">
        <v>13571810.509999998</v>
      </c>
      <c r="O524" s="215">
        <v>13637832.329999998</v>
      </c>
      <c r="P524" s="215">
        <v>20829338.870000001</v>
      </c>
      <c r="Q524" s="215">
        <v>21082407.580000002</v>
      </c>
    </row>
    <row r="525" spans="2:17" x14ac:dyDescent="0.3">
      <c r="B525" s="259">
        <f t="shared" si="8"/>
        <v>11040154.186666667</v>
      </c>
      <c r="D525" s="2" t="s">
        <v>548</v>
      </c>
      <c r="E525" s="215">
        <v>8909147.4299999978</v>
      </c>
      <c r="F525" s="215">
        <v>9985933.2300000004</v>
      </c>
      <c r="G525" s="215">
        <v>10666718.99</v>
      </c>
      <c r="H525" s="215">
        <v>9417529.8900000006</v>
      </c>
      <c r="I525" s="215">
        <v>9891331.0800000019</v>
      </c>
      <c r="J525" s="215">
        <v>9923363.5600000024</v>
      </c>
      <c r="K525" s="215">
        <v>12433820.84</v>
      </c>
      <c r="L525" s="215">
        <v>12240791.870000001</v>
      </c>
      <c r="M525" s="215">
        <v>11633014.010000002</v>
      </c>
      <c r="N525" s="215">
        <v>11839733.520000001</v>
      </c>
      <c r="O525" s="215">
        <v>11912938.640000002</v>
      </c>
      <c r="P525" s="215">
        <v>11975696.480000002</v>
      </c>
      <c r="Q525" s="215">
        <v>12212808.830000002</v>
      </c>
    </row>
    <row r="526" spans="2:17" x14ac:dyDescent="0.3">
      <c r="B526" s="259">
        <f t="shared" si="8"/>
        <v>0</v>
      </c>
      <c r="D526" s="2" t="s">
        <v>1481</v>
      </c>
      <c r="E526" s="215">
        <v>0</v>
      </c>
      <c r="F526" s="215">
        <v>0</v>
      </c>
      <c r="G526" s="215">
        <v>0</v>
      </c>
      <c r="H526" s="215">
        <v>0</v>
      </c>
      <c r="I526" s="215">
        <v>0</v>
      </c>
      <c r="J526" s="215">
        <v>0</v>
      </c>
      <c r="K526" s="215">
        <v>0</v>
      </c>
      <c r="L526" s="215">
        <v>0</v>
      </c>
      <c r="M526" s="215">
        <v>0</v>
      </c>
      <c r="N526" s="215">
        <v>0</v>
      </c>
      <c r="O526" s="215">
        <v>0</v>
      </c>
      <c r="P526" s="215">
        <v>0</v>
      </c>
      <c r="Q526" s="215">
        <v>0</v>
      </c>
    </row>
    <row r="527" spans="2:17" x14ac:dyDescent="0.3">
      <c r="B527" s="259">
        <f t="shared" si="8"/>
        <v>3884.5516666666667</v>
      </c>
      <c r="D527" s="2" t="s">
        <v>942</v>
      </c>
      <c r="E527" s="215">
        <v>0</v>
      </c>
      <c r="F527" s="215">
        <v>0</v>
      </c>
      <c r="G527" s="215">
        <v>0</v>
      </c>
      <c r="H527" s="215">
        <v>0</v>
      </c>
      <c r="I527" s="215">
        <v>0</v>
      </c>
      <c r="J527" s="215">
        <v>0</v>
      </c>
      <c r="K527" s="215">
        <v>7171.4800000000005</v>
      </c>
      <c r="L527" s="215">
        <v>7171.4800000000005</v>
      </c>
      <c r="M527" s="215">
        <v>7171.4800000000005</v>
      </c>
      <c r="N527" s="215">
        <v>7171.4800000000005</v>
      </c>
      <c r="O527" s="215">
        <v>7171.4800000000005</v>
      </c>
      <c r="P527" s="215">
        <v>7171.4800000000005</v>
      </c>
      <c r="Q527" s="215">
        <v>7171.4800000000005</v>
      </c>
    </row>
    <row r="528" spans="2:17" x14ac:dyDescent="0.3">
      <c r="B528" s="259">
        <f t="shared" si="8"/>
        <v>-2.3333333333333345E-2</v>
      </c>
      <c r="D528" s="2" t="s">
        <v>550</v>
      </c>
      <c r="E528" s="215">
        <v>-2.1684043449710089E-18</v>
      </c>
      <c r="F528" s="215">
        <v>-2.0000000000000007E-2</v>
      </c>
      <c r="G528" s="215">
        <v>-3.0000000000000009E-2</v>
      </c>
      <c r="H528" s="215">
        <v>-4.0000000000000008E-2</v>
      </c>
      <c r="I528" s="215">
        <v>-0.04</v>
      </c>
      <c r="J528" s="215">
        <v>-2.0000000000000007E-2</v>
      </c>
      <c r="K528" s="215">
        <v>-3.0000000000000006E-2</v>
      </c>
      <c r="L528" s="215">
        <v>-2.0000000000000007E-2</v>
      </c>
      <c r="M528" s="215">
        <v>-2.0000000000000007E-2</v>
      </c>
      <c r="N528" s="215">
        <v>-3.0000000000000006E-2</v>
      </c>
      <c r="O528" s="215">
        <v>-2.0000000000000007E-2</v>
      </c>
      <c r="P528" s="215">
        <v>-5.4210108624275222E-18</v>
      </c>
      <c r="Q528" s="215">
        <v>-2.0000000000000007E-2</v>
      </c>
    </row>
    <row r="529" spans="2:17" x14ac:dyDescent="0.3">
      <c r="B529" s="259">
        <f t="shared" si="8"/>
        <v>28.810000000000006</v>
      </c>
      <c r="D529" s="2" t="s">
        <v>552</v>
      </c>
      <c r="E529" s="215">
        <v>28.810000000000006</v>
      </c>
      <c r="F529" s="215">
        <v>28.810000000000006</v>
      </c>
      <c r="G529" s="215">
        <v>28.810000000000006</v>
      </c>
      <c r="H529" s="215">
        <v>28.810000000000006</v>
      </c>
      <c r="I529" s="215">
        <v>28.810000000000006</v>
      </c>
      <c r="J529" s="215">
        <v>28.810000000000006</v>
      </c>
      <c r="K529" s="215">
        <v>28.810000000000006</v>
      </c>
      <c r="L529" s="215">
        <v>28.810000000000006</v>
      </c>
      <c r="M529" s="215">
        <v>28.810000000000006</v>
      </c>
      <c r="N529" s="215">
        <v>28.810000000000006</v>
      </c>
      <c r="O529" s="215">
        <v>28.810000000000006</v>
      </c>
      <c r="P529" s="215">
        <v>28.810000000000006</v>
      </c>
      <c r="Q529" s="215">
        <v>28.810000000000006</v>
      </c>
    </row>
    <row r="530" spans="2:17" x14ac:dyDescent="0.3">
      <c r="B530" s="259">
        <f t="shared" si="8"/>
        <v>8788643.3749999981</v>
      </c>
      <c r="D530" s="2" t="s">
        <v>554</v>
      </c>
      <c r="E530" s="215">
        <v>6967685.6399999987</v>
      </c>
      <c r="F530" s="215">
        <v>7235861.0199999996</v>
      </c>
      <c r="G530" s="215">
        <v>7248748.0199999996</v>
      </c>
      <c r="H530" s="215">
        <v>7518416.1799999988</v>
      </c>
      <c r="I530" s="215">
        <v>7981885.5799999982</v>
      </c>
      <c r="J530" s="215">
        <v>7890526.3999999985</v>
      </c>
      <c r="K530" s="215">
        <v>8123603.4599999972</v>
      </c>
      <c r="L530" s="215">
        <v>9436190.2899999972</v>
      </c>
      <c r="M530" s="215">
        <v>10015820.439999998</v>
      </c>
      <c r="N530" s="215">
        <v>10029944.639999999</v>
      </c>
      <c r="O530" s="215">
        <v>10072221.27</v>
      </c>
      <c r="P530" s="215">
        <v>10920646.419999996</v>
      </c>
      <c r="Q530" s="215">
        <v>11012027.919999998</v>
      </c>
    </row>
    <row r="531" spans="2:17" x14ac:dyDescent="0.3">
      <c r="B531" s="259">
        <f t="shared" si="8"/>
        <v>-392.00000000000006</v>
      </c>
      <c r="D531" s="2" t="s">
        <v>556</v>
      </c>
      <c r="E531" s="215">
        <v>-392.00000000000006</v>
      </c>
      <c r="F531" s="215">
        <v>-392.00000000000006</v>
      </c>
      <c r="G531" s="215">
        <v>-392.00000000000006</v>
      </c>
      <c r="H531" s="215">
        <v>-392.00000000000006</v>
      </c>
      <c r="I531" s="215">
        <v>-392.00000000000006</v>
      </c>
      <c r="J531" s="215">
        <v>-392.00000000000006</v>
      </c>
      <c r="K531" s="215">
        <v>-392.00000000000006</v>
      </c>
      <c r="L531" s="215">
        <v>-392.00000000000006</v>
      </c>
      <c r="M531" s="215">
        <v>-392.00000000000006</v>
      </c>
      <c r="N531" s="215">
        <v>-392.00000000000006</v>
      </c>
      <c r="O531" s="215">
        <v>-392.00000000000006</v>
      </c>
      <c r="P531" s="215">
        <v>-392.00000000000006</v>
      </c>
      <c r="Q531" s="215">
        <v>-392.00000000000006</v>
      </c>
    </row>
    <row r="532" spans="2:17" x14ac:dyDescent="0.3">
      <c r="B532" s="259">
        <f t="shared" si="8"/>
        <v>85204.13</v>
      </c>
      <c r="D532" s="2" t="s">
        <v>1482</v>
      </c>
      <c r="E532" s="215">
        <v>85204.13</v>
      </c>
      <c r="F532" s="215">
        <v>85204.13</v>
      </c>
      <c r="G532" s="215">
        <v>85204.13</v>
      </c>
      <c r="H532" s="215">
        <v>85204.13</v>
      </c>
      <c r="I532" s="215">
        <v>85204.13</v>
      </c>
      <c r="J532" s="215">
        <v>85204.13</v>
      </c>
      <c r="K532" s="215">
        <v>85204.13</v>
      </c>
      <c r="L532" s="215">
        <v>85204.13</v>
      </c>
      <c r="M532" s="215">
        <v>85204.13</v>
      </c>
      <c r="N532" s="215">
        <v>85204.13</v>
      </c>
      <c r="O532" s="215">
        <v>85204.13</v>
      </c>
      <c r="P532" s="215">
        <v>85204.13</v>
      </c>
      <c r="Q532" s="215">
        <v>85204.13</v>
      </c>
    </row>
    <row r="533" spans="2:17" x14ac:dyDescent="0.3">
      <c r="B533" s="259">
        <f t="shared" si="8"/>
        <v>84371.790000000023</v>
      </c>
      <c r="D533" s="2" t="s">
        <v>1483</v>
      </c>
      <c r="E533" s="215">
        <v>84371.790000000008</v>
      </c>
      <c r="F533" s="215">
        <v>84371.790000000008</v>
      </c>
      <c r="G533" s="215">
        <v>84371.790000000008</v>
      </c>
      <c r="H533" s="215">
        <v>84371.790000000008</v>
      </c>
      <c r="I533" s="215">
        <v>84371.790000000008</v>
      </c>
      <c r="J533" s="215">
        <v>84371.790000000008</v>
      </c>
      <c r="K533" s="215">
        <v>84371.790000000008</v>
      </c>
      <c r="L533" s="215">
        <v>84371.790000000008</v>
      </c>
      <c r="M533" s="215">
        <v>84371.790000000008</v>
      </c>
      <c r="N533" s="215">
        <v>84371.790000000008</v>
      </c>
      <c r="O533" s="215">
        <v>84371.790000000008</v>
      </c>
      <c r="P533" s="215">
        <v>84371.790000000008</v>
      </c>
      <c r="Q533" s="215">
        <v>84371.790000000008</v>
      </c>
    </row>
    <row r="534" spans="2:17" x14ac:dyDescent="0.3">
      <c r="B534" s="259">
        <f t="shared" si="8"/>
        <v>0</v>
      </c>
      <c r="D534" s="2" t="s">
        <v>1484</v>
      </c>
      <c r="E534" s="215">
        <v>0</v>
      </c>
      <c r="F534" s="215">
        <v>0</v>
      </c>
      <c r="G534" s="215">
        <v>0</v>
      </c>
      <c r="H534" s="215">
        <v>0</v>
      </c>
      <c r="I534" s="215">
        <v>0</v>
      </c>
      <c r="J534" s="215">
        <v>0</v>
      </c>
      <c r="K534" s="215">
        <v>0</v>
      </c>
      <c r="L534" s="215">
        <v>0</v>
      </c>
      <c r="M534" s="215">
        <v>0</v>
      </c>
      <c r="N534" s="215">
        <v>0</v>
      </c>
      <c r="O534" s="215">
        <v>0</v>
      </c>
      <c r="P534" s="215">
        <v>0</v>
      </c>
      <c r="Q534" s="215">
        <v>0</v>
      </c>
    </row>
    <row r="535" spans="2:17" x14ac:dyDescent="0.3">
      <c r="B535" s="259">
        <f t="shared" si="8"/>
        <v>117021.45999999998</v>
      </c>
      <c r="D535" s="2" t="s">
        <v>1485</v>
      </c>
      <c r="E535" s="215">
        <v>117021.46</v>
      </c>
      <c r="F535" s="215">
        <v>117021.46</v>
      </c>
      <c r="G535" s="215">
        <v>117021.46</v>
      </c>
      <c r="H535" s="215">
        <v>117021.46</v>
      </c>
      <c r="I535" s="215">
        <v>117021.46</v>
      </c>
      <c r="J535" s="215">
        <v>117021.46</v>
      </c>
      <c r="K535" s="215">
        <v>117021.46</v>
      </c>
      <c r="L535" s="215">
        <v>117021.46</v>
      </c>
      <c r="M535" s="215">
        <v>117021.46</v>
      </c>
      <c r="N535" s="215">
        <v>117021.46</v>
      </c>
      <c r="O535" s="215">
        <v>117021.46</v>
      </c>
      <c r="P535" s="215">
        <v>117021.46</v>
      </c>
      <c r="Q535" s="215">
        <v>117021.46</v>
      </c>
    </row>
    <row r="536" spans="2:17" x14ac:dyDescent="0.3">
      <c r="B536" s="259">
        <f t="shared" si="8"/>
        <v>460266.00791666674</v>
      </c>
      <c r="D536" s="2" t="s">
        <v>558</v>
      </c>
      <c r="E536" s="215">
        <v>440331</v>
      </c>
      <c r="F536" s="215">
        <v>440435.75</v>
      </c>
      <c r="G536" s="215">
        <v>456814.89</v>
      </c>
      <c r="H536" s="215">
        <v>463765.89</v>
      </c>
      <c r="I536" s="215">
        <v>463765.89</v>
      </c>
      <c r="J536" s="215">
        <v>463765.89</v>
      </c>
      <c r="K536" s="215">
        <v>463765.89</v>
      </c>
      <c r="L536" s="215">
        <v>463765.89</v>
      </c>
      <c r="M536" s="215">
        <v>463765.89</v>
      </c>
      <c r="N536" s="215">
        <v>463765.89</v>
      </c>
      <c r="O536" s="215">
        <v>463765.89</v>
      </c>
      <c r="P536" s="215">
        <v>463765.89</v>
      </c>
      <c r="Q536" s="215">
        <v>463765.89</v>
      </c>
    </row>
    <row r="537" spans="2:17" x14ac:dyDescent="0.3">
      <c r="B537" s="259">
        <f t="shared" si="8"/>
        <v>0</v>
      </c>
      <c r="D537" s="2" t="s">
        <v>1108</v>
      </c>
      <c r="E537" s="215">
        <v>0</v>
      </c>
      <c r="F537" s="215">
        <v>0</v>
      </c>
      <c r="G537" s="215">
        <v>0</v>
      </c>
      <c r="H537" s="215">
        <v>0</v>
      </c>
      <c r="I537" s="215">
        <v>0</v>
      </c>
      <c r="J537" s="215">
        <v>0</v>
      </c>
      <c r="K537" s="215">
        <v>0</v>
      </c>
      <c r="L537" s="215">
        <v>0</v>
      </c>
      <c r="M537" s="215">
        <v>0</v>
      </c>
      <c r="N537" s="215">
        <v>0</v>
      </c>
      <c r="O537" s="215">
        <v>0</v>
      </c>
      <c r="P537" s="215">
        <v>0</v>
      </c>
      <c r="Q537" s="215">
        <v>0</v>
      </c>
    </row>
    <row r="538" spans="2:17" x14ac:dyDescent="0.3">
      <c r="B538" s="259">
        <f t="shared" si="8"/>
        <v>3451812.3583333329</v>
      </c>
      <c r="D538" s="2" t="s">
        <v>560</v>
      </c>
      <c r="E538" s="215">
        <v>747626.17</v>
      </c>
      <c r="F538" s="215">
        <v>737095.58000000007</v>
      </c>
      <c r="G538" s="215">
        <v>763604.2300000001</v>
      </c>
      <c r="H538" s="215">
        <v>1100729.8900000001</v>
      </c>
      <c r="I538" s="215">
        <v>1101270.8600000001</v>
      </c>
      <c r="J538" s="215">
        <v>1175294.29</v>
      </c>
      <c r="K538" s="215">
        <v>4493812.3499999996</v>
      </c>
      <c r="L538" s="215">
        <v>4494468.8999999994</v>
      </c>
      <c r="M538" s="215">
        <v>5567187.4799999995</v>
      </c>
      <c r="N538" s="215">
        <v>5606774.2199999997</v>
      </c>
      <c r="O538" s="215">
        <v>5608238.1200000001</v>
      </c>
      <c r="P538" s="215">
        <v>6929515.1200000001</v>
      </c>
      <c r="Q538" s="215">
        <v>6939888.3500000006</v>
      </c>
    </row>
    <row r="539" spans="2:17" x14ac:dyDescent="0.3">
      <c r="B539" s="259">
        <f t="shared" si="8"/>
        <v>2391337.0225</v>
      </c>
      <c r="D539" s="2" t="s">
        <v>562</v>
      </c>
      <c r="E539" s="215">
        <v>1316165.7700000005</v>
      </c>
      <c r="F539" s="215">
        <v>1317553.0000000005</v>
      </c>
      <c r="G539" s="215">
        <v>2228317.2300000004</v>
      </c>
      <c r="H539" s="215">
        <v>2246884.9300000002</v>
      </c>
      <c r="I539" s="215">
        <v>2151036.4700000002</v>
      </c>
      <c r="J539" s="215">
        <v>2516212.14</v>
      </c>
      <c r="K539" s="215">
        <v>2519489.2000000007</v>
      </c>
      <c r="L539" s="215">
        <v>2520180.4600000004</v>
      </c>
      <c r="M539" s="215">
        <v>2589692.2200000002</v>
      </c>
      <c r="N539" s="215">
        <v>2589748.31</v>
      </c>
      <c r="O539" s="215">
        <v>2595748.5899999994</v>
      </c>
      <c r="P539" s="215">
        <v>3010194.4</v>
      </c>
      <c r="Q539" s="215">
        <v>3505808.8699999992</v>
      </c>
    </row>
    <row r="540" spans="2:17" x14ac:dyDescent="0.3">
      <c r="B540" s="259">
        <f t="shared" si="8"/>
        <v>3853.5800000000013</v>
      </c>
      <c r="D540" s="2" t="s">
        <v>564</v>
      </c>
      <c r="E540" s="215">
        <v>3853.58</v>
      </c>
      <c r="F540" s="215">
        <v>3853.58</v>
      </c>
      <c r="G540" s="215">
        <v>3853.58</v>
      </c>
      <c r="H540" s="215">
        <v>3853.58</v>
      </c>
      <c r="I540" s="215">
        <v>3853.58</v>
      </c>
      <c r="J540" s="215">
        <v>3853.58</v>
      </c>
      <c r="K540" s="215">
        <v>3853.58</v>
      </c>
      <c r="L540" s="215">
        <v>3853.58</v>
      </c>
      <c r="M540" s="215">
        <v>3853.58</v>
      </c>
      <c r="N540" s="215">
        <v>3853.58</v>
      </c>
      <c r="O540" s="215">
        <v>3853.58</v>
      </c>
      <c r="P540" s="215">
        <v>3853.58</v>
      </c>
      <c r="Q540" s="215">
        <v>3853.58</v>
      </c>
    </row>
    <row r="541" spans="2:17" x14ac:dyDescent="0.3">
      <c r="B541" s="259">
        <f t="shared" si="8"/>
        <v>7434839.0704166666</v>
      </c>
      <c r="D541" s="2" t="s">
        <v>943</v>
      </c>
      <c r="E541" s="215">
        <v>3614657.1799999997</v>
      </c>
      <c r="F541" s="215">
        <v>3621151.92</v>
      </c>
      <c r="G541" s="215">
        <v>3688078.6199999996</v>
      </c>
      <c r="H541" s="215">
        <v>3695981.9799999995</v>
      </c>
      <c r="I541" s="215">
        <v>4037124.6399999997</v>
      </c>
      <c r="J541" s="215">
        <v>4073664.6599999997</v>
      </c>
      <c r="K541" s="215">
        <v>6921794.6099999985</v>
      </c>
      <c r="L541" s="215">
        <v>8465634.2899999991</v>
      </c>
      <c r="M541" s="215">
        <v>10636403.559999999</v>
      </c>
      <c r="N541" s="215">
        <v>10683635.98</v>
      </c>
      <c r="O541" s="215">
        <v>11077349.65</v>
      </c>
      <c r="P541" s="215">
        <v>13498701.949999999</v>
      </c>
      <c r="Q541" s="215">
        <v>14022436.790000001</v>
      </c>
    </row>
    <row r="542" spans="2:17" x14ac:dyDescent="0.3">
      <c r="B542" s="259">
        <f t="shared" si="8"/>
        <v>2730.6912499999999</v>
      </c>
      <c r="D542" s="2" t="s">
        <v>567</v>
      </c>
      <c r="E542" s="215">
        <v>2539.17</v>
      </c>
      <c r="F542" s="215">
        <v>2539.17</v>
      </c>
      <c r="G542" s="215">
        <v>2539.17</v>
      </c>
      <c r="H542" s="215">
        <v>2539.17</v>
      </c>
      <c r="I542" s="215">
        <v>2539.17</v>
      </c>
      <c r="J542" s="215">
        <v>2539.17</v>
      </c>
      <c r="K542" s="215">
        <v>2539.17</v>
      </c>
      <c r="L542" s="215">
        <v>2539.17</v>
      </c>
      <c r="M542" s="215">
        <v>2539.17</v>
      </c>
      <c r="N542" s="215">
        <v>2539.17</v>
      </c>
      <c r="O542" s="215">
        <v>2539.17</v>
      </c>
      <c r="P542" s="215">
        <v>4071.34</v>
      </c>
      <c r="Q542" s="215">
        <v>4071.34</v>
      </c>
    </row>
    <row r="543" spans="2:17" x14ac:dyDescent="0.3">
      <c r="B543" s="259">
        <f t="shared" si="8"/>
        <v>7017400.879999998</v>
      </c>
      <c r="D543" s="2" t="s">
        <v>945</v>
      </c>
      <c r="E543" s="215">
        <v>6440227.4899999993</v>
      </c>
      <c r="F543" s="215">
        <v>6481628.3099999996</v>
      </c>
      <c r="G543" s="215">
        <v>6507439.2199999997</v>
      </c>
      <c r="H543" s="215">
        <v>6530869.3199999994</v>
      </c>
      <c r="I543" s="215">
        <v>6579738.419999999</v>
      </c>
      <c r="J543" s="215">
        <v>6603443.919999999</v>
      </c>
      <c r="K543" s="215">
        <v>6613240.0599999987</v>
      </c>
      <c r="L543" s="215">
        <v>7327288.3299999982</v>
      </c>
      <c r="M543" s="215">
        <v>7343830.4999999981</v>
      </c>
      <c r="N543" s="215">
        <v>7309934.5299999984</v>
      </c>
      <c r="O543" s="215">
        <v>7324050.1699999981</v>
      </c>
      <c r="P543" s="215">
        <v>8232932.7399999984</v>
      </c>
      <c r="Q543" s="215">
        <v>8268602.589999998</v>
      </c>
    </row>
    <row r="544" spans="2:17" x14ac:dyDescent="0.3">
      <c r="B544" s="259">
        <f t="shared" si="8"/>
        <v>11883.58</v>
      </c>
      <c r="D544" s="2" t="s">
        <v>1486</v>
      </c>
      <c r="E544" s="215">
        <v>11883.58</v>
      </c>
      <c r="F544" s="215">
        <v>11883.58</v>
      </c>
      <c r="G544" s="215">
        <v>11883.58</v>
      </c>
      <c r="H544" s="215">
        <v>11883.58</v>
      </c>
      <c r="I544" s="215">
        <v>11883.58</v>
      </c>
      <c r="J544" s="215">
        <v>11883.58</v>
      </c>
      <c r="K544" s="215">
        <v>11883.58</v>
      </c>
      <c r="L544" s="215">
        <v>11883.58</v>
      </c>
      <c r="M544" s="215">
        <v>11883.58</v>
      </c>
      <c r="N544" s="215">
        <v>11883.58</v>
      </c>
      <c r="O544" s="215">
        <v>11883.58</v>
      </c>
      <c r="P544" s="215">
        <v>11883.58</v>
      </c>
      <c r="Q544" s="215">
        <v>11883.58</v>
      </c>
    </row>
    <row r="545" spans="2:17" x14ac:dyDescent="0.3">
      <c r="B545" s="259">
        <f t="shared" si="8"/>
        <v>0</v>
      </c>
      <c r="D545" s="2" t="s">
        <v>569</v>
      </c>
      <c r="E545" s="215">
        <v>0</v>
      </c>
      <c r="F545" s="215">
        <v>0</v>
      </c>
      <c r="G545" s="215">
        <v>0</v>
      </c>
      <c r="H545" s="215">
        <v>0</v>
      </c>
      <c r="I545" s="215">
        <v>0</v>
      </c>
      <c r="J545" s="215">
        <v>0</v>
      </c>
      <c r="K545" s="215">
        <v>0</v>
      </c>
      <c r="L545" s="215">
        <v>0</v>
      </c>
      <c r="M545" s="215">
        <v>0</v>
      </c>
      <c r="N545" s="215">
        <v>0</v>
      </c>
      <c r="O545" s="215">
        <v>0</v>
      </c>
      <c r="P545" s="215">
        <v>0</v>
      </c>
      <c r="Q545" s="215">
        <v>0</v>
      </c>
    </row>
    <row r="546" spans="2:17" x14ac:dyDescent="0.3">
      <c r="B546" s="259">
        <f t="shared" si="8"/>
        <v>31273.5</v>
      </c>
      <c r="D546" s="2" t="s">
        <v>573</v>
      </c>
      <c r="E546" s="215">
        <v>31273.5</v>
      </c>
      <c r="F546" s="215">
        <v>31273.5</v>
      </c>
      <c r="G546" s="215">
        <v>31273.5</v>
      </c>
      <c r="H546" s="215">
        <v>31273.5</v>
      </c>
      <c r="I546" s="215">
        <v>31273.5</v>
      </c>
      <c r="J546" s="215">
        <v>31273.5</v>
      </c>
      <c r="K546" s="215">
        <v>31273.5</v>
      </c>
      <c r="L546" s="215">
        <v>31273.5</v>
      </c>
      <c r="M546" s="215">
        <v>31273.5</v>
      </c>
      <c r="N546" s="215">
        <v>31273.5</v>
      </c>
      <c r="O546" s="215">
        <v>31273.5</v>
      </c>
      <c r="P546" s="215">
        <v>31273.5</v>
      </c>
      <c r="Q546" s="215">
        <v>31273.5</v>
      </c>
    </row>
    <row r="547" spans="2:17" x14ac:dyDescent="0.3">
      <c r="B547" s="259">
        <f t="shared" si="8"/>
        <v>225496.87416666665</v>
      </c>
      <c r="D547" s="2" t="s">
        <v>575</v>
      </c>
      <c r="E547" s="215">
        <v>219720.25999999998</v>
      </c>
      <c r="F547" s="215">
        <v>219720.25999999998</v>
      </c>
      <c r="G547" s="215">
        <v>219720.25999999998</v>
      </c>
      <c r="H547" s="215">
        <v>219720.25999999998</v>
      </c>
      <c r="I547" s="215">
        <v>227875.47999999998</v>
      </c>
      <c r="J547" s="215">
        <v>227875.47999999998</v>
      </c>
      <c r="K547" s="215">
        <v>227875.47999999998</v>
      </c>
      <c r="L547" s="215">
        <v>227875.47999999998</v>
      </c>
      <c r="M547" s="215">
        <v>227875.47999999998</v>
      </c>
      <c r="N547" s="215">
        <v>227875.47999999998</v>
      </c>
      <c r="O547" s="215">
        <v>227875.47999999998</v>
      </c>
      <c r="P547" s="215">
        <v>227875.47999999998</v>
      </c>
      <c r="Q547" s="215">
        <v>227875.47999999998</v>
      </c>
    </row>
    <row r="548" spans="2:17" x14ac:dyDescent="0.3">
      <c r="B548" s="259">
        <f t="shared" si="8"/>
        <v>0</v>
      </c>
      <c r="D548" s="2" t="s">
        <v>1487</v>
      </c>
      <c r="E548" s="215">
        <v>0</v>
      </c>
      <c r="F548" s="215">
        <v>0</v>
      </c>
      <c r="G548" s="215">
        <v>0</v>
      </c>
      <c r="H548" s="215">
        <v>0</v>
      </c>
      <c r="I548" s="215">
        <v>0</v>
      </c>
      <c r="J548" s="215">
        <v>0</v>
      </c>
      <c r="K548" s="215">
        <v>0</v>
      </c>
      <c r="L548" s="215">
        <v>0</v>
      </c>
      <c r="M548" s="215">
        <v>0</v>
      </c>
      <c r="N548" s="215">
        <v>0</v>
      </c>
      <c r="O548" s="215">
        <v>0</v>
      </c>
      <c r="P548" s="215">
        <v>0</v>
      </c>
      <c r="Q548" s="215">
        <v>0</v>
      </c>
    </row>
    <row r="549" spans="2:17" x14ac:dyDescent="0.3">
      <c r="B549" s="259">
        <f t="shared" si="8"/>
        <v>0</v>
      </c>
      <c r="D549" s="2" t="s">
        <v>1488</v>
      </c>
      <c r="E549" s="215">
        <v>0</v>
      </c>
      <c r="F549" s="215">
        <v>0</v>
      </c>
      <c r="G549" s="215">
        <v>0</v>
      </c>
      <c r="H549" s="215">
        <v>0</v>
      </c>
      <c r="I549" s="215">
        <v>0</v>
      </c>
      <c r="J549" s="215">
        <v>0</v>
      </c>
      <c r="K549" s="215">
        <v>0</v>
      </c>
      <c r="L549" s="215">
        <v>0</v>
      </c>
      <c r="M549" s="215">
        <v>0</v>
      </c>
      <c r="N549" s="215">
        <v>0</v>
      </c>
      <c r="O549" s="215">
        <v>0</v>
      </c>
      <c r="P549" s="215">
        <v>0</v>
      </c>
      <c r="Q549" s="215">
        <v>0</v>
      </c>
    </row>
    <row r="550" spans="2:17" x14ac:dyDescent="0.3">
      <c r="B550" s="259">
        <f t="shared" si="8"/>
        <v>0</v>
      </c>
      <c r="D550" s="2" t="s">
        <v>1489</v>
      </c>
      <c r="E550" s="215">
        <v>0</v>
      </c>
      <c r="F550" s="215">
        <v>0</v>
      </c>
      <c r="G550" s="215">
        <v>0</v>
      </c>
      <c r="H550" s="215">
        <v>0</v>
      </c>
      <c r="I550" s="215">
        <v>0</v>
      </c>
      <c r="J550" s="215">
        <v>0</v>
      </c>
      <c r="K550" s="215">
        <v>0</v>
      </c>
      <c r="L550" s="215">
        <v>0</v>
      </c>
      <c r="M550" s="215">
        <v>0</v>
      </c>
      <c r="N550" s="215">
        <v>0</v>
      </c>
      <c r="O550" s="215">
        <v>0</v>
      </c>
      <c r="P550" s="215">
        <v>0</v>
      </c>
      <c r="Q550" s="215">
        <v>0</v>
      </c>
    </row>
    <row r="551" spans="2:17" x14ac:dyDescent="0.3">
      <c r="B551" s="259">
        <f t="shared" si="8"/>
        <v>207877.48833333328</v>
      </c>
      <c r="D551" s="2" t="s">
        <v>577</v>
      </c>
      <c r="E551" s="215">
        <v>106054.75000000001</v>
      </c>
      <c r="F551" s="215">
        <v>212200.13</v>
      </c>
      <c r="G551" s="215">
        <v>212314.51</v>
      </c>
      <c r="H551" s="215">
        <v>212314.51</v>
      </c>
      <c r="I551" s="215">
        <v>212314.51</v>
      </c>
      <c r="J551" s="215">
        <v>212314.51</v>
      </c>
      <c r="K551" s="215">
        <v>212314.51</v>
      </c>
      <c r="L551" s="215">
        <v>212314.51</v>
      </c>
      <c r="M551" s="215">
        <v>212314.51</v>
      </c>
      <c r="N551" s="215">
        <v>212314.51</v>
      </c>
      <c r="O551" s="215">
        <v>212314.51</v>
      </c>
      <c r="P551" s="215">
        <v>212314.51</v>
      </c>
      <c r="Q551" s="215">
        <v>212314.51</v>
      </c>
    </row>
    <row r="552" spans="2:17" x14ac:dyDescent="0.3">
      <c r="B552" s="259">
        <f t="shared" si="8"/>
        <v>0</v>
      </c>
      <c r="D552" s="2" t="s">
        <v>1490</v>
      </c>
      <c r="E552" s="215">
        <v>0</v>
      </c>
      <c r="F552" s="215">
        <v>0</v>
      </c>
      <c r="G552" s="215">
        <v>0</v>
      </c>
      <c r="H552" s="215">
        <v>0</v>
      </c>
      <c r="I552" s="215">
        <v>0</v>
      </c>
      <c r="J552" s="215">
        <v>0</v>
      </c>
      <c r="K552" s="215">
        <v>0</v>
      </c>
      <c r="L552" s="215">
        <v>0</v>
      </c>
      <c r="M552" s="215">
        <v>0</v>
      </c>
      <c r="N552" s="215">
        <v>0</v>
      </c>
      <c r="O552" s="215">
        <v>0</v>
      </c>
      <c r="P552" s="215">
        <v>0</v>
      </c>
      <c r="Q552" s="215">
        <v>0</v>
      </c>
    </row>
    <row r="553" spans="2:17" x14ac:dyDescent="0.3">
      <c r="B553" s="259">
        <f t="shared" si="8"/>
        <v>0</v>
      </c>
      <c r="D553" s="2" t="s">
        <v>1491</v>
      </c>
      <c r="E553" s="215">
        <v>0</v>
      </c>
      <c r="F553" s="215">
        <v>0</v>
      </c>
      <c r="G553" s="215">
        <v>0</v>
      </c>
      <c r="H553" s="215">
        <v>0</v>
      </c>
      <c r="I553" s="215">
        <v>0</v>
      </c>
      <c r="J553" s="215">
        <v>0</v>
      </c>
      <c r="K553" s="215">
        <v>0</v>
      </c>
      <c r="L553" s="215">
        <v>0</v>
      </c>
      <c r="M553" s="215">
        <v>0</v>
      </c>
      <c r="N553" s="215">
        <v>0</v>
      </c>
      <c r="O553" s="215">
        <v>0</v>
      </c>
      <c r="P553" s="215">
        <v>0</v>
      </c>
      <c r="Q553" s="215">
        <v>0</v>
      </c>
    </row>
    <row r="554" spans="2:17" x14ac:dyDescent="0.3">
      <c r="B554" s="259">
        <f t="shared" si="8"/>
        <v>19052.230000000003</v>
      </c>
      <c r="D554" s="2" t="s">
        <v>1492</v>
      </c>
      <c r="E554" s="215">
        <v>19052.23</v>
      </c>
      <c r="F554" s="215">
        <v>19052.23</v>
      </c>
      <c r="G554" s="215">
        <v>19052.23</v>
      </c>
      <c r="H554" s="215">
        <v>19052.23</v>
      </c>
      <c r="I554" s="215">
        <v>19052.23</v>
      </c>
      <c r="J554" s="215">
        <v>19052.23</v>
      </c>
      <c r="K554" s="215">
        <v>19052.23</v>
      </c>
      <c r="L554" s="215">
        <v>19052.23</v>
      </c>
      <c r="M554" s="215">
        <v>19052.23</v>
      </c>
      <c r="N554" s="215">
        <v>19052.23</v>
      </c>
      <c r="O554" s="215">
        <v>19052.23</v>
      </c>
      <c r="P554" s="215">
        <v>19052.23</v>
      </c>
      <c r="Q554" s="215">
        <v>19052.23</v>
      </c>
    </row>
    <row r="555" spans="2:17" x14ac:dyDescent="0.3">
      <c r="B555" s="259">
        <f t="shared" si="8"/>
        <v>696792.86416666675</v>
      </c>
      <c r="D555" s="2" t="s">
        <v>579</v>
      </c>
      <c r="E555" s="215">
        <v>379628.87000000005</v>
      </c>
      <c r="F555" s="215">
        <v>380019.57000000007</v>
      </c>
      <c r="G555" s="215">
        <v>380100.21000000008</v>
      </c>
      <c r="H555" s="215">
        <v>648813.42000000016</v>
      </c>
      <c r="I555" s="215">
        <v>664892.48000000021</v>
      </c>
      <c r="J555" s="215">
        <v>792444.67000000016</v>
      </c>
      <c r="K555" s="215">
        <v>794828.25000000012</v>
      </c>
      <c r="L555" s="215">
        <v>795128.08000000007</v>
      </c>
      <c r="M555" s="215">
        <v>816934.78</v>
      </c>
      <c r="N555" s="215">
        <v>819255.59000000008</v>
      </c>
      <c r="O555" s="215">
        <v>831335.21000000008</v>
      </c>
      <c r="P555" s="215">
        <v>831335.21000000008</v>
      </c>
      <c r="Q555" s="215">
        <v>833224.93</v>
      </c>
    </row>
    <row r="556" spans="2:17" x14ac:dyDescent="0.3">
      <c r="B556" s="259">
        <f t="shared" si="8"/>
        <v>108490.57708333334</v>
      </c>
      <c r="D556" s="2" t="s">
        <v>581</v>
      </c>
      <c r="E556" s="215">
        <v>31367.53</v>
      </c>
      <c r="F556" s="215">
        <v>31367.53</v>
      </c>
      <c r="G556" s="215">
        <v>31367.53</v>
      </c>
      <c r="H556" s="215">
        <v>31367.53</v>
      </c>
      <c r="I556" s="215">
        <v>31367.53</v>
      </c>
      <c r="J556" s="215">
        <v>31367.53</v>
      </c>
      <c r="K556" s="215">
        <v>173748.54</v>
      </c>
      <c r="L556" s="215">
        <v>173748.54</v>
      </c>
      <c r="M556" s="215">
        <v>173748.54</v>
      </c>
      <c r="N556" s="215">
        <v>173748.54</v>
      </c>
      <c r="O556" s="215">
        <v>173748.54</v>
      </c>
      <c r="P556" s="215">
        <v>173748.54</v>
      </c>
      <c r="Q556" s="215">
        <v>173748.54</v>
      </c>
    </row>
    <row r="557" spans="2:17" x14ac:dyDescent="0.3">
      <c r="B557" s="259">
        <f t="shared" si="8"/>
        <v>97176.616250000021</v>
      </c>
      <c r="D557" s="2" t="s">
        <v>947</v>
      </c>
      <c r="E557" s="215">
        <v>0</v>
      </c>
      <c r="F557" s="215">
        <v>0</v>
      </c>
      <c r="G557" s="215">
        <v>0</v>
      </c>
      <c r="H557" s="215">
        <v>122749.41</v>
      </c>
      <c r="I557" s="215">
        <v>122749.41</v>
      </c>
      <c r="J557" s="215">
        <v>122749.41</v>
      </c>
      <c r="K557" s="215">
        <v>122749.41</v>
      </c>
      <c r="L557" s="215">
        <v>122749.41</v>
      </c>
      <c r="M557" s="215">
        <v>122749.41</v>
      </c>
      <c r="N557" s="215">
        <v>122749.41</v>
      </c>
      <c r="O557" s="215">
        <v>122749.41</v>
      </c>
      <c r="P557" s="215">
        <v>122749.41</v>
      </c>
      <c r="Q557" s="215">
        <v>122749.41</v>
      </c>
    </row>
    <row r="558" spans="2:17" x14ac:dyDescent="0.3">
      <c r="B558" s="259">
        <f t="shared" si="8"/>
        <v>191471.56583333333</v>
      </c>
      <c r="D558" s="2" t="s">
        <v>583</v>
      </c>
      <c r="E558" s="215">
        <v>0</v>
      </c>
      <c r="F558" s="215">
        <v>0</v>
      </c>
      <c r="G558" s="215">
        <v>0</v>
      </c>
      <c r="H558" s="215">
        <v>0</v>
      </c>
      <c r="I558" s="215">
        <v>0</v>
      </c>
      <c r="J558" s="215">
        <v>0</v>
      </c>
      <c r="K558" s="215">
        <v>427093.07</v>
      </c>
      <c r="L558" s="215">
        <v>427093.07</v>
      </c>
      <c r="M558" s="215">
        <v>320771.7</v>
      </c>
      <c r="N558" s="215">
        <v>320771.7</v>
      </c>
      <c r="O558" s="215">
        <v>320771.7</v>
      </c>
      <c r="P558" s="215">
        <v>320771.7</v>
      </c>
      <c r="Q558" s="215">
        <v>320771.7</v>
      </c>
    </row>
    <row r="559" spans="2:17" x14ac:dyDescent="0.3">
      <c r="B559" s="259">
        <f t="shared" si="8"/>
        <v>2920.4200000000014</v>
      </c>
      <c r="D559" s="2" t="s">
        <v>585</v>
      </c>
      <c r="E559" s="215">
        <v>2920.4200000000005</v>
      </c>
      <c r="F559" s="215">
        <v>2920.4200000000005</v>
      </c>
      <c r="G559" s="215">
        <v>2920.4200000000005</v>
      </c>
      <c r="H559" s="215">
        <v>2920.4200000000005</v>
      </c>
      <c r="I559" s="215">
        <v>2920.4200000000005</v>
      </c>
      <c r="J559" s="215">
        <v>2920.4200000000005</v>
      </c>
      <c r="K559" s="215">
        <v>2920.4200000000005</v>
      </c>
      <c r="L559" s="215">
        <v>2920.4200000000005</v>
      </c>
      <c r="M559" s="215">
        <v>2920.4200000000005</v>
      </c>
      <c r="N559" s="215">
        <v>2920.4200000000005</v>
      </c>
      <c r="O559" s="215">
        <v>2920.4200000000005</v>
      </c>
      <c r="P559" s="215">
        <v>2920.4200000000005</v>
      </c>
      <c r="Q559" s="215">
        <v>2920.4200000000005</v>
      </c>
    </row>
    <row r="560" spans="2:17" x14ac:dyDescent="0.3">
      <c r="B560" s="259">
        <f t="shared" si="8"/>
        <v>0</v>
      </c>
      <c r="D560" s="2" t="s">
        <v>1493</v>
      </c>
      <c r="E560" s="215">
        <v>0</v>
      </c>
      <c r="F560" s="215">
        <v>0</v>
      </c>
      <c r="G560" s="215">
        <v>0</v>
      </c>
      <c r="H560" s="215">
        <v>0</v>
      </c>
      <c r="I560" s="215">
        <v>0</v>
      </c>
      <c r="J560" s="215">
        <v>0</v>
      </c>
      <c r="K560" s="215">
        <v>0</v>
      </c>
      <c r="L560" s="215">
        <v>0</v>
      </c>
      <c r="M560" s="215">
        <v>0</v>
      </c>
      <c r="N560" s="215">
        <v>0</v>
      </c>
      <c r="O560" s="215">
        <v>0</v>
      </c>
      <c r="P560" s="215">
        <v>0</v>
      </c>
      <c r="Q560" s="215">
        <v>0</v>
      </c>
    </row>
    <row r="561" spans="2:17" x14ac:dyDescent="0.3">
      <c r="B561" s="259">
        <f t="shared" si="8"/>
        <v>2111675.3104166673</v>
      </c>
      <c r="D561" s="2" t="s">
        <v>587</v>
      </c>
      <c r="E561" s="215">
        <v>1421152.2500000002</v>
      </c>
      <c r="F561" s="215">
        <v>1411303.2100000002</v>
      </c>
      <c r="G561" s="215">
        <v>1475011.05</v>
      </c>
      <c r="H561" s="215">
        <v>1566403.7400000002</v>
      </c>
      <c r="I561" s="215">
        <v>1595610.6500000001</v>
      </c>
      <c r="J561" s="215">
        <v>1593723.32</v>
      </c>
      <c r="K561" s="215">
        <v>2172496.8600000003</v>
      </c>
      <c r="L561" s="215">
        <v>2180208.56</v>
      </c>
      <c r="M561" s="215">
        <v>2700379.9200000004</v>
      </c>
      <c r="N561" s="215">
        <v>2732253.67</v>
      </c>
      <c r="O561" s="215">
        <v>2872990.6700000004</v>
      </c>
      <c r="P561" s="215">
        <v>2882073.8200000003</v>
      </c>
      <c r="Q561" s="215">
        <v>2894144.2600000002</v>
      </c>
    </row>
    <row r="562" spans="2:17" x14ac:dyDescent="0.3">
      <c r="B562" s="259">
        <f t="shared" si="8"/>
        <v>3582814.1329166666</v>
      </c>
      <c r="D562" s="2" t="s">
        <v>589</v>
      </c>
      <c r="E562" s="215">
        <v>2422708.3899999997</v>
      </c>
      <c r="F562" s="215">
        <v>2781733.4499999997</v>
      </c>
      <c r="G562" s="215">
        <v>2920201.6599999997</v>
      </c>
      <c r="H562" s="215">
        <v>3117351.6999999997</v>
      </c>
      <c r="I562" s="215">
        <v>3267878.6599999997</v>
      </c>
      <c r="J562" s="215">
        <v>3441268.9799999995</v>
      </c>
      <c r="K562" s="215">
        <v>3625314.2</v>
      </c>
      <c r="L562" s="215">
        <v>3729592.59</v>
      </c>
      <c r="M562" s="215">
        <v>3992094.16</v>
      </c>
      <c r="N562" s="215">
        <v>4118139.8200000003</v>
      </c>
      <c r="O562" s="215">
        <v>4208909.6900000004</v>
      </c>
      <c r="P562" s="215">
        <v>4339404.42</v>
      </c>
      <c r="Q562" s="215">
        <v>4481052.1400000006</v>
      </c>
    </row>
    <row r="563" spans="2:17" x14ac:dyDescent="0.3">
      <c r="B563" s="259">
        <f t="shared" si="8"/>
        <v>1215235.5304166668</v>
      </c>
      <c r="D563" s="2" t="s">
        <v>591</v>
      </c>
      <c r="E563" s="215">
        <v>1020888.4</v>
      </c>
      <c r="F563" s="215">
        <v>1046441.11</v>
      </c>
      <c r="G563" s="215">
        <v>1093819.1299999999</v>
      </c>
      <c r="H563" s="215">
        <v>1146665.06</v>
      </c>
      <c r="I563" s="215">
        <v>1153515.1000000001</v>
      </c>
      <c r="J563" s="215">
        <v>1162747.22</v>
      </c>
      <c r="K563" s="215">
        <v>1271117.42</v>
      </c>
      <c r="L563" s="215">
        <v>1302735.46</v>
      </c>
      <c r="M563" s="215">
        <v>1303854.57</v>
      </c>
      <c r="N563" s="215">
        <v>1306695.6599999999</v>
      </c>
      <c r="O563" s="215">
        <v>1306740.07</v>
      </c>
      <c r="P563" s="215">
        <v>1306165.31</v>
      </c>
      <c r="Q563" s="215">
        <v>1343772.11</v>
      </c>
    </row>
    <row r="564" spans="2:17" x14ac:dyDescent="0.3">
      <c r="B564" s="259">
        <f t="shared" si="8"/>
        <v>14152011.821250001</v>
      </c>
      <c r="D564" s="2" t="s">
        <v>593</v>
      </c>
      <c r="E564" s="215">
        <v>8426793.3800000008</v>
      </c>
      <c r="F564" s="215">
        <v>8995966.3000000007</v>
      </c>
      <c r="G564" s="215">
        <v>9786849.3399999999</v>
      </c>
      <c r="H564" s="215">
        <v>11232308.949999999</v>
      </c>
      <c r="I564" s="215">
        <v>12182351.439999999</v>
      </c>
      <c r="J564" s="215">
        <v>13302698.98</v>
      </c>
      <c r="K564" s="215">
        <v>14510102.169999998</v>
      </c>
      <c r="L564" s="215">
        <v>15033365.869999999</v>
      </c>
      <c r="M564" s="215">
        <v>15995181.949999999</v>
      </c>
      <c r="N564" s="215">
        <v>17348907.969999999</v>
      </c>
      <c r="O564" s="215">
        <v>18110003.609999999</v>
      </c>
      <c r="P564" s="215">
        <v>19044625.68</v>
      </c>
      <c r="Q564" s="215">
        <v>20136765.809999999</v>
      </c>
    </row>
    <row r="565" spans="2:17" x14ac:dyDescent="0.3">
      <c r="B565" s="259">
        <f t="shared" si="8"/>
        <v>-1568587.6816666666</v>
      </c>
      <c r="D565" s="2" t="s">
        <v>595</v>
      </c>
      <c r="E565" s="215">
        <v>-1411391.3399999999</v>
      </c>
      <c r="F565" s="215">
        <v>-1411391.3399999999</v>
      </c>
      <c r="G565" s="215">
        <v>-1411391.3399999999</v>
      </c>
      <c r="H565" s="215">
        <v>-1609955.14</v>
      </c>
      <c r="I565" s="215">
        <v>-1609955.14</v>
      </c>
      <c r="J565" s="215">
        <v>-1609955.14</v>
      </c>
      <c r="K565" s="215">
        <v>-1609955.14</v>
      </c>
      <c r="L565" s="215">
        <v>-1609955.14</v>
      </c>
      <c r="M565" s="215">
        <v>-1609955.14</v>
      </c>
      <c r="N565" s="215">
        <v>-1609955.14</v>
      </c>
      <c r="O565" s="215">
        <v>-1609955.14</v>
      </c>
      <c r="P565" s="215">
        <v>-1609955.14</v>
      </c>
      <c r="Q565" s="215">
        <v>-1609955.14</v>
      </c>
    </row>
    <row r="566" spans="2:17" x14ac:dyDescent="0.3">
      <c r="B566" s="259">
        <f t="shared" si="8"/>
        <v>10356100.806666667</v>
      </c>
      <c r="D566" s="2" t="s">
        <v>597</v>
      </c>
      <c r="E566" s="215">
        <v>5356578.43</v>
      </c>
      <c r="F566" s="215">
        <v>6508542.5200000005</v>
      </c>
      <c r="G566" s="215">
        <v>6688316.6500000004</v>
      </c>
      <c r="H566" s="215">
        <v>6865982.8600000013</v>
      </c>
      <c r="I566" s="215">
        <v>7785649.8399999999</v>
      </c>
      <c r="J566" s="215">
        <v>8459161.9199999999</v>
      </c>
      <c r="K566" s="215">
        <v>9589083.5099999961</v>
      </c>
      <c r="L566" s="215">
        <v>12165848.959999999</v>
      </c>
      <c r="M566" s="215">
        <v>13111050.459999999</v>
      </c>
      <c r="N566" s="215">
        <v>13514656.149999999</v>
      </c>
      <c r="O566" s="215">
        <v>13918633.789999999</v>
      </c>
      <c r="P566" s="215">
        <v>15058070.649999999</v>
      </c>
      <c r="Q566" s="215">
        <v>15859846.309999999</v>
      </c>
    </row>
    <row r="567" spans="2:17" x14ac:dyDescent="0.3">
      <c r="B567" s="259">
        <f t="shared" si="8"/>
        <v>4109315.1874999995</v>
      </c>
      <c r="D567" s="2" t="s">
        <v>599</v>
      </c>
      <c r="E567" s="215">
        <v>2507512.1099999994</v>
      </c>
      <c r="F567" s="215">
        <v>2850737.5699999994</v>
      </c>
      <c r="G567" s="215">
        <v>3154800.7499999995</v>
      </c>
      <c r="H567" s="215">
        <v>3696807.84</v>
      </c>
      <c r="I567" s="215">
        <v>3915944.07</v>
      </c>
      <c r="J567" s="215">
        <v>4117978.3</v>
      </c>
      <c r="K567" s="215">
        <v>4269515.22</v>
      </c>
      <c r="L567" s="215">
        <v>4434382.3899999997</v>
      </c>
      <c r="M567" s="215">
        <v>4548379.05</v>
      </c>
      <c r="N567" s="215">
        <v>4708297.21</v>
      </c>
      <c r="O567" s="215">
        <v>4787456.8</v>
      </c>
      <c r="P567" s="215">
        <v>4935668.04</v>
      </c>
      <c r="Q567" s="215">
        <v>5276117.91</v>
      </c>
    </row>
    <row r="568" spans="2:17" x14ac:dyDescent="0.3">
      <c r="B568" s="259">
        <f t="shared" si="8"/>
        <v>10255633.8675</v>
      </c>
      <c r="D568" s="2" t="s">
        <v>601</v>
      </c>
      <c r="E568" s="215">
        <v>6131634.3799999999</v>
      </c>
      <c r="F568" s="215">
        <v>6740987.4299999997</v>
      </c>
      <c r="G568" s="215">
        <v>7550262.2299999995</v>
      </c>
      <c r="H568" s="215">
        <v>8062555.21</v>
      </c>
      <c r="I568" s="215">
        <v>8459564.7000000011</v>
      </c>
      <c r="J568" s="215">
        <v>9344891.6300000008</v>
      </c>
      <c r="K568" s="215">
        <v>10125547.220000001</v>
      </c>
      <c r="L568" s="215">
        <v>10945631.840000002</v>
      </c>
      <c r="M568" s="215">
        <v>11487030.550000001</v>
      </c>
      <c r="N568" s="215">
        <v>12354252.41</v>
      </c>
      <c r="O568" s="215">
        <v>13572510.040000001</v>
      </c>
      <c r="P568" s="215">
        <v>14139164.740000002</v>
      </c>
      <c r="Q568" s="215">
        <v>14438782.440000001</v>
      </c>
    </row>
    <row r="569" spans="2:17" x14ac:dyDescent="0.3">
      <c r="B569" s="259">
        <f t="shared" si="8"/>
        <v>4545091.1249999991</v>
      </c>
      <c r="D569" s="2" t="s">
        <v>603</v>
      </c>
      <c r="E569" s="215">
        <v>3092574.7299999995</v>
      </c>
      <c r="F569" s="215">
        <v>3305393.7699999991</v>
      </c>
      <c r="G569" s="215">
        <v>3572950.7099999995</v>
      </c>
      <c r="H569" s="215">
        <v>3931283.3199999989</v>
      </c>
      <c r="I569" s="215">
        <v>4111487.2999999993</v>
      </c>
      <c r="J569" s="215">
        <v>4270551.5699999994</v>
      </c>
      <c r="K569" s="215">
        <v>4373273.26</v>
      </c>
      <c r="L569" s="215">
        <v>4488224.5</v>
      </c>
      <c r="M569" s="215">
        <v>4892039.5799999991</v>
      </c>
      <c r="N569" s="215">
        <v>5359773.9899999993</v>
      </c>
      <c r="O569" s="215">
        <v>5613921.4299999988</v>
      </c>
      <c r="P569" s="215">
        <v>5975067.0800000001</v>
      </c>
      <c r="Q569" s="215">
        <v>6201679.25</v>
      </c>
    </row>
    <row r="570" spans="2:17" x14ac:dyDescent="0.3">
      <c r="B570" s="259">
        <f t="shared" si="8"/>
        <v>12281175.35</v>
      </c>
      <c r="D570" s="2" t="s">
        <v>605</v>
      </c>
      <c r="E570" s="215">
        <v>8586390.799999997</v>
      </c>
      <c r="F570" s="215">
        <v>9024275.0299999975</v>
      </c>
      <c r="G570" s="215">
        <v>9978796.6499999985</v>
      </c>
      <c r="H570" s="215">
        <v>10635475.029999997</v>
      </c>
      <c r="I570" s="215">
        <v>11461240.759999998</v>
      </c>
      <c r="J570" s="215">
        <v>12030165</v>
      </c>
      <c r="K570" s="215">
        <v>12564100.529999999</v>
      </c>
      <c r="L570" s="215">
        <v>13099999.879999999</v>
      </c>
      <c r="M570" s="215">
        <v>13080765.369999999</v>
      </c>
      <c r="N570" s="215">
        <v>13574792.699999999</v>
      </c>
      <c r="O570" s="215">
        <v>14289125.019999998</v>
      </c>
      <c r="P570" s="215">
        <v>15259766.249999998</v>
      </c>
      <c r="Q570" s="215">
        <v>16164813.159999998</v>
      </c>
    </row>
    <row r="571" spans="2:17" x14ac:dyDescent="0.3">
      <c r="B571" s="259">
        <f t="shared" si="8"/>
        <v>5666313.7158333352</v>
      </c>
      <c r="D571" s="2" t="s">
        <v>607</v>
      </c>
      <c r="E571" s="215">
        <v>4087102.71</v>
      </c>
      <c r="F571" s="215">
        <v>4303359.9800000004</v>
      </c>
      <c r="G571" s="215">
        <v>4597162.8600000003</v>
      </c>
      <c r="H571" s="215">
        <v>4958020.34</v>
      </c>
      <c r="I571" s="215">
        <v>5325958.4200000009</v>
      </c>
      <c r="J571" s="215">
        <v>5570990.540000001</v>
      </c>
      <c r="K571" s="215">
        <v>5812733.9200000009</v>
      </c>
      <c r="L571" s="215">
        <v>5950080.9900000012</v>
      </c>
      <c r="M571" s="215">
        <v>6129367.3200000012</v>
      </c>
      <c r="N571" s="215">
        <v>6318250.870000001</v>
      </c>
      <c r="O571" s="215">
        <v>6457651.6400000025</v>
      </c>
      <c r="P571" s="215">
        <v>6927405.0900000026</v>
      </c>
      <c r="Q571" s="215">
        <v>7202462.5300000021</v>
      </c>
    </row>
    <row r="572" spans="2:17" x14ac:dyDescent="0.3">
      <c r="B572" s="259">
        <f t="shared" si="8"/>
        <v>38273322.351666667</v>
      </c>
      <c r="D572" s="2" t="s">
        <v>609</v>
      </c>
      <c r="E572" s="215">
        <v>26037113.769999996</v>
      </c>
      <c r="F572" s="215">
        <v>27925746.149999991</v>
      </c>
      <c r="G572" s="215">
        <v>30060883.019999992</v>
      </c>
      <c r="H572" s="215">
        <v>32815688.239999995</v>
      </c>
      <c r="I572" s="215">
        <v>34839219.699999988</v>
      </c>
      <c r="J572" s="215">
        <v>37172509.609999999</v>
      </c>
      <c r="K572" s="215">
        <v>38829899.530000001</v>
      </c>
      <c r="L572" s="215">
        <v>40198239.18</v>
      </c>
      <c r="M572" s="215">
        <v>42425641.079999998</v>
      </c>
      <c r="N572" s="215">
        <v>43870957.299999997</v>
      </c>
      <c r="O572" s="215">
        <v>45559777.5</v>
      </c>
      <c r="P572" s="215">
        <v>47882384.490000002</v>
      </c>
      <c r="Q572" s="215">
        <v>49360731.07</v>
      </c>
    </row>
    <row r="573" spans="2:17" x14ac:dyDescent="0.3">
      <c r="B573" s="259">
        <f t="shared" si="8"/>
        <v>11908333.127083331</v>
      </c>
      <c r="D573" s="2" t="s">
        <v>611</v>
      </c>
      <c r="E573" s="215">
        <v>8310815.2999999989</v>
      </c>
      <c r="F573" s="215">
        <v>8861316.0899999999</v>
      </c>
      <c r="G573" s="215">
        <v>9386635.7399999984</v>
      </c>
      <c r="H573" s="215">
        <v>9891838.7399999984</v>
      </c>
      <c r="I573" s="215">
        <v>10398088.029999997</v>
      </c>
      <c r="J573" s="215">
        <v>10973529.879999997</v>
      </c>
      <c r="K573" s="215">
        <v>11729863.189999998</v>
      </c>
      <c r="L573" s="215">
        <v>12417369.109999998</v>
      </c>
      <c r="M573" s="215">
        <v>13299814.629999999</v>
      </c>
      <c r="N573" s="215">
        <v>13909185.699999999</v>
      </c>
      <c r="O573" s="215">
        <v>14637089.810000001</v>
      </c>
      <c r="P573" s="215">
        <v>15290301.970000001</v>
      </c>
      <c r="Q573" s="215">
        <v>15899113.970000001</v>
      </c>
    </row>
    <row r="574" spans="2:17" x14ac:dyDescent="0.3">
      <c r="B574" s="259">
        <f t="shared" si="8"/>
        <v>8463.8733333333312</v>
      </c>
      <c r="D574" s="2" t="s">
        <v>613</v>
      </c>
      <c r="E574" s="215">
        <v>7292.1</v>
      </c>
      <c r="F574" s="215">
        <v>7292.1</v>
      </c>
      <c r="G574" s="215">
        <v>7292.1</v>
      </c>
      <c r="H574" s="215">
        <v>7292.1</v>
      </c>
      <c r="I574" s="215">
        <v>8941.07</v>
      </c>
      <c r="J574" s="215">
        <v>8946.7899999999991</v>
      </c>
      <c r="K574" s="215">
        <v>8946.7899999999991</v>
      </c>
      <c r="L574" s="215">
        <v>8946.7899999999991</v>
      </c>
      <c r="M574" s="215">
        <v>8946.7899999999991</v>
      </c>
      <c r="N574" s="215">
        <v>8947.4</v>
      </c>
      <c r="O574" s="215">
        <v>8947.4</v>
      </c>
      <c r="P574" s="215">
        <v>8947.4</v>
      </c>
      <c r="Q574" s="215">
        <v>8947.4</v>
      </c>
    </row>
    <row r="575" spans="2:17" x14ac:dyDescent="0.3">
      <c r="B575" s="259">
        <f t="shared" si="8"/>
        <v>178224.53958333333</v>
      </c>
      <c r="D575" s="2" t="s">
        <v>615</v>
      </c>
      <c r="E575" s="215">
        <v>97687.62</v>
      </c>
      <c r="F575" s="215">
        <v>137671.16</v>
      </c>
      <c r="G575" s="215">
        <v>161657.62</v>
      </c>
      <c r="H575" s="215">
        <v>161626.28</v>
      </c>
      <c r="I575" s="215">
        <v>162503.46</v>
      </c>
      <c r="J575" s="215">
        <v>162536.35999999999</v>
      </c>
      <c r="K575" s="215">
        <v>162536.35999999999</v>
      </c>
      <c r="L575" s="215">
        <v>162536.35999999999</v>
      </c>
      <c r="M575" s="215">
        <v>215965.53</v>
      </c>
      <c r="N575" s="215">
        <v>216711.92</v>
      </c>
      <c r="O575" s="215">
        <v>218008.95</v>
      </c>
      <c r="P575" s="215">
        <v>218731.11000000002</v>
      </c>
      <c r="Q575" s="215">
        <v>218731.11000000002</v>
      </c>
    </row>
    <row r="576" spans="2:17" x14ac:dyDescent="0.3">
      <c r="B576" s="259">
        <f t="shared" si="8"/>
        <v>0</v>
      </c>
      <c r="D576" s="2" t="s">
        <v>617</v>
      </c>
      <c r="E576" s="215">
        <v>0</v>
      </c>
      <c r="F576" s="215">
        <v>0</v>
      </c>
      <c r="G576" s="215">
        <v>0</v>
      </c>
      <c r="H576" s="215">
        <v>0</v>
      </c>
      <c r="I576" s="215">
        <v>0</v>
      </c>
      <c r="J576" s="215">
        <v>0</v>
      </c>
      <c r="K576" s="215">
        <v>0</v>
      </c>
      <c r="L576" s="215">
        <v>0</v>
      </c>
      <c r="M576" s="215">
        <v>0</v>
      </c>
      <c r="N576" s="215">
        <v>0</v>
      </c>
      <c r="O576" s="215">
        <v>0</v>
      </c>
      <c r="P576" s="215">
        <v>0</v>
      </c>
      <c r="Q576" s="215">
        <v>0</v>
      </c>
    </row>
    <row r="577" spans="2:17" x14ac:dyDescent="0.3">
      <c r="B577" s="259">
        <f t="shared" si="8"/>
        <v>0</v>
      </c>
      <c r="D577" s="2" t="s">
        <v>1494</v>
      </c>
      <c r="E577" s="215">
        <v>0</v>
      </c>
      <c r="F577" s="215">
        <v>0</v>
      </c>
      <c r="G577" s="215">
        <v>0</v>
      </c>
      <c r="H577" s="215">
        <v>0</v>
      </c>
      <c r="I577" s="215">
        <v>0</v>
      </c>
      <c r="J577" s="215">
        <v>0</v>
      </c>
      <c r="K577" s="215">
        <v>0</v>
      </c>
      <c r="L577" s="215">
        <v>0</v>
      </c>
      <c r="M577" s="215">
        <v>0</v>
      </c>
      <c r="N577" s="215">
        <v>0</v>
      </c>
      <c r="O577" s="215">
        <v>0</v>
      </c>
      <c r="P577" s="215">
        <v>0</v>
      </c>
      <c r="Q577" s="215">
        <v>0</v>
      </c>
    </row>
    <row r="578" spans="2:17" x14ac:dyDescent="0.3">
      <c r="B578" s="259">
        <f t="shared" si="8"/>
        <v>2642.5400000000004</v>
      </c>
      <c r="D578" s="2" t="s">
        <v>1495</v>
      </c>
      <c r="E578" s="215">
        <v>2642.54</v>
      </c>
      <c r="F578" s="215">
        <v>2642.54</v>
      </c>
      <c r="G578" s="215">
        <v>2642.54</v>
      </c>
      <c r="H578" s="215">
        <v>2642.54</v>
      </c>
      <c r="I578" s="215">
        <v>2642.54</v>
      </c>
      <c r="J578" s="215">
        <v>2642.54</v>
      </c>
      <c r="K578" s="215">
        <v>2642.54</v>
      </c>
      <c r="L578" s="215">
        <v>2642.54</v>
      </c>
      <c r="M578" s="215">
        <v>2642.54</v>
      </c>
      <c r="N578" s="215">
        <v>2642.54</v>
      </c>
      <c r="O578" s="215">
        <v>2642.54</v>
      </c>
      <c r="P578" s="215">
        <v>2642.54</v>
      </c>
      <c r="Q578" s="215">
        <v>2642.54</v>
      </c>
    </row>
    <row r="579" spans="2:17" x14ac:dyDescent="0.3">
      <c r="B579" s="259">
        <f t="shared" si="8"/>
        <v>41524861.105833337</v>
      </c>
      <c r="D579" s="2" t="s">
        <v>619</v>
      </c>
      <c r="E579" s="215">
        <v>19388324.969999999</v>
      </c>
      <c r="F579" s="215">
        <v>27263677.440000005</v>
      </c>
      <c r="G579" s="215">
        <v>33903862.910000004</v>
      </c>
      <c r="H579" s="215">
        <v>37064006.06000001</v>
      </c>
      <c r="I579" s="215">
        <v>39341723.88000001</v>
      </c>
      <c r="J579" s="215">
        <v>40285545.87000002</v>
      </c>
      <c r="K579" s="215">
        <v>44558287.220000006</v>
      </c>
      <c r="L579" s="215">
        <v>44284448.700000018</v>
      </c>
      <c r="M579" s="215">
        <v>45639921.000000015</v>
      </c>
      <c r="N579" s="215">
        <v>46689808.280000016</v>
      </c>
      <c r="O579" s="215">
        <v>49913787.010000013</v>
      </c>
      <c r="P579" s="215">
        <v>52015187.950000018</v>
      </c>
      <c r="Q579" s="215">
        <v>55287828.930000015</v>
      </c>
    </row>
    <row r="580" spans="2:17" x14ac:dyDescent="0.3">
      <c r="B580" s="259">
        <f t="shared" si="8"/>
        <v>734937.55000000028</v>
      </c>
      <c r="D580" s="2" t="s">
        <v>621</v>
      </c>
      <c r="E580" s="215">
        <v>621092.2200000002</v>
      </c>
      <c r="F580" s="215">
        <v>579617.29000000015</v>
      </c>
      <c r="G580" s="215">
        <v>625310.04000000027</v>
      </c>
      <c r="H580" s="215">
        <v>623352.27000000025</v>
      </c>
      <c r="I580" s="215">
        <v>629076.62000000011</v>
      </c>
      <c r="J580" s="215">
        <v>643109.65000000026</v>
      </c>
      <c r="K580" s="215">
        <v>643218.70000000019</v>
      </c>
      <c r="L580" s="215">
        <v>648497.38000000024</v>
      </c>
      <c r="M580" s="215">
        <v>820519.56000000017</v>
      </c>
      <c r="N580" s="215">
        <v>454181.56000000006</v>
      </c>
      <c r="O580" s="215">
        <v>826653.4700000002</v>
      </c>
      <c r="P580" s="215">
        <v>1174645.75</v>
      </c>
      <c r="Q580" s="215">
        <v>1681044.4000000001</v>
      </c>
    </row>
    <row r="581" spans="2:17" x14ac:dyDescent="0.3">
      <c r="B581" s="259">
        <f t="shared" si="8"/>
        <v>1979456.1958333328</v>
      </c>
      <c r="D581" s="2" t="s">
        <v>623</v>
      </c>
      <c r="E581" s="215">
        <v>1482069.7399999998</v>
      </c>
      <c r="F581" s="215">
        <v>1490585.2699999996</v>
      </c>
      <c r="G581" s="215">
        <v>1420514.2299999995</v>
      </c>
      <c r="H581" s="215">
        <v>1433646.8199999996</v>
      </c>
      <c r="I581" s="215">
        <v>1432134.8399999994</v>
      </c>
      <c r="J581" s="215">
        <v>1456584.1399999992</v>
      </c>
      <c r="K581" s="215">
        <v>685809.0699999996</v>
      </c>
      <c r="L581" s="215">
        <v>2639042.1699999995</v>
      </c>
      <c r="M581" s="215">
        <v>2753276.7699999996</v>
      </c>
      <c r="N581" s="215">
        <v>2748986.1199999996</v>
      </c>
      <c r="O581" s="215">
        <v>2749373.2899999996</v>
      </c>
      <c r="P581" s="215">
        <v>2794760.5599999996</v>
      </c>
      <c r="Q581" s="215">
        <v>2815452.3999999994</v>
      </c>
    </row>
    <row r="582" spans="2:17" x14ac:dyDescent="0.3">
      <c r="B582" s="259">
        <f t="shared" si="8"/>
        <v>323101.29875000007</v>
      </c>
      <c r="D582" s="2" t="s">
        <v>949</v>
      </c>
      <c r="E582" s="215">
        <v>0</v>
      </c>
      <c r="F582" s="215">
        <v>0</v>
      </c>
      <c r="G582" s="215">
        <v>0</v>
      </c>
      <c r="H582" s="215">
        <v>0</v>
      </c>
      <c r="I582" s="215">
        <v>0</v>
      </c>
      <c r="J582" s="215">
        <v>0</v>
      </c>
      <c r="K582" s="215">
        <v>547669.56000000006</v>
      </c>
      <c r="L582" s="215">
        <v>581571.35000000009</v>
      </c>
      <c r="M582" s="215">
        <v>605301.22000000009</v>
      </c>
      <c r="N582" s="215">
        <v>605301.22000000009</v>
      </c>
      <c r="O582" s="215">
        <v>608333.24000000011</v>
      </c>
      <c r="P582" s="215">
        <v>619359.33000000007</v>
      </c>
      <c r="Q582" s="215">
        <v>619359.33000000007</v>
      </c>
    </row>
    <row r="583" spans="2:17" x14ac:dyDescent="0.3">
      <c r="B583" s="259">
        <f t="shared" ref="B583:B646" si="9">(E583+Q583+SUM(F583:P583)*2)/24</f>
        <v>5289774.849166668</v>
      </c>
      <c r="D583" s="2" t="s">
        <v>625</v>
      </c>
      <c r="E583" s="215">
        <v>5310891.51</v>
      </c>
      <c r="F583" s="215">
        <v>5284138.5500000007</v>
      </c>
      <c r="G583" s="215">
        <v>5285272.83</v>
      </c>
      <c r="H583" s="215">
        <v>5286569.4300000006</v>
      </c>
      <c r="I583" s="215">
        <v>5287406.1400000006</v>
      </c>
      <c r="J583" s="215">
        <v>5286266.0500000007</v>
      </c>
      <c r="K583" s="215">
        <v>5286574.5000000009</v>
      </c>
      <c r="L583" s="215">
        <v>5286574.5000000009</v>
      </c>
      <c r="M583" s="215">
        <v>5280904.8800000008</v>
      </c>
      <c r="N583" s="215">
        <v>5294113.8500000006</v>
      </c>
      <c r="O583" s="215">
        <v>5293911.6100000003</v>
      </c>
      <c r="P583" s="215">
        <v>5299387.790000001</v>
      </c>
      <c r="Q583" s="215">
        <v>5301464.6100000003</v>
      </c>
    </row>
    <row r="584" spans="2:17" x14ac:dyDescent="0.3">
      <c r="B584" s="259">
        <f t="shared" si="9"/>
        <v>1367.825</v>
      </c>
      <c r="D584" s="2" t="s">
        <v>627</v>
      </c>
      <c r="E584" s="215">
        <v>1090.33</v>
      </c>
      <c r="F584" s="215">
        <v>1090.33</v>
      </c>
      <c r="G584" s="215">
        <v>1090.33</v>
      </c>
      <c r="H584" s="215">
        <v>1090.33</v>
      </c>
      <c r="I584" s="215">
        <v>1090.33</v>
      </c>
      <c r="J584" s="215">
        <v>1090.33</v>
      </c>
      <c r="K584" s="215">
        <v>1518.1</v>
      </c>
      <c r="L584" s="215">
        <v>1518.1</v>
      </c>
      <c r="M584" s="215">
        <v>1518.1</v>
      </c>
      <c r="N584" s="215">
        <v>1518.1</v>
      </c>
      <c r="O584" s="215">
        <v>1518.1</v>
      </c>
      <c r="P584" s="215">
        <v>1884.3899999999999</v>
      </c>
      <c r="Q584" s="215">
        <v>1884.3899999999999</v>
      </c>
    </row>
    <row r="585" spans="2:17" x14ac:dyDescent="0.3">
      <c r="B585" s="259">
        <f t="shared" si="9"/>
        <v>156.16000000000005</v>
      </c>
      <c r="D585" s="2" t="s">
        <v>1496</v>
      </c>
      <c r="E585" s="215">
        <v>156.16000000000003</v>
      </c>
      <c r="F585" s="215">
        <v>156.16000000000003</v>
      </c>
      <c r="G585" s="215">
        <v>156.16000000000003</v>
      </c>
      <c r="H585" s="215">
        <v>156.16000000000003</v>
      </c>
      <c r="I585" s="215">
        <v>156.16000000000003</v>
      </c>
      <c r="J585" s="215">
        <v>156.16000000000003</v>
      </c>
      <c r="K585" s="215">
        <v>156.16000000000003</v>
      </c>
      <c r="L585" s="215">
        <v>156.16000000000003</v>
      </c>
      <c r="M585" s="215">
        <v>156.16000000000003</v>
      </c>
      <c r="N585" s="215">
        <v>156.16000000000003</v>
      </c>
      <c r="O585" s="215">
        <v>156.16000000000003</v>
      </c>
      <c r="P585" s="215">
        <v>156.16000000000003</v>
      </c>
      <c r="Q585" s="215">
        <v>156.16000000000003</v>
      </c>
    </row>
    <row r="586" spans="2:17" x14ac:dyDescent="0.3">
      <c r="B586" s="259">
        <f t="shared" si="9"/>
        <v>326.96000000000004</v>
      </c>
      <c r="D586" s="2" t="s">
        <v>1497</v>
      </c>
      <c r="E586" s="215">
        <v>326.96000000000004</v>
      </c>
      <c r="F586" s="215">
        <v>326.96000000000004</v>
      </c>
      <c r="G586" s="215">
        <v>326.96000000000004</v>
      </c>
      <c r="H586" s="215">
        <v>326.96000000000004</v>
      </c>
      <c r="I586" s="215">
        <v>326.96000000000004</v>
      </c>
      <c r="J586" s="215">
        <v>326.96000000000004</v>
      </c>
      <c r="K586" s="215">
        <v>326.96000000000004</v>
      </c>
      <c r="L586" s="215">
        <v>326.96000000000004</v>
      </c>
      <c r="M586" s="215">
        <v>326.96000000000004</v>
      </c>
      <c r="N586" s="215">
        <v>326.96000000000004</v>
      </c>
      <c r="O586" s="215">
        <v>326.96000000000004</v>
      </c>
      <c r="P586" s="215">
        <v>326.96000000000004</v>
      </c>
      <c r="Q586" s="215">
        <v>326.96000000000004</v>
      </c>
    </row>
    <row r="587" spans="2:17" x14ac:dyDescent="0.3">
      <c r="B587" s="259">
        <f t="shared" si="9"/>
        <v>44592.7575</v>
      </c>
      <c r="D587" s="2" t="s">
        <v>629</v>
      </c>
      <c r="E587" s="215">
        <v>44298.32</v>
      </c>
      <c r="F587" s="215">
        <v>44298.32</v>
      </c>
      <c r="G587" s="215">
        <v>44634.82</v>
      </c>
      <c r="H587" s="215">
        <v>44634.82</v>
      </c>
      <c r="I587" s="215">
        <v>44634.82</v>
      </c>
      <c r="J587" s="215">
        <v>44634.82</v>
      </c>
      <c r="K587" s="215">
        <v>44634.82</v>
      </c>
      <c r="L587" s="215">
        <v>44634.82</v>
      </c>
      <c r="M587" s="215">
        <v>44634.82</v>
      </c>
      <c r="N587" s="215">
        <v>44634.82</v>
      </c>
      <c r="O587" s="215">
        <v>44634.82</v>
      </c>
      <c r="P587" s="215">
        <v>44634.82</v>
      </c>
      <c r="Q587" s="215">
        <v>44634.82</v>
      </c>
    </row>
    <row r="588" spans="2:17" x14ac:dyDescent="0.3">
      <c r="B588" s="259">
        <f t="shared" si="9"/>
        <v>293557.72124999994</v>
      </c>
      <c r="D588" s="2" t="s">
        <v>631</v>
      </c>
      <c r="E588" s="215">
        <v>6025.5099999999948</v>
      </c>
      <c r="F588" s="215">
        <v>-26821.940000000002</v>
      </c>
      <c r="G588" s="215">
        <v>122556.98999999999</v>
      </c>
      <c r="H588" s="215">
        <v>134412.84</v>
      </c>
      <c r="I588" s="215">
        <v>368465.93</v>
      </c>
      <c r="J588" s="215">
        <v>380831.67000000004</v>
      </c>
      <c r="K588" s="215">
        <v>380447.27</v>
      </c>
      <c r="L588" s="215">
        <v>385163.57999999996</v>
      </c>
      <c r="M588" s="215">
        <v>389434.17</v>
      </c>
      <c r="N588" s="215">
        <v>392904.85</v>
      </c>
      <c r="O588" s="215">
        <v>395487.69999999995</v>
      </c>
      <c r="P588" s="215">
        <v>397848.75999999995</v>
      </c>
      <c r="Q588" s="215">
        <v>397896.15999999992</v>
      </c>
    </row>
    <row r="589" spans="2:17" x14ac:dyDescent="0.3">
      <c r="B589" s="259">
        <f t="shared" si="9"/>
        <v>691530.89458333328</v>
      </c>
      <c r="D589" s="2" t="s">
        <v>633</v>
      </c>
      <c r="E589" s="215">
        <v>643645.32000000007</v>
      </c>
      <c r="F589" s="215">
        <v>652123.42999999993</v>
      </c>
      <c r="G589" s="215">
        <v>652198.36</v>
      </c>
      <c r="H589" s="215">
        <v>653193.78</v>
      </c>
      <c r="I589" s="215">
        <v>700829.1</v>
      </c>
      <c r="J589" s="215">
        <v>705675.13</v>
      </c>
      <c r="K589" s="215">
        <v>705675.13</v>
      </c>
      <c r="L589" s="215">
        <v>705675.13</v>
      </c>
      <c r="M589" s="215">
        <v>710168.42</v>
      </c>
      <c r="N589" s="215">
        <v>710168.42</v>
      </c>
      <c r="O589" s="215">
        <v>710707.44000000006</v>
      </c>
      <c r="P589" s="215">
        <v>713402.54</v>
      </c>
      <c r="Q589" s="215">
        <v>713462.39</v>
      </c>
    </row>
    <row r="590" spans="2:17" x14ac:dyDescent="0.3">
      <c r="B590" s="259">
        <f t="shared" si="9"/>
        <v>1369060.7591666665</v>
      </c>
      <c r="D590" s="2" t="s">
        <v>635</v>
      </c>
      <c r="E590" s="215">
        <v>0</v>
      </c>
      <c r="F590" s="215">
        <v>0</v>
      </c>
      <c r="G590" s="215">
        <v>0</v>
      </c>
      <c r="H590" s="215">
        <v>0</v>
      </c>
      <c r="I590" s="215">
        <v>0</v>
      </c>
      <c r="J590" s="215">
        <v>0</v>
      </c>
      <c r="K590" s="215">
        <v>2121274.2999999998</v>
      </c>
      <c r="L590" s="215">
        <v>2122672.9299999997</v>
      </c>
      <c r="M590" s="215">
        <v>2125542.6899999995</v>
      </c>
      <c r="N590" s="215">
        <v>2872229.9999999995</v>
      </c>
      <c r="O590" s="215">
        <v>2872229.9999999995</v>
      </c>
      <c r="P590" s="215">
        <v>2876519.4599999995</v>
      </c>
      <c r="Q590" s="215">
        <v>2876519.4599999995</v>
      </c>
    </row>
    <row r="591" spans="2:17" x14ac:dyDescent="0.3">
      <c r="B591" s="259">
        <f t="shared" si="9"/>
        <v>475328.89708333323</v>
      </c>
      <c r="D591" s="2" t="s">
        <v>637</v>
      </c>
      <c r="E591" s="215">
        <v>335462.67</v>
      </c>
      <c r="F591" s="215">
        <v>453812.02999999991</v>
      </c>
      <c r="G591" s="215">
        <v>454012.78999999992</v>
      </c>
      <c r="H591" s="215">
        <v>461794.14999999991</v>
      </c>
      <c r="I591" s="215">
        <v>469181.83999999991</v>
      </c>
      <c r="J591" s="215">
        <v>469761.04999999993</v>
      </c>
      <c r="K591" s="215">
        <v>469806.73999999993</v>
      </c>
      <c r="L591" s="215">
        <v>489716.25999999995</v>
      </c>
      <c r="M591" s="215">
        <v>494138.82999999996</v>
      </c>
      <c r="N591" s="215">
        <v>499252.29</v>
      </c>
      <c r="O591" s="215">
        <v>506447.47</v>
      </c>
      <c r="P591" s="215">
        <v>508470.16</v>
      </c>
      <c r="Q591" s="215">
        <v>519643.63999999996</v>
      </c>
    </row>
    <row r="592" spans="2:17" x14ac:dyDescent="0.3">
      <c r="B592" s="259">
        <f t="shared" si="9"/>
        <v>4121127.7170833335</v>
      </c>
      <c r="D592" s="2" t="s">
        <v>639</v>
      </c>
      <c r="E592" s="215">
        <v>2774796.86</v>
      </c>
      <c r="F592" s="215">
        <v>2986457.87</v>
      </c>
      <c r="G592" s="215">
        <v>3100828.54</v>
      </c>
      <c r="H592" s="215">
        <v>3401413.01</v>
      </c>
      <c r="I592" s="215">
        <v>3592488.33</v>
      </c>
      <c r="J592" s="215">
        <v>3853050.69</v>
      </c>
      <c r="K592" s="215">
        <v>4096989.0199999996</v>
      </c>
      <c r="L592" s="215">
        <v>4301901.88</v>
      </c>
      <c r="M592" s="215">
        <v>4521101.78</v>
      </c>
      <c r="N592" s="215">
        <v>4849210.59</v>
      </c>
      <c r="O592" s="215">
        <v>5195043.2399999993</v>
      </c>
      <c r="P592" s="215">
        <v>5398108.5299999993</v>
      </c>
      <c r="Q592" s="215">
        <v>5539081.3899999997</v>
      </c>
    </row>
    <row r="593" spans="2:17" x14ac:dyDescent="0.3">
      <c r="B593" s="259">
        <f t="shared" si="9"/>
        <v>334033.60374999995</v>
      </c>
      <c r="D593" s="2" t="s">
        <v>641</v>
      </c>
      <c r="E593" s="215">
        <v>125166.12000000001</v>
      </c>
      <c r="F593" s="215">
        <v>125173.70000000001</v>
      </c>
      <c r="G593" s="215">
        <v>218458.98000000004</v>
      </c>
      <c r="H593" s="215">
        <v>223200.31000000003</v>
      </c>
      <c r="I593" s="215">
        <v>223421.74000000002</v>
      </c>
      <c r="J593" s="215">
        <v>271457.90000000002</v>
      </c>
      <c r="K593" s="215">
        <v>389773.20999999996</v>
      </c>
      <c r="L593" s="215">
        <v>391776.44999999995</v>
      </c>
      <c r="M593" s="215">
        <v>392684.32999999996</v>
      </c>
      <c r="N593" s="215">
        <v>393946.33999999997</v>
      </c>
      <c r="O593" s="215">
        <v>394090.47</v>
      </c>
      <c r="P593" s="215">
        <v>397151.61000000004</v>
      </c>
      <c r="Q593" s="215">
        <v>1049370.29</v>
      </c>
    </row>
    <row r="594" spans="2:17" x14ac:dyDescent="0.3">
      <c r="B594" s="259">
        <f t="shared" si="9"/>
        <v>2320107.5320833339</v>
      </c>
      <c r="D594" s="2" t="s">
        <v>643</v>
      </c>
      <c r="E594" s="215">
        <v>1201271.01</v>
      </c>
      <c r="F594" s="215">
        <v>1521406.6500000004</v>
      </c>
      <c r="G594" s="215">
        <v>1658351.11</v>
      </c>
      <c r="H594" s="215">
        <v>1847701.23</v>
      </c>
      <c r="I594" s="215">
        <v>2017621.81</v>
      </c>
      <c r="J594" s="215">
        <v>2093576.24</v>
      </c>
      <c r="K594" s="215">
        <v>2259422.71</v>
      </c>
      <c r="L594" s="215">
        <v>2476363.33</v>
      </c>
      <c r="M594" s="215">
        <v>2703650.8100000005</v>
      </c>
      <c r="N594" s="215">
        <v>2765416.2100000009</v>
      </c>
      <c r="O594" s="215">
        <v>2904268.4300000006</v>
      </c>
      <c r="P594" s="215">
        <v>3302250.0800000005</v>
      </c>
      <c r="Q594" s="215">
        <v>3381252.5400000005</v>
      </c>
    </row>
    <row r="595" spans="2:17" x14ac:dyDescent="0.3">
      <c r="B595" s="259">
        <f t="shared" si="9"/>
        <v>0</v>
      </c>
      <c r="D595" s="2" t="s">
        <v>1498</v>
      </c>
      <c r="E595" s="215">
        <v>0</v>
      </c>
      <c r="F595" s="215">
        <v>0</v>
      </c>
      <c r="G595" s="215">
        <v>0</v>
      </c>
      <c r="H595" s="215">
        <v>0</v>
      </c>
      <c r="I595" s="215">
        <v>0</v>
      </c>
      <c r="J595" s="215">
        <v>0</v>
      </c>
      <c r="K595" s="215">
        <v>0</v>
      </c>
      <c r="L595" s="215">
        <v>0</v>
      </c>
      <c r="M595" s="215">
        <v>0</v>
      </c>
      <c r="N595" s="215">
        <v>0</v>
      </c>
      <c r="O595" s="215">
        <v>0</v>
      </c>
      <c r="P595" s="215">
        <v>0</v>
      </c>
      <c r="Q595" s="215">
        <v>0</v>
      </c>
    </row>
    <row r="596" spans="2:17" x14ac:dyDescent="0.3">
      <c r="B596" s="259">
        <f t="shared" si="9"/>
        <v>277188.8495833333</v>
      </c>
      <c r="D596" s="2" t="s">
        <v>645</v>
      </c>
      <c r="E596" s="215">
        <v>237260.96000000002</v>
      </c>
      <c r="F596" s="215">
        <v>243665</v>
      </c>
      <c r="G596" s="215">
        <v>243665</v>
      </c>
      <c r="H596" s="215">
        <v>243946.05000000002</v>
      </c>
      <c r="I596" s="215">
        <v>249619.91</v>
      </c>
      <c r="J596" s="215">
        <v>253627.34000000003</v>
      </c>
      <c r="K596" s="215">
        <v>259518.45</v>
      </c>
      <c r="L596" s="215">
        <v>275153.05000000005</v>
      </c>
      <c r="M596" s="215">
        <v>275153.05000000005</v>
      </c>
      <c r="N596" s="215">
        <v>288798.63</v>
      </c>
      <c r="O596" s="215">
        <v>338617.87</v>
      </c>
      <c r="P596" s="215">
        <v>355323.49</v>
      </c>
      <c r="Q596" s="215">
        <v>361095.75</v>
      </c>
    </row>
    <row r="597" spans="2:17" x14ac:dyDescent="0.3">
      <c r="B597" s="259">
        <f t="shared" si="9"/>
        <v>87300.428750000006</v>
      </c>
      <c r="D597" s="2" t="s">
        <v>647</v>
      </c>
      <c r="E597" s="215">
        <v>342.99</v>
      </c>
      <c r="F597" s="215">
        <v>342.99</v>
      </c>
      <c r="G597" s="215">
        <v>342.99</v>
      </c>
      <c r="H597" s="215">
        <v>342.99</v>
      </c>
      <c r="I597" s="215">
        <v>64922.28</v>
      </c>
      <c r="J597" s="215">
        <v>66469.310000000012</v>
      </c>
      <c r="K597" s="215">
        <v>74000.780000000013</v>
      </c>
      <c r="L597" s="215">
        <v>76354.24000000002</v>
      </c>
      <c r="M597" s="215">
        <v>79449.340000000026</v>
      </c>
      <c r="N597" s="215">
        <v>79568.060000000027</v>
      </c>
      <c r="O597" s="215">
        <v>82038.460000000021</v>
      </c>
      <c r="P597" s="215">
        <v>347552.16</v>
      </c>
      <c r="Q597" s="215">
        <v>352100.1</v>
      </c>
    </row>
    <row r="598" spans="2:17" x14ac:dyDescent="0.3">
      <c r="B598" s="259">
        <f t="shared" si="9"/>
        <v>122768.82999999996</v>
      </c>
      <c r="D598" s="2" t="s">
        <v>649</v>
      </c>
      <c r="E598" s="215">
        <v>16783.73</v>
      </c>
      <c r="F598" s="215">
        <v>20273.91</v>
      </c>
      <c r="G598" s="215">
        <v>30274.55</v>
      </c>
      <c r="H598" s="215">
        <v>32630.67</v>
      </c>
      <c r="I598" s="215">
        <v>32630.67</v>
      </c>
      <c r="J598" s="215">
        <v>32630.67</v>
      </c>
      <c r="K598" s="215">
        <v>32630.67</v>
      </c>
      <c r="L598" s="215">
        <v>32630.67</v>
      </c>
      <c r="M598" s="215">
        <v>32630.67</v>
      </c>
      <c r="N598" s="215">
        <v>32630.67</v>
      </c>
      <c r="O598" s="215">
        <v>32630.67</v>
      </c>
      <c r="P598" s="215">
        <v>768747.06999999983</v>
      </c>
      <c r="Q598" s="215">
        <v>768986.40999999992</v>
      </c>
    </row>
    <row r="599" spans="2:17" x14ac:dyDescent="0.3">
      <c r="B599" s="259">
        <f t="shared" si="9"/>
        <v>0</v>
      </c>
      <c r="D599" s="2" t="s">
        <v>1499</v>
      </c>
      <c r="E599" s="215">
        <v>0</v>
      </c>
      <c r="F599" s="215">
        <v>0</v>
      </c>
      <c r="G599" s="215">
        <v>0</v>
      </c>
      <c r="H599" s="215">
        <v>0</v>
      </c>
      <c r="I599" s="215">
        <v>0</v>
      </c>
      <c r="J599" s="215">
        <v>0</v>
      </c>
      <c r="K599" s="215">
        <v>0</v>
      </c>
      <c r="L599" s="215">
        <v>0</v>
      </c>
      <c r="M599" s="215">
        <v>0</v>
      </c>
      <c r="N599" s="215">
        <v>0</v>
      </c>
      <c r="O599" s="215">
        <v>0</v>
      </c>
      <c r="P599" s="215">
        <v>0</v>
      </c>
      <c r="Q599" s="215">
        <v>0</v>
      </c>
    </row>
    <row r="600" spans="2:17" x14ac:dyDescent="0.3">
      <c r="B600" s="259">
        <f t="shared" si="9"/>
        <v>52931511.795833342</v>
      </c>
      <c r="D600" s="2" t="s">
        <v>651</v>
      </c>
      <c r="E600" s="215">
        <v>35125246.080000006</v>
      </c>
      <c r="F600" s="215">
        <v>38069653.800000004</v>
      </c>
      <c r="G600" s="215">
        <v>39247864.310000002</v>
      </c>
      <c r="H600" s="215">
        <v>40674544.380000003</v>
      </c>
      <c r="I600" s="215">
        <v>42267184.000000007</v>
      </c>
      <c r="J600" s="215">
        <v>47236423.360000007</v>
      </c>
      <c r="K600" s="215">
        <v>50828983.860000007</v>
      </c>
      <c r="L600" s="215">
        <v>55060261.160000004</v>
      </c>
      <c r="M600" s="215">
        <v>60109731.230000004</v>
      </c>
      <c r="N600" s="215">
        <v>61936397.819999993</v>
      </c>
      <c r="O600" s="215">
        <v>68208887.400000006</v>
      </c>
      <c r="P600" s="215">
        <v>71780479.739999995</v>
      </c>
      <c r="Q600" s="215">
        <v>84390214.900000006</v>
      </c>
    </row>
    <row r="601" spans="2:17" x14ac:dyDescent="0.3">
      <c r="B601" s="259">
        <f t="shared" si="9"/>
        <v>2688264.8020833335</v>
      </c>
      <c r="D601" s="2" t="s">
        <v>653</v>
      </c>
      <c r="E601" s="215">
        <v>2078617.5299999998</v>
      </c>
      <c r="F601" s="215">
        <v>2081970.49</v>
      </c>
      <c r="G601" s="215">
        <v>2086089.88</v>
      </c>
      <c r="H601" s="215">
        <v>2187184.2899999996</v>
      </c>
      <c r="I601" s="215">
        <v>2188730.9399999995</v>
      </c>
      <c r="J601" s="215">
        <v>2263781.5699999998</v>
      </c>
      <c r="K601" s="215">
        <v>2281925.1699999995</v>
      </c>
      <c r="L601" s="215">
        <v>3022870.42</v>
      </c>
      <c r="M601" s="215">
        <v>3051493.69</v>
      </c>
      <c r="N601" s="215">
        <v>3401611.22</v>
      </c>
      <c r="O601" s="215">
        <v>3401726.58</v>
      </c>
      <c r="P601" s="215">
        <v>3497925.5300000003</v>
      </c>
      <c r="Q601" s="215">
        <v>3509118.1599999997</v>
      </c>
    </row>
    <row r="602" spans="2:17" x14ac:dyDescent="0.3">
      <c r="B602" s="259">
        <f t="shared" si="9"/>
        <v>679585.93958333321</v>
      </c>
      <c r="D602" s="2" t="s">
        <v>655</v>
      </c>
      <c r="E602" s="215">
        <v>286650.78999999998</v>
      </c>
      <c r="F602" s="215">
        <v>293536.14999999997</v>
      </c>
      <c r="G602" s="215">
        <v>349017.52999999997</v>
      </c>
      <c r="H602" s="215">
        <v>514571.54999999993</v>
      </c>
      <c r="I602" s="215">
        <v>576989.15999999992</v>
      </c>
      <c r="J602" s="215">
        <v>691594.64999999991</v>
      </c>
      <c r="K602" s="215">
        <v>781151.33</v>
      </c>
      <c r="L602" s="215">
        <v>802264.34999999986</v>
      </c>
      <c r="M602" s="215">
        <v>844978.97999999986</v>
      </c>
      <c r="N602" s="215">
        <v>880235.74999999988</v>
      </c>
      <c r="O602" s="215">
        <v>883633.19999999984</v>
      </c>
      <c r="P602" s="215">
        <v>924897.26999999979</v>
      </c>
      <c r="Q602" s="215">
        <v>937671.91999999981</v>
      </c>
    </row>
    <row r="603" spans="2:17" x14ac:dyDescent="0.3">
      <c r="B603" s="259">
        <f t="shared" si="9"/>
        <v>0</v>
      </c>
      <c r="D603" s="2" t="s">
        <v>1500</v>
      </c>
      <c r="E603" s="215">
        <v>0</v>
      </c>
      <c r="F603" s="215">
        <v>0</v>
      </c>
      <c r="G603" s="215">
        <v>0</v>
      </c>
      <c r="H603" s="215">
        <v>0</v>
      </c>
      <c r="I603" s="215">
        <v>0</v>
      </c>
      <c r="J603" s="215">
        <v>0</v>
      </c>
      <c r="K603" s="215">
        <v>0</v>
      </c>
      <c r="L603" s="215">
        <v>0</v>
      </c>
      <c r="M603" s="215">
        <v>0</v>
      </c>
      <c r="N603" s="215">
        <v>0</v>
      </c>
      <c r="O603" s="215">
        <v>0</v>
      </c>
      <c r="P603" s="215">
        <v>0</v>
      </c>
      <c r="Q603" s="215">
        <v>0</v>
      </c>
    </row>
    <row r="604" spans="2:17" x14ac:dyDescent="0.3">
      <c r="B604" s="259">
        <f t="shared" si="9"/>
        <v>0</v>
      </c>
      <c r="D604" s="2" t="s">
        <v>657</v>
      </c>
      <c r="E604" s="215">
        <v>0</v>
      </c>
      <c r="F604" s="215">
        <v>0</v>
      </c>
      <c r="G604" s="215">
        <v>0</v>
      </c>
      <c r="H604" s="215">
        <v>0</v>
      </c>
      <c r="I604" s="215">
        <v>0</v>
      </c>
      <c r="J604" s="215">
        <v>0</v>
      </c>
      <c r="K604" s="215">
        <v>0</v>
      </c>
      <c r="L604" s="215">
        <v>0</v>
      </c>
      <c r="M604" s="215">
        <v>0</v>
      </c>
      <c r="N604" s="215">
        <v>0</v>
      </c>
      <c r="O604" s="215">
        <v>0</v>
      </c>
      <c r="P604" s="215">
        <v>0</v>
      </c>
      <c r="Q604" s="215">
        <v>0</v>
      </c>
    </row>
    <row r="605" spans="2:17" x14ac:dyDescent="0.3">
      <c r="B605" s="259">
        <f t="shared" si="9"/>
        <v>127387.8816666667</v>
      </c>
      <c r="D605" s="2" t="s">
        <v>659</v>
      </c>
      <c r="E605" s="215">
        <v>75462.75</v>
      </c>
      <c r="F605" s="215">
        <v>78517.200000000012</v>
      </c>
      <c r="G605" s="215">
        <v>87176.07</v>
      </c>
      <c r="H605" s="215">
        <v>94314.800000000017</v>
      </c>
      <c r="I605" s="215">
        <v>99118.650000000023</v>
      </c>
      <c r="J605" s="215">
        <v>129116.82</v>
      </c>
      <c r="K605" s="215">
        <v>130635.15000000001</v>
      </c>
      <c r="L605" s="215">
        <v>134059.19</v>
      </c>
      <c r="M605" s="215">
        <v>149069.48000000001</v>
      </c>
      <c r="N605" s="215">
        <v>156913.01</v>
      </c>
      <c r="O605" s="215">
        <v>168207.81</v>
      </c>
      <c r="P605" s="215">
        <v>178166.05</v>
      </c>
      <c r="Q605" s="215">
        <v>171257.95</v>
      </c>
    </row>
    <row r="606" spans="2:17" x14ac:dyDescent="0.3">
      <c r="B606" s="259">
        <f t="shared" si="9"/>
        <v>0</v>
      </c>
      <c r="D606" s="2" t="s">
        <v>661</v>
      </c>
      <c r="E606" s="215">
        <v>0</v>
      </c>
      <c r="F606" s="215">
        <v>0</v>
      </c>
      <c r="G606" s="215">
        <v>0</v>
      </c>
      <c r="H606" s="215">
        <v>0</v>
      </c>
      <c r="I606" s="215">
        <v>0</v>
      </c>
      <c r="J606" s="215">
        <v>0</v>
      </c>
      <c r="K606" s="215">
        <v>0</v>
      </c>
      <c r="L606" s="215">
        <v>0</v>
      </c>
      <c r="M606" s="215">
        <v>0</v>
      </c>
      <c r="N606" s="215">
        <v>0</v>
      </c>
      <c r="O606" s="215">
        <v>0</v>
      </c>
      <c r="P606" s="215">
        <v>0</v>
      </c>
      <c r="Q606" s="215">
        <v>0</v>
      </c>
    </row>
    <row r="607" spans="2:17" x14ac:dyDescent="0.3">
      <c r="B607" s="259">
        <f t="shared" si="9"/>
        <v>23789.464583333331</v>
      </c>
      <c r="D607" s="2" t="s">
        <v>663</v>
      </c>
      <c r="E607" s="215">
        <v>11233.499999999998</v>
      </c>
      <c r="F607" s="215">
        <v>11342.019999999999</v>
      </c>
      <c r="G607" s="215">
        <v>11342.019999999999</v>
      </c>
      <c r="H607" s="215">
        <v>11495.369999999999</v>
      </c>
      <c r="I607" s="215">
        <v>11495.369999999999</v>
      </c>
      <c r="J607" s="215">
        <v>11495.369999999999</v>
      </c>
      <c r="K607" s="215">
        <v>11520.919999999998</v>
      </c>
      <c r="L607" s="215">
        <v>11520.919999999998</v>
      </c>
      <c r="M607" s="215">
        <v>12679.359999999999</v>
      </c>
      <c r="N607" s="215">
        <v>12679.359999999999</v>
      </c>
      <c r="O607" s="215">
        <v>63439.19</v>
      </c>
      <c r="P607" s="215">
        <v>73897.95</v>
      </c>
      <c r="Q607" s="215">
        <v>73897.95</v>
      </c>
    </row>
    <row r="608" spans="2:17" x14ac:dyDescent="0.3">
      <c r="B608" s="259">
        <f t="shared" si="9"/>
        <v>2517404.1054166663</v>
      </c>
      <c r="D608" s="2" t="s">
        <v>665</v>
      </c>
      <c r="E608" s="215">
        <v>1066157.5799999998</v>
      </c>
      <c r="F608" s="215">
        <v>1208709.2999999996</v>
      </c>
      <c r="G608" s="215">
        <v>1570842.7699999996</v>
      </c>
      <c r="H608" s="215">
        <v>1951218.5399999998</v>
      </c>
      <c r="I608" s="215">
        <v>2211080.4799999995</v>
      </c>
      <c r="J608" s="215">
        <v>2350786.3299999996</v>
      </c>
      <c r="K608" s="215">
        <v>2577212.4599999995</v>
      </c>
      <c r="L608" s="215">
        <v>2665878.4299999992</v>
      </c>
      <c r="M608" s="215">
        <v>2898484.0599999996</v>
      </c>
      <c r="N608" s="215">
        <v>3108971.669999999</v>
      </c>
      <c r="O608" s="215">
        <v>3522335.1699999995</v>
      </c>
      <c r="P608" s="215">
        <v>3729622.8099999996</v>
      </c>
      <c r="Q608" s="215">
        <v>3761256.9099999992</v>
      </c>
    </row>
    <row r="609" spans="2:17" x14ac:dyDescent="0.3">
      <c r="B609" s="259">
        <f t="shared" si="9"/>
        <v>3727.8675000000003</v>
      </c>
      <c r="D609" s="2" t="s">
        <v>667</v>
      </c>
      <c r="E609" s="215">
        <v>3422.13</v>
      </c>
      <c r="F609" s="215">
        <v>3422.13</v>
      </c>
      <c r="G609" s="215">
        <v>3422.13</v>
      </c>
      <c r="H609" s="215">
        <v>3422.13</v>
      </c>
      <c r="I609" s="215">
        <v>3422.13</v>
      </c>
      <c r="J609" s="215">
        <v>3575.48</v>
      </c>
      <c r="K609" s="215">
        <v>3575.48</v>
      </c>
      <c r="L609" s="215">
        <v>3575.48</v>
      </c>
      <c r="M609" s="215">
        <v>3926.8700000000003</v>
      </c>
      <c r="N609" s="215">
        <v>4155.47</v>
      </c>
      <c r="O609" s="215">
        <v>4155.47</v>
      </c>
      <c r="P609" s="215">
        <v>4247.05</v>
      </c>
      <c r="Q609" s="215">
        <v>4247.05</v>
      </c>
    </row>
    <row r="610" spans="2:17" x14ac:dyDescent="0.3">
      <c r="B610" s="259">
        <f t="shared" si="9"/>
        <v>1863863.7608333332</v>
      </c>
      <c r="D610" s="2" t="s">
        <v>669</v>
      </c>
      <c r="E610" s="215">
        <v>834037.44999999984</v>
      </c>
      <c r="F610" s="215">
        <v>835109.85999999987</v>
      </c>
      <c r="G610" s="215">
        <v>834692.46</v>
      </c>
      <c r="H610" s="215">
        <v>996200.91999999993</v>
      </c>
      <c r="I610" s="215">
        <v>1008463.55</v>
      </c>
      <c r="J610" s="215">
        <v>2129759.9700000002</v>
      </c>
      <c r="K610" s="215">
        <v>2301706.3100000005</v>
      </c>
      <c r="L610" s="215">
        <v>2311804.08</v>
      </c>
      <c r="M610" s="215">
        <v>2427222.87</v>
      </c>
      <c r="N610" s="215">
        <v>2501107.46</v>
      </c>
      <c r="O610" s="215">
        <v>2521715.48</v>
      </c>
      <c r="P610" s="215">
        <v>2680570.77</v>
      </c>
      <c r="Q610" s="215">
        <v>2801985.3499999996</v>
      </c>
    </row>
    <row r="611" spans="2:17" x14ac:dyDescent="0.3">
      <c r="B611" s="259">
        <f t="shared" si="9"/>
        <v>7246574.9341666671</v>
      </c>
      <c r="D611" s="2" t="s">
        <v>671</v>
      </c>
      <c r="E611" s="215">
        <v>4567643.07</v>
      </c>
      <c r="F611" s="215">
        <v>4583492.6800000006</v>
      </c>
      <c r="G611" s="215">
        <v>6327724.4100000011</v>
      </c>
      <c r="H611" s="215">
        <v>6372185.4400000013</v>
      </c>
      <c r="I611" s="215">
        <v>6440506.1800000016</v>
      </c>
      <c r="J611" s="215">
        <v>6682403.9400000013</v>
      </c>
      <c r="K611" s="215">
        <v>8208443.9400000013</v>
      </c>
      <c r="L611" s="215">
        <v>8293699.4300000016</v>
      </c>
      <c r="M611" s="215">
        <v>8318923.7400000012</v>
      </c>
      <c r="N611" s="215">
        <v>8379666.5600000015</v>
      </c>
      <c r="O611" s="215">
        <v>8396208.3900000006</v>
      </c>
      <c r="P611" s="215">
        <v>8420389.0800000001</v>
      </c>
      <c r="Q611" s="215">
        <v>8502867.7699999996</v>
      </c>
    </row>
    <row r="612" spans="2:17" x14ac:dyDescent="0.3">
      <c r="B612" s="259">
        <f t="shared" si="9"/>
        <v>0</v>
      </c>
      <c r="D612" s="2" t="s">
        <v>673</v>
      </c>
      <c r="E612" s="215">
        <v>0</v>
      </c>
      <c r="F612" s="215">
        <v>0</v>
      </c>
      <c r="G612" s="215">
        <v>0</v>
      </c>
      <c r="H612" s="215">
        <v>0</v>
      </c>
      <c r="I612" s="215">
        <v>0</v>
      </c>
      <c r="J612" s="215">
        <v>0</v>
      </c>
      <c r="K612" s="215">
        <v>0</v>
      </c>
      <c r="L612" s="215">
        <v>0</v>
      </c>
      <c r="M612" s="215">
        <v>0</v>
      </c>
      <c r="N612" s="215">
        <v>0</v>
      </c>
      <c r="O612" s="215">
        <v>0</v>
      </c>
      <c r="P612" s="215">
        <v>0</v>
      </c>
      <c r="Q612" s="215">
        <v>0</v>
      </c>
    </row>
    <row r="613" spans="2:17" x14ac:dyDescent="0.3">
      <c r="B613" s="259">
        <f t="shared" si="9"/>
        <v>1768720.9333333336</v>
      </c>
      <c r="D613" s="2" t="s">
        <v>675</v>
      </c>
      <c r="E613" s="215">
        <v>1638335.99</v>
      </c>
      <c r="F613" s="215">
        <v>1726627.92</v>
      </c>
      <c r="G613" s="215">
        <v>1729672.03</v>
      </c>
      <c r="H613" s="215">
        <v>1729689.14</v>
      </c>
      <c r="I613" s="215">
        <v>1731548.05</v>
      </c>
      <c r="J613" s="215">
        <v>1731554.2400000002</v>
      </c>
      <c r="K613" s="215">
        <v>1792019.0300000003</v>
      </c>
      <c r="L613" s="215">
        <v>1792974.7400000002</v>
      </c>
      <c r="M613" s="215">
        <v>1794954.87</v>
      </c>
      <c r="N613" s="215">
        <v>1794982.53</v>
      </c>
      <c r="O613" s="215">
        <v>1821407.18</v>
      </c>
      <c r="P613" s="215">
        <v>1839943.69</v>
      </c>
      <c r="Q613" s="215">
        <v>1840219.5699999998</v>
      </c>
    </row>
    <row r="614" spans="2:17" x14ac:dyDescent="0.3">
      <c r="B614" s="259">
        <f t="shared" si="9"/>
        <v>359750.87625000003</v>
      </c>
      <c r="D614" s="2" t="s">
        <v>677</v>
      </c>
      <c r="E614" s="215">
        <v>158406.90000000002</v>
      </c>
      <c r="F614" s="215">
        <v>160945.78000000003</v>
      </c>
      <c r="G614" s="215">
        <v>175822.05000000002</v>
      </c>
      <c r="H614" s="215">
        <v>182202.57</v>
      </c>
      <c r="I614" s="215">
        <v>227577.94999999998</v>
      </c>
      <c r="J614" s="215">
        <v>266026.83</v>
      </c>
      <c r="K614" s="215">
        <v>357044.68</v>
      </c>
      <c r="L614" s="215">
        <v>373637.45</v>
      </c>
      <c r="M614" s="215">
        <v>400758.39</v>
      </c>
      <c r="N614" s="215">
        <v>427304.24</v>
      </c>
      <c r="O614" s="215">
        <v>480754.95999999996</v>
      </c>
      <c r="P614" s="215">
        <v>750403.48</v>
      </c>
      <c r="Q614" s="215">
        <v>870657.37</v>
      </c>
    </row>
    <row r="615" spans="2:17" x14ac:dyDescent="0.3">
      <c r="B615" s="259">
        <f t="shared" si="9"/>
        <v>7498114.5808333298</v>
      </c>
      <c r="D615" s="2" t="s">
        <v>679</v>
      </c>
      <c r="E615" s="215">
        <v>4571446.4799999977</v>
      </c>
      <c r="F615" s="215">
        <v>4773527.7599999979</v>
      </c>
      <c r="G615" s="215">
        <v>5045073.2799999975</v>
      </c>
      <c r="H615" s="215">
        <v>5537936.299999998</v>
      </c>
      <c r="I615" s="215">
        <v>5993057.3899999969</v>
      </c>
      <c r="J615" s="215">
        <v>7038093.4199999981</v>
      </c>
      <c r="K615" s="215">
        <v>7566484.3799999971</v>
      </c>
      <c r="L615" s="215">
        <v>8058531.2099999972</v>
      </c>
      <c r="M615" s="215">
        <v>8790340.8199999966</v>
      </c>
      <c r="N615" s="215">
        <v>9377618.7099999953</v>
      </c>
      <c r="O615" s="215">
        <v>9894769.0099999961</v>
      </c>
      <c r="P615" s="215">
        <v>10315137.329999996</v>
      </c>
      <c r="Q615" s="215">
        <v>10602164.239999996</v>
      </c>
    </row>
    <row r="616" spans="2:17" x14ac:dyDescent="0.3">
      <c r="B616" s="259">
        <f t="shared" si="9"/>
        <v>10784.124166666666</v>
      </c>
      <c r="D616" s="2" t="s">
        <v>1058</v>
      </c>
      <c r="E616" s="215">
        <v>0</v>
      </c>
      <c r="F616" s="215">
        <v>0</v>
      </c>
      <c r="G616" s="215">
        <v>0</v>
      </c>
      <c r="H616" s="215">
        <v>0</v>
      </c>
      <c r="I616" s="215">
        <v>0</v>
      </c>
      <c r="J616" s="215">
        <v>17169.830000000002</v>
      </c>
      <c r="K616" s="215">
        <v>17267.640000000003</v>
      </c>
      <c r="L616" s="215">
        <v>17267.640000000003</v>
      </c>
      <c r="M616" s="215">
        <v>17267.640000000003</v>
      </c>
      <c r="N616" s="215">
        <v>17267.640000000003</v>
      </c>
      <c r="O616" s="215">
        <v>17267.640000000003</v>
      </c>
      <c r="P616" s="215">
        <v>17267.640000000003</v>
      </c>
      <c r="Q616" s="215">
        <v>17267.640000000003</v>
      </c>
    </row>
    <row r="617" spans="2:17" x14ac:dyDescent="0.3">
      <c r="B617" s="259">
        <f t="shared" si="9"/>
        <v>108705.38750000001</v>
      </c>
      <c r="D617" s="2" t="s">
        <v>951</v>
      </c>
      <c r="E617" s="215">
        <v>0</v>
      </c>
      <c r="F617" s="215">
        <v>0</v>
      </c>
      <c r="G617" s="215">
        <v>0</v>
      </c>
      <c r="H617" s="215">
        <v>107679.12</v>
      </c>
      <c r="I617" s="215">
        <v>108004.28</v>
      </c>
      <c r="J617" s="215">
        <v>140605.70000000001</v>
      </c>
      <c r="K617" s="215">
        <v>141319.96</v>
      </c>
      <c r="L617" s="215">
        <v>144268.4</v>
      </c>
      <c r="M617" s="215">
        <v>146995.37</v>
      </c>
      <c r="N617" s="215">
        <v>147178.51</v>
      </c>
      <c r="O617" s="215">
        <v>147178.51</v>
      </c>
      <c r="P617" s="215">
        <v>147178.51</v>
      </c>
      <c r="Q617" s="215">
        <v>148112.58000000002</v>
      </c>
    </row>
    <row r="618" spans="2:17" x14ac:dyDescent="0.3">
      <c r="B618" s="259">
        <f t="shared" si="9"/>
        <v>18897.023749999997</v>
      </c>
      <c r="D618" s="2" t="s">
        <v>681</v>
      </c>
      <c r="E618" s="215">
        <v>1454.2000000000003</v>
      </c>
      <c r="F618" s="215">
        <v>1454.2000000000003</v>
      </c>
      <c r="G618" s="215">
        <v>1454.2000000000003</v>
      </c>
      <c r="H618" s="215">
        <v>1454.2000000000003</v>
      </c>
      <c r="I618" s="215">
        <v>1454.2000000000003</v>
      </c>
      <c r="J618" s="215">
        <v>1454.2000000000003</v>
      </c>
      <c r="K618" s="215">
        <v>30120.28</v>
      </c>
      <c r="L618" s="215">
        <v>31025.65</v>
      </c>
      <c r="M618" s="215">
        <v>31025.64</v>
      </c>
      <c r="N618" s="215">
        <v>31870.839999999997</v>
      </c>
      <c r="O618" s="215">
        <v>31870.839999999997</v>
      </c>
      <c r="P618" s="215">
        <v>41061.009999999995</v>
      </c>
      <c r="Q618" s="215">
        <v>43583.849999999991</v>
      </c>
    </row>
    <row r="619" spans="2:17" x14ac:dyDescent="0.3">
      <c r="B619" s="259">
        <f t="shared" si="9"/>
        <v>2651215.5154166664</v>
      </c>
      <c r="D619" s="2" t="s">
        <v>683</v>
      </c>
      <c r="E619" s="215">
        <v>1441519.0899999999</v>
      </c>
      <c r="F619" s="215">
        <v>1662646.5499999998</v>
      </c>
      <c r="G619" s="215">
        <v>1755870.3899999997</v>
      </c>
      <c r="H619" s="215">
        <v>1925825.1799999997</v>
      </c>
      <c r="I619" s="215">
        <v>2353466.59</v>
      </c>
      <c r="J619" s="215">
        <v>2521589.5499999993</v>
      </c>
      <c r="K619" s="215">
        <v>2661810.2899999991</v>
      </c>
      <c r="L619" s="215">
        <v>2775079.9599999995</v>
      </c>
      <c r="M619" s="215">
        <v>3183044.9299999988</v>
      </c>
      <c r="N619" s="215">
        <v>3256175.4999999995</v>
      </c>
      <c r="O619" s="215">
        <v>3457349.2199999993</v>
      </c>
      <c r="P619" s="215">
        <v>3662506.8899999992</v>
      </c>
      <c r="Q619" s="215">
        <v>3756923.1799999992</v>
      </c>
    </row>
    <row r="620" spans="2:17" x14ac:dyDescent="0.3">
      <c r="B620" s="259">
        <f t="shared" si="9"/>
        <v>648641.90333333332</v>
      </c>
      <c r="D620" s="2" t="s">
        <v>685</v>
      </c>
      <c r="E620" s="215">
        <v>524097.00000000006</v>
      </c>
      <c r="F620" s="215">
        <v>530108.56000000006</v>
      </c>
      <c r="G620" s="215">
        <v>534777.8600000001</v>
      </c>
      <c r="H620" s="215">
        <v>549233.10000000009</v>
      </c>
      <c r="I620" s="215">
        <v>564445.08000000007</v>
      </c>
      <c r="J620" s="215">
        <v>575902.93000000005</v>
      </c>
      <c r="K620" s="215">
        <v>640755.23</v>
      </c>
      <c r="L620" s="215">
        <v>645057.93999999994</v>
      </c>
      <c r="M620" s="215">
        <v>653507.52999999991</v>
      </c>
      <c r="N620" s="215">
        <v>720152.89999999991</v>
      </c>
      <c r="O620" s="215">
        <v>816871.33999999985</v>
      </c>
      <c r="P620" s="215">
        <v>852589.84999999986</v>
      </c>
      <c r="Q620" s="215">
        <v>876504.0399999998</v>
      </c>
    </row>
    <row r="621" spans="2:17" x14ac:dyDescent="0.3">
      <c r="B621" s="259">
        <f t="shared" si="9"/>
        <v>2579244.9958333331</v>
      </c>
      <c r="D621" s="2" t="s">
        <v>687</v>
      </c>
      <c r="E621" s="215">
        <v>1916701.54</v>
      </c>
      <c r="F621" s="215">
        <v>1952813.6099999999</v>
      </c>
      <c r="G621" s="215">
        <v>2094072</v>
      </c>
      <c r="H621" s="215">
        <v>2175221.13</v>
      </c>
      <c r="I621" s="215">
        <v>2328262.3099999996</v>
      </c>
      <c r="J621" s="215">
        <v>2383142.1699999995</v>
      </c>
      <c r="K621" s="215">
        <v>2642784.1999999997</v>
      </c>
      <c r="L621" s="215">
        <v>2725282.0999999992</v>
      </c>
      <c r="M621" s="215">
        <v>2850602.3299999991</v>
      </c>
      <c r="N621" s="215">
        <v>2982624.709999999</v>
      </c>
      <c r="O621" s="215">
        <v>3078466.5299999993</v>
      </c>
      <c r="P621" s="215">
        <v>3181070.1299999994</v>
      </c>
      <c r="Q621" s="215">
        <v>3196495.9199999995</v>
      </c>
    </row>
    <row r="622" spans="2:17" x14ac:dyDescent="0.3">
      <c r="B622" s="259">
        <f t="shared" si="9"/>
        <v>12535198.882500006</v>
      </c>
      <c r="D622" s="2" t="s">
        <v>689</v>
      </c>
      <c r="E622" s="215">
        <v>7461843.2000000039</v>
      </c>
      <c r="F622" s="215">
        <v>8042685.9700000044</v>
      </c>
      <c r="G622" s="215">
        <v>8491598.6500000041</v>
      </c>
      <c r="H622" s="215">
        <v>9666471.3100000042</v>
      </c>
      <c r="I622" s="215">
        <v>10623025.010000004</v>
      </c>
      <c r="J622" s="215">
        <v>11655105.510000004</v>
      </c>
      <c r="K622" s="215">
        <v>12945153.450000005</v>
      </c>
      <c r="L622" s="215">
        <v>13683225.620000005</v>
      </c>
      <c r="M622" s="215">
        <v>14299031.350000003</v>
      </c>
      <c r="N622" s="215">
        <v>15304663.650000002</v>
      </c>
      <c r="O622" s="215">
        <v>16221684.310000004</v>
      </c>
      <c r="P622" s="215">
        <v>17015745.970000003</v>
      </c>
      <c r="Q622" s="215">
        <v>17486148.380000006</v>
      </c>
    </row>
    <row r="623" spans="2:17" x14ac:dyDescent="0.3">
      <c r="B623" s="259">
        <f t="shared" si="9"/>
        <v>135185.00541666668</v>
      </c>
      <c r="D623" s="2" t="s">
        <v>691</v>
      </c>
      <c r="E623" s="215">
        <v>25226.21</v>
      </c>
      <c r="F623" s="215">
        <v>56730.270000000004</v>
      </c>
      <c r="G623" s="215">
        <v>56802.600000000006</v>
      </c>
      <c r="H623" s="215">
        <v>77154.260000000009</v>
      </c>
      <c r="I623" s="215">
        <v>82396.420000000013</v>
      </c>
      <c r="J623" s="215">
        <v>82555.660000000018</v>
      </c>
      <c r="K623" s="215">
        <v>82555.660000000018</v>
      </c>
      <c r="L623" s="215">
        <v>82555.660000000018</v>
      </c>
      <c r="M623" s="215">
        <v>214175.96000000002</v>
      </c>
      <c r="N623" s="215">
        <v>214175.96000000002</v>
      </c>
      <c r="O623" s="215">
        <v>258790.19</v>
      </c>
      <c r="P623" s="215">
        <v>268906.44</v>
      </c>
      <c r="Q623" s="215">
        <v>265615.76</v>
      </c>
    </row>
    <row r="624" spans="2:17" x14ac:dyDescent="0.3">
      <c r="B624" s="259">
        <f t="shared" si="9"/>
        <v>123801.32875</v>
      </c>
      <c r="D624" s="2" t="s">
        <v>693</v>
      </c>
      <c r="E624" s="215">
        <v>121197.09</v>
      </c>
      <c r="F624" s="215">
        <v>121197.09</v>
      </c>
      <c r="G624" s="215">
        <v>121197.09</v>
      </c>
      <c r="H624" s="215">
        <v>121197.09</v>
      </c>
      <c r="I624" s="215">
        <v>122233.56999999999</v>
      </c>
      <c r="J624" s="215">
        <v>124217.54</v>
      </c>
      <c r="K624" s="215">
        <v>124217.54</v>
      </c>
      <c r="L624" s="215">
        <v>124906.25</v>
      </c>
      <c r="M624" s="215">
        <v>124906.25</v>
      </c>
      <c r="N624" s="215">
        <v>125984.28</v>
      </c>
      <c r="O624" s="215">
        <v>125984.28</v>
      </c>
      <c r="P624" s="215">
        <v>125984.28</v>
      </c>
      <c r="Q624" s="215">
        <v>125984.28</v>
      </c>
    </row>
    <row r="625" spans="2:17" x14ac:dyDescent="0.3">
      <c r="B625" s="259">
        <f t="shared" si="9"/>
        <v>0</v>
      </c>
      <c r="D625" s="2" t="s">
        <v>695</v>
      </c>
      <c r="E625" s="215">
        <v>0</v>
      </c>
      <c r="F625" s="215">
        <v>0</v>
      </c>
      <c r="G625" s="215">
        <v>0</v>
      </c>
      <c r="H625" s="215">
        <v>0</v>
      </c>
      <c r="I625" s="215">
        <v>0</v>
      </c>
      <c r="J625" s="215">
        <v>0</v>
      </c>
      <c r="K625" s="215">
        <v>0</v>
      </c>
      <c r="L625" s="215">
        <v>0</v>
      </c>
      <c r="M625" s="215">
        <v>0</v>
      </c>
      <c r="N625" s="215">
        <v>0</v>
      </c>
      <c r="O625" s="215">
        <v>0</v>
      </c>
      <c r="P625" s="215">
        <v>0</v>
      </c>
      <c r="Q625" s="215">
        <v>0</v>
      </c>
    </row>
    <row r="626" spans="2:17" x14ac:dyDescent="0.3">
      <c r="B626" s="259">
        <f t="shared" si="9"/>
        <v>202053.84083333335</v>
      </c>
      <c r="D626" s="2" t="s">
        <v>697</v>
      </c>
      <c r="E626" s="215">
        <v>21466.559999999998</v>
      </c>
      <c r="F626" s="215">
        <v>21466.559999999998</v>
      </c>
      <c r="G626" s="215">
        <v>212037.13000000003</v>
      </c>
      <c r="H626" s="215">
        <v>213569.61000000004</v>
      </c>
      <c r="I626" s="215">
        <v>206025.05000000005</v>
      </c>
      <c r="J626" s="215">
        <v>218634.36000000004</v>
      </c>
      <c r="K626" s="215">
        <v>219517.53000000006</v>
      </c>
      <c r="L626" s="215">
        <v>220135.36000000004</v>
      </c>
      <c r="M626" s="215">
        <v>222077.14000000004</v>
      </c>
      <c r="N626" s="215">
        <v>224674.82000000007</v>
      </c>
      <c r="O626" s="215">
        <v>251455.24000000005</v>
      </c>
      <c r="P626" s="215">
        <v>269525.74000000011</v>
      </c>
      <c r="Q626" s="215">
        <v>269588.54000000004</v>
      </c>
    </row>
    <row r="627" spans="2:17" x14ac:dyDescent="0.3">
      <c r="B627" s="259">
        <f t="shared" si="9"/>
        <v>2682326.1504166662</v>
      </c>
      <c r="D627" s="2" t="s">
        <v>699</v>
      </c>
      <c r="E627" s="215">
        <v>431900.89999999991</v>
      </c>
      <c r="F627" s="215">
        <v>653284.91999999993</v>
      </c>
      <c r="G627" s="215">
        <v>1323335.2999999998</v>
      </c>
      <c r="H627" s="215">
        <v>1728623.27</v>
      </c>
      <c r="I627" s="215">
        <v>2191941.0300000003</v>
      </c>
      <c r="J627" s="215">
        <v>2772554.12</v>
      </c>
      <c r="K627" s="215">
        <v>3069786.99</v>
      </c>
      <c r="L627" s="215">
        <v>3144170.3899999997</v>
      </c>
      <c r="M627" s="215">
        <v>3327844.3999999994</v>
      </c>
      <c r="N627" s="215">
        <v>3682716.5599999996</v>
      </c>
      <c r="O627" s="215">
        <v>3722506.01</v>
      </c>
      <c r="P627" s="215">
        <v>4226665.05</v>
      </c>
      <c r="Q627" s="215">
        <v>4257070.63</v>
      </c>
    </row>
    <row r="628" spans="2:17" x14ac:dyDescent="0.3">
      <c r="B628" s="259">
        <f t="shared" si="9"/>
        <v>463050.55374999996</v>
      </c>
      <c r="D628" s="2" t="s">
        <v>701</v>
      </c>
      <c r="E628" s="215">
        <v>135889.44</v>
      </c>
      <c r="F628" s="215">
        <v>182147.49</v>
      </c>
      <c r="G628" s="215">
        <v>218561.57</v>
      </c>
      <c r="H628" s="215">
        <v>281035.22000000003</v>
      </c>
      <c r="I628" s="215">
        <v>403820.31000000006</v>
      </c>
      <c r="J628" s="215">
        <v>468061.93000000005</v>
      </c>
      <c r="K628" s="215">
        <v>548123.27</v>
      </c>
      <c r="L628" s="215">
        <v>556315.96</v>
      </c>
      <c r="M628" s="215">
        <v>570546.43999999994</v>
      </c>
      <c r="N628" s="215">
        <v>588821.80999999994</v>
      </c>
      <c r="O628" s="215">
        <v>604345.09</v>
      </c>
      <c r="P628" s="215">
        <v>668408.78999999992</v>
      </c>
      <c r="Q628" s="215">
        <v>796948.08999999985</v>
      </c>
    </row>
    <row r="629" spans="2:17" x14ac:dyDescent="0.3">
      <c r="B629" s="259">
        <f t="shared" si="9"/>
        <v>1985.4533333333329</v>
      </c>
      <c r="D629" s="2" t="s">
        <v>703</v>
      </c>
      <c r="E629" s="215">
        <v>773.56999999999994</v>
      </c>
      <c r="F629" s="215">
        <v>773.56999999999994</v>
      </c>
      <c r="G629" s="215">
        <v>773.56999999999994</v>
      </c>
      <c r="H629" s="215">
        <v>2304.37</v>
      </c>
      <c r="I629" s="215">
        <v>2304.37</v>
      </c>
      <c r="J629" s="215">
        <v>2304.37</v>
      </c>
      <c r="K629" s="215">
        <v>2304.37</v>
      </c>
      <c r="L629" s="215">
        <v>2304.37</v>
      </c>
      <c r="M629" s="215">
        <v>2304.37</v>
      </c>
      <c r="N629" s="215">
        <v>2304.37</v>
      </c>
      <c r="O629" s="215">
        <v>2304.37</v>
      </c>
      <c r="P629" s="215">
        <v>2304.37</v>
      </c>
      <c r="Q629" s="215">
        <v>2304.37</v>
      </c>
    </row>
    <row r="630" spans="2:17" x14ac:dyDescent="0.3">
      <c r="B630" s="259">
        <f t="shared" si="9"/>
        <v>0</v>
      </c>
      <c r="D630" s="2" t="s">
        <v>705</v>
      </c>
      <c r="E630" s="215">
        <v>0</v>
      </c>
      <c r="F630" s="215">
        <v>0</v>
      </c>
      <c r="G630" s="215">
        <v>0</v>
      </c>
      <c r="H630" s="215">
        <v>0</v>
      </c>
      <c r="I630" s="215">
        <v>0</v>
      </c>
      <c r="J630" s="215">
        <v>0</v>
      </c>
      <c r="K630" s="215">
        <v>0</v>
      </c>
      <c r="L630" s="215">
        <v>0</v>
      </c>
      <c r="M630" s="215">
        <v>0</v>
      </c>
      <c r="N630" s="215">
        <v>0</v>
      </c>
      <c r="O630" s="215">
        <v>0</v>
      </c>
      <c r="P630" s="215">
        <v>0</v>
      </c>
      <c r="Q630" s="215">
        <v>0</v>
      </c>
    </row>
    <row r="631" spans="2:17" x14ac:dyDescent="0.3">
      <c r="B631" s="259">
        <f t="shared" si="9"/>
        <v>231365.5524999999</v>
      </c>
      <c r="D631" s="2" t="s">
        <v>707</v>
      </c>
      <c r="E631" s="215">
        <v>207188.26999999996</v>
      </c>
      <c r="F631" s="215">
        <v>207525.51999999996</v>
      </c>
      <c r="G631" s="215">
        <v>207540.44999999995</v>
      </c>
      <c r="H631" s="215">
        <v>237809.04999999996</v>
      </c>
      <c r="I631" s="215">
        <v>237837.72999999995</v>
      </c>
      <c r="J631" s="215">
        <v>237826.00999999995</v>
      </c>
      <c r="K631" s="215">
        <v>237753.09999999995</v>
      </c>
      <c r="L631" s="215">
        <v>237545.56999999995</v>
      </c>
      <c r="M631" s="215">
        <v>237545.56999999995</v>
      </c>
      <c r="N631" s="215">
        <v>237545.56999999995</v>
      </c>
      <c r="O631" s="215">
        <v>237545.56999999995</v>
      </c>
      <c r="P631" s="215">
        <v>237545.56999999995</v>
      </c>
      <c r="Q631" s="215">
        <v>237545.56999999995</v>
      </c>
    </row>
    <row r="632" spans="2:17" x14ac:dyDescent="0.3">
      <c r="B632" s="259">
        <f t="shared" si="9"/>
        <v>929981.0045833335</v>
      </c>
      <c r="D632" s="2" t="s">
        <v>709</v>
      </c>
      <c r="E632" s="215">
        <v>286260.26000000007</v>
      </c>
      <c r="F632" s="215">
        <v>292676.19000000006</v>
      </c>
      <c r="G632" s="215">
        <v>296315.87000000011</v>
      </c>
      <c r="H632" s="215">
        <v>296315.87000000011</v>
      </c>
      <c r="I632" s="215">
        <v>296439.2300000001</v>
      </c>
      <c r="J632" s="215">
        <v>296592.58000000007</v>
      </c>
      <c r="K632" s="215">
        <v>1069394.56</v>
      </c>
      <c r="L632" s="215">
        <v>1069394.56</v>
      </c>
      <c r="M632" s="215">
        <v>1069394.56</v>
      </c>
      <c r="N632" s="215">
        <v>1069394.56</v>
      </c>
      <c r="O632" s="215">
        <v>1069394.56</v>
      </c>
      <c r="P632" s="215">
        <v>2758538.89</v>
      </c>
      <c r="Q632" s="215">
        <v>2865580.99</v>
      </c>
    </row>
    <row r="633" spans="2:17" x14ac:dyDescent="0.3">
      <c r="B633" s="259">
        <f t="shared" si="9"/>
        <v>4806276.5862500006</v>
      </c>
      <c r="D633" s="2" t="s">
        <v>711</v>
      </c>
      <c r="E633" s="215">
        <v>3562079.61</v>
      </c>
      <c r="F633" s="215">
        <v>3590782.77</v>
      </c>
      <c r="G633" s="215">
        <v>3614721.55</v>
      </c>
      <c r="H633" s="215">
        <v>3660152.4000000004</v>
      </c>
      <c r="I633" s="215">
        <v>3705202.5700000003</v>
      </c>
      <c r="J633" s="215">
        <v>3707263.58</v>
      </c>
      <c r="K633" s="215">
        <v>5463899.6399999997</v>
      </c>
      <c r="L633" s="215">
        <v>5507844.4699999997</v>
      </c>
      <c r="M633" s="215">
        <v>5514303.5099999998</v>
      </c>
      <c r="N633" s="215">
        <v>5515238.7700000005</v>
      </c>
      <c r="O633" s="215">
        <v>5515836.6800000006</v>
      </c>
      <c r="P633" s="215">
        <v>6698028.6399999997</v>
      </c>
      <c r="Q633" s="215">
        <v>6802009.3000000007</v>
      </c>
    </row>
    <row r="634" spans="2:17" x14ac:dyDescent="0.3">
      <c r="B634" s="259">
        <f t="shared" si="9"/>
        <v>-3.0000000000000009E-2</v>
      </c>
      <c r="D634" s="2" t="s">
        <v>713</v>
      </c>
      <c r="E634" s="215">
        <v>-0.03</v>
      </c>
      <c r="F634" s="215">
        <v>-0.03</v>
      </c>
      <c r="G634" s="215">
        <v>-0.03</v>
      </c>
      <c r="H634" s="215">
        <v>-0.03</v>
      </c>
      <c r="I634" s="215">
        <v>-0.03</v>
      </c>
      <c r="J634" s="215">
        <v>-0.03</v>
      </c>
      <c r="K634" s="215">
        <v>-0.03</v>
      </c>
      <c r="L634" s="215">
        <v>-0.03</v>
      </c>
      <c r="M634" s="215">
        <v>-0.03</v>
      </c>
      <c r="N634" s="215">
        <v>-0.03</v>
      </c>
      <c r="O634" s="215">
        <v>-0.03</v>
      </c>
      <c r="P634" s="215">
        <v>-0.03</v>
      </c>
      <c r="Q634" s="215">
        <v>-0.03</v>
      </c>
    </row>
    <row r="635" spans="2:17" x14ac:dyDescent="0.3">
      <c r="B635" s="259">
        <f t="shared" si="9"/>
        <v>162105.21875</v>
      </c>
      <c r="D635" s="2" t="s">
        <v>1060</v>
      </c>
      <c r="E635" s="215">
        <v>0</v>
      </c>
      <c r="F635" s="215">
        <v>0</v>
      </c>
      <c r="G635" s="215">
        <v>0</v>
      </c>
      <c r="H635" s="215">
        <v>0</v>
      </c>
      <c r="I635" s="215">
        <v>0</v>
      </c>
      <c r="J635" s="215">
        <v>0</v>
      </c>
      <c r="K635" s="215">
        <v>0</v>
      </c>
      <c r="L635" s="215">
        <v>0</v>
      </c>
      <c r="M635" s="215">
        <v>0</v>
      </c>
      <c r="N635" s="215">
        <v>0</v>
      </c>
      <c r="O635" s="215">
        <v>0</v>
      </c>
      <c r="P635" s="215">
        <v>0</v>
      </c>
      <c r="Q635" s="215">
        <v>3890525.25</v>
      </c>
    </row>
    <row r="636" spans="2:17" x14ac:dyDescent="0.3">
      <c r="B636" s="259">
        <f t="shared" si="9"/>
        <v>0</v>
      </c>
      <c r="D636" s="2" t="s">
        <v>1501</v>
      </c>
      <c r="E636" s="215">
        <v>0</v>
      </c>
      <c r="F636" s="215">
        <v>0</v>
      </c>
      <c r="G636" s="215">
        <v>0</v>
      </c>
      <c r="H636" s="215">
        <v>0</v>
      </c>
      <c r="I636" s="215">
        <v>0</v>
      </c>
      <c r="J636" s="215">
        <v>0</v>
      </c>
      <c r="K636" s="215">
        <v>0</v>
      </c>
      <c r="L636" s="215">
        <v>0</v>
      </c>
      <c r="M636" s="215">
        <v>0</v>
      </c>
      <c r="N636" s="215">
        <v>0</v>
      </c>
      <c r="O636" s="215">
        <v>0</v>
      </c>
      <c r="P636" s="215">
        <v>0</v>
      </c>
      <c r="Q636" s="215">
        <v>0</v>
      </c>
    </row>
    <row r="637" spans="2:17" x14ac:dyDescent="0.3">
      <c r="B637" s="259">
        <f t="shared" si="9"/>
        <v>6731.7183333333332</v>
      </c>
      <c r="D637" s="2" t="s">
        <v>953</v>
      </c>
      <c r="E637" s="215">
        <v>0</v>
      </c>
      <c r="F637" s="215">
        <v>0</v>
      </c>
      <c r="G637" s="215">
        <v>0</v>
      </c>
      <c r="H637" s="215">
        <v>0</v>
      </c>
      <c r="I637" s="215">
        <v>0</v>
      </c>
      <c r="J637" s="215">
        <v>0</v>
      </c>
      <c r="K637" s="215">
        <v>0</v>
      </c>
      <c r="L637" s="215">
        <v>0</v>
      </c>
      <c r="M637" s="215">
        <v>0</v>
      </c>
      <c r="N637" s="215">
        <v>0</v>
      </c>
      <c r="O637" s="215">
        <v>0</v>
      </c>
      <c r="P637" s="215">
        <v>0</v>
      </c>
      <c r="Q637" s="215">
        <v>161561.24</v>
      </c>
    </row>
    <row r="638" spans="2:17" x14ac:dyDescent="0.3">
      <c r="B638" s="259">
        <f t="shared" si="9"/>
        <v>0</v>
      </c>
      <c r="D638" s="2" t="s">
        <v>1502</v>
      </c>
      <c r="E638" s="215">
        <v>0</v>
      </c>
      <c r="F638" s="215">
        <v>0</v>
      </c>
      <c r="G638" s="215">
        <v>0</v>
      </c>
      <c r="H638" s="215">
        <v>0</v>
      </c>
      <c r="I638" s="215">
        <v>0</v>
      </c>
      <c r="J638" s="215">
        <v>0</v>
      </c>
      <c r="K638" s="215">
        <v>0</v>
      </c>
      <c r="L638" s="215">
        <v>0</v>
      </c>
      <c r="M638" s="215">
        <v>0</v>
      </c>
      <c r="N638" s="215">
        <v>0</v>
      </c>
      <c r="O638" s="215">
        <v>0</v>
      </c>
      <c r="P638" s="215">
        <v>0</v>
      </c>
      <c r="Q638" s="215">
        <v>0</v>
      </c>
    </row>
    <row r="639" spans="2:17" x14ac:dyDescent="0.3">
      <c r="B639" s="259">
        <f t="shared" si="9"/>
        <v>0</v>
      </c>
      <c r="D639" s="2" t="s">
        <v>1503</v>
      </c>
      <c r="E639" s="215">
        <v>0</v>
      </c>
      <c r="F639" s="215">
        <v>0</v>
      </c>
      <c r="G639" s="215">
        <v>0</v>
      </c>
      <c r="H639" s="215">
        <v>0</v>
      </c>
      <c r="I639" s="215">
        <v>0</v>
      </c>
      <c r="J639" s="215">
        <v>0</v>
      </c>
      <c r="K639" s="215">
        <v>0</v>
      </c>
      <c r="L639" s="215">
        <v>0</v>
      </c>
      <c r="M639" s="215">
        <v>0</v>
      </c>
      <c r="N639" s="215">
        <v>0</v>
      </c>
      <c r="O639" s="215">
        <v>0</v>
      </c>
      <c r="P639" s="215">
        <v>0</v>
      </c>
      <c r="Q639" s="215">
        <v>0</v>
      </c>
    </row>
    <row r="640" spans="2:17" x14ac:dyDescent="0.3">
      <c r="B640" s="259">
        <f t="shared" si="9"/>
        <v>0</v>
      </c>
      <c r="D640" s="2" t="s">
        <v>1110</v>
      </c>
      <c r="E640" s="215">
        <v>0</v>
      </c>
      <c r="F640" s="215">
        <v>0</v>
      </c>
      <c r="G640" s="215">
        <v>0</v>
      </c>
      <c r="H640" s="215">
        <v>0</v>
      </c>
      <c r="I640" s="215">
        <v>0</v>
      </c>
      <c r="J640" s="215">
        <v>0</v>
      </c>
      <c r="K640" s="215">
        <v>0</v>
      </c>
      <c r="L640" s="215">
        <v>0</v>
      </c>
      <c r="M640" s="215">
        <v>0</v>
      </c>
      <c r="N640" s="215">
        <v>0</v>
      </c>
      <c r="O640" s="215">
        <v>0</v>
      </c>
      <c r="P640" s="215">
        <v>0</v>
      </c>
      <c r="Q640" s="215">
        <v>0</v>
      </c>
    </row>
    <row r="641" spans="2:17" x14ac:dyDescent="0.3">
      <c r="B641" s="259">
        <f t="shared" si="9"/>
        <v>111742.94208333334</v>
      </c>
      <c r="D641" s="2" t="s">
        <v>955</v>
      </c>
      <c r="E641" s="215">
        <v>0</v>
      </c>
      <c r="F641" s="215">
        <v>0</v>
      </c>
      <c r="G641" s="215">
        <v>0</v>
      </c>
      <c r="H641" s="215">
        <v>0</v>
      </c>
      <c r="I641" s="215">
        <v>0</v>
      </c>
      <c r="J641" s="215">
        <v>0</v>
      </c>
      <c r="K641" s="215">
        <v>0</v>
      </c>
      <c r="L641" s="215">
        <v>111812.48</v>
      </c>
      <c r="M641" s="215">
        <v>113177.8</v>
      </c>
      <c r="N641" s="215">
        <v>322841.75</v>
      </c>
      <c r="O641" s="215">
        <v>317975.01</v>
      </c>
      <c r="P641" s="215">
        <v>316714.06000000006</v>
      </c>
      <c r="Q641" s="215">
        <v>316788.41000000003</v>
      </c>
    </row>
    <row r="642" spans="2:17" x14ac:dyDescent="0.3">
      <c r="B642" s="259">
        <f t="shared" si="9"/>
        <v>163258.24333333332</v>
      </c>
      <c r="D642" s="2" t="s">
        <v>715</v>
      </c>
      <c r="E642" s="215">
        <v>0</v>
      </c>
      <c r="F642" s="215">
        <v>0</v>
      </c>
      <c r="G642" s="215">
        <v>0</v>
      </c>
      <c r="H642" s="215">
        <v>0</v>
      </c>
      <c r="I642" s="215">
        <v>0</v>
      </c>
      <c r="J642" s="215">
        <v>0</v>
      </c>
      <c r="K642" s="215">
        <v>0</v>
      </c>
      <c r="L642" s="215">
        <v>78328.87</v>
      </c>
      <c r="M642" s="215">
        <v>78328.149999999994</v>
      </c>
      <c r="N642" s="215">
        <v>304795.95999999996</v>
      </c>
      <c r="O642" s="215">
        <v>570477.81000000006</v>
      </c>
      <c r="P642" s="215">
        <v>618205.76</v>
      </c>
      <c r="Q642" s="215">
        <v>617924.74</v>
      </c>
    </row>
    <row r="643" spans="2:17" x14ac:dyDescent="0.3">
      <c r="B643" s="259">
        <f t="shared" si="9"/>
        <v>0</v>
      </c>
      <c r="D643" s="2" t="s">
        <v>1112</v>
      </c>
      <c r="E643" s="215">
        <v>0</v>
      </c>
      <c r="F643" s="215">
        <v>0</v>
      </c>
      <c r="G643" s="215">
        <v>0</v>
      </c>
      <c r="H643" s="215">
        <v>0</v>
      </c>
      <c r="I643" s="215">
        <v>0</v>
      </c>
      <c r="J643" s="215">
        <v>0</v>
      </c>
      <c r="K643" s="215">
        <v>0</v>
      </c>
      <c r="L643" s="215">
        <v>0</v>
      </c>
      <c r="M643" s="215">
        <v>0</v>
      </c>
      <c r="N643" s="215">
        <v>0</v>
      </c>
      <c r="O643" s="215">
        <v>0</v>
      </c>
      <c r="P643" s="215">
        <v>0</v>
      </c>
      <c r="Q643" s="215">
        <v>0</v>
      </c>
    </row>
    <row r="644" spans="2:17" x14ac:dyDescent="0.3">
      <c r="B644" s="259">
        <f t="shared" si="9"/>
        <v>0</v>
      </c>
      <c r="D644" s="2" t="s">
        <v>1114</v>
      </c>
      <c r="E644" s="215">
        <v>0</v>
      </c>
      <c r="F644" s="215">
        <v>0</v>
      </c>
      <c r="G644" s="215">
        <v>0</v>
      </c>
      <c r="H644" s="215">
        <v>0</v>
      </c>
      <c r="I644" s="215">
        <v>0</v>
      </c>
      <c r="J644" s="215">
        <v>0</v>
      </c>
      <c r="K644" s="215">
        <v>0</v>
      </c>
      <c r="L644" s="215">
        <v>0</v>
      </c>
      <c r="M644" s="215">
        <v>0</v>
      </c>
      <c r="N644" s="215">
        <v>0</v>
      </c>
      <c r="O644" s="215">
        <v>0</v>
      </c>
      <c r="P644" s="215">
        <v>0</v>
      </c>
      <c r="Q644" s="215">
        <v>0</v>
      </c>
    </row>
    <row r="645" spans="2:17" x14ac:dyDescent="0.3">
      <c r="B645" s="259">
        <f t="shared" si="9"/>
        <v>0</v>
      </c>
      <c r="D645" s="2" t="s">
        <v>1116</v>
      </c>
      <c r="E645" s="215">
        <v>0</v>
      </c>
      <c r="F645" s="215">
        <v>0</v>
      </c>
      <c r="G645" s="215">
        <v>0</v>
      </c>
      <c r="H645" s="215">
        <v>0</v>
      </c>
      <c r="I645" s="215">
        <v>0</v>
      </c>
      <c r="J645" s="215">
        <v>0</v>
      </c>
      <c r="K645" s="215">
        <v>0</v>
      </c>
      <c r="L645" s="215">
        <v>0</v>
      </c>
      <c r="M645" s="215">
        <v>0</v>
      </c>
      <c r="N645" s="215">
        <v>0</v>
      </c>
      <c r="O645" s="215">
        <v>0</v>
      </c>
      <c r="P645" s="215">
        <v>0</v>
      </c>
      <c r="Q645" s="215">
        <v>0</v>
      </c>
    </row>
    <row r="646" spans="2:17" x14ac:dyDescent="0.3">
      <c r="B646" s="259">
        <f t="shared" si="9"/>
        <v>0</v>
      </c>
      <c r="D646" s="2" t="s">
        <v>1504</v>
      </c>
      <c r="E646" s="215">
        <v>0</v>
      </c>
      <c r="F646" s="215">
        <v>0</v>
      </c>
      <c r="G646" s="215">
        <v>0</v>
      </c>
      <c r="H646" s="215">
        <v>0</v>
      </c>
      <c r="I646" s="215">
        <v>0</v>
      </c>
      <c r="J646" s="215">
        <v>0</v>
      </c>
      <c r="K646" s="215">
        <v>0</v>
      </c>
      <c r="L646" s="215">
        <v>0</v>
      </c>
      <c r="M646" s="215">
        <v>0</v>
      </c>
      <c r="N646" s="215">
        <v>0</v>
      </c>
      <c r="O646" s="215">
        <v>0</v>
      </c>
      <c r="P646" s="215">
        <v>0</v>
      </c>
      <c r="Q646" s="215">
        <v>0</v>
      </c>
    </row>
    <row r="647" spans="2:17" x14ac:dyDescent="0.3">
      <c r="B647" s="259">
        <f t="shared" ref="B647:B710" si="10">(E647+Q647+SUM(F647:P647)*2)/24</f>
        <v>0</v>
      </c>
      <c r="D647" s="2" t="s">
        <v>1505</v>
      </c>
      <c r="E647" s="215">
        <v>0</v>
      </c>
      <c r="F647" s="215">
        <v>0</v>
      </c>
      <c r="G647" s="215">
        <v>0</v>
      </c>
      <c r="H647" s="215">
        <v>0</v>
      </c>
      <c r="I647" s="215">
        <v>0</v>
      </c>
      <c r="J647" s="215">
        <v>0</v>
      </c>
      <c r="K647" s="215">
        <v>0</v>
      </c>
      <c r="L647" s="215">
        <v>0</v>
      </c>
      <c r="M647" s="215">
        <v>0</v>
      </c>
      <c r="N647" s="215">
        <v>0</v>
      </c>
      <c r="O647" s="215">
        <v>0</v>
      </c>
      <c r="P647" s="215">
        <v>0</v>
      </c>
      <c r="Q647" s="215">
        <v>0</v>
      </c>
    </row>
    <row r="648" spans="2:17" x14ac:dyDescent="0.3">
      <c r="B648" s="259">
        <f t="shared" si="10"/>
        <v>0</v>
      </c>
      <c r="D648" s="2" t="s">
        <v>1118</v>
      </c>
      <c r="E648" s="215">
        <v>0</v>
      </c>
      <c r="F648" s="215">
        <v>0</v>
      </c>
      <c r="G648" s="215">
        <v>0</v>
      </c>
      <c r="H648" s="215">
        <v>0</v>
      </c>
      <c r="I648" s="215">
        <v>0</v>
      </c>
      <c r="J648" s="215">
        <v>0</v>
      </c>
      <c r="K648" s="215">
        <v>0</v>
      </c>
      <c r="L648" s="215">
        <v>0</v>
      </c>
      <c r="M648" s="215">
        <v>0</v>
      </c>
      <c r="N648" s="215">
        <v>0</v>
      </c>
      <c r="O648" s="215">
        <v>0</v>
      </c>
      <c r="P648" s="215">
        <v>0</v>
      </c>
      <c r="Q648" s="215">
        <v>0</v>
      </c>
    </row>
    <row r="649" spans="2:17" x14ac:dyDescent="0.3">
      <c r="B649" s="259">
        <f t="shared" si="10"/>
        <v>0</v>
      </c>
      <c r="D649" s="2" t="s">
        <v>1506</v>
      </c>
      <c r="E649" s="215">
        <v>0</v>
      </c>
      <c r="F649" s="215">
        <v>0</v>
      </c>
      <c r="G649" s="215">
        <v>0</v>
      </c>
      <c r="H649" s="215">
        <v>0</v>
      </c>
      <c r="I649" s="215">
        <v>0</v>
      </c>
      <c r="J649" s="215">
        <v>0</v>
      </c>
      <c r="K649" s="215">
        <v>0</v>
      </c>
      <c r="L649" s="215">
        <v>0</v>
      </c>
      <c r="M649" s="215">
        <v>0</v>
      </c>
      <c r="N649" s="215">
        <v>0</v>
      </c>
      <c r="O649" s="215">
        <v>0</v>
      </c>
      <c r="P649" s="215">
        <v>0</v>
      </c>
      <c r="Q649" s="215">
        <v>0</v>
      </c>
    </row>
    <row r="650" spans="2:17" x14ac:dyDescent="0.3">
      <c r="B650" s="259">
        <f t="shared" si="10"/>
        <v>0</v>
      </c>
      <c r="D650" s="2" t="s">
        <v>1507</v>
      </c>
      <c r="E650" s="215">
        <v>0</v>
      </c>
      <c r="F650" s="215">
        <v>0</v>
      </c>
      <c r="G650" s="215">
        <v>0</v>
      </c>
      <c r="H650" s="215">
        <v>0</v>
      </c>
      <c r="I650" s="215">
        <v>0</v>
      </c>
      <c r="J650" s="215">
        <v>0</v>
      </c>
      <c r="K650" s="215">
        <v>0</v>
      </c>
      <c r="L650" s="215">
        <v>0</v>
      </c>
      <c r="M650" s="215">
        <v>0</v>
      </c>
      <c r="N650" s="215">
        <v>0</v>
      </c>
      <c r="O650" s="215">
        <v>0</v>
      </c>
      <c r="P650" s="215">
        <v>0</v>
      </c>
      <c r="Q650" s="215">
        <v>0</v>
      </c>
    </row>
    <row r="651" spans="2:17" x14ac:dyDescent="0.3">
      <c r="B651" s="259">
        <f t="shared" si="10"/>
        <v>0</v>
      </c>
      <c r="D651" s="2" t="s">
        <v>1508</v>
      </c>
      <c r="E651" s="215">
        <v>0</v>
      </c>
      <c r="F651" s="215">
        <v>0</v>
      </c>
      <c r="G651" s="215">
        <v>0</v>
      </c>
      <c r="H651" s="215">
        <v>0</v>
      </c>
      <c r="I651" s="215">
        <v>0</v>
      </c>
      <c r="J651" s="215">
        <v>0</v>
      </c>
      <c r="K651" s="215">
        <v>0</v>
      </c>
      <c r="L651" s="215">
        <v>0</v>
      </c>
      <c r="M651" s="215">
        <v>0</v>
      </c>
      <c r="N651" s="215">
        <v>0</v>
      </c>
      <c r="O651" s="215">
        <v>0</v>
      </c>
      <c r="P651" s="215">
        <v>0</v>
      </c>
      <c r="Q651" s="215">
        <v>0</v>
      </c>
    </row>
    <row r="652" spans="2:17" x14ac:dyDescent="0.3">
      <c r="B652" s="259">
        <f t="shared" si="10"/>
        <v>0</v>
      </c>
      <c r="D652" s="2" t="s">
        <v>1509</v>
      </c>
      <c r="E652" s="215">
        <v>0</v>
      </c>
      <c r="F652" s="215">
        <v>0</v>
      </c>
      <c r="G652" s="215">
        <v>0</v>
      </c>
      <c r="H652" s="215">
        <v>0</v>
      </c>
      <c r="I652" s="215">
        <v>0</v>
      </c>
      <c r="J652" s="215">
        <v>0</v>
      </c>
      <c r="K652" s="215">
        <v>0</v>
      </c>
      <c r="L652" s="215">
        <v>0</v>
      </c>
      <c r="M652" s="215">
        <v>0</v>
      </c>
      <c r="N652" s="215">
        <v>0</v>
      </c>
      <c r="O652" s="215">
        <v>0</v>
      </c>
      <c r="P652" s="215">
        <v>0</v>
      </c>
      <c r="Q652" s="215">
        <v>0</v>
      </c>
    </row>
    <row r="653" spans="2:17" x14ac:dyDescent="0.3">
      <c r="B653" s="259">
        <f t="shared" si="10"/>
        <v>0</v>
      </c>
      <c r="D653" s="2" t="s">
        <v>1510</v>
      </c>
      <c r="E653" s="215">
        <v>0</v>
      </c>
      <c r="F653" s="215">
        <v>0</v>
      </c>
      <c r="G653" s="215">
        <v>0</v>
      </c>
      <c r="H653" s="215">
        <v>0</v>
      </c>
      <c r="I653" s="215">
        <v>0</v>
      </c>
      <c r="J653" s="215">
        <v>0</v>
      </c>
      <c r="K653" s="215">
        <v>0</v>
      </c>
      <c r="L653" s="215">
        <v>0</v>
      </c>
      <c r="M653" s="215">
        <v>0</v>
      </c>
      <c r="N653" s="215">
        <v>0</v>
      </c>
      <c r="O653" s="215">
        <v>0</v>
      </c>
      <c r="P653" s="215">
        <v>0</v>
      </c>
      <c r="Q653" s="215">
        <v>0</v>
      </c>
    </row>
    <row r="654" spans="2:17" x14ac:dyDescent="0.3">
      <c r="B654" s="259">
        <f t="shared" si="10"/>
        <v>238237.655</v>
      </c>
      <c r="D654" s="2" t="s">
        <v>717</v>
      </c>
      <c r="E654" s="215">
        <v>229410.95</v>
      </c>
      <c r="F654" s="215">
        <v>238034.17</v>
      </c>
      <c r="G654" s="215">
        <v>238065.32</v>
      </c>
      <c r="H654" s="215">
        <v>238118.07</v>
      </c>
      <c r="I654" s="215">
        <v>238118.07</v>
      </c>
      <c r="J654" s="215">
        <v>238398.91</v>
      </c>
      <c r="K654" s="215">
        <v>238398.91</v>
      </c>
      <c r="L654" s="215">
        <v>238543.72</v>
      </c>
      <c r="M654" s="215">
        <v>238869.23</v>
      </c>
      <c r="N654" s="215">
        <v>239200.09</v>
      </c>
      <c r="O654" s="215">
        <v>239226.15000000002</v>
      </c>
      <c r="P654" s="215">
        <v>239449.16000000003</v>
      </c>
      <c r="Q654" s="215">
        <v>239449.17</v>
      </c>
    </row>
    <row r="655" spans="2:17" x14ac:dyDescent="0.3">
      <c r="B655" s="259">
        <f t="shared" si="10"/>
        <v>95415.195833333346</v>
      </c>
      <c r="D655" s="2" t="s">
        <v>719</v>
      </c>
      <c r="E655" s="215">
        <v>67031.710000000006</v>
      </c>
      <c r="F655" s="215">
        <v>73458.430000000008</v>
      </c>
      <c r="G655" s="215">
        <v>79251.87000000001</v>
      </c>
      <c r="H655" s="215">
        <v>85921.290000000008</v>
      </c>
      <c r="I655" s="215">
        <v>90390.63</v>
      </c>
      <c r="J655" s="215">
        <v>93496.5</v>
      </c>
      <c r="K655" s="215">
        <v>94937.61</v>
      </c>
      <c r="L655" s="215">
        <v>96612.86</v>
      </c>
      <c r="M655" s="215">
        <v>101907.25</v>
      </c>
      <c r="N655" s="215">
        <v>106580.3</v>
      </c>
      <c r="O655" s="215">
        <v>110924.12</v>
      </c>
      <c r="P655" s="215">
        <v>116520.84</v>
      </c>
      <c r="Q655" s="215">
        <v>122929.59</v>
      </c>
    </row>
    <row r="656" spans="2:17" x14ac:dyDescent="0.3">
      <c r="B656" s="259">
        <f t="shared" si="10"/>
        <v>132343.64333333331</v>
      </c>
      <c r="D656" s="2" t="s">
        <v>721</v>
      </c>
      <c r="E656" s="215">
        <v>7192.55</v>
      </c>
      <c r="F656" s="215">
        <v>7192.55</v>
      </c>
      <c r="G656" s="215">
        <v>7192.55</v>
      </c>
      <c r="H656" s="215">
        <v>7391.9400000000005</v>
      </c>
      <c r="I656" s="215">
        <v>156627.69</v>
      </c>
      <c r="J656" s="215">
        <v>156627.69</v>
      </c>
      <c r="K656" s="215">
        <v>157258.81999999998</v>
      </c>
      <c r="L656" s="215">
        <v>157258.81999999998</v>
      </c>
      <c r="M656" s="215">
        <v>157258.81999999998</v>
      </c>
      <c r="N656" s="215">
        <v>157258.81999999998</v>
      </c>
      <c r="O656" s="215">
        <v>157258.81999999998</v>
      </c>
      <c r="P656" s="215">
        <v>308703.13999999996</v>
      </c>
      <c r="Q656" s="215">
        <v>308995.56999999995</v>
      </c>
    </row>
    <row r="657" spans="2:17" x14ac:dyDescent="0.3">
      <c r="B657" s="259">
        <f t="shared" si="10"/>
        <v>540058.39375000016</v>
      </c>
      <c r="D657" s="2" t="s">
        <v>723</v>
      </c>
      <c r="E657" s="215">
        <v>399838.62000000011</v>
      </c>
      <c r="F657" s="215">
        <v>514175.74000000011</v>
      </c>
      <c r="G657" s="215">
        <v>533249.70000000007</v>
      </c>
      <c r="H657" s="215">
        <v>537287.63000000012</v>
      </c>
      <c r="I657" s="215">
        <v>542320.25000000012</v>
      </c>
      <c r="J657" s="215">
        <v>547367.16000000015</v>
      </c>
      <c r="K657" s="215">
        <v>548451.77000000014</v>
      </c>
      <c r="L657" s="215">
        <v>554701.09000000008</v>
      </c>
      <c r="M657" s="215">
        <v>555046.2300000001</v>
      </c>
      <c r="N657" s="215">
        <v>555561.20000000007</v>
      </c>
      <c r="O657" s="215">
        <v>555566.02</v>
      </c>
      <c r="P657" s="215">
        <v>556723.9</v>
      </c>
      <c r="Q657" s="215">
        <v>560661.45000000007</v>
      </c>
    </row>
    <row r="658" spans="2:17" x14ac:dyDescent="0.3">
      <c r="B658" s="259">
        <f t="shared" si="10"/>
        <v>264592.0254166667</v>
      </c>
      <c r="D658" s="2" t="s">
        <v>725</v>
      </c>
      <c r="E658" s="215">
        <v>68792.42</v>
      </c>
      <c r="F658" s="215">
        <v>78560.69</v>
      </c>
      <c r="G658" s="215">
        <v>87045.049999999988</v>
      </c>
      <c r="H658" s="215">
        <v>98513.699999999983</v>
      </c>
      <c r="I658" s="215">
        <v>188672.55</v>
      </c>
      <c r="J658" s="215">
        <v>236648.51</v>
      </c>
      <c r="K658" s="215">
        <v>276782.62</v>
      </c>
      <c r="L658" s="215">
        <v>318512.96000000002</v>
      </c>
      <c r="M658" s="215">
        <v>355114.57</v>
      </c>
      <c r="N658" s="215">
        <v>382516.42999999993</v>
      </c>
      <c r="O658" s="215">
        <v>413101.75999999995</v>
      </c>
      <c r="P658" s="215">
        <v>453087.69999999995</v>
      </c>
      <c r="Q658" s="215">
        <v>504303.10999999987</v>
      </c>
    </row>
    <row r="659" spans="2:17" x14ac:dyDescent="0.3">
      <c r="B659" s="259">
        <f t="shared" si="10"/>
        <v>673650.91041666665</v>
      </c>
      <c r="D659" s="2" t="s">
        <v>727</v>
      </c>
      <c r="E659" s="215">
        <v>282695.96000000002</v>
      </c>
      <c r="F659" s="215">
        <v>294443.59000000008</v>
      </c>
      <c r="G659" s="215">
        <v>301604.42</v>
      </c>
      <c r="H659" s="215">
        <v>308925.27</v>
      </c>
      <c r="I659" s="215">
        <v>335640.31000000006</v>
      </c>
      <c r="J659" s="215">
        <v>358151.96000000008</v>
      </c>
      <c r="K659" s="215">
        <v>921001.87</v>
      </c>
      <c r="L659" s="215">
        <v>943897.92</v>
      </c>
      <c r="M659" s="215">
        <v>959998.33000000007</v>
      </c>
      <c r="N659" s="215">
        <v>971495.2300000001</v>
      </c>
      <c r="O659" s="215">
        <v>999410.45000000007</v>
      </c>
      <c r="P659" s="215">
        <v>1016844.73</v>
      </c>
      <c r="Q659" s="215">
        <v>1062097.73</v>
      </c>
    </row>
    <row r="660" spans="2:17" x14ac:dyDescent="0.3">
      <c r="B660" s="259">
        <f t="shared" si="10"/>
        <v>0</v>
      </c>
      <c r="D660" s="2" t="s">
        <v>1511</v>
      </c>
      <c r="E660" s="215">
        <v>0</v>
      </c>
      <c r="F660" s="215">
        <v>0</v>
      </c>
      <c r="G660" s="215">
        <v>0</v>
      </c>
      <c r="H660" s="215">
        <v>0</v>
      </c>
      <c r="I660" s="215">
        <v>0</v>
      </c>
      <c r="J660" s="215">
        <v>0</v>
      </c>
      <c r="K660" s="215">
        <v>0</v>
      </c>
      <c r="L660" s="215">
        <v>0</v>
      </c>
      <c r="M660" s="215">
        <v>0</v>
      </c>
      <c r="N660" s="215">
        <v>0</v>
      </c>
      <c r="O660" s="215">
        <v>0</v>
      </c>
      <c r="P660" s="215">
        <v>0</v>
      </c>
      <c r="Q660" s="215">
        <v>0</v>
      </c>
    </row>
    <row r="661" spans="2:17" x14ac:dyDescent="0.3">
      <c r="B661" s="259">
        <f t="shared" si="10"/>
        <v>100516.67999999998</v>
      </c>
      <c r="D661" s="2" t="s">
        <v>1512</v>
      </c>
      <c r="E661" s="215">
        <v>100516.68</v>
      </c>
      <c r="F661" s="215">
        <v>100516.68</v>
      </c>
      <c r="G661" s="215">
        <v>100516.68</v>
      </c>
      <c r="H661" s="215">
        <v>100516.68</v>
      </c>
      <c r="I661" s="215">
        <v>100516.68</v>
      </c>
      <c r="J661" s="215">
        <v>100516.68</v>
      </c>
      <c r="K661" s="215">
        <v>100516.68</v>
      </c>
      <c r="L661" s="215">
        <v>100516.68</v>
      </c>
      <c r="M661" s="215">
        <v>100516.68</v>
      </c>
      <c r="N661" s="215">
        <v>100516.68</v>
      </c>
      <c r="O661" s="215">
        <v>100516.68</v>
      </c>
      <c r="P661" s="215">
        <v>100516.68</v>
      </c>
      <c r="Q661" s="215">
        <v>100516.68</v>
      </c>
    </row>
    <row r="662" spans="2:17" x14ac:dyDescent="0.3">
      <c r="B662" s="259">
        <f t="shared" si="10"/>
        <v>660.5200000000001</v>
      </c>
      <c r="D662" s="2" t="s">
        <v>1513</v>
      </c>
      <c r="E662" s="215">
        <v>660.52</v>
      </c>
      <c r="F662" s="215">
        <v>660.52</v>
      </c>
      <c r="G662" s="215">
        <v>660.52</v>
      </c>
      <c r="H662" s="215">
        <v>660.52</v>
      </c>
      <c r="I662" s="215">
        <v>660.52</v>
      </c>
      <c r="J662" s="215">
        <v>660.52</v>
      </c>
      <c r="K662" s="215">
        <v>660.52</v>
      </c>
      <c r="L662" s="215">
        <v>660.52</v>
      </c>
      <c r="M662" s="215">
        <v>660.52</v>
      </c>
      <c r="N662" s="215">
        <v>660.52</v>
      </c>
      <c r="O662" s="215">
        <v>660.52</v>
      </c>
      <c r="P662" s="215">
        <v>660.52</v>
      </c>
      <c r="Q662" s="215">
        <v>660.52</v>
      </c>
    </row>
    <row r="663" spans="2:17" x14ac:dyDescent="0.3">
      <c r="B663" s="259">
        <f t="shared" si="10"/>
        <v>38883.85</v>
      </c>
      <c r="D663" s="2" t="s">
        <v>1514</v>
      </c>
      <c r="E663" s="215">
        <v>38883.850000000006</v>
      </c>
      <c r="F663" s="215">
        <v>38883.850000000006</v>
      </c>
      <c r="G663" s="215">
        <v>38883.850000000006</v>
      </c>
      <c r="H663" s="215">
        <v>38883.850000000006</v>
      </c>
      <c r="I663" s="215">
        <v>38883.850000000006</v>
      </c>
      <c r="J663" s="215">
        <v>38883.850000000006</v>
      </c>
      <c r="K663" s="215">
        <v>38883.850000000006</v>
      </c>
      <c r="L663" s="215">
        <v>38883.850000000006</v>
      </c>
      <c r="M663" s="215">
        <v>38883.850000000006</v>
      </c>
      <c r="N663" s="215">
        <v>38883.850000000006</v>
      </c>
      <c r="O663" s="215">
        <v>38883.850000000006</v>
      </c>
      <c r="P663" s="215">
        <v>38883.850000000006</v>
      </c>
      <c r="Q663" s="215">
        <v>38883.850000000006</v>
      </c>
    </row>
    <row r="664" spans="2:17" x14ac:dyDescent="0.3">
      <c r="B664" s="259">
        <f t="shared" si="10"/>
        <v>0</v>
      </c>
      <c r="D664" s="2" t="s">
        <v>1515</v>
      </c>
      <c r="E664" s="215">
        <v>0</v>
      </c>
      <c r="F664" s="215">
        <v>0</v>
      </c>
      <c r="G664" s="215">
        <v>0</v>
      </c>
      <c r="H664" s="215">
        <v>0</v>
      </c>
      <c r="I664" s="215">
        <v>0</v>
      </c>
      <c r="J664" s="215">
        <v>0</v>
      </c>
      <c r="K664" s="215">
        <v>0</v>
      </c>
      <c r="L664" s="215">
        <v>0</v>
      </c>
      <c r="M664" s="215">
        <v>0</v>
      </c>
      <c r="N664" s="215">
        <v>0</v>
      </c>
      <c r="O664" s="215">
        <v>0</v>
      </c>
      <c r="P664" s="215">
        <v>0</v>
      </c>
      <c r="Q664" s="215">
        <v>0</v>
      </c>
    </row>
    <row r="665" spans="2:17" x14ac:dyDescent="0.3">
      <c r="B665" s="259">
        <f t="shared" si="10"/>
        <v>0</v>
      </c>
      <c r="D665" s="2" t="s">
        <v>1516</v>
      </c>
      <c r="E665" s="215">
        <v>0</v>
      </c>
      <c r="F665" s="215">
        <v>0</v>
      </c>
      <c r="G665" s="215">
        <v>0</v>
      </c>
      <c r="H665" s="215">
        <v>0</v>
      </c>
      <c r="I665" s="215">
        <v>0</v>
      </c>
      <c r="J665" s="215">
        <v>0</v>
      </c>
      <c r="K665" s="215">
        <v>0</v>
      </c>
      <c r="L665" s="215">
        <v>0</v>
      </c>
      <c r="M665" s="215">
        <v>0</v>
      </c>
      <c r="N665" s="215">
        <v>0</v>
      </c>
      <c r="O665" s="215">
        <v>0</v>
      </c>
      <c r="P665" s="215">
        <v>0</v>
      </c>
      <c r="Q665" s="215">
        <v>0</v>
      </c>
    </row>
    <row r="666" spans="2:17" x14ac:dyDescent="0.3">
      <c r="B666" s="259">
        <f t="shared" si="10"/>
        <v>192.65999999999994</v>
      </c>
      <c r="D666" s="2" t="s">
        <v>1517</v>
      </c>
      <c r="E666" s="215">
        <v>192.65999999999997</v>
      </c>
      <c r="F666" s="215">
        <v>192.65999999999997</v>
      </c>
      <c r="G666" s="215">
        <v>192.65999999999997</v>
      </c>
      <c r="H666" s="215">
        <v>192.65999999999997</v>
      </c>
      <c r="I666" s="215">
        <v>192.65999999999997</v>
      </c>
      <c r="J666" s="215">
        <v>192.65999999999997</v>
      </c>
      <c r="K666" s="215">
        <v>192.65999999999997</v>
      </c>
      <c r="L666" s="215">
        <v>192.65999999999997</v>
      </c>
      <c r="M666" s="215">
        <v>192.65999999999997</v>
      </c>
      <c r="N666" s="215">
        <v>192.65999999999997</v>
      </c>
      <c r="O666" s="215">
        <v>192.65999999999997</v>
      </c>
      <c r="P666" s="215">
        <v>192.65999999999997</v>
      </c>
      <c r="Q666" s="215">
        <v>192.65999999999997</v>
      </c>
    </row>
    <row r="667" spans="2:17" x14ac:dyDescent="0.3">
      <c r="B667" s="259">
        <f t="shared" si="10"/>
        <v>1532955.4687500002</v>
      </c>
      <c r="D667" s="2" t="s">
        <v>729</v>
      </c>
      <c r="E667" s="215">
        <v>1327181.2000000002</v>
      </c>
      <c r="F667" s="215">
        <v>1334312.7000000002</v>
      </c>
      <c r="G667" s="215">
        <v>1356118.73</v>
      </c>
      <c r="H667" s="215">
        <v>1139347.2000000002</v>
      </c>
      <c r="I667" s="215">
        <v>1163993.69</v>
      </c>
      <c r="J667" s="215">
        <v>1191767.06</v>
      </c>
      <c r="K667" s="215">
        <v>1645333.6400000001</v>
      </c>
      <c r="L667" s="215">
        <v>1729996.04</v>
      </c>
      <c r="M667" s="215">
        <v>1750245.5300000003</v>
      </c>
      <c r="N667" s="215">
        <v>1780701.81</v>
      </c>
      <c r="O667" s="215">
        <v>1820452.8100000003</v>
      </c>
      <c r="P667" s="215">
        <v>1843956.9300000002</v>
      </c>
      <c r="Q667" s="215">
        <v>1951297.7700000003</v>
      </c>
    </row>
    <row r="668" spans="2:17" x14ac:dyDescent="0.3">
      <c r="B668" s="259">
        <f t="shared" si="10"/>
        <v>0</v>
      </c>
      <c r="D668" s="2" t="s">
        <v>1518</v>
      </c>
      <c r="E668" s="215">
        <v>0</v>
      </c>
      <c r="F668" s="215">
        <v>0</v>
      </c>
      <c r="G668" s="215">
        <v>0</v>
      </c>
      <c r="H668" s="215">
        <v>0</v>
      </c>
      <c r="I668" s="215">
        <v>0</v>
      </c>
      <c r="J668" s="215">
        <v>0</v>
      </c>
      <c r="K668" s="215">
        <v>0</v>
      </c>
      <c r="L668" s="215">
        <v>0</v>
      </c>
      <c r="M668" s="215">
        <v>0</v>
      </c>
      <c r="N668" s="215">
        <v>0</v>
      </c>
      <c r="O668" s="215">
        <v>0</v>
      </c>
      <c r="P668" s="215">
        <v>0</v>
      </c>
      <c r="Q668" s="215">
        <v>0</v>
      </c>
    </row>
    <row r="669" spans="2:17" x14ac:dyDescent="0.3">
      <c r="B669" s="259">
        <f t="shared" si="10"/>
        <v>1834414.8975</v>
      </c>
      <c r="D669" s="2" t="s">
        <v>731</v>
      </c>
      <c r="E669" s="215">
        <v>0</v>
      </c>
      <c r="F669" s="215">
        <v>0</v>
      </c>
      <c r="G669" s="215">
        <v>0</v>
      </c>
      <c r="H669" s="215">
        <v>0</v>
      </c>
      <c r="I669" s="215">
        <v>0</v>
      </c>
      <c r="J669" s="215">
        <v>0</v>
      </c>
      <c r="K669" s="215">
        <v>0</v>
      </c>
      <c r="L669" s="215">
        <v>0</v>
      </c>
      <c r="M669" s="215">
        <v>0</v>
      </c>
      <c r="N669" s="215">
        <v>0</v>
      </c>
      <c r="O669" s="215">
        <v>0</v>
      </c>
      <c r="P669" s="215">
        <v>0</v>
      </c>
      <c r="Q669" s="215">
        <v>44025957.539999999</v>
      </c>
    </row>
    <row r="670" spans="2:17" x14ac:dyDescent="0.3">
      <c r="B670" s="259">
        <f t="shared" si="10"/>
        <v>4965385.6741666673</v>
      </c>
      <c r="D670" s="2" t="s">
        <v>733</v>
      </c>
      <c r="E670" s="215">
        <v>4653891.330000001</v>
      </c>
      <c r="F670" s="215">
        <v>4838598.4400000013</v>
      </c>
      <c r="G670" s="215">
        <v>4838629.6600000011</v>
      </c>
      <c r="H670" s="215">
        <v>4840902.7000000011</v>
      </c>
      <c r="I670" s="215">
        <v>4841124.6800000016</v>
      </c>
      <c r="J670" s="215">
        <v>4841124.6800000016</v>
      </c>
      <c r="K670" s="215">
        <v>4841124.6800000016</v>
      </c>
      <c r="L670" s="215">
        <v>4841124.6800000016</v>
      </c>
      <c r="M670" s="215">
        <v>4841124.6800000016</v>
      </c>
      <c r="N670" s="215">
        <v>4706694.0700000012</v>
      </c>
      <c r="O670" s="215">
        <v>4706694.0700000012</v>
      </c>
      <c r="P670" s="215">
        <v>4706694.0700000012</v>
      </c>
      <c r="Q670" s="215">
        <v>8827692.0300000012</v>
      </c>
    </row>
    <row r="671" spans="2:17" x14ac:dyDescent="0.3">
      <c r="B671" s="259">
        <f t="shared" si="10"/>
        <v>2768311.4758333331</v>
      </c>
      <c r="D671" s="2" t="s">
        <v>735</v>
      </c>
      <c r="E671" s="215">
        <v>2605045.36</v>
      </c>
      <c r="F671" s="215">
        <v>2611176.02</v>
      </c>
      <c r="G671" s="215">
        <v>2661074.88</v>
      </c>
      <c r="H671" s="215">
        <v>2670511.09</v>
      </c>
      <c r="I671" s="215">
        <v>2695887.6799999997</v>
      </c>
      <c r="J671" s="215">
        <v>2714957.2699999996</v>
      </c>
      <c r="K671" s="215">
        <v>2714957.2699999996</v>
      </c>
      <c r="L671" s="215">
        <v>2714957.2699999996</v>
      </c>
      <c r="M671" s="215">
        <v>2714957.2699999996</v>
      </c>
      <c r="N671" s="215">
        <v>2714957.2699999996</v>
      </c>
      <c r="O671" s="215">
        <v>2745526.1399999997</v>
      </c>
      <c r="P671" s="215">
        <v>2781304.9299999997</v>
      </c>
      <c r="Q671" s="215">
        <v>4353895.8800000008</v>
      </c>
    </row>
    <row r="672" spans="2:17" x14ac:dyDescent="0.3">
      <c r="B672" s="259">
        <f t="shared" si="10"/>
        <v>28410.69</v>
      </c>
      <c r="D672" s="2" t="s">
        <v>1519</v>
      </c>
      <c r="E672" s="215">
        <v>28410.69</v>
      </c>
      <c r="F672" s="215">
        <v>28410.69</v>
      </c>
      <c r="G672" s="215">
        <v>28410.69</v>
      </c>
      <c r="H672" s="215">
        <v>28410.69</v>
      </c>
      <c r="I672" s="215">
        <v>28410.69</v>
      </c>
      <c r="J672" s="215">
        <v>28410.69</v>
      </c>
      <c r="K672" s="215">
        <v>28410.69</v>
      </c>
      <c r="L672" s="215">
        <v>28410.69</v>
      </c>
      <c r="M672" s="215">
        <v>28410.69</v>
      </c>
      <c r="N672" s="215">
        <v>28410.69</v>
      </c>
      <c r="O672" s="215">
        <v>28410.69</v>
      </c>
      <c r="P672" s="215">
        <v>28410.69</v>
      </c>
      <c r="Q672" s="215">
        <v>28410.69</v>
      </c>
    </row>
    <row r="673" spans="2:17" x14ac:dyDescent="0.3">
      <c r="B673" s="259">
        <f t="shared" si="10"/>
        <v>195708.88125000001</v>
      </c>
      <c r="D673" s="2" t="s">
        <v>737</v>
      </c>
      <c r="E673" s="215">
        <v>193714.94</v>
      </c>
      <c r="F673" s="215">
        <v>193714.94</v>
      </c>
      <c r="G673" s="215">
        <v>195993.73</v>
      </c>
      <c r="H673" s="215">
        <v>195993.73</v>
      </c>
      <c r="I673" s="215">
        <v>195993.73</v>
      </c>
      <c r="J673" s="215">
        <v>195993.73</v>
      </c>
      <c r="K673" s="215">
        <v>195993.73</v>
      </c>
      <c r="L673" s="215">
        <v>195993.73</v>
      </c>
      <c r="M673" s="215">
        <v>195993.73</v>
      </c>
      <c r="N673" s="215">
        <v>195993.73</v>
      </c>
      <c r="O673" s="215">
        <v>195993.73</v>
      </c>
      <c r="P673" s="215">
        <v>195993.73</v>
      </c>
      <c r="Q673" s="215">
        <v>195993.73</v>
      </c>
    </row>
    <row r="674" spans="2:17" x14ac:dyDescent="0.3">
      <c r="B674" s="259">
        <f t="shared" si="10"/>
        <v>6161.0999999999985</v>
      </c>
      <c r="D674" s="2" t="s">
        <v>1062</v>
      </c>
      <c r="E674" s="215">
        <v>0</v>
      </c>
      <c r="F674" s="215">
        <v>0</v>
      </c>
      <c r="G674" s="215">
        <v>0</v>
      </c>
      <c r="H674" s="215">
        <v>117.80999999999999</v>
      </c>
      <c r="I674" s="215">
        <v>352.84000000000003</v>
      </c>
      <c r="J674" s="215">
        <v>352.84000000000003</v>
      </c>
      <c r="K674" s="215">
        <v>352.84000000000003</v>
      </c>
      <c r="L674" s="215">
        <v>2931.74</v>
      </c>
      <c r="M674" s="215">
        <v>12333.919999999998</v>
      </c>
      <c r="N674" s="215">
        <v>16426.059999999998</v>
      </c>
      <c r="O674" s="215">
        <v>16426.059999999998</v>
      </c>
      <c r="P674" s="215">
        <v>16426.059999999998</v>
      </c>
      <c r="Q674" s="215">
        <v>16426.059999999998</v>
      </c>
    </row>
    <row r="675" spans="2:17" x14ac:dyDescent="0.3">
      <c r="B675" s="259">
        <f t="shared" si="10"/>
        <v>1246.0737500000002</v>
      </c>
      <c r="D675" s="2" t="s">
        <v>1064</v>
      </c>
      <c r="E675" s="215">
        <v>0</v>
      </c>
      <c r="F675" s="215">
        <v>0</v>
      </c>
      <c r="G675" s="215">
        <v>468.74</v>
      </c>
      <c r="H675" s="215">
        <v>819.58999999999992</v>
      </c>
      <c r="I675" s="215">
        <v>1399.88</v>
      </c>
      <c r="J675" s="215">
        <v>1635.29</v>
      </c>
      <c r="K675" s="215">
        <v>1635.29</v>
      </c>
      <c r="L675" s="215">
        <v>1635.29</v>
      </c>
      <c r="M675" s="215">
        <v>1635.29</v>
      </c>
      <c r="N675" s="215">
        <v>1635.29</v>
      </c>
      <c r="O675" s="215">
        <v>1635.29</v>
      </c>
      <c r="P675" s="215">
        <v>1635.29</v>
      </c>
      <c r="Q675" s="215">
        <v>1635.29</v>
      </c>
    </row>
    <row r="676" spans="2:17" x14ac:dyDescent="0.3">
      <c r="B676" s="259">
        <f t="shared" si="10"/>
        <v>0</v>
      </c>
      <c r="D676" s="2" t="s">
        <v>1520</v>
      </c>
      <c r="E676" s="215">
        <v>0</v>
      </c>
      <c r="F676" s="215">
        <v>0</v>
      </c>
      <c r="G676" s="215">
        <v>0</v>
      </c>
      <c r="H676" s="215">
        <v>0</v>
      </c>
      <c r="I676" s="215">
        <v>0</v>
      </c>
      <c r="J676" s="215">
        <v>0</v>
      </c>
      <c r="K676" s="215">
        <v>0</v>
      </c>
      <c r="L676" s="215">
        <v>0</v>
      </c>
      <c r="M676" s="215">
        <v>0</v>
      </c>
      <c r="N676" s="215">
        <v>0</v>
      </c>
      <c r="O676" s="215">
        <v>0</v>
      </c>
      <c r="P676" s="215">
        <v>0</v>
      </c>
      <c r="Q676" s="215">
        <v>0</v>
      </c>
    </row>
    <row r="677" spans="2:17" x14ac:dyDescent="0.3">
      <c r="B677" s="259">
        <f t="shared" si="10"/>
        <v>0</v>
      </c>
      <c r="D677" s="2" t="s">
        <v>1521</v>
      </c>
      <c r="E677" s="215">
        <v>0</v>
      </c>
      <c r="F677" s="215">
        <v>0</v>
      </c>
      <c r="G677" s="215">
        <v>0</v>
      </c>
      <c r="H677" s="215">
        <v>0</v>
      </c>
      <c r="I677" s="215">
        <v>0</v>
      </c>
      <c r="J677" s="215">
        <v>0</v>
      </c>
      <c r="K677" s="215">
        <v>0</v>
      </c>
      <c r="L677" s="215">
        <v>0</v>
      </c>
      <c r="M677" s="215">
        <v>0</v>
      </c>
      <c r="N677" s="215">
        <v>0</v>
      </c>
      <c r="O677" s="215">
        <v>0</v>
      </c>
      <c r="P677" s="215">
        <v>0</v>
      </c>
      <c r="Q677" s="215">
        <v>0</v>
      </c>
    </row>
    <row r="678" spans="2:17" x14ac:dyDescent="0.3">
      <c r="B678" s="259">
        <f t="shared" si="10"/>
        <v>539116.21166666667</v>
      </c>
      <c r="D678" s="2" t="s">
        <v>739</v>
      </c>
      <c r="E678" s="215">
        <v>274689.5</v>
      </c>
      <c r="F678" s="215">
        <v>274689.5</v>
      </c>
      <c r="G678" s="215">
        <v>571309.29</v>
      </c>
      <c r="H678" s="215">
        <v>571309.29</v>
      </c>
      <c r="I678" s="215">
        <v>571309.29</v>
      </c>
      <c r="J678" s="215">
        <v>571309.29</v>
      </c>
      <c r="K678" s="215">
        <v>571309.29</v>
      </c>
      <c r="L678" s="215">
        <v>571309.29</v>
      </c>
      <c r="M678" s="215">
        <v>571309.29</v>
      </c>
      <c r="N678" s="215">
        <v>571309.29</v>
      </c>
      <c r="O678" s="215">
        <v>571309.29</v>
      </c>
      <c r="P678" s="215">
        <v>571309.29</v>
      </c>
      <c r="Q678" s="215">
        <v>688534.78</v>
      </c>
    </row>
    <row r="679" spans="2:17" x14ac:dyDescent="0.3">
      <c r="B679" s="259">
        <f t="shared" si="10"/>
        <v>178273.63250000004</v>
      </c>
      <c r="D679" s="2" t="s">
        <v>741</v>
      </c>
      <c r="E679" s="215">
        <v>169784.50000000003</v>
      </c>
      <c r="F679" s="215">
        <v>170131.33000000002</v>
      </c>
      <c r="G679" s="215">
        <v>170131.33000000002</v>
      </c>
      <c r="H679" s="215">
        <v>170131.33000000002</v>
      </c>
      <c r="I679" s="215">
        <v>170131.33000000002</v>
      </c>
      <c r="J679" s="215">
        <v>175596.44</v>
      </c>
      <c r="K679" s="215">
        <v>184217.64</v>
      </c>
      <c r="L679" s="215">
        <v>184373.08000000002</v>
      </c>
      <c r="M679" s="215">
        <v>184373.08000000002</v>
      </c>
      <c r="N679" s="215">
        <v>184373.08000000002</v>
      </c>
      <c r="O679" s="215">
        <v>184373.08000000002</v>
      </c>
      <c r="P679" s="215">
        <v>184373.08000000002</v>
      </c>
      <c r="Q679" s="215">
        <v>184373.08000000002</v>
      </c>
    </row>
    <row r="680" spans="2:17" x14ac:dyDescent="0.3">
      <c r="B680" s="259">
        <f t="shared" si="10"/>
        <v>0</v>
      </c>
      <c r="D680" s="2" t="s">
        <v>1522</v>
      </c>
      <c r="E680" s="215">
        <v>0</v>
      </c>
      <c r="F680" s="215">
        <v>0</v>
      </c>
      <c r="G680" s="215">
        <v>0</v>
      </c>
      <c r="H680" s="215">
        <v>0</v>
      </c>
      <c r="I680" s="215">
        <v>0</v>
      </c>
      <c r="J680" s="215">
        <v>0</v>
      </c>
      <c r="K680" s="215">
        <v>0</v>
      </c>
      <c r="L680" s="215">
        <v>0</v>
      </c>
      <c r="M680" s="215">
        <v>0</v>
      </c>
      <c r="N680" s="215">
        <v>0</v>
      </c>
      <c r="O680" s="215">
        <v>0</v>
      </c>
      <c r="P680" s="215">
        <v>0</v>
      </c>
      <c r="Q680" s="215">
        <v>0</v>
      </c>
    </row>
    <row r="681" spans="2:17" x14ac:dyDescent="0.3">
      <c r="B681" s="259">
        <f t="shared" si="10"/>
        <v>0</v>
      </c>
      <c r="D681" s="2" t="s">
        <v>1523</v>
      </c>
      <c r="E681" s="215">
        <v>0</v>
      </c>
      <c r="F681" s="215">
        <v>0</v>
      </c>
      <c r="G681" s="215">
        <v>0</v>
      </c>
      <c r="H681" s="215">
        <v>0</v>
      </c>
      <c r="I681" s="215">
        <v>0</v>
      </c>
      <c r="J681" s="215">
        <v>0</v>
      </c>
      <c r="K681" s="215">
        <v>0</v>
      </c>
      <c r="L681" s="215">
        <v>0</v>
      </c>
      <c r="M681" s="215">
        <v>0</v>
      </c>
      <c r="N681" s="215">
        <v>0</v>
      </c>
      <c r="O681" s="215">
        <v>0</v>
      </c>
      <c r="P681" s="215">
        <v>0</v>
      </c>
      <c r="Q681" s="215">
        <v>0</v>
      </c>
    </row>
    <row r="682" spans="2:17" x14ac:dyDescent="0.3">
      <c r="B682" s="259">
        <f t="shared" si="10"/>
        <v>0</v>
      </c>
      <c r="D682" s="2" t="s">
        <v>747</v>
      </c>
      <c r="E682" s="215">
        <v>0</v>
      </c>
      <c r="F682" s="215">
        <v>0</v>
      </c>
      <c r="G682" s="215">
        <v>0</v>
      </c>
      <c r="H682" s="215">
        <v>0</v>
      </c>
      <c r="I682" s="215">
        <v>0</v>
      </c>
      <c r="J682" s="215">
        <v>0</v>
      </c>
      <c r="K682" s="215">
        <v>0</v>
      </c>
      <c r="L682" s="215">
        <v>0</v>
      </c>
      <c r="M682" s="215">
        <v>0</v>
      </c>
      <c r="N682" s="215">
        <v>0</v>
      </c>
      <c r="O682" s="215">
        <v>0</v>
      </c>
      <c r="P682" s="215">
        <v>0</v>
      </c>
      <c r="Q682" s="215">
        <v>0</v>
      </c>
    </row>
    <row r="683" spans="2:17" x14ac:dyDescent="0.3">
      <c r="B683" s="259">
        <f t="shared" si="10"/>
        <v>73281.828750000001</v>
      </c>
      <c r="D683" s="2" t="s">
        <v>749</v>
      </c>
      <c r="E683" s="215">
        <v>0</v>
      </c>
      <c r="F683" s="215">
        <v>0</v>
      </c>
      <c r="G683" s="215">
        <v>0</v>
      </c>
      <c r="H683" s="215">
        <v>0</v>
      </c>
      <c r="I683" s="215">
        <v>0</v>
      </c>
      <c r="J683" s="215">
        <v>0</v>
      </c>
      <c r="K683" s="215">
        <v>0</v>
      </c>
      <c r="L683" s="215">
        <v>0</v>
      </c>
      <c r="M683" s="215">
        <v>0</v>
      </c>
      <c r="N683" s="215">
        <v>0</v>
      </c>
      <c r="O683" s="215">
        <v>0</v>
      </c>
      <c r="P683" s="215">
        <v>586254.63</v>
      </c>
      <c r="Q683" s="215">
        <v>586254.63</v>
      </c>
    </row>
    <row r="684" spans="2:17" x14ac:dyDescent="0.3">
      <c r="B684" s="259">
        <f t="shared" si="10"/>
        <v>0</v>
      </c>
      <c r="D684" s="2" t="s">
        <v>751</v>
      </c>
      <c r="E684" s="215">
        <v>0</v>
      </c>
      <c r="F684" s="215">
        <v>0</v>
      </c>
      <c r="G684" s="215">
        <v>0</v>
      </c>
      <c r="H684" s="215">
        <v>0</v>
      </c>
      <c r="I684" s="215">
        <v>0</v>
      </c>
      <c r="J684" s="215">
        <v>0</v>
      </c>
      <c r="K684" s="215">
        <v>0</v>
      </c>
      <c r="L684" s="215">
        <v>0</v>
      </c>
      <c r="M684" s="215">
        <v>0</v>
      </c>
      <c r="N684" s="215">
        <v>0</v>
      </c>
      <c r="O684" s="215">
        <v>0</v>
      </c>
      <c r="P684" s="215">
        <v>0</v>
      </c>
      <c r="Q684" s="215">
        <v>0</v>
      </c>
    </row>
    <row r="685" spans="2:17" x14ac:dyDescent="0.3">
      <c r="B685" s="259">
        <f t="shared" si="10"/>
        <v>0</v>
      </c>
      <c r="D685" s="2" t="s">
        <v>1524</v>
      </c>
      <c r="E685" s="215">
        <v>0</v>
      </c>
      <c r="F685" s="215">
        <v>0</v>
      </c>
      <c r="G685" s="215">
        <v>0</v>
      </c>
      <c r="H685" s="215">
        <v>0</v>
      </c>
      <c r="I685" s="215">
        <v>0</v>
      </c>
      <c r="J685" s="215">
        <v>0</v>
      </c>
      <c r="K685" s="215">
        <v>0</v>
      </c>
      <c r="L685" s="215">
        <v>0</v>
      </c>
      <c r="M685" s="215">
        <v>0</v>
      </c>
      <c r="N685" s="215">
        <v>0</v>
      </c>
      <c r="O685" s="215">
        <v>0</v>
      </c>
      <c r="P685" s="215">
        <v>0</v>
      </c>
      <c r="Q685" s="215">
        <v>0</v>
      </c>
    </row>
    <row r="686" spans="2:17" x14ac:dyDescent="0.3">
      <c r="B686" s="259">
        <f t="shared" si="10"/>
        <v>0</v>
      </c>
      <c r="D686" s="2" t="s">
        <v>753</v>
      </c>
      <c r="E686" s="215">
        <v>0</v>
      </c>
      <c r="F686" s="215">
        <v>0</v>
      </c>
      <c r="G686" s="215">
        <v>0</v>
      </c>
      <c r="H686" s="215">
        <v>0</v>
      </c>
      <c r="I686" s="215">
        <v>0</v>
      </c>
      <c r="J686" s="215">
        <v>0</v>
      </c>
      <c r="K686" s="215">
        <v>0</v>
      </c>
      <c r="L686" s="215">
        <v>0</v>
      </c>
      <c r="M686" s="215">
        <v>0</v>
      </c>
      <c r="N686" s="215">
        <v>0</v>
      </c>
      <c r="O686" s="215">
        <v>0</v>
      </c>
      <c r="P686" s="215">
        <v>0</v>
      </c>
      <c r="Q686" s="215">
        <v>0</v>
      </c>
    </row>
    <row r="687" spans="2:17" x14ac:dyDescent="0.3">
      <c r="B687" s="259">
        <f t="shared" si="10"/>
        <v>234842.78083333335</v>
      </c>
      <c r="D687" s="2" t="s">
        <v>755</v>
      </c>
      <c r="E687" s="215">
        <v>51191.23000000001</v>
      </c>
      <c r="F687" s="215">
        <v>51191.23000000001</v>
      </c>
      <c r="G687" s="215">
        <v>51191.23000000001</v>
      </c>
      <c r="H687" s="215">
        <v>62257.030000000013</v>
      </c>
      <c r="I687" s="215">
        <v>62257.030000000013</v>
      </c>
      <c r="J687" s="215">
        <v>62257.030000000013</v>
      </c>
      <c r="K687" s="215">
        <v>374893.92000000004</v>
      </c>
      <c r="L687" s="215">
        <v>400523.08</v>
      </c>
      <c r="M687" s="215">
        <v>383965.65</v>
      </c>
      <c r="N687" s="215">
        <v>383994.73000000004</v>
      </c>
      <c r="O687" s="215">
        <v>383994.73000000004</v>
      </c>
      <c r="P687" s="215">
        <v>383994.73000000004</v>
      </c>
      <c r="Q687" s="215">
        <v>383994.73000000004</v>
      </c>
    </row>
    <row r="688" spans="2:17" x14ac:dyDescent="0.3">
      <c r="B688" s="259">
        <f t="shared" si="10"/>
        <v>0</v>
      </c>
      <c r="D688" s="2" t="s">
        <v>1525</v>
      </c>
      <c r="E688" s="215">
        <v>0</v>
      </c>
      <c r="F688" s="215">
        <v>0</v>
      </c>
      <c r="G688" s="215">
        <v>0</v>
      </c>
      <c r="H688" s="215">
        <v>0</v>
      </c>
      <c r="I688" s="215">
        <v>0</v>
      </c>
      <c r="J688" s="215">
        <v>0</v>
      </c>
      <c r="K688" s="215">
        <v>0</v>
      </c>
      <c r="L688" s="215">
        <v>0</v>
      </c>
      <c r="M688" s="215">
        <v>0</v>
      </c>
      <c r="N688" s="215">
        <v>0</v>
      </c>
      <c r="O688" s="215">
        <v>0</v>
      </c>
      <c r="P688" s="215">
        <v>0</v>
      </c>
      <c r="Q688" s="215">
        <v>0</v>
      </c>
    </row>
    <row r="689" spans="2:17" x14ac:dyDescent="0.3">
      <c r="B689" s="259">
        <f t="shared" si="10"/>
        <v>0</v>
      </c>
      <c r="D689" s="2" t="s">
        <v>1526</v>
      </c>
      <c r="E689" s="215">
        <v>0</v>
      </c>
      <c r="F689" s="215">
        <v>0</v>
      </c>
      <c r="G689" s="215">
        <v>0</v>
      </c>
      <c r="H689" s="215">
        <v>0</v>
      </c>
      <c r="I689" s="215">
        <v>0</v>
      </c>
      <c r="J689" s="215">
        <v>0</v>
      </c>
      <c r="K689" s="215">
        <v>0</v>
      </c>
      <c r="L689" s="215">
        <v>0</v>
      </c>
      <c r="M689" s="215">
        <v>0</v>
      </c>
      <c r="N689" s="215">
        <v>0</v>
      </c>
      <c r="O689" s="215">
        <v>0</v>
      </c>
      <c r="P689" s="215">
        <v>0</v>
      </c>
      <c r="Q689" s="215">
        <v>0</v>
      </c>
    </row>
    <row r="690" spans="2:17" x14ac:dyDescent="0.3">
      <c r="B690" s="259">
        <f t="shared" si="10"/>
        <v>0</v>
      </c>
      <c r="D690" s="2" t="s">
        <v>1527</v>
      </c>
      <c r="E690" s="215">
        <v>0</v>
      </c>
      <c r="F690" s="215">
        <v>0</v>
      </c>
      <c r="G690" s="215">
        <v>0</v>
      </c>
      <c r="H690" s="215">
        <v>0</v>
      </c>
      <c r="I690" s="215">
        <v>0</v>
      </c>
      <c r="J690" s="215">
        <v>0</v>
      </c>
      <c r="K690" s="215">
        <v>0</v>
      </c>
      <c r="L690" s="215">
        <v>0</v>
      </c>
      <c r="M690" s="215">
        <v>0</v>
      </c>
      <c r="N690" s="215">
        <v>0</v>
      </c>
      <c r="O690" s="215">
        <v>0</v>
      </c>
      <c r="P690" s="215">
        <v>0</v>
      </c>
      <c r="Q690" s="215">
        <v>0</v>
      </c>
    </row>
    <row r="691" spans="2:17" x14ac:dyDescent="0.3">
      <c r="B691" s="259">
        <f t="shared" si="10"/>
        <v>94821.594999999987</v>
      </c>
      <c r="D691" s="2" t="s">
        <v>957</v>
      </c>
      <c r="E691" s="215">
        <v>0</v>
      </c>
      <c r="F691" s="215">
        <v>0</v>
      </c>
      <c r="G691" s="215">
        <v>0</v>
      </c>
      <c r="H691" s="215">
        <v>0</v>
      </c>
      <c r="I691" s="215">
        <v>0</v>
      </c>
      <c r="J691" s="215">
        <v>0</v>
      </c>
      <c r="K691" s="215">
        <v>0</v>
      </c>
      <c r="L691" s="215">
        <v>0</v>
      </c>
      <c r="M691" s="215">
        <v>0</v>
      </c>
      <c r="N691" s="215">
        <v>0</v>
      </c>
      <c r="O691" s="215">
        <v>0</v>
      </c>
      <c r="P691" s="215">
        <v>0</v>
      </c>
      <c r="Q691" s="215">
        <v>2275718.2799999998</v>
      </c>
    </row>
    <row r="692" spans="2:17" x14ac:dyDescent="0.3">
      <c r="B692" s="259">
        <f t="shared" si="10"/>
        <v>0</v>
      </c>
      <c r="D692" s="2" t="s">
        <v>1528</v>
      </c>
      <c r="E692" s="215">
        <v>0</v>
      </c>
      <c r="F692" s="215">
        <v>0</v>
      </c>
      <c r="G692" s="215">
        <v>0</v>
      </c>
      <c r="H692" s="215">
        <v>0</v>
      </c>
      <c r="I692" s="215">
        <v>0</v>
      </c>
      <c r="J692" s="215">
        <v>0</v>
      </c>
      <c r="K692" s="215">
        <v>0</v>
      </c>
      <c r="L692" s="215">
        <v>0</v>
      </c>
      <c r="M692" s="215">
        <v>0</v>
      </c>
      <c r="N692" s="215">
        <v>0</v>
      </c>
      <c r="O692" s="215">
        <v>0</v>
      </c>
      <c r="P692" s="215">
        <v>0</v>
      </c>
      <c r="Q692" s="215">
        <v>0</v>
      </c>
    </row>
    <row r="693" spans="2:17" x14ac:dyDescent="0.3">
      <c r="B693" s="259">
        <f t="shared" si="10"/>
        <v>0</v>
      </c>
      <c r="D693" s="2" t="s">
        <v>1529</v>
      </c>
      <c r="E693" s="215">
        <v>0</v>
      </c>
      <c r="F693" s="215">
        <v>0</v>
      </c>
      <c r="G693" s="215">
        <v>0</v>
      </c>
      <c r="H693" s="215">
        <v>0</v>
      </c>
      <c r="I693" s="215">
        <v>0</v>
      </c>
      <c r="J693" s="215">
        <v>0</v>
      </c>
      <c r="K693" s="215">
        <v>0</v>
      </c>
      <c r="L693" s="215">
        <v>0</v>
      </c>
      <c r="M693" s="215">
        <v>0</v>
      </c>
      <c r="N693" s="215">
        <v>0</v>
      </c>
      <c r="O693" s="215">
        <v>0</v>
      </c>
      <c r="P693" s="215">
        <v>0</v>
      </c>
      <c r="Q693" s="215">
        <v>0</v>
      </c>
    </row>
    <row r="694" spans="2:17" x14ac:dyDescent="0.3">
      <c r="B694" s="259">
        <f t="shared" si="10"/>
        <v>0</v>
      </c>
      <c r="D694" s="2" t="s">
        <v>1530</v>
      </c>
      <c r="E694" s="215">
        <v>0</v>
      </c>
      <c r="F694" s="215">
        <v>0</v>
      </c>
      <c r="G694" s="215">
        <v>0</v>
      </c>
      <c r="H694" s="215">
        <v>0</v>
      </c>
      <c r="I694" s="215">
        <v>0</v>
      </c>
      <c r="J694" s="215">
        <v>0</v>
      </c>
      <c r="K694" s="215">
        <v>0</v>
      </c>
      <c r="L694" s="215">
        <v>0</v>
      </c>
      <c r="M694" s="215">
        <v>0</v>
      </c>
      <c r="N694" s="215">
        <v>0</v>
      </c>
      <c r="O694" s="215">
        <v>0</v>
      </c>
      <c r="P694" s="215">
        <v>0</v>
      </c>
      <c r="Q694" s="215">
        <v>0</v>
      </c>
    </row>
    <row r="695" spans="2:17" x14ac:dyDescent="0.3">
      <c r="B695" s="259">
        <f t="shared" si="10"/>
        <v>0</v>
      </c>
      <c r="D695" s="2" t="s">
        <v>1531</v>
      </c>
      <c r="E695" s="215">
        <v>0</v>
      </c>
      <c r="F695" s="215">
        <v>0</v>
      </c>
      <c r="G695" s="215">
        <v>0</v>
      </c>
      <c r="H695" s="215">
        <v>0</v>
      </c>
      <c r="I695" s="215">
        <v>0</v>
      </c>
      <c r="J695" s="215">
        <v>0</v>
      </c>
      <c r="K695" s="215">
        <v>0</v>
      </c>
      <c r="L695" s="215">
        <v>0</v>
      </c>
      <c r="M695" s="215">
        <v>0</v>
      </c>
      <c r="N695" s="215">
        <v>0</v>
      </c>
      <c r="O695" s="215">
        <v>0</v>
      </c>
      <c r="P695" s="215">
        <v>0</v>
      </c>
      <c r="Q695" s="215">
        <v>0</v>
      </c>
    </row>
    <row r="696" spans="2:17" x14ac:dyDescent="0.3">
      <c r="B696" s="259">
        <f t="shared" si="10"/>
        <v>0</v>
      </c>
      <c r="D696" s="2" t="s">
        <v>1532</v>
      </c>
      <c r="E696" s="215">
        <v>0</v>
      </c>
      <c r="F696" s="215">
        <v>0</v>
      </c>
      <c r="G696" s="215">
        <v>0</v>
      </c>
      <c r="H696" s="215">
        <v>0</v>
      </c>
      <c r="I696" s="215">
        <v>0</v>
      </c>
      <c r="J696" s="215">
        <v>0</v>
      </c>
      <c r="K696" s="215">
        <v>0</v>
      </c>
      <c r="L696" s="215">
        <v>0</v>
      </c>
      <c r="M696" s="215">
        <v>0</v>
      </c>
      <c r="N696" s="215">
        <v>0</v>
      </c>
      <c r="O696" s="215">
        <v>0</v>
      </c>
      <c r="P696" s="215">
        <v>0</v>
      </c>
      <c r="Q696" s="215">
        <v>0</v>
      </c>
    </row>
    <row r="697" spans="2:17" x14ac:dyDescent="0.3">
      <c r="B697" s="259">
        <f t="shared" si="10"/>
        <v>6530908.2299999995</v>
      </c>
      <c r="D697" s="2" t="s">
        <v>757</v>
      </c>
      <c r="E697" s="215">
        <v>0</v>
      </c>
      <c r="F697" s="215">
        <v>0</v>
      </c>
      <c r="G697" s="215">
        <v>0</v>
      </c>
      <c r="H697" s="215">
        <v>0</v>
      </c>
      <c r="I697" s="215">
        <v>0</v>
      </c>
      <c r="J697" s="215">
        <v>0</v>
      </c>
      <c r="K697" s="215">
        <v>0</v>
      </c>
      <c r="L697" s="215">
        <v>13314473.35</v>
      </c>
      <c r="M697" s="215">
        <v>13488616.84</v>
      </c>
      <c r="N697" s="215">
        <v>13514827.52</v>
      </c>
      <c r="O697" s="215">
        <v>13553752.449999999</v>
      </c>
      <c r="P697" s="215">
        <v>14668308.970000001</v>
      </c>
      <c r="Q697" s="215">
        <v>19661839.260000002</v>
      </c>
    </row>
    <row r="698" spans="2:17" x14ac:dyDescent="0.3">
      <c r="B698" s="259">
        <f t="shared" si="10"/>
        <v>0</v>
      </c>
      <c r="D698" s="2" t="s">
        <v>1120</v>
      </c>
      <c r="E698" s="215">
        <v>0</v>
      </c>
      <c r="F698" s="215">
        <v>0</v>
      </c>
      <c r="G698" s="215">
        <v>0</v>
      </c>
      <c r="H698" s="215">
        <v>0</v>
      </c>
      <c r="I698" s="215">
        <v>0</v>
      </c>
      <c r="J698" s="215">
        <v>0</v>
      </c>
      <c r="K698" s="215">
        <v>0</v>
      </c>
      <c r="L698" s="215">
        <v>0</v>
      </c>
      <c r="M698" s="215">
        <v>0</v>
      </c>
      <c r="N698" s="215">
        <v>0</v>
      </c>
      <c r="O698" s="215">
        <v>0</v>
      </c>
      <c r="P698" s="215">
        <v>0</v>
      </c>
      <c r="Q698" s="215">
        <v>0</v>
      </c>
    </row>
    <row r="699" spans="2:17" x14ac:dyDescent="0.3">
      <c r="B699" s="259">
        <f t="shared" si="10"/>
        <v>0</v>
      </c>
      <c r="D699" s="2" t="s">
        <v>1122</v>
      </c>
      <c r="E699" s="215">
        <v>0</v>
      </c>
      <c r="F699" s="215">
        <v>0</v>
      </c>
      <c r="G699" s="215">
        <v>0</v>
      </c>
      <c r="H699" s="215">
        <v>0</v>
      </c>
      <c r="I699" s="215">
        <v>0</v>
      </c>
      <c r="J699" s="215">
        <v>0</v>
      </c>
      <c r="K699" s="215">
        <v>0</v>
      </c>
      <c r="L699" s="215">
        <v>0</v>
      </c>
      <c r="M699" s="215">
        <v>0</v>
      </c>
      <c r="N699" s="215">
        <v>0</v>
      </c>
      <c r="O699" s="215">
        <v>0</v>
      </c>
      <c r="P699" s="215">
        <v>0</v>
      </c>
      <c r="Q699" s="215">
        <v>0</v>
      </c>
    </row>
    <row r="700" spans="2:17" x14ac:dyDescent="0.3">
      <c r="B700" s="259">
        <f t="shared" si="10"/>
        <v>23388.252916666668</v>
      </c>
      <c r="D700" s="2" t="s">
        <v>759</v>
      </c>
      <c r="E700" s="215">
        <v>19880.830000000005</v>
      </c>
      <c r="F700" s="215">
        <v>21037.570000000007</v>
      </c>
      <c r="G700" s="215">
        <v>21563.670000000009</v>
      </c>
      <c r="H700" s="215">
        <v>22446.970000000008</v>
      </c>
      <c r="I700" s="215">
        <v>23355.760000000009</v>
      </c>
      <c r="J700" s="215">
        <v>24308.62000000001</v>
      </c>
      <c r="K700" s="215">
        <v>24308.62000000001</v>
      </c>
      <c r="L700" s="215">
        <v>24308.62000000001</v>
      </c>
      <c r="M700" s="215">
        <v>24308.62000000001</v>
      </c>
      <c r="N700" s="215">
        <v>24308.62000000001</v>
      </c>
      <c r="O700" s="215">
        <v>24308.62000000001</v>
      </c>
      <c r="P700" s="215">
        <v>24308.62000000001</v>
      </c>
      <c r="Q700" s="215">
        <v>24308.62000000001</v>
      </c>
    </row>
    <row r="701" spans="2:17" x14ac:dyDescent="0.3">
      <c r="B701" s="259">
        <f t="shared" si="10"/>
        <v>0</v>
      </c>
      <c r="D701" s="2" t="s">
        <v>1533</v>
      </c>
      <c r="E701" s="215">
        <v>0</v>
      </c>
      <c r="F701" s="215">
        <v>0</v>
      </c>
      <c r="G701" s="215">
        <v>0</v>
      </c>
      <c r="H701" s="215">
        <v>0</v>
      </c>
      <c r="I701" s="215">
        <v>0</v>
      </c>
      <c r="J701" s="215">
        <v>0</v>
      </c>
      <c r="K701" s="215">
        <v>0</v>
      </c>
      <c r="L701" s="215">
        <v>0</v>
      </c>
      <c r="M701" s="215">
        <v>0</v>
      </c>
      <c r="N701" s="215">
        <v>0</v>
      </c>
      <c r="O701" s="215">
        <v>0</v>
      </c>
      <c r="P701" s="215">
        <v>0</v>
      </c>
      <c r="Q701" s="215">
        <v>0</v>
      </c>
    </row>
    <row r="702" spans="2:17" x14ac:dyDescent="0.3">
      <c r="B702" s="259">
        <f t="shared" si="10"/>
        <v>0</v>
      </c>
      <c r="D702" s="2" t="s">
        <v>1124</v>
      </c>
      <c r="E702" s="215">
        <v>0</v>
      </c>
      <c r="F702" s="215">
        <v>0</v>
      </c>
      <c r="G702" s="215">
        <v>0</v>
      </c>
      <c r="H702" s="215">
        <v>0</v>
      </c>
      <c r="I702" s="215">
        <v>0</v>
      </c>
      <c r="J702" s="215">
        <v>0</v>
      </c>
      <c r="K702" s="215">
        <v>0</v>
      </c>
      <c r="L702" s="215">
        <v>0</v>
      </c>
      <c r="M702" s="215">
        <v>0</v>
      </c>
      <c r="N702" s="215">
        <v>0</v>
      </c>
      <c r="O702" s="215">
        <v>0</v>
      </c>
      <c r="P702" s="215">
        <v>0</v>
      </c>
      <c r="Q702" s="215">
        <v>0</v>
      </c>
    </row>
    <row r="703" spans="2:17" x14ac:dyDescent="0.3">
      <c r="B703" s="259">
        <f t="shared" si="10"/>
        <v>127.27999999999999</v>
      </c>
      <c r="D703" s="2" t="s">
        <v>1534</v>
      </c>
      <c r="E703" s="215">
        <v>127.28000000000003</v>
      </c>
      <c r="F703" s="215">
        <v>127.28000000000003</v>
      </c>
      <c r="G703" s="215">
        <v>127.28000000000003</v>
      </c>
      <c r="H703" s="215">
        <v>127.28000000000003</v>
      </c>
      <c r="I703" s="215">
        <v>127.28000000000003</v>
      </c>
      <c r="J703" s="215">
        <v>127.28000000000003</v>
      </c>
      <c r="K703" s="215">
        <v>127.28000000000003</v>
      </c>
      <c r="L703" s="215">
        <v>127.28000000000003</v>
      </c>
      <c r="M703" s="215">
        <v>127.28000000000003</v>
      </c>
      <c r="N703" s="215">
        <v>127.28000000000003</v>
      </c>
      <c r="O703" s="215">
        <v>127.28000000000003</v>
      </c>
      <c r="P703" s="215">
        <v>127.28000000000003</v>
      </c>
      <c r="Q703" s="215">
        <v>127.28000000000003</v>
      </c>
    </row>
    <row r="704" spans="2:17" x14ac:dyDescent="0.3">
      <c r="B704" s="259">
        <f t="shared" si="10"/>
        <v>1456.58</v>
      </c>
      <c r="D704" s="2" t="s">
        <v>1535</v>
      </c>
      <c r="E704" s="215">
        <v>1456.58</v>
      </c>
      <c r="F704" s="215">
        <v>1456.58</v>
      </c>
      <c r="G704" s="215">
        <v>1456.58</v>
      </c>
      <c r="H704" s="215">
        <v>1456.58</v>
      </c>
      <c r="I704" s="215">
        <v>1456.58</v>
      </c>
      <c r="J704" s="215">
        <v>1456.58</v>
      </c>
      <c r="K704" s="215">
        <v>1456.58</v>
      </c>
      <c r="L704" s="215">
        <v>1456.58</v>
      </c>
      <c r="M704" s="215">
        <v>1456.58</v>
      </c>
      <c r="N704" s="215">
        <v>1456.58</v>
      </c>
      <c r="O704" s="215">
        <v>1456.58</v>
      </c>
      <c r="P704" s="215">
        <v>1456.58</v>
      </c>
      <c r="Q704" s="215">
        <v>1456.58</v>
      </c>
    </row>
    <row r="705" spans="2:17" x14ac:dyDescent="0.3">
      <c r="B705" s="259">
        <f t="shared" si="10"/>
        <v>283017.96999999991</v>
      </c>
      <c r="D705" s="2" t="s">
        <v>1536</v>
      </c>
      <c r="E705" s="215">
        <v>283017.96999999997</v>
      </c>
      <c r="F705" s="215">
        <v>283017.96999999997</v>
      </c>
      <c r="G705" s="215">
        <v>283017.96999999997</v>
      </c>
      <c r="H705" s="215">
        <v>283017.96999999997</v>
      </c>
      <c r="I705" s="215">
        <v>283017.96999999997</v>
      </c>
      <c r="J705" s="215">
        <v>283017.96999999997</v>
      </c>
      <c r="K705" s="215">
        <v>283017.96999999997</v>
      </c>
      <c r="L705" s="215">
        <v>283017.96999999997</v>
      </c>
      <c r="M705" s="215">
        <v>283017.96999999997</v>
      </c>
      <c r="N705" s="215">
        <v>283017.96999999997</v>
      </c>
      <c r="O705" s="215">
        <v>283017.96999999997</v>
      </c>
      <c r="P705" s="215">
        <v>283017.96999999997</v>
      </c>
      <c r="Q705" s="215">
        <v>283017.96999999997</v>
      </c>
    </row>
    <row r="706" spans="2:17" x14ac:dyDescent="0.3">
      <c r="B706" s="259">
        <f t="shared" si="10"/>
        <v>0</v>
      </c>
      <c r="D706" s="2" t="s">
        <v>1537</v>
      </c>
      <c r="E706" s="215">
        <v>0</v>
      </c>
      <c r="F706" s="215">
        <v>0</v>
      </c>
      <c r="G706" s="215">
        <v>0</v>
      </c>
      <c r="H706" s="215">
        <v>0</v>
      </c>
      <c r="I706" s="215">
        <v>0</v>
      </c>
      <c r="J706" s="215">
        <v>0</v>
      </c>
      <c r="K706" s="215">
        <v>0</v>
      </c>
      <c r="L706" s="215">
        <v>0</v>
      </c>
      <c r="M706" s="215">
        <v>0</v>
      </c>
      <c r="N706" s="215">
        <v>0</v>
      </c>
      <c r="O706" s="215">
        <v>0</v>
      </c>
      <c r="P706" s="215">
        <v>0</v>
      </c>
      <c r="Q706" s="215">
        <v>0</v>
      </c>
    </row>
    <row r="707" spans="2:17" x14ac:dyDescent="0.3">
      <c r="B707" s="259">
        <f t="shared" si="10"/>
        <v>0</v>
      </c>
      <c r="D707" s="2" t="s">
        <v>761</v>
      </c>
      <c r="E707" s="215">
        <v>0</v>
      </c>
      <c r="F707" s="215">
        <v>0</v>
      </c>
      <c r="G707" s="215">
        <v>0</v>
      </c>
      <c r="H707" s="215">
        <v>0</v>
      </c>
      <c r="I707" s="215">
        <v>0</v>
      </c>
      <c r="J707" s="215">
        <v>0</v>
      </c>
      <c r="K707" s="215">
        <v>0</v>
      </c>
      <c r="L707" s="215">
        <v>0</v>
      </c>
      <c r="M707" s="215">
        <v>0</v>
      </c>
      <c r="N707" s="215">
        <v>0</v>
      </c>
      <c r="O707" s="215">
        <v>0</v>
      </c>
      <c r="P707" s="215">
        <v>0</v>
      </c>
      <c r="Q707" s="215">
        <v>0</v>
      </c>
    </row>
    <row r="708" spans="2:17" x14ac:dyDescent="0.3">
      <c r="B708" s="259">
        <f t="shared" si="10"/>
        <v>8279.9900000000034</v>
      </c>
      <c r="D708" s="2" t="s">
        <v>1538</v>
      </c>
      <c r="E708" s="215">
        <v>8279.9900000000016</v>
      </c>
      <c r="F708" s="215">
        <v>8279.9900000000016</v>
      </c>
      <c r="G708" s="215">
        <v>8279.9900000000016</v>
      </c>
      <c r="H708" s="215">
        <v>8279.9900000000016</v>
      </c>
      <c r="I708" s="215">
        <v>8279.9900000000016</v>
      </c>
      <c r="J708" s="215">
        <v>8279.9900000000016</v>
      </c>
      <c r="K708" s="215">
        <v>8279.9900000000016</v>
      </c>
      <c r="L708" s="215">
        <v>8279.9900000000016</v>
      </c>
      <c r="M708" s="215">
        <v>8279.9900000000016</v>
      </c>
      <c r="N708" s="215">
        <v>8279.9900000000016</v>
      </c>
      <c r="O708" s="215">
        <v>8279.9900000000016</v>
      </c>
      <c r="P708" s="215">
        <v>8279.9900000000016</v>
      </c>
      <c r="Q708" s="215">
        <v>8279.9900000000016</v>
      </c>
    </row>
    <row r="709" spans="2:17" x14ac:dyDescent="0.3">
      <c r="B709" s="259">
        <f t="shared" si="10"/>
        <v>105740.5</v>
      </c>
      <c r="D709" s="2" t="s">
        <v>763</v>
      </c>
      <c r="E709" s="215">
        <v>105740.5</v>
      </c>
      <c r="F709" s="215">
        <v>105740.5</v>
      </c>
      <c r="G709" s="215">
        <v>105740.5</v>
      </c>
      <c r="H709" s="215">
        <v>105740.5</v>
      </c>
      <c r="I709" s="215">
        <v>105740.5</v>
      </c>
      <c r="J709" s="215">
        <v>105740.5</v>
      </c>
      <c r="K709" s="215">
        <v>105740.5</v>
      </c>
      <c r="L709" s="215">
        <v>105740.5</v>
      </c>
      <c r="M709" s="215">
        <v>105740.5</v>
      </c>
      <c r="N709" s="215">
        <v>105740.5</v>
      </c>
      <c r="O709" s="215">
        <v>105740.5</v>
      </c>
      <c r="P709" s="215">
        <v>105740.5</v>
      </c>
      <c r="Q709" s="215">
        <v>105740.5</v>
      </c>
    </row>
    <row r="710" spans="2:17" x14ac:dyDescent="0.3">
      <c r="B710" s="259">
        <f t="shared" si="10"/>
        <v>0</v>
      </c>
      <c r="D710" s="2" t="s">
        <v>1539</v>
      </c>
      <c r="E710" s="215">
        <v>0</v>
      </c>
      <c r="F710" s="215">
        <v>0</v>
      </c>
      <c r="G710" s="215">
        <v>0</v>
      </c>
      <c r="H710" s="215">
        <v>0</v>
      </c>
      <c r="I710" s="215">
        <v>0</v>
      </c>
      <c r="J710" s="215">
        <v>0</v>
      </c>
      <c r="K710" s="215">
        <v>0</v>
      </c>
      <c r="L710" s="215">
        <v>0</v>
      </c>
      <c r="M710" s="215">
        <v>0</v>
      </c>
      <c r="N710" s="215">
        <v>0</v>
      </c>
      <c r="O710" s="215">
        <v>0</v>
      </c>
      <c r="P710" s="215">
        <v>0</v>
      </c>
      <c r="Q710" s="215">
        <v>0</v>
      </c>
    </row>
    <row r="711" spans="2:17" x14ac:dyDescent="0.3">
      <c r="B711" s="259">
        <f t="shared" ref="B711:B746" si="11">(E711+Q711+SUM(F711:P711)*2)/24</f>
        <v>382804.91000000009</v>
      </c>
      <c r="D711" s="2" t="s">
        <v>765</v>
      </c>
      <c r="E711" s="215">
        <v>382804.91000000003</v>
      </c>
      <c r="F711" s="215">
        <v>382804.91000000003</v>
      </c>
      <c r="G711" s="215">
        <v>382804.91000000003</v>
      </c>
      <c r="H711" s="215">
        <v>382804.91000000003</v>
      </c>
      <c r="I711" s="215">
        <v>382804.91000000003</v>
      </c>
      <c r="J711" s="215">
        <v>382804.91000000003</v>
      </c>
      <c r="K711" s="215">
        <v>382804.91000000003</v>
      </c>
      <c r="L711" s="215">
        <v>382804.91000000003</v>
      </c>
      <c r="M711" s="215">
        <v>382804.91000000003</v>
      </c>
      <c r="N711" s="215">
        <v>382804.91000000003</v>
      </c>
      <c r="O711" s="215">
        <v>382804.91000000003</v>
      </c>
      <c r="P711" s="215">
        <v>382804.91000000003</v>
      </c>
      <c r="Q711" s="215">
        <v>382804.91000000003</v>
      </c>
    </row>
    <row r="712" spans="2:17" x14ac:dyDescent="0.3">
      <c r="B712" s="259">
        <f t="shared" si="11"/>
        <v>277146.53916666668</v>
      </c>
      <c r="D712" s="2" t="s">
        <v>801</v>
      </c>
      <c r="E712" s="215">
        <v>0</v>
      </c>
      <c r="F712" s="215">
        <v>0</v>
      </c>
      <c r="G712" s="215">
        <v>0</v>
      </c>
      <c r="H712" s="215">
        <v>0</v>
      </c>
      <c r="I712" s="215">
        <v>11651.21</v>
      </c>
      <c r="J712" s="215">
        <v>24415.46</v>
      </c>
      <c r="K712" s="215">
        <v>187457.24</v>
      </c>
      <c r="L712" s="215">
        <v>280511.38</v>
      </c>
      <c r="M712" s="215">
        <v>433390.77</v>
      </c>
      <c r="N712" s="215">
        <v>500640.77999999997</v>
      </c>
      <c r="O712" s="215">
        <v>607720.55000000005</v>
      </c>
      <c r="P712" s="215">
        <v>781840.14</v>
      </c>
      <c r="Q712" s="215">
        <v>996261.87999999989</v>
      </c>
    </row>
    <row r="713" spans="2:17" x14ac:dyDescent="0.3">
      <c r="B713" s="259">
        <f t="shared" si="11"/>
        <v>2061746.6195833336</v>
      </c>
      <c r="D713" s="2" t="s">
        <v>958</v>
      </c>
      <c r="E713" s="215">
        <v>1294239.2399999998</v>
      </c>
      <c r="F713" s="215">
        <v>1317613.3699999996</v>
      </c>
      <c r="G713" s="215">
        <v>1331579.3699999996</v>
      </c>
      <c r="H713" s="215">
        <v>1461063.6799999997</v>
      </c>
      <c r="I713" s="215">
        <v>1932031.2899999996</v>
      </c>
      <c r="J713" s="215">
        <v>1939093.8599999996</v>
      </c>
      <c r="K713" s="215">
        <v>2157262.4599999995</v>
      </c>
      <c r="L713" s="215">
        <v>2530179.7299999995</v>
      </c>
      <c r="M713" s="215">
        <v>2534783.58</v>
      </c>
      <c r="N713" s="215">
        <v>2537250.77</v>
      </c>
      <c r="O713" s="215">
        <v>2539516.8699999996</v>
      </c>
      <c r="P713" s="215">
        <v>2540377.7599999998</v>
      </c>
      <c r="Q713" s="215">
        <v>2546174.15</v>
      </c>
    </row>
    <row r="714" spans="2:17" x14ac:dyDescent="0.3">
      <c r="B714" s="259">
        <f t="shared" si="11"/>
        <v>0</v>
      </c>
      <c r="D714" s="2" t="s">
        <v>1540</v>
      </c>
      <c r="E714" s="215">
        <v>0</v>
      </c>
      <c r="F714" s="215">
        <v>0</v>
      </c>
      <c r="G714" s="215">
        <v>0</v>
      </c>
      <c r="H714" s="215">
        <v>0</v>
      </c>
      <c r="I714" s="215">
        <v>0</v>
      </c>
      <c r="J714" s="215">
        <v>0</v>
      </c>
      <c r="K714" s="215">
        <v>0</v>
      </c>
      <c r="L714" s="215">
        <v>0</v>
      </c>
      <c r="M714" s="215">
        <v>0</v>
      </c>
      <c r="N714" s="215">
        <v>0</v>
      </c>
      <c r="O714" s="215">
        <v>0</v>
      </c>
      <c r="P714" s="215">
        <v>0</v>
      </c>
      <c r="Q714" s="215">
        <v>0</v>
      </c>
    </row>
    <row r="715" spans="2:17" x14ac:dyDescent="0.3">
      <c r="B715" s="259">
        <f t="shared" si="11"/>
        <v>0</v>
      </c>
      <c r="D715" s="2" t="s">
        <v>787</v>
      </c>
      <c r="E715" s="215">
        <v>0</v>
      </c>
      <c r="F715" s="215">
        <v>0</v>
      </c>
      <c r="G715" s="215">
        <v>0</v>
      </c>
      <c r="H715" s="215">
        <v>0</v>
      </c>
      <c r="I715" s="215">
        <v>0</v>
      </c>
      <c r="J715" s="215">
        <v>0</v>
      </c>
      <c r="K715" s="215">
        <v>0</v>
      </c>
      <c r="L715" s="215">
        <v>0</v>
      </c>
      <c r="M715" s="215">
        <v>0</v>
      </c>
      <c r="N715" s="215">
        <v>0</v>
      </c>
      <c r="O715" s="215">
        <v>0</v>
      </c>
      <c r="P715" s="215">
        <v>0</v>
      </c>
      <c r="Q715" s="215">
        <v>0</v>
      </c>
    </row>
    <row r="716" spans="2:17" x14ac:dyDescent="0.3">
      <c r="B716" s="259">
        <f t="shared" si="11"/>
        <v>0</v>
      </c>
      <c r="D716" s="2" t="s">
        <v>799</v>
      </c>
      <c r="E716" s="215">
        <v>0</v>
      </c>
      <c r="F716" s="215">
        <v>0</v>
      </c>
      <c r="G716" s="215">
        <v>0</v>
      </c>
      <c r="H716" s="215">
        <v>0</v>
      </c>
      <c r="I716" s="215">
        <v>0</v>
      </c>
      <c r="J716" s="215">
        <v>0</v>
      </c>
      <c r="K716" s="215">
        <v>0</v>
      </c>
      <c r="L716" s="215">
        <v>0</v>
      </c>
      <c r="M716" s="215">
        <v>0</v>
      </c>
      <c r="N716" s="215">
        <v>0</v>
      </c>
      <c r="O716" s="215">
        <v>0</v>
      </c>
      <c r="P716" s="215">
        <v>0</v>
      </c>
      <c r="Q716" s="215">
        <v>0</v>
      </c>
    </row>
    <row r="717" spans="2:17" x14ac:dyDescent="0.3">
      <c r="B717" s="259">
        <f t="shared" si="11"/>
        <v>7396.5558333333356</v>
      </c>
      <c r="D717" s="2" t="s">
        <v>1066</v>
      </c>
      <c r="E717" s="215">
        <v>0</v>
      </c>
      <c r="F717" s="215">
        <v>0</v>
      </c>
      <c r="G717" s="215">
        <v>0</v>
      </c>
      <c r="H717" s="215">
        <v>851.63000000000011</v>
      </c>
      <c r="I717" s="215">
        <v>9646.3100000000013</v>
      </c>
      <c r="J717" s="215">
        <v>9646.3100000000013</v>
      </c>
      <c r="K717" s="215">
        <v>10290.620000000001</v>
      </c>
      <c r="L717" s="215">
        <v>10290.620000000001</v>
      </c>
      <c r="M717" s="215">
        <v>10674.04</v>
      </c>
      <c r="N717" s="215">
        <v>10674.04</v>
      </c>
      <c r="O717" s="215">
        <v>10674.04</v>
      </c>
      <c r="P717" s="215">
        <v>10674.04</v>
      </c>
      <c r="Q717" s="215">
        <v>10674.04</v>
      </c>
    </row>
    <row r="718" spans="2:17" x14ac:dyDescent="0.3">
      <c r="B718" s="259">
        <f t="shared" si="11"/>
        <v>0</v>
      </c>
      <c r="D718" s="2" t="s">
        <v>1541</v>
      </c>
      <c r="E718" s="215">
        <v>0</v>
      </c>
      <c r="F718" s="215">
        <v>0</v>
      </c>
      <c r="G718" s="215">
        <v>0</v>
      </c>
      <c r="H718" s="215">
        <v>0</v>
      </c>
      <c r="I718" s="215">
        <v>0</v>
      </c>
      <c r="J718" s="215">
        <v>0</v>
      </c>
      <c r="K718" s="215">
        <v>0</v>
      </c>
      <c r="L718" s="215">
        <v>0</v>
      </c>
      <c r="M718" s="215">
        <v>0</v>
      </c>
      <c r="N718" s="215">
        <v>0</v>
      </c>
      <c r="O718" s="215">
        <v>0</v>
      </c>
      <c r="P718" s="215">
        <v>0</v>
      </c>
      <c r="Q718" s="215">
        <v>0</v>
      </c>
    </row>
    <row r="719" spans="2:17" x14ac:dyDescent="0.3">
      <c r="B719" s="259">
        <f t="shared" si="11"/>
        <v>43706.510833333334</v>
      </c>
      <c r="D719" s="2" t="s">
        <v>960</v>
      </c>
      <c r="E719" s="215">
        <v>0</v>
      </c>
      <c r="F719" s="215">
        <v>0</v>
      </c>
      <c r="G719" s="215">
        <v>0</v>
      </c>
      <c r="H719" s="215">
        <v>0</v>
      </c>
      <c r="I719" s="215">
        <v>0</v>
      </c>
      <c r="J719" s="215">
        <v>0</v>
      </c>
      <c r="K719" s="215">
        <v>0</v>
      </c>
      <c r="L719" s="215">
        <v>0</v>
      </c>
      <c r="M719" s="215">
        <v>3046.2999999999997</v>
      </c>
      <c r="N719" s="215">
        <v>3046.2999999999997</v>
      </c>
      <c r="O719" s="215">
        <v>3046.2999999999997</v>
      </c>
      <c r="P719" s="215">
        <v>3046.2999999999997</v>
      </c>
      <c r="Q719" s="215">
        <v>1024585.86</v>
      </c>
    </row>
    <row r="720" spans="2:17" x14ac:dyDescent="0.3">
      <c r="B720" s="259">
        <f t="shared" si="11"/>
        <v>506294.4120833333</v>
      </c>
      <c r="D720" s="2" t="s">
        <v>768</v>
      </c>
      <c r="E720" s="215">
        <v>458640.08999999991</v>
      </c>
      <c r="F720" s="215">
        <v>467422.1</v>
      </c>
      <c r="G720" s="215">
        <v>467893.17999999993</v>
      </c>
      <c r="H720" s="215">
        <v>479366.3899999999</v>
      </c>
      <c r="I720" s="215">
        <v>488196.73999999987</v>
      </c>
      <c r="J720" s="215">
        <v>489189.99999999988</v>
      </c>
      <c r="K720" s="215">
        <v>489189.99999999988</v>
      </c>
      <c r="L720" s="215">
        <v>519311.08999999991</v>
      </c>
      <c r="M720" s="215">
        <v>534149.28999999992</v>
      </c>
      <c r="N720" s="215">
        <v>545076.19999999995</v>
      </c>
      <c r="O720" s="215">
        <v>545076.19999999995</v>
      </c>
      <c r="P720" s="215">
        <v>546327.39</v>
      </c>
      <c r="Q720" s="215">
        <v>550028.6399999999</v>
      </c>
    </row>
    <row r="721" spans="2:17" x14ac:dyDescent="0.3">
      <c r="B721" s="259">
        <f t="shared" si="11"/>
        <v>0</v>
      </c>
      <c r="D721" s="2" t="s">
        <v>1542</v>
      </c>
      <c r="E721" s="215">
        <v>0</v>
      </c>
      <c r="F721" s="215">
        <v>0</v>
      </c>
      <c r="G721" s="215">
        <v>0</v>
      </c>
      <c r="H721" s="215">
        <v>0</v>
      </c>
      <c r="I721" s="215">
        <v>0</v>
      </c>
      <c r="J721" s="215">
        <v>0</v>
      </c>
      <c r="K721" s="215">
        <v>0</v>
      </c>
      <c r="L721" s="215">
        <v>0</v>
      </c>
      <c r="M721" s="215">
        <v>0</v>
      </c>
      <c r="N721" s="215">
        <v>0</v>
      </c>
      <c r="O721" s="215">
        <v>0</v>
      </c>
      <c r="P721" s="215">
        <v>0</v>
      </c>
      <c r="Q721" s="215">
        <v>0</v>
      </c>
    </row>
    <row r="722" spans="2:17" x14ac:dyDescent="0.3">
      <c r="B722" s="259">
        <f t="shared" si="11"/>
        <v>0</v>
      </c>
      <c r="D722" s="2" t="s">
        <v>1543</v>
      </c>
      <c r="E722" s="215">
        <v>0</v>
      </c>
      <c r="F722" s="215">
        <v>0</v>
      </c>
      <c r="G722" s="215">
        <v>0</v>
      </c>
      <c r="H722" s="215">
        <v>0</v>
      </c>
      <c r="I722" s="215">
        <v>0</v>
      </c>
      <c r="J722" s="215">
        <v>0</v>
      </c>
      <c r="K722" s="215">
        <v>0</v>
      </c>
      <c r="L722" s="215">
        <v>0</v>
      </c>
      <c r="M722" s="215">
        <v>0</v>
      </c>
      <c r="N722" s="215">
        <v>0</v>
      </c>
      <c r="O722" s="215">
        <v>0</v>
      </c>
      <c r="P722" s="215">
        <v>0</v>
      </c>
      <c r="Q722" s="215">
        <v>0</v>
      </c>
    </row>
    <row r="723" spans="2:17" x14ac:dyDescent="0.3">
      <c r="B723" s="259">
        <f t="shared" si="11"/>
        <v>0</v>
      </c>
      <c r="D723" s="2" t="s">
        <v>1544</v>
      </c>
      <c r="E723" s="215">
        <v>0</v>
      </c>
      <c r="F723" s="215">
        <v>0</v>
      </c>
      <c r="G723" s="215">
        <v>0</v>
      </c>
      <c r="H723" s="215">
        <v>0</v>
      </c>
      <c r="I723" s="215">
        <v>0</v>
      </c>
      <c r="J723" s="215">
        <v>0</v>
      </c>
      <c r="K723" s="215">
        <v>0</v>
      </c>
      <c r="L723" s="215">
        <v>0</v>
      </c>
      <c r="M723" s="215">
        <v>0</v>
      </c>
      <c r="N723" s="215">
        <v>0</v>
      </c>
      <c r="O723" s="215">
        <v>0</v>
      </c>
      <c r="P723" s="215">
        <v>0</v>
      </c>
      <c r="Q723" s="215">
        <v>0</v>
      </c>
    </row>
    <row r="724" spans="2:17" x14ac:dyDescent="0.3">
      <c r="B724" s="259">
        <f t="shared" si="11"/>
        <v>0</v>
      </c>
      <c r="D724" s="2" t="s">
        <v>1545</v>
      </c>
      <c r="E724" s="215">
        <v>0</v>
      </c>
      <c r="F724" s="215">
        <v>0</v>
      </c>
      <c r="G724" s="215">
        <v>0</v>
      </c>
      <c r="H724" s="215">
        <v>0</v>
      </c>
      <c r="I724" s="215">
        <v>0</v>
      </c>
      <c r="J724" s="215">
        <v>0</v>
      </c>
      <c r="K724" s="215">
        <v>0</v>
      </c>
      <c r="L724" s="215">
        <v>0</v>
      </c>
      <c r="M724" s="215">
        <v>0</v>
      </c>
      <c r="N724" s="215">
        <v>0</v>
      </c>
      <c r="O724" s="215">
        <v>0</v>
      </c>
      <c r="P724" s="215">
        <v>0</v>
      </c>
      <c r="Q724" s="215">
        <v>0</v>
      </c>
    </row>
    <row r="725" spans="2:17" x14ac:dyDescent="0.3">
      <c r="B725" s="259">
        <f t="shared" si="11"/>
        <v>0</v>
      </c>
      <c r="D725" s="2" t="s">
        <v>1546</v>
      </c>
      <c r="E725" s="215">
        <v>0</v>
      </c>
      <c r="F725" s="215">
        <v>0</v>
      </c>
      <c r="G725" s="215">
        <v>0</v>
      </c>
      <c r="H725" s="215">
        <v>0</v>
      </c>
      <c r="I725" s="215">
        <v>0</v>
      </c>
      <c r="J725" s="215">
        <v>0</v>
      </c>
      <c r="K725" s="215">
        <v>0</v>
      </c>
      <c r="L725" s="215">
        <v>0</v>
      </c>
      <c r="M725" s="215">
        <v>0</v>
      </c>
      <c r="N725" s="215">
        <v>0</v>
      </c>
      <c r="O725" s="215">
        <v>0</v>
      </c>
      <c r="P725" s="215">
        <v>0</v>
      </c>
      <c r="Q725" s="215">
        <v>0</v>
      </c>
    </row>
    <row r="726" spans="2:17" x14ac:dyDescent="0.3">
      <c r="B726" s="259">
        <f t="shared" si="11"/>
        <v>0</v>
      </c>
      <c r="D726" s="2" t="s">
        <v>1547</v>
      </c>
      <c r="E726" s="215">
        <v>0</v>
      </c>
      <c r="F726" s="215">
        <v>0</v>
      </c>
      <c r="G726" s="215">
        <v>0</v>
      </c>
      <c r="H726" s="215">
        <v>0</v>
      </c>
      <c r="I726" s="215">
        <v>0</v>
      </c>
      <c r="J726" s="215">
        <v>0</v>
      </c>
      <c r="K726" s="215">
        <v>0</v>
      </c>
      <c r="L726" s="215">
        <v>0</v>
      </c>
      <c r="M726" s="215">
        <v>0</v>
      </c>
      <c r="N726" s="215">
        <v>0</v>
      </c>
      <c r="O726" s="215">
        <v>0</v>
      </c>
      <c r="P726" s="215">
        <v>0</v>
      </c>
      <c r="Q726" s="215">
        <v>0</v>
      </c>
    </row>
    <row r="727" spans="2:17" x14ac:dyDescent="0.3">
      <c r="B727" s="259">
        <f t="shared" si="11"/>
        <v>0</v>
      </c>
      <c r="D727" s="2" t="s">
        <v>1548</v>
      </c>
      <c r="E727" s="215">
        <v>0</v>
      </c>
      <c r="F727" s="215">
        <v>0</v>
      </c>
      <c r="G727" s="215">
        <v>0</v>
      </c>
      <c r="H727" s="215">
        <v>0</v>
      </c>
      <c r="I727" s="215">
        <v>0</v>
      </c>
      <c r="J727" s="215">
        <v>0</v>
      </c>
      <c r="K727" s="215">
        <v>0</v>
      </c>
      <c r="L727" s="215">
        <v>0</v>
      </c>
      <c r="M727" s="215">
        <v>0</v>
      </c>
      <c r="N727" s="215">
        <v>0</v>
      </c>
      <c r="O727" s="215">
        <v>0</v>
      </c>
      <c r="P727" s="215">
        <v>0</v>
      </c>
      <c r="Q727" s="215">
        <v>0</v>
      </c>
    </row>
    <row r="728" spans="2:17" x14ac:dyDescent="0.3">
      <c r="B728" s="259">
        <f t="shared" si="11"/>
        <v>0</v>
      </c>
      <c r="D728" s="2" t="s">
        <v>1549</v>
      </c>
      <c r="E728" s="215">
        <v>0</v>
      </c>
      <c r="F728" s="215">
        <v>0</v>
      </c>
      <c r="G728" s="215">
        <v>0</v>
      </c>
      <c r="H728" s="215">
        <v>0</v>
      </c>
      <c r="I728" s="215">
        <v>0</v>
      </c>
      <c r="J728" s="215">
        <v>0</v>
      </c>
      <c r="K728" s="215">
        <v>0</v>
      </c>
      <c r="L728" s="215">
        <v>0</v>
      </c>
      <c r="M728" s="215">
        <v>0</v>
      </c>
      <c r="N728" s="215">
        <v>0</v>
      </c>
      <c r="O728" s="215">
        <v>0</v>
      </c>
      <c r="P728" s="215">
        <v>0</v>
      </c>
      <c r="Q728" s="215">
        <v>0</v>
      </c>
    </row>
    <row r="729" spans="2:17" x14ac:dyDescent="0.3">
      <c r="B729" s="259">
        <f t="shared" si="11"/>
        <v>0</v>
      </c>
      <c r="D729" s="2" t="s">
        <v>1550</v>
      </c>
      <c r="E729" s="215">
        <v>0</v>
      </c>
      <c r="F729" s="215">
        <v>0</v>
      </c>
      <c r="G729" s="215">
        <v>0</v>
      </c>
      <c r="H729" s="215">
        <v>0</v>
      </c>
      <c r="I729" s="215">
        <v>0</v>
      </c>
      <c r="J729" s="215">
        <v>0</v>
      </c>
      <c r="K729" s="215">
        <v>0</v>
      </c>
      <c r="L729" s="215">
        <v>0</v>
      </c>
      <c r="M729" s="215">
        <v>0</v>
      </c>
      <c r="N729" s="215">
        <v>0</v>
      </c>
      <c r="O729" s="215">
        <v>0</v>
      </c>
      <c r="P729" s="215">
        <v>0</v>
      </c>
      <c r="Q729" s="215">
        <v>0</v>
      </c>
    </row>
    <row r="730" spans="2:17" x14ac:dyDescent="0.3">
      <c r="B730" s="259">
        <f t="shared" si="11"/>
        <v>0</v>
      </c>
      <c r="D730" s="2" t="s">
        <v>1551</v>
      </c>
      <c r="E730" s="215">
        <v>0</v>
      </c>
      <c r="F730" s="215">
        <v>0</v>
      </c>
      <c r="G730" s="215">
        <v>0</v>
      </c>
      <c r="H730" s="215">
        <v>0</v>
      </c>
      <c r="I730" s="215">
        <v>0</v>
      </c>
      <c r="J730" s="215">
        <v>0</v>
      </c>
      <c r="K730" s="215">
        <v>0</v>
      </c>
      <c r="L730" s="215">
        <v>0</v>
      </c>
      <c r="M730" s="215">
        <v>0</v>
      </c>
      <c r="N730" s="215">
        <v>0</v>
      </c>
      <c r="O730" s="215">
        <v>0</v>
      </c>
      <c r="P730" s="215">
        <v>0</v>
      </c>
      <c r="Q730" s="215">
        <v>0</v>
      </c>
    </row>
    <row r="731" spans="2:17" x14ac:dyDescent="0.3">
      <c r="B731" s="259">
        <f t="shared" si="11"/>
        <v>0</v>
      </c>
      <c r="D731" s="2" t="s">
        <v>1552</v>
      </c>
      <c r="E731" s="215">
        <v>0</v>
      </c>
      <c r="F731" s="215">
        <v>0</v>
      </c>
      <c r="G731" s="215">
        <v>0</v>
      </c>
      <c r="H731" s="215">
        <v>0</v>
      </c>
      <c r="I731" s="215">
        <v>0</v>
      </c>
      <c r="J731" s="215">
        <v>0</v>
      </c>
      <c r="K731" s="215">
        <v>0</v>
      </c>
      <c r="L731" s="215">
        <v>0</v>
      </c>
      <c r="M731" s="215">
        <v>0</v>
      </c>
      <c r="N731" s="215">
        <v>0</v>
      </c>
      <c r="O731" s="215">
        <v>0</v>
      </c>
      <c r="P731" s="215">
        <v>0</v>
      </c>
      <c r="Q731" s="215">
        <v>0</v>
      </c>
    </row>
    <row r="732" spans="2:17" x14ac:dyDescent="0.3">
      <c r="B732" s="259">
        <f t="shared" si="11"/>
        <v>0</v>
      </c>
      <c r="D732" s="2" t="s">
        <v>1553</v>
      </c>
      <c r="E732" s="215">
        <v>0</v>
      </c>
      <c r="F732" s="215">
        <v>0</v>
      </c>
      <c r="G732" s="215">
        <v>0</v>
      </c>
      <c r="H732" s="215">
        <v>0</v>
      </c>
      <c r="I732" s="215">
        <v>0</v>
      </c>
      <c r="J732" s="215">
        <v>0</v>
      </c>
      <c r="K732" s="215">
        <v>0</v>
      </c>
      <c r="L732" s="215">
        <v>0</v>
      </c>
      <c r="M732" s="215">
        <v>0</v>
      </c>
      <c r="N732" s="215">
        <v>0</v>
      </c>
      <c r="O732" s="215">
        <v>0</v>
      </c>
      <c r="P732" s="215">
        <v>0</v>
      </c>
      <c r="Q732" s="215">
        <v>0</v>
      </c>
    </row>
    <row r="733" spans="2:17" x14ac:dyDescent="0.3">
      <c r="B733" s="259">
        <f t="shared" si="11"/>
        <v>0</v>
      </c>
      <c r="D733" s="2" t="s">
        <v>1554</v>
      </c>
      <c r="E733" s="215">
        <v>0</v>
      </c>
      <c r="F733" s="215">
        <v>0</v>
      </c>
      <c r="G733" s="215">
        <v>0</v>
      </c>
      <c r="H733" s="215">
        <v>0</v>
      </c>
      <c r="I733" s="215">
        <v>0</v>
      </c>
      <c r="J733" s="215">
        <v>0</v>
      </c>
      <c r="K733" s="215">
        <v>0</v>
      </c>
      <c r="L733" s="215">
        <v>0</v>
      </c>
      <c r="M733" s="215">
        <v>0</v>
      </c>
      <c r="N733" s="215">
        <v>0</v>
      </c>
      <c r="O733" s="215">
        <v>0</v>
      </c>
      <c r="P733" s="215">
        <v>0</v>
      </c>
      <c r="Q733" s="215">
        <v>0</v>
      </c>
    </row>
    <row r="734" spans="2:17" x14ac:dyDescent="0.3">
      <c r="B734" s="259">
        <f t="shared" si="11"/>
        <v>3767378.2733333334</v>
      </c>
      <c r="D734" s="2" t="s">
        <v>770</v>
      </c>
      <c r="E734" s="215">
        <v>2296489.86</v>
      </c>
      <c r="F734" s="215">
        <v>2352050.7000000002</v>
      </c>
      <c r="G734" s="215">
        <v>2951865.53</v>
      </c>
      <c r="H734" s="215">
        <v>2984045.3000000003</v>
      </c>
      <c r="I734" s="215">
        <v>3287597.0799999996</v>
      </c>
      <c r="J734" s="215">
        <v>4016902.7299999995</v>
      </c>
      <c r="K734" s="215">
        <v>3850723.4099999997</v>
      </c>
      <c r="L734" s="215">
        <v>3795630.1799999997</v>
      </c>
      <c r="M734" s="215">
        <v>3997751.2899999996</v>
      </c>
      <c r="N734" s="215">
        <v>4625776.3899999997</v>
      </c>
      <c r="O734" s="215">
        <v>4661190.0599999996</v>
      </c>
      <c r="P734" s="215">
        <v>5002854.5599999996</v>
      </c>
      <c r="Q734" s="215">
        <v>5067814.2399999993</v>
      </c>
    </row>
    <row r="735" spans="2:17" x14ac:dyDescent="0.3">
      <c r="B735" s="259">
        <f t="shared" si="11"/>
        <v>1499830.2241666664</v>
      </c>
      <c r="D735" s="2" t="s">
        <v>772</v>
      </c>
      <c r="E735" s="215">
        <v>1336724.8999999999</v>
      </c>
      <c r="F735" s="215">
        <v>1359015.3199999998</v>
      </c>
      <c r="G735" s="215">
        <v>1387051.18</v>
      </c>
      <c r="H735" s="215">
        <v>1392918.77</v>
      </c>
      <c r="I735" s="215">
        <v>1408128.1599999997</v>
      </c>
      <c r="J735" s="215">
        <v>1420512.5</v>
      </c>
      <c r="K735" s="215">
        <v>1435589.02</v>
      </c>
      <c r="L735" s="215">
        <v>1443873.07</v>
      </c>
      <c r="M735" s="215">
        <v>1467330.5999999999</v>
      </c>
      <c r="N735" s="215">
        <v>1473053.19</v>
      </c>
      <c r="O735" s="215">
        <v>1482191.1600000001</v>
      </c>
      <c r="P735" s="215">
        <v>1484925.7700000003</v>
      </c>
      <c r="Q735" s="215">
        <v>3150023.0000000005</v>
      </c>
    </row>
    <row r="736" spans="2:17" x14ac:dyDescent="0.3">
      <c r="B736" s="259">
        <f t="shared" si="11"/>
        <v>3346338.7329166676</v>
      </c>
      <c r="D736" s="2" t="s">
        <v>774</v>
      </c>
      <c r="E736" s="215">
        <v>1617272.27</v>
      </c>
      <c r="F736" s="215">
        <v>2483014.1700000004</v>
      </c>
      <c r="G736" s="215">
        <v>2706420.9600000004</v>
      </c>
      <c r="H736" s="215">
        <v>2800688.8800000004</v>
      </c>
      <c r="I736" s="215">
        <v>3084403.2800000003</v>
      </c>
      <c r="J736" s="215">
        <v>3141807.4200000004</v>
      </c>
      <c r="K736" s="215">
        <v>3325259.35</v>
      </c>
      <c r="L736" s="215">
        <v>3463423.87</v>
      </c>
      <c r="M736" s="215">
        <v>3738606.07</v>
      </c>
      <c r="N736" s="215">
        <v>4024670.7600000002</v>
      </c>
      <c r="O736" s="215">
        <v>4112295.0500000003</v>
      </c>
      <c r="P736" s="215">
        <v>4160661.36</v>
      </c>
      <c r="Q736" s="215">
        <v>4612354.9800000004</v>
      </c>
    </row>
    <row r="737" spans="2:18" x14ac:dyDescent="0.3">
      <c r="B737" s="259">
        <f t="shared" si="11"/>
        <v>3624502.8591666664</v>
      </c>
      <c r="D737" s="2" t="s">
        <v>776</v>
      </c>
      <c r="E737" s="215">
        <v>2702727.8899999997</v>
      </c>
      <c r="F737" s="215">
        <v>2516158.09</v>
      </c>
      <c r="G737" s="215">
        <v>1606136.17</v>
      </c>
      <c r="H737" s="215">
        <v>1557137.9299999997</v>
      </c>
      <c r="I737" s="215">
        <v>2728763.0199999996</v>
      </c>
      <c r="J737" s="215">
        <v>3523088.7299999995</v>
      </c>
      <c r="K737" s="215">
        <v>4341408.62</v>
      </c>
      <c r="L737" s="215">
        <v>4452167.84</v>
      </c>
      <c r="M737" s="215">
        <v>4720549.8899999997</v>
      </c>
      <c r="N737" s="215">
        <v>4681190.3699999992</v>
      </c>
      <c r="O737" s="215">
        <v>5217587.38</v>
      </c>
      <c r="P737" s="215">
        <v>5035755.79</v>
      </c>
      <c r="Q737" s="215">
        <v>3525453.07</v>
      </c>
    </row>
    <row r="738" spans="2:18" x14ac:dyDescent="0.3">
      <c r="B738" s="259">
        <f t="shared" si="11"/>
        <v>9261.4049999999825</v>
      </c>
      <c r="D738" s="2" t="s">
        <v>778</v>
      </c>
      <c r="E738" s="215">
        <v>144034.18</v>
      </c>
      <c r="F738" s="215">
        <v>3329.9799999999814</v>
      </c>
      <c r="G738" s="215">
        <v>3329.9799999999814</v>
      </c>
      <c r="H738" s="215">
        <v>3329.9799999999814</v>
      </c>
      <c r="I738" s="215">
        <v>3329.9799999999814</v>
      </c>
      <c r="J738" s="215">
        <v>3329.9799999999814</v>
      </c>
      <c r="K738" s="215">
        <v>3329.9799999999814</v>
      </c>
      <c r="L738" s="215">
        <v>3329.9799999999814</v>
      </c>
      <c r="M738" s="215">
        <v>3329.9799999999814</v>
      </c>
      <c r="N738" s="215">
        <v>3329.9799999999814</v>
      </c>
      <c r="O738" s="215">
        <v>3329.9799999999814</v>
      </c>
      <c r="P738" s="215">
        <v>3879.9799999999814</v>
      </c>
      <c r="Q738" s="215">
        <v>3879.9799999999814</v>
      </c>
    </row>
    <row r="739" spans="2:18" x14ac:dyDescent="0.3">
      <c r="B739" s="259">
        <f t="shared" si="11"/>
        <v>0</v>
      </c>
      <c r="D739" s="2" t="s">
        <v>1555</v>
      </c>
      <c r="E739" s="215">
        <v>0</v>
      </c>
      <c r="F739" s="215">
        <v>0</v>
      </c>
      <c r="G739" s="215">
        <v>0</v>
      </c>
      <c r="H739" s="215">
        <v>0</v>
      </c>
      <c r="I739" s="215">
        <v>0</v>
      </c>
      <c r="J739" s="215">
        <v>0</v>
      </c>
      <c r="K739" s="215">
        <v>0</v>
      </c>
      <c r="L739" s="215">
        <v>0</v>
      </c>
      <c r="M739" s="215">
        <v>0</v>
      </c>
      <c r="N739" s="215">
        <v>0</v>
      </c>
      <c r="O739" s="215">
        <v>0</v>
      </c>
      <c r="P739" s="215">
        <v>0</v>
      </c>
      <c r="Q739" s="215">
        <v>0</v>
      </c>
    </row>
    <row r="740" spans="2:18" x14ac:dyDescent="0.3">
      <c r="B740" s="259">
        <f t="shared" si="11"/>
        <v>2878547.9120833329</v>
      </c>
      <c r="D740" s="2" t="s">
        <v>780</v>
      </c>
      <c r="E740" s="215">
        <v>2093226.5499999998</v>
      </c>
      <c r="F740" s="215">
        <v>2645460.3699999996</v>
      </c>
      <c r="G740" s="215">
        <v>2645460.3699999996</v>
      </c>
      <c r="H740" s="215">
        <v>2672839.6799999997</v>
      </c>
      <c r="I740" s="215">
        <v>2704778.0699999994</v>
      </c>
      <c r="J740" s="215">
        <v>2715410.8199999994</v>
      </c>
      <c r="K740" s="215">
        <v>2715433.3099999996</v>
      </c>
      <c r="L740" s="215">
        <v>2760616.76</v>
      </c>
      <c r="M740" s="215">
        <v>2764422.4299999997</v>
      </c>
      <c r="N740" s="215">
        <v>2764424.7899999996</v>
      </c>
      <c r="O740" s="215">
        <v>3447000.4599999995</v>
      </c>
      <c r="P740" s="215">
        <v>3488070.9699999997</v>
      </c>
      <c r="Q740" s="215">
        <v>4344087.2799999993</v>
      </c>
    </row>
    <row r="741" spans="2:18" x14ac:dyDescent="0.3">
      <c r="B741" s="259">
        <f t="shared" si="11"/>
        <v>186784.52875000003</v>
      </c>
      <c r="D741" s="2" t="s">
        <v>1068</v>
      </c>
      <c r="E741" s="215">
        <v>0</v>
      </c>
      <c r="F741" s="215">
        <v>0</v>
      </c>
      <c r="G741" s="215">
        <v>0</v>
      </c>
      <c r="H741" s="215">
        <v>0</v>
      </c>
      <c r="I741" s="215">
        <v>0</v>
      </c>
      <c r="J741" s="215">
        <v>249046.18</v>
      </c>
      <c r="K741" s="215">
        <v>250065.38</v>
      </c>
      <c r="L741" s="215">
        <v>250899.25</v>
      </c>
      <c r="M741" s="215">
        <v>250899.25</v>
      </c>
      <c r="N741" s="215">
        <v>250899.25</v>
      </c>
      <c r="O741" s="215">
        <v>395623.54</v>
      </c>
      <c r="P741" s="215">
        <v>395623.54</v>
      </c>
      <c r="Q741" s="215">
        <v>396715.91</v>
      </c>
    </row>
    <row r="742" spans="2:18" x14ac:dyDescent="0.3">
      <c r="B742" s="259">
        <f t="shared" si="11"/>
        <v>2032922.0599999998</v>
      </c>
      <c r="D742" s="2" t="s">
        <v>782</v>
      </c>
      <c r="E742" s="215">
        <v>2032922.06</v>
      </c>
      <c r="F742" s="215">
        <v>2032922.06</v>
      </c>
      <c r="G742" s="215">
        <v>2032922.06</v>
      </c>
      <c r="H742" s="215">
        <v>2032922.06</v>
      </c>
      <c r="I742" s="215">
        <v>2032922.06</v>
      </c>
      <c r="J742" s="215">
        <v>2032922.06</v>
      </c>
      <c r="K742" s="215">
        <v>2032922.06</v>
      </c>
      <c r="L742" s="215">
        <v>2032922.06</v>
      </c>
      <c r="M742" s="215">
        <v>2032922.06</v>
      </c>
      <c r="N742" s="215">
        <v>2032922.06</v>
      </c>
      <c r="O742" s="215">
        <v>2032922.06</v>
      </c>
      <c r="P742" s="215">
        <v>2032922.06</v>
      </c>
      <c r="Q742" s="215">
        <v>2032922.06</v>
      </c>
    </row>
    <row r="743" spans="2:18" x14ac:dyDescent="0.3">
      <c r="B743" s="259">
        <f t="shared" si="11"/>
        <v>1753853.1379166662</v>
      </c>
      <c r="D743" s="2" t="s">
        <v>784</v>
      </c>
      <c r="E743" s="215">
        <v>1357.49</v>
      </c>
      <c r="F743" s="215">
        <v>1823937.5799999996</v>
      </c>
      <c r="G743" s="215">
        <v>1830567.6199999996</v>
      </c>
      <c r="H743" s="215">
        <v>1830567.6199999996</v>
      </c>
      <c r="I743" s="215">
        <v>1830567.6199999996</v>
      </c>
      <c r="J743" s="215">
        <v>1830567.6199999996</v>
      </c>
      <c r="K743" s="215">
        <v>1830567.6199999996</v>
      </c>
      <c r="L743" s="215">
        <v>1830567.6199999996</v>
      </c>
      <c r="M743" s="215">
        <v>1830714.5799999996</v>
      </c>
      <c r="N743" s="215">
        <v>1830714.5799999996</v>
      </c>
      <c r="O743" s="215">
        <v>1830714.5799999996</v>
      </c>
      <c r="P743" s="215">
        <v>1830714.5799999996</v>
      </c>
      <c r="Q743" s="215">
        <v>1830714.5799999996</v>
      </c>
    </row>
    <row r="744" spans="2:18" x14ac:dyDescent="0.3">
      <c r="B744" s="259">
        <f t="shared" si="11"/>
        <v>0</v>
      </c>
      <c r="D744" s="2" t="s">
        <v>1556</v>
      </c>
      <c r="E744" s="215">
        <v>0</v>
      </c>
      <c r="F744" s="215">
        <v>0</v>
      </c>
      <c r="G744" s="215">
        <v>0</v>
      </c>
      <c r="H744" s="215">
        <v>0</v>
      </c>
      <c r="I744" s="215">
        <v>0</v>
      </c>
      <c r="J744" s="215">
        <v>0</v>
      </c>
      <c r="K744" s="215">
        <v>0</v>
      </c>
      <c r="L744" s="215">
        <v>0</v>
      </c>
      <c r="M744" s="215">
        <v>0</v>
      </c>
      <c r="N744" s="215">
        <v>0</v>
      </c>
      <c r="O744" s="215">
        <v>0</v>
      </c>
      <c r="P744" s="215">
        <v>0</v>
      </c>
      <c r="Q744" s="215">
        <v>0</v>
      </c>
    </row>
    <row r="745" spans="2:18" x14ac:dyDescent="0.3">
      <c r="B745" s="259">
        <f t="shared" si="11"/>
        <v>0</v>
      </c>
      <c r="D745" s="2" t="s">
        <v>1557</v>
      </c>
      <c r="E745" s="215">
        <v>0</v>
      </c>
      <c r="F745" s="215">
        <v>0</v>
      </c>
      <c r="G745" s="215">
        <v>0</v>
      </c>
      <c r="H745" s="215">
        <v>0</v>
      </c>
      <c r="I745" s="215">
        <v>0</v>
      </c>
      <c r="J745" s="215">
        <v>0</v>
      </c>
      <c r="K745" s="215">
        <v>0</v>
      </c>
      <c r="L745" s="215">
        <v>0</v>
      </c>
      <c r="M745" s="215">
        <v>0</v>
      </c>
      <c r="N745" s="215">
        <v>0</v>
      </c>
      <c r="O745" s="215">
        <v>0</v>
      </c>
      <c r="P745" s="215">
        <v>0</v>
      </c>
      <c r="Q745" s="215">
        <v>0</v>
      </c>
    </row>
    <row r="746" spans="2:18" x14ac:dyDescent="0.3">
      <c r="B746" s="259">
        <f t="shared" si="11"/>
        <v>711016.60375000013</v>
      </c>
      <c r="D746" s="2" t="s">
        <v>962</v>
      </c>
      <c r="E746" s="215">
        <v>0</v>
      </c>
      <c r="F746" s="215">
        <v>718917.51</v>
      </c>
      <c r="G746" s="215">
        <v>744122.07</v>
      </c>
      <c r="H746" s="215">
        <v>744122.07</v>
      </c>
      <c r="I746" s="215">
        <v>744122.07</v>
      </c>
      <c r="J746" s="215">
        <v>744122.07</v>
      </c>
      <c r="K746" s="215">
        <v>744122.07</v>
      </c>
      <c r="L746" s="215">
        <v>744122.07</v>
      </c>
      <c r="M746" s="215">
        <v>744122.07</v>
      </c>
      <c r="N746" s="215">
        <v>744122.07</v>
      </c>
      <c r="O746" s="215">
        <v>744122.07</v>
      </c>
      <c r="P746" s="215">
        <v>744122.07</v>
      </c>
      <c r="Q746" s="215">
        <v>744122.07</v>
      </c>
    </row>
    <row r="747" spans="2:18" x14ac:dyDescent="0.3">
      <c r="B747" s="290">
        <f>SUM(B6:B746)</f>
        <v>1161585864.978333</v>
      </c>
      <c r="D747" s="2" t="s">
        <v>32</v>
      </c>
      <c r="E747" s="215">
        <f>SUM(E6:E746)</f>
        <v>747773979.55000043</v>
      </c>
      <c r="F747" s="215">
        <f t="shared" ref="F747:Q747" si="12">SUM(F6:F746)</f>
        <v>802080974.53999984</v>
      </c>
      <c r="G747" s="215">
        <f t="shared" si="12"/>
        <v>851971780.31000018</v>
      </c>
      <c r="H747" s="215">
        <f t="shared" si="12"/>
        <v>901538332.8599999</v>
      </c>
      <c r="I747" s="215">
        <f t="shared" si="12"/>
        <v>940560542.25000036</v>
      </c>
      <c r="J747" s="215">
        <f t="shared" si="12"/>
        <v>995857562.09000003</v>
      </c>
      <c r="K747" s="215">
        <f t="shared" si="12"/>
        <v>1074374584.4099994</v>
      </c>
      <c r="L747" s="215">
        <f t="shared" si="12"/>
        <v>1171692024.9299994</v>
      </c>
      <c r="M747" s="215">
        <f t="shared" si="12"/>
        <v>1243225996.099999</v>
      </c>
      <c r="N747" s="215">
        <f t="shared" si="12"/>
        <v>1432829355.9199989</v>
      </c>
      <c r="O747" s="215">
        <f t="shared" si="12"/>
        <v>1552284721.9999998</v>
      </c>
      <c r="P747" s="215">
        <f t="shared" si="12"/>
        <v>1637612920.5499992</v>
      </c>
      <c r="Q747" s="215">
        <f t="shared" si="12"/>
        <v>1922229188.0099995</v>
      </c>
    </row>
    <row r="748" spans="2:18" x14ac:dyDescent="0.3">
      <c r="B748" s="215"/>
      <c r="D748" s="356"/>
      <c r="E748" s="215"/>
      <c r="Q748" s="215">
        <f>E747</f>
        <v>747773979.55000043</v>
      </c>
      <c r="R748" s="358">
        <v>44926</v>
      </c>
    </row>
    <row r="749" spans="2:18" x14ac:dyDescent="0.3">
      <c r="D749" s="356"/>
      <c r="E749" s="215"/>
      <c r="Q749" s="290">
        <f>Q747-Q748</f>
        <v>1174455208.4599991</v>
      </c>
      <c r="R749" t="s">
        <v>1560</v>
      </c>
    </row>
    <row r="750" spans="2:18" x14ac:dyDescent="0.3">
      <c r="B750" s="215">
        <f>-SUM(B433,B438)</f>
        <v>-54183824.501666658</v>
      </c>
      <c r="C750" t="s">
        <v>1962</v>
      </c>
      <c r="E750" s="215"/>
      <c r="Q750" s="215">
        <f>-SUM(Q433,Q438)</f>
        <v>-203681026.44999999</v>
      </c>
      <c r="R750" t="s">
        <v>1962</v>
      </c>
    </row>
    <row r="751" spans="2:18" x14ac:dyDescent="0.3">
      <c r="B751" s="290">
        <f>SUM(B747:B750)</f>
        <v>1107402040.4766665</v>
      </c>
      <c r="C751" t="s">
        <v>1964</v>
      </c>
      <c r="Q751" s="215">
        <f>SUM(Q749:Q750)</f>
        <v>970774182.00999904</v>
      </c>
      <c r="R751" t="s">
        <v>1964</v>
      </c>
    </row>
    <row r="752" spans="2:18" x14ac:dyDescent="0.3">
      <c r="B752" s="215">
        <f>'Rev Req Comparison'!$M$8+'Rev Req Comparison'!$S$8</f>
        <v>1107402040.4766667</v>
      </c>
      <c r="C752" t="s">
        <v>1558</v>
      </c>
      <c r="Q752" s="3">
        <f>-'Source Data - Act v Plan by WBS'!H454</f>
        <v>971065030.87267447</v>
      </c>
      <c r="R752" t="s">
        <v>1558</v>
      </c>
    </row>
    <row r="753" spans="2:18" x14ac:dyDescent="0.3">
      <c r="B753" s="290">
        <f>B751-B752</f>
        <v>0</v>
      </c>
      <c r="C753" t="s">
        <v>1559</v>
      </c>
      <c r="Q753" s="488">
        <f>Q751-Q752</f>
        <v>-290848.86267542839</v>
      </c>
      <c r="R753" t="s">
        <v>1562</v>
      </c>
    </row>
    <row r="755" spans="2:18" x14ac:dyDescent="0.3">
      <c r="Q755" s="3"/>
    </row>
  </sheetData>
  <pageMargins left="0.7" right="0.7" top="0.75" bottom="0.75" header="0.3" footer="0.3"/>
  <pageSetup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96" zoomScaleNormal="96" workbookViewId="0">
      <selection activeCell="A2" sqref="A2"/>
    </sheetView>
  </sheetViews>
  <sheetFormatPr defaultRowHeight="14.4" x14ac:dyDescent="0.3"/>
  <cols>
    <col min="1" max="1" width="33.109375" customWidth="1"/>
    <col min="2" max="2" width="16.44140625" customWidth="1"/>
    <col min="3" max="3" width="14.33203125" customWidth="1"/>
    <col min="4" max="4" width="14.44140625" customWidth="1"/>
    <col min="5" max="5" width="14" customWidth="1"/>
    <col min="6" max="7" width="14.44140625" bestFit="1" customWidth="1"/>
    <col min="8" max="8" width="33.6640625" bestFit="1" customWidth="1"/>
    <col min="9" max="10" width="16.88671875" bestFit="1" customWidth="1"/>
    <col min="11" max="11" width="19.6640625" bestFit="1" customWidth="1"/>
    <col min="12" max="12" width="7.6640625" customWidth="1"/>
    <col min="13" max="13" width="20.44140625" bestFit="1" customWidth="1"/>
  </cols>
  <sheetData>
    <row r="1" spans="1:14" x14ac:dyDescent="0.3">
      <c r="A1" s="231" t="s">
        <v>182</v>
      </c>
      <c r="B1" t="s">
        <v>820</v>
      </c>
    </row>
    <row r="2" spans="1:14" x14ac:dyDescent="0.3">
      <c r="A2" s="213" t="s">
        <v>1969</v>
      </c>
      <c r="B2" s="247">
        <f>'Att D Table'!K10+B28</f>
        <v>0</v>
      </c>
      <c r="C2" s="247">
        <f>'Att D Table'!L10+C28</f>
        <v>779493.89760005474</v>
      </c>
      <c r="D2" s="247">
        <f>'Att D Table'!M10+D28</f>
        <v>-779493.89760015905</v>
      </c>
      <c r="G2" s="213"/>
      <c r="H2" s="213" t="s">
        <v>1969</v>
      </c>
      <c r="I2" s="213"/>
      <c r="J2" s="213"/>
      <c r="K2" s="213"/>
      <c r="L2" s="213"/>
    </row>
    <row r="3" spans="1:14" ht="46.8" x14ac:dyDescent="0.3">
      <c r="A3" s="231" t="s">
        <v>165</v>
      </c>
      <c r="B3" s="305" t="s">
        <v>1142</v>
      </c>
      <c r="C3" s="214" t="s">
        <v>806</v>
      </c>
      <c r="D3" s="214" t="s">
        <v>168</v>
      </c>
      <c r="G3" s="213"/>
      <c r="H3" s="269" t="s">
        <v>816</v>
      </c>
      <c r="I3" s="270" t="s">
        <v>822</v>
      </c>
      <c r="J3" s="270" t="s">
        <v>821</v>
      </c>
      <c r="K3" s="271" t="s">
        <v>169</v>
      </c>
      <c r="L3" s="213"/>
    </row>
    <row r="4" spans="1:14" ht="15.6" x14ac:dyDescent="0.3">
      <c r="A4" s="2" t="s">
        <v>869</v>
      </c>
      <c r="B4" s="254">
        <v>-34462242.745508127</v>
      </c>
      <c r="C4" s="254">
        <v>-167082331.01708764</v>
      </c>
      <c r="D4" s="254">
        <v>132620088.2715795</v>
      </c>
      <c r="G4" s="213"/>
      <c r="H4" s="272" t="s">
        <v>869</v>
      </c>
      <c r="I4" s="273">
        <f>-VLOOKUP($H4,$A:$D,2,FALSE)</f>
        <v>34462242.745508127</v>
      </c>
      <c r="J4" s="273">
        <f t="shared" ref="J4:J27" si="0">-VLOOKUP($H4,$A:$D,3,FALSE)</f>
        <v>167082331.01708764</v>
      </c>
      <c r="K4" s="274">
        <f>I4-J4</f>
        <v>-132620088.2715795</v>
      </c>
      <c r="L4" s="213"/>
      <c r="N4" s="267"/>
    </row>
    <row r="5" spans="1:14" ht="15.6" x14ac:dyDescent="0.3">
      <c r="A5" s="2" t="s">
        <v>1</v>
      </c>
      <c r="B5" s="266">
        <v>-617924.75170522952</v>
      </c>
      <c r="C5" s="266">
        <v>-12558883.900882704</v>
      </c>
      <c r="D5" s="266">
        <v>11940959.149177475</v>
      </c>
      <c r="G5" s="213"/>
      <c r="H5" s="272" t="s">
        <v>1</v>
      </c>
      <c r="I5" s="275">
        <f t="shared" ref="I5" si="1">-VLOOKUP(H5,$A:$D,2,FALSE)</f>
        <v>617924.75170522952</v>
      </c>
      <c r="J5" s="275">
        <f t="shared" si="0"/>
        <v>12558883.900882704</v>
      </c>
      <c r="K5" s="276">
        <f t="shared" ref="K5:K27" si="2">I5-J5</f>
        <v>-11940959.149177475</v>
      </c>
      <c r="L5" s="213"/>
    </row>
    <row r="6" spans="1:14" ht="15.6" x14ac:dyDescent="0.3">
      <c r="A6" s="2" t="s">
        <v>2</v>
      </c>
      <c r="B6" s="254">
        <v>-2741448.25</v>
      </c>
      <c r="C6" s="254">
        <v>-32512440.305859655</v>
      </c>
      <c r="D6" s="254">
        <v>29770992.055859651</v>
      </c>
      <c r="G6" s="213"/>
      <c r="H6" s="272" t="s">
        <v>2</v>
      </c>
      <c r="I6" s="275">
        <f t="shared" ref="I6" si="3">-VLOOKUP(H6,$A:$D,2,FALSE)</f>
        <v>2741448.25</v>
      </c>
      <c r="J6" s="275">
        <f t="shared" si="0"/>
        <v>32512440.305859655</v>
      </c>
      <c r="K6" s="276">
        <f t="shared" si="2"/>
        <v>-29770992.055859655</v>
      </c>
      <c r="L6" s="213"/>
    </row>
    <row r="7" spans="1:14" ht="15.6" x14ac:dyDescent="0.3">
      <c r="A7" s="2" t="s">
        <v>3</v>
      </c>
      <c r="B7" s="254">
        <v>-5820359.6636258261</v>
      </c>
      <c r="C7" s="254">
        <v>-16673797.357688457</v>
      </c>
      <c r="D7" s="254">
        <v>10853437.694062632</v>
      </c>
      <c r="G7" s="213"/>
      <c r="H7" s="272" t="s">
        <v>3</v>
      </c>
      <c r="I7" s="275">
        <f t="shared" ref="I7" si="4">-VLOOKUP(H7,$A:$D,2,FALSE)</f>
        <v>5820359.6636258261</v>
      </c>
      <c r="J7" s="275">
        <f t="shared" si="0"/>
        <v>16673797.357688457</v>
      </c>
      <c r="K7" s="276">
        <f t="shared" si="2"/>
        <v>-10853437.694062632</v>
      </c>
      <c r="L7" s="213"/>
    </row>
    <row r="8" spans="1:14" ht="15.6" x14ac:dyDescent="0.3">
      <c r="A8" s="2" t="s">
        <v>4</v>
      </c>
      <c r="B8" s="266">
        <v>14562652.299999999</v>
      </c>
      <c r="C8" s="266">
        <v>6382400.0000000037</v>
      </c>
      <c r="D8" s="266">
        <v>8180252.2999999952</v>
      </c>
      <c r="G8" s="213"/>
      <c r="H8" s="272" t="s">
        <v>4</v>
      </c>
      <c r="I8" s="275">
        <f t="shared" ref="I8" si="5">-VLOOKUP(H8,$A:$D,2,FALSE)</f>
        <v>-14562652.299999999</v>
      </c>
      <c r="J8" s="275">
        <f t="shared" si="0"/>
        <v>-6382400.0000000037</v>
      </c>
      <c r="K8" s="276">
        <f t="shared" si="2"/>
        <v>-8180252.2999999952</v>
      </c>
      <c r="L8" s="213"/>
    </row>
    <row r="9" spans="1:14" ht="15.6" x14ac:dyDescent="0.3">
      <c r="A9" s="2" t="s">
        <v>5</v>
      </c>
      <c r="B9" s="266">
        <v>198563.8</v>
      </c>
      <c r="C9" s="266">
        <v>3005100</v>
      </c>
      <c r="D9" s="266">
        <v>-2806536.2</v>
      </c>
      <c r="G9" s="213"/>
      <c r="H9" s="272" t="s">
        <v>5</v>
      </c>
      <c r="I9" s="275">
        <f t="shared" ref="I9" si="6">-VLOOKUP(H9,$A:$D,2,FALSE)</f>
        <v>-198563.8</v>
      </c>
      <c r="J9" s="275">
        <f t="shared" si="0"/>
        <v>-3005100</v>
      </c>
      <c r="K9" s="276">
        <f t="shared" si="2"/>
        <v>2806536.2</v>
      </c>
      <c r="L9" s="213"/>
    </row>
    <row r="10" spans="1:14" ht="15.6" x14ac:dyDescent="0.3">
      <c r="A10" s="2" t="s">
        <v>6</v>
      </c>
      <c r="B10" s="254">
        <v>-83378955.872942969</v>
      </c>
      <c r="C10" s="254">
        <v>-4503420.9951020703</v>
      </c>
      <c r="D10" s="254">
        <v>-78875534.877840891</v>
      </c>
      <c r="G10" s="213"/>
      <c r="H10" s="272" t="s">
        <v>6</v>
      </c>
      <c r="I10" s="275">
        <f t="shared" ref="I10" si="7">-VLOOKUP(H10,$A:$D,2,FALSE)</f>
        <v>83378955.872942969</v>
      </c>
      <c r="J10" s="275">
        <f t="shared" si="0"/>
        <v>4503420.9951020703</v>
      </c>
      <c r="K10" s="276">
        <f t="shared" si="2"/>
        <v>78875534.877840906</v>
      </c>
      <c r="L10" s="213"/>
    </row>
    <row r="11" spans="1:14" ht="15.6" x14ac:dyDescent="0.3">
      <c r="A11" s="2" t="s">
        <v>7</v>
      </c>
      <c r="B11" s="254">
        <v>-84839700.385496676</v>
      </c>
      <c r="C11" s="254">
        <v>-16270357.265479326</v>
      </c>
      <c r="D11" s="254">
        <v>-68569343.12001735</v>
      </c>
      <c r="G11" s="213"/>
      <c r="H11" s="272" t="s">
        <v>7</v>
      </c>
      <c r="I11" s="275">
        <f t="shared" ref="I11" si="8">-VLOOKUP(H11,$A:$D,2,FALSE)</f>
        <v>84839700.385496676</v>
      </c>
      <c r="J11" s="275">
        <f t="shared" si="0"/>
        <v>16270357.265479326</v>
      </c>
      <c r="K11" s="276">
        <f t="shared" si="2"/>
        <v>68569343.12001735</v>
      </c>
      <c r="L11" s="213"/>
    </row>
    <row r="12" spans="1:14" ht="15.6" x14ac:dyDescent="0.3">
      <c r="A12" s="2" t="s">
        <v>10</v>
      </c>
      <c r="B12" s="266">
        <v>-92570410.728071377</v>
      </c>
      <c r="C12" s="266">
        <v>-59029849.163552389</v>
      </c>
      <c r="D12" s="266">
        <v>-33540561.564518977</v>
      </c>
      <c r="G12" s="213"/>
      <c r="H12" s="272" t="s">
        <v>10</v>
      </c>
      <c r="I12" s="275">
        <f t="shared" ref="I12" si="9">-VLOOKUP(H12,$A:$D,2,FALSE)</f>
        <v>92570410.728071377</v>
      </c>
      <c r="J12" s="275">
        <f t="shared" si="0"/>
        <v>59029849.163552389</v>
      </c>
      <c r="K12" s="276">
        <f t="shared" si="2"/>
        <v>33540561.564518988</v>
      </c>
      <c r="L12" s="213"/>
    </row>
    <row r="13" spans="1:14" ht="15.6" x14ac:dyDescent="0.3">
      <c r="A13" s="2" t="s">
        <v>11</v>
      </c>
      <c r="B13" s="266">
        <v>-18678693.869571436</v>
      </c>
      <c r="C13" s="266">
        <v>-20923806.861923188</v>
      </c>
      <c r="D13" s="266">
        <v>2245112.9923517527</v>
      </c>
      <c r="G13" s="213"/>
      <c r="H13" s="272" t="s">
        <v>11</v>
      </c>
      <c r="I13" s="275">
        <f t="shared" ref="I13" si="10">-VLOOKUP(H13,$A:$D,2,FALSE)</f>
        <v>18678693.869571436</v>
      </c>
      <c r="J13" s="275">
        <f t="shared" si="0"/>
        <v>20923806.861923188</v>
      </c>
      <c r="K13" s="276">
        <f t="shared" si="2"/>
        <v>-2245112.9923517518</v>
      </c>
      <c r="L13" s="213"/>
    </row>
    <row r="14" spans="1:14" ht="15.6" x14ac:dyDescent="0.3">
      <c r="A14" s="2" t="s">
        <v>12</v>
      </c>
      <c r="B14" s="266"/>
      <c r="C14" s="266"/>
      <c r="D14" s="266">
        <v>0</v>
      </c>
      <c r="G14" s="213"/>
      <c r="H14" s="272" t="s">
        <v>12</v>
      </c>
      <c r="I14" s="275">
        <f t="shared" ref="I14" si="11">-VLOOKUP(H14,$A:$D,2,FALSE)</f>
        <v>0</v>
      </c>
      <c r="J14" s="275">
        <f t="shared" si="0"/>
        <v>0</v>
      </c>
      <c r="K14" s="276">
        <f t="shared" si="2"/>
        <v>0</v>
      </c>
      <c r="L14" s="213"/>
    </row>
    <row r="15" spans="1:14" ht="15.6" x14ac:dyDescent="0.3">
      <c r="A15" s="2" t="s">
        <v>819</v>
      </c>
      <c r="B15" s="266">
        <v>-1442703.39398975</v>
      </c>
      <c r="C15" s="266">
        <v>-7165996.3759999918</v>
      </c>
      <c r="D15" s="266">
        <v>5723292.9820102416</v>
      </c>
      <c r="G15" s="213"/>
      <c r="H15" s="272" t="s">
        <v>819</v>
      </c>
      <c r="I15" s="275">
        <f t="shared" ref="I15" si="12">-VLOOKUP(H15,$A:$D,2,FALSE)</f>
        <v>1442703.39398975</v>
      </c>
      <c r="J15" s="275">
        <f t="shared" si="0"/>
        <v>7165996.3759999918</v>
      </c>
      <c r="K15" s="276">
        <f t="shared" si="2"/>
        <v>-5723292.9820102416</v>
      </c>
      <c r="L15" s="213"/>
    </row>
    <row r="16" spans="1:14" ht="15.6" x14ac:dyDescent="0.3">
      <c r="A16" s="2" t="s">
        <v>13</v>
      </c>
      <c r="B16" s="266">
        <v>-14280358.702547446</v>
      </c>
      <c r="C16" s="266">
        <v>-24475978.043454606</v>
      </c>
      <c r="D16" s="266">
        <v>10195619.340907168</v>
      </c>
      <c r="G16" s="213"/>
      <c r="H16" s="272" t="s">
        <v>13</v>
      </c>
      <c r="I16" s="275">
        <f t="shared" ref="I16" si="13">-VLOOKUP(H16,$A:$D,2,FALSE)</f>
        <v>14280358.702547446</v>
      </c>
      <c r="J16" s="275">
        <f t="shared" si="0"/>
        <v>24475978.043454606</v>
      </c>
      <c r="K16" s="276">
        <f t="shared" si="2"/>
        <v>-10195619.34090716</v>
      </c>
      <c r="L16" s="213"/>
    </row>
    <row r="17" spans="1:12" ht="15.6" x14ac:dyDescent="0.3">
      <c r="A17" s="2" t="s">
        <v>15</v>
      </c>
      <c r="B17" s="266">
        <v>-158669103.47773042</v>
      </c>
      <c r="C17" s="266">
        <v>-177412055.06673956</v>
      </c>
      <c r="D17" s="266">
        <v>18742951.589009125</v>
      </c>
      <c r="G17" s="213"/>
      <c r="H17" s="272" t="s">
        <v>15</v>
      </c>
      <c r="I17" s="275">
        <f t="shared" ref="I17" si="14">-VLOOKUP(H17,$A:$D,2,FALSE)</f>
        <v>158669103.47773042</v>
      </c>
      <c r="J17" s="275">
        <f t="shared" si="0"/>
        <v>177412055.06673956</v>
      </c>
      <c r="K17" s="276">
        <f t="shared" si="2"/>
        <v>-18742951.589009136</v>
      </c>
      <c r="L17" s="213"/>
    </row>
    <row r="18" spans="1:12" ht="15.6" x14ac:dyDescent="0.3">
      <c r="A18" s="2" t="s">
        <v>19</v>
      </c>
      <c r="B18" s="266">
        <v>-3100110.6847722479</v>
      </c>
      <c r="C18" s="266">
        <v>-13216826.700870501</v>
      </c>
      <c r="D18" s="266">
        <v>10116716.016098252</v>
      </c>
      <c r="G18" s="213"/>
      <c r="H18" s="272" t="s">
        <v>19</v>
      </c>
      <c r="I18" s="275">
        <f t="shared" ref="I18" si="15">-VLOOKUP(H18,$A:$D,2,FALSE)</f>
        <v>3100110.6847722479</v>
      </c>
      <c r="J18" s="275">
        <f t="shared" si="0"/>
        <v>13216826.700870501</v>
      </c>
      <c r="K18" s="276">
        <f t="shared" si="2"/>
        <v>-10116716.016098253</v>
      </c>
      <c r="L18" s="213"/>
    </row>
    <row r="19" spans="1:12" ht="15.6" x14ac:dyDescent="0.3">
      <c r="A19" s="2" t="s">
        <v>20</v>
      </c>
      <c r="B19" s="266">
        <v>-3197291.1599999997</v>
      </c>
      <c r="C19" s="266">
        <v>-576037.5544989194</v>
      </c>
      <c r="D19" s="266">
        <v>-2621253.6055010799</v>
      </c>
      <c r="G19" s="213"/>
      <c r="H19" s="272" t="s">
        <v>20</v>
      </c>
      <c r="I19" s="275">
        <f t="shared" ref="I19" si="16">-VLOOKUP(H19,$A:$D,2,FALSE)</f>
        <v>3197291.1599999997</v>
      </c>
      <c r="J19" s="275">
        <f t="shared" si="0"/>
        <v>576037.5544989194</v>
      </c>
      <c r="K19" s="276">
        <f t="shared" si="2"/>
        <v>2621253.6055010804</v>
      </c>
      <c r="L19" s="213"/>
    </row>
    <row r="20" spans="1:12" ht="15.6" x14ac:dyDescent="0.3">
      <c r="A20" s="2" t="s">
        <v>21</v>
      </c>
      <c r="B20" s="266">
        <v>-110540.0559775251</v>
      </c>
      <c r="C20" s="266">
        <v>0</v>
      </c>
      <c r="D20" s="266">
        <v>-110540.0559775251</v>
      </c>
      <c r="G20" s="213"/>
      <c r="H20" s="272" t="s">
        <v>21</v>
      </c>
      <c r="I20" s="275">
        <f t="shared" ref="I20" si="17">-VLOOKUP(H20,$A:$D,2,FALSE)</f>
        <v>110540.0559775251</v>
      </c>
      <c r="J20" s="275">
        <f t="shared" si="0"/>
        <v>0</v>
      </c>
      <c r="K20" s="276">
        <f t="shared" si="2"/>
        <v>110540.0559775251</v>
      </c>
      <c r="L20" s="213"/>
    </row>
    <row r="21" spans="1:12" ht="15.6" x14ac:dyDescent="0.3">
      <c r="A21" s="2" t="s">
        <v>23</v>
      </c>
      <c r="B21" s="254">
        <v>-22456528.470758755</v>
      </c>
      <c r="C21" s="254">
        <v>-9797538.9733354431</v>
      </c>
      <c r="D21" s="254">
        <v>-12658989.497423312</v>
      </c>
      <c r="G21" s="213"/>
      <c r="H21" s="272" t="s">
        <v>25</v>
      </c>
      <c r="I21" s="275">
        <f t="shared" ref="I21" si="18">-VLOOKUP(H21,$A:$D,2,FALSE)</f>
        <v>63783669.408559777</v>
      </c>
      <c r="J21" s="275">
        <f t="shared" si="0"/>
        <v>49664371.494003989</v>
      </c>
      <c r="K21" s="276">
        <f t="shared" si="2"/>
        <v>14119297.914555788</v>
      </c>
      <c r="L21" s="213"/>
    </row>
    <row r="22" spans="1:12" ht="15.6" x14ac:dyDescent="0.3">
      <c r="A22" s="2" t="s">
        <v>24</v>
      </c>
      <c r="B22" s="254">
        <v>-37414039.473461226</v>
      </c>
      <c r="C22" s="254">
        <v>-143932.33533800021</v>
      </c>
      <c r="D22" s="254">
        <v>-37270107.138123222</v>
      </c>
      <c r="G22" s="213"/>
      <c r="H22" s="272" t="s">
        <v>26</v>
      </c>
      <c r="I22" s="275">
        <f t="shared" ref="I22" si="19">-VLOOKUP(H22,$A:$D,2,FALSE)</f>
        <v>21621499.400905468</v>
      </c>
      <c r="J22" s="275">
        <f t="shared" si="0"/>
        <v>12515349.617285645</v>
      </c>
      <c r="K22" s="276">
        <f t="shared" si="2"/>
        <v>9106149.7836198229</v>
      </c>
      <c r="L22" s="213"/>
    </row>
    <row r="23" spans="1:12" ht="15.6" x14ac:dyDescent="0.3">
      <c r="A23" s="2" t="s">
        <v>25</v>
      </c>
      <c r="B23" s="254">
        <v>-63783669.408559777</v>
      </c>
      <c r="C23" s="254">
        <v>-49664371.494003989</v>
      </c>
      <c r="D23" s="254">
        <v>-14119297.914555788</v>
      </c>
      <c r="G23" s="213"/>
      <c r="H23" s="272" t="s">
        <v>23</v>
      </c>
      <c r="I23" s="275">
        <f t="shared" ref="I23" si="20">-VLOOKUP(H23,$A:$D,2,FALSE)</f>
        <v>22456528.470758755</v>
      </c>
      <c r="J23" s="275">
        <f t="shared" si="0"/>
        <v>9797538.9733354431</v>
      </c>
      <c r="K23" s="276">
        <f t="shared" si="2"/>
        <v>12658989.497423312</v>
      </c>
      <c r="L23" s="213"/>
    </row>
    <row r="24" spans="1:12" ht="15.6" x14ac:dyDescent="0.3">
      <c r="A24" s="2" t="s">
        <v>26</v>
      </c>
      <c r="B24" s="266">
        <v>-21621499.400905468</v>
      </c>
      <c r="C24" s="266">
        <v>-12515349.617285645</v>
      </c>
      <c r="D24" s="266">
        <v>-9106149.7836198173</v>
      </c>
      <c r="G24" s="213"/>
      <c r="H24" s="272" t="s">
        <v>24</v>
      </c>
      <c r="I24" s="275">
        <f t="shared" ref="I24" si="21">-VLOOKUP(H24,$A:$D,2,FALSE)</f>
        <v>37414039.473461226</v>
      </c>
      <c r="J24" s="275">
        <f t="shared" si="0"/>
        <v>143932.33533800021</v>
      </c>
      <c r="K24" s="276">
        <f t="shared" si="2"/>
        <v>37270107.138123229</v>
      </c>
      <c r="L24" s="213"/>
    </row>
    <row r="25" spans="1:12" ht="15.6" x14ac:dyDescent="0.3">
      <c r="A25" s="2" t="s">
        <v>31</v>
      </c>
      <c r="B25" s="266">
        <v>-1258562.3289936027</v>
      </c>
      <c r="C25" s="266">
        <v>-4266596.526499996</v>
      </c>
      <c r="D25" s="266">
        <v>3008034.1975063933</v>
      </c>
      <c r="G25" s="213"/>
      <c r="H25" s="272" t="s">
        <v>31</v>
      </c>
      <c r="I25" s="275">
        <f t="shared" ref="I25" si="22">-VLOOKUP(H25,$A:$D,2,FALSE)</f>
        <v>1258562.3289936027</v>
      </c>
      <c r="J25" s="275">
        <f t="shared" si="0"/>
        <v>4266596.526499996</v>
      </c>
      <c r="K25" s="276">
        <f t="shared" si="2"/>
        <v>-3008034.1975063933</v>
      </c>
      <c r="L25" s="213"/>
    </row>
    <row r="26" spans="1:12" ht="15.6" x14ac:dyDescent="0.3">
      <c r="A26" s="2" t="s">
        <v>28</v>
      </c>
      <c r="B26" s="254">
        <v>-44028432.891698539</v>
      </c>
      <c r="C26" s="254">
        <v>-9047247.2370254043</v>
      </c>
      <c r="D26" s="254">
        <v>-34981185.654673137</v>
      </c>
      <c r="G26" s="213"/>
      <c r="H26" s="272" t="s">
        <v>28</v>
      </c>
      <c r="I26" s="275">
        <f t="shared" ref="I26" si="23">-VLOOKUP(H26,$A:$D,2,FALSE)</f>
        <v>44028432.891698539</v>
      </c>
      <c r="J26" s="275">
        <f t="shared" si="0"/>
        <v>9047247.2370254043</v>
      </c>
      <c r="K26" s="276">
        <f t="shared" si="2"/>
        <v>34981185.654673137</v>
      </c>
      <c r="L26" s="213"/>
    </row>
    <row r="27" spans="1:12" ht="15.6" x14ac:dyDescent="0.3">
      <c r="A27" s="2" t="s">
        <v>29</v>
      </c>
      <c r="B27" s="266">
        <v>-19661839.260000002</v>
      </c>
      <c r="C27" s="266">
        <v>-10173066.606914049</v>
      </c>
      <c r="D27" s="266">
        <v>-9488772.6530859526</v>
      </c>
      <c r="G27" s="213"/>
      <c r="H27" s="272" t="s">
        <v>29</v>
      </c>
      <c r="I27" s="275">
        <f t="shared" ref="I27" si="24">-VLOOKUP(H27,$A:$D,2,FALSE)</f>
        <v>19661839.260000002</v>
      </c>
      <c r="J27" s="275">
        <f t="shared" si="0"/>
        <v>10173066.606914049</v>
      </c>
      <c r="K27" s="276">
        <f t="shared" si="2"/>
        <v>9488772.6530859526</v>
      </c>
      <c r="L27" s="213"/>
    </row>
    <row r="28" spans="1:12" ht="15.6" x14ac:dyDescent="0.3">
      <c r="A28" s="2" t="s">
        <v>32</v>
      </c>
      <c r="B28" s="255">
        <v>-699373198.87631631</v>
      </c>
      <c r="C28" s="255">
        <v>-638622383.39954138</v>
      </c>
      <c r="D28" s="255">
        <v>-60750815.476774886</v>
      </c>
      <c r="G28" s="213"/>
      <c r="H28" s="277" t="s">
        <v>823</v>
      </c>
      <c r="I28" s="278">
        <f>SUM(I4:I27)</f>
        <v>699373198.87631655</v>
      </c>
      <c r="J28" s="278">
        <f>SUM(J4:J27)</f>
        <v>638622383.39954138</v>
      </c>
      <c r="K28" s="279">
        <f>SUM(K4:K27)</f>
        <v>60750815.476774909</v>
      </c>
      <c r="L28" s="213"/>
    </row>
    <row r="29" spans="1:12" x14ac:dyDescent="0.3">
      <c r="G29" s="213"/>
      <c r="H29" s="213"/>
      <c r="I29" s="213"/>
      <c r="J29" s="213"/>
      <c r="K29" s="213"/>
      <c r="L29" s="213"/>
    </row>
    <row r="30" spans="1:12" x14ac:dyDescent="0.3">
      <c r="G30" s="213"/>
      <c r="H30" s="213"/>
      <c r="I30" s="213"/>
      <c r="J30" s="213"/>
      <c r="K30" s="268">
        <f>D28+K28</f>
        <v>0</v>
      </c>
      <c r="L30" s="213"/>
    </row>
    <row r="31" spans="1:12" x14ac:dyDescent="0.3">
      <c r="G31" s="213"/>
      <c r="H31" s="213"/>
      <c r="I31" s="213"/>
      <c r="J31" s="213"/>
      <c r="K31" s="213"/>
      <c r="L31" s="213"/>
    </row>
    <row r="32" spans="1:12" x14ac:dyDescent="0.3">
      <c r="G32" s="213"/>
      <c r="L32" s="213"/>
    </row>
    <row r="33" spans="7:12" x14ac:dyDescent="0.3">
      <c r="G33" s="213"/>
      <c r="L33" s="213"/>
    </row>
  </sheetData>
  <printOptions horizontalCentered="1"/>
  <pageMargins left="0.7" right="0.7" top="0.75" bottom="0.75" header="0.3" footer="0.3"/>
  <pageSetup scale="43" orientation="portrait" horizontalDpi="1200" verticalDpi="1200" r:id="rId2"/>
  <customProperties>
    <customPr name="_pios_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workbookViewId="0">
      <pane xSplit="1" ySplit="3" topLeftCell="B26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4.4" x14ac:dyDescent="0.3"/>
  <cols>
    <col min="1" max="1" width="39" customWidth="1"/>
    <col min="2" max="2" width="16.44140625" customWidth="1"/>
    <col min="3" max="3" width="16" bestFit="1" customWidth="1"/>
    <col min="4" max="4" width="15" bestFit="1" customWidth="1"/>
    <col min="5" max="5" width="14" customWidth="1"/>
    <col min="6" max="7" width="14.44140625" bestFit="1" customWidth="1"/>
    <col min="8" max="8" width="12.5546875" bestFit="1" customWidth="1"/>
    <col min="9" max="9" width="12.33203125" bestFit="1" customWidth="1"/>
    <col min="10" max="10" width="12.5546875" bestFit="1" customWidth="1"/>
    <col min="11" max="11" width="41.33203125" bestFit="1" customWidth="1"/>
    <col min="12" max="12" width="44" bestFit="1" customWidth="1"/>
    <col min="13" max="13" width="20.44140625" bestFit="1" customWidth="1"/>
  </cols>
  <sheetData>
    <row r="1" spans="1:4" x14ac:dyDescent="0.3">
      <c r="A1" s="231" t="s">
        <v>182</v>
      </c>
      <c r="B1" t="s">
        <v>820</v>
      </c>
    </row>
    <row r="2" spans="1:4" x14ac:dyDescent="0.3">
      <c r="A2" s="213" t="s">
        <v>1969</v>
      </c>
      <c r="B2" s="247">
        <f>'Att D Table'!K10+B47</f>
        <v>699373198.87631619</v>
      </c>
      <c r="C2" s="247">
        <f>'Att D Table'!L10+C47</f>
        <v>639401877.29714143</v>
      </c>
      <c r="D2" s="247">
        <f>'Att D Table'!M10+D47</f>
        <v>59971321.579174727</v>
      </c>
    </row>
    <row r="3" spans="1:4" ht="43.2" x14ac:dyDescent="0.3">
      <c r="A3" s="231" t="s">
        <v>165</v>
      </c>
      <c r="B3" s="214" t="s">
        <v>1142</v>
      </c>
      <c r="C3" s="214" t="s">
        <v>806</v>
      </c>
      <c r="D3" s="214" t="s">
        <v>168</v>
      </c>
    </row>
    <row r="4" spans="1:4" x14ac:dyDescent="0.3">
      <c r="A4" s="2" t="s">
        <v>807</v>
      </c>
      <c r="B4" s="3">
        <v>-183919.46000000002</v>
      </c>
      <c r="C4" s="3">
        <v>-1246624.0000000009</v>
      </c>
      <c r="D4" s="3">
        <v>1062704.540000001</v>
      </c>
    </row>
    <row r="5" spans="1:4" x14ac:dyDescent="0.3">
      <c r="A5" s="245" t="s">
        <v>26</v>
      </c>
      <c r="B5" s="3"/>
      <c r="C5" s="3"/>
      <c r="D5" s="3"/>
    </row>
    <row r="6" spans="1:4" x14ac:dyDescent="0.3">
      <c r="A6" s="246" t="s">
        <v>26</v>
      </c>
      <c r="B6" s="3">
        <v>-103105.77</v>
      </c>
      <c r="C6" s="3">
        <v>-1246624.0000000009</v>
      </c>
      <c r="D6" s="3">
        <v>1143518.2300000009</v>
      </c>
    </row>
    <row r="7" spans="1:4" x14ac:dyDescent="0.3">
      <c r="A7" s="245" t="s">
        <v>41</v>
      </c>
      <c r="B7" s="3"/>
      <c r="C7" s="3"/>
      <c r="D7" s="3"/>
    </row>
    <row r="8" spans="1:4" x14ac:dyDescent="0.3">
      <c r="A8" s="246" t="s">
        <v>869</v>
      </c>
      <c r="B8" s="3">
        <v>-80813.69</v>
      </c>
      <c r="C8" s="3">
        <v>0</v>
      </c>
      <c r="D8" s="3">
        <v>-80813.69</v>
      </c>
    </row>
    <row r="9" spans="1:4" x14ac:dyDescent="0.3">
      <c r="A9" s="2" t="s">
        <v>107</v>
      </c>
      <c r="B9" s="3">
        <v>-456856830.01631641</v>
      </c>
      <c r="C9" s="3">
        <v>-433237980.26883888</v>
      </c>
      <c r="D9" s="3">
        <v>-23618849.747477546</v>
      </c>
    </row>
    <row r="10" spans="1:4" x14ac:dyDescent="0.3">
      <c r="A10" s="245" t="s">
        <v>818</v>
      </c>
      <c r="B10" s="3"/>
      <c r="C10" s="3"/>
      <c r="D10" s="3"/>
    </row>
    <row r="11" spans="1:4" x14ac:dyDescent="0.3">
      <c r="A11" s="246" t="s">
        <v>4</v>
      </c>
      <c r="B11" s="3">
        <v>14562652.299999999</v>
      </c>
      <c r="C11" s="3">
        <v>6382400.0000000037</v>
      </c>
      <c r="D11" s="3">
        <v>8180252.2999999952</v>
      </c>
    </row>
    <row r="12" spans="1:4" x14ac:dyDescent="0.3">
      <c r="A12" s="246" t="s">
        <v>6</v>
      </c>
      <c r="B12" s="3">
        <v>-83378955.872942969</v>
      </c>
      <c r="C12" s="3">
        <v>-4503420.9951020703</v>
      </c>
      <c r="D12" s="3">
        <v>-78875534.877840891</v>
      </c>
    </row>
    <row r="13" spans="1:4" x14ac:dyDescent="0.3">
      <c r="A13" s="246" t="s">
        <v>23</v>
      </c>
      <c r="B13" s="3">
        <v>-22456528.470758755</v>
      </c>
      <c r="C13" s="3">
        <v>-9797538.9733354431</v>
      </c>
      <c r="D13" s="3">
        <v>-12658989.497423312</v>
      </c>
    </row>
    <row r="14" spans="1:4" x14ac:dyDescent="0.3">
      <c r="A14" s="245" t="s">
        <v>26</v>
      </c>
      <c r="B14" s="3"/>
      <c r="C14" s="3"/>
      <c r="D14" s="3"/>
    </row>
    <row r="15" spans="1:4" x14ac:dyDescent="0.3">
      <c r="A15" s="246" t="s">
        <v>26</v>
      </c>
      <c r="B15" s="3">
        <v>-13550368.83379147</v>
      </c>
      <c r="C15" s="3">
        <v>4608067.8804107169</v>
      </c>
      <c r="D15" s="3">
        <v>-18158436.714202184</v>
      </c>
    </row>
    <row r="16" spans="1:4" x14ac:dyDescent="0.3">
      <c r="A16" s="245" t="s">
        <v>45</v>
      </c>
      <c r="B16" s="3"/>
      <c r="C16" s="3"/>
      <c r="D16" s="3"/>
    </row>
    <row r="17" spans="1:4" x14ac:dyDescent="0.3">
      <c r="A17" s="246" t="s">
        <v>1</v>
      </c>
      <c r="B17" s="3">
        <v>-617924.75170522952</v>
      </c>
      <c r="C17" s="3">
        <v>-12558883.900882704</v>
      </c>
      <c r="D17" s="3">
        <v>11940959.149177475</v>
      </c>
    </row>
    <row r="18" spans="1:4" x14ac:dyDescent="0.3">
      <c r="A18" s="246" t="s">
        <v>12</v>
      </c>
      <c r="B18" s="3"/>
      <c r="C18" s="3"/>
      <c r="D18" s="3">
        <v>0</v>
      </c>
    </row>
    <row r="19" spans="1:4" x14ac:dyDescent="0.3">
      <c r="A19" s="246" t="s">
        <v>26</v>
      </c>
      <c r="B19" s="3">
        <v>-1635.29</v>
      </c>
      <c r="C19" s="3">
        <v>0</v>
      </c>
      <c r="D19" s="3">
        <v>-1635.29</v>
      </c>
    </row>
    <row r="20" spans="1:4" x14ac:dyDescent="0.3">
      <c r="A20" s="246" t="s">
        <v>29</v>
      </c>
      <c r="B20" s="3">
        <v>-19661839.260000002</v>
      </c>
      <c r="C20" s="3">
        <v>-10173066.606914049</v>
      </c>
      <c r="D20" s="3">
        <v>-9488772.6530859526</v>
      </c>
    </row>
    <row r="21" spans="1:4" x14ac:dyDescent="0.3">
      <c r="A21" s="246" t="s">
        <v>28</v>
      </c>
      <c r="B21" s="3">
        <v>-44028432.891698539</v>
      </c>
      <c r="C21" s="3">
        <v>-9047247.2370254043</v>
      </c>
      <c r="D21" s="3">
        <v>-34981185.654673137</v>
      </c>
    </row>
    <row r="22" spans="1:4" x14ac:dyDescent="0.3">
      <c r="A22" s="245" t="s">
        <v>41</v>
      </c>
      <c r="B22" s="3"/>
      <c r="C22" s="3"/>
      <c r="D22" s="3"/>
    </row>
    <row r="23" spans="1:4" x14ac:dyDescent="0.3">
      <c r="A23" s="246" t="s">
        <v>10</v>
      </c>
      <c r="B23" s="3">
        <v>-92570410.728071377</v>
      </c>
      <c r="C23" s="3">
        <v>-59029849.163552389</v>
      </c>
      <c r="D23" s="3">
        <v>-33540561.564518977</v>
      </c>
    </row>
    <row r="24" spans="1:4" x14ac:dyDescent="0.3">
      <c r="A24" s="246" t="s">
        <v>819</v>
      </c>
      <c r="B24" s="3">
        <v>-1442703.39398975</v>
      </c>
      <c r="C24" s="3">
        <v>-7165996.3759999918</v>
      </c>
      <c r="D24" s="3">
        <v>5723292.9820102416</v>
      </c>
    </row>
    <row r="25" spans="1:4" x14ac:dyDescent="0.3">
      <c r="A25" s="246" t="s">
        <v>15</v>
      </c>
      <c r="B25" s="3">
        <v>-158669103.47773042</v>
      </c>
      <c r="C25" s="3">
        <v>-177412055.06673956</v>
      </c>
      <c r="D25" s="3">
        <v>18742951.589009125</v>
      </c>
    </row>
    <row r="26" spans="1:4" x14ac:dyDescent="0.3">
      <c r="A26" s="246" t="s">
        <v>19</v>
      </c>
      <c r="B26" s="3">
        <v>-3100110.6847722479</v>
      </c>
      <c r="C26" s="3">
        <v>-13216826.700870501</v>
      </c>
      <c r="D26" s="3">
        <v>10116716.016098252</v>
      </c>
    </row>
    <row r="27" spans="1:4" x14ac:dyDescent="0.3">
      <c r="A27" s="246" t="s">
        <v>31</v>
      </c>
      <c r="B27" s="3">
        <v>-1258562.3289936027</v>
      </c>
      <c r="C27" s="3">
        <v>-4266596.526499996</v>
      </c>
      <c r="D27" s="3">
        <v>3008034.1975063933</v>
      </c>
    </row>
    <row r="28" spans="1:4" x14ac:dyDescent="0.3">
      <c r="A28" s="246" t="s">
        <v>2</v>
      </c>
      <c r="B28" s="3">
        <v>-2741448.25</v>
      </c>
      <c r="C28" s="3">
        <v>-32512440.305859655</v>
      </c>
      <c r="D28" s="3">
        <v>29770992.055859651</v>
      </c>
    </row>
    <row r="29" spans="1:4" x14ac:dyDescent="0.3">
      <c r="A29" s="246" t="s">
        <v>869</v>
      </c>
      <c r="B29" s="3">
        <v>-27941458.081862036</v>
      </c>
      <c r="C29" s="3">
        <v>-104544526.2964678</v>
      </c>
      <c r="D29" s="3">
        <v>76603068.214605749</v>
      </c>
    </row>
    <row r="30" spans="1:4" x14ac:dyDescent="0.3">
      <c r="A30" s="2" t="s">
        <v>158</v>
      </c>
      <c r="B30" s="3">
        <v>-242332449.40000001</v>
      </c>
      <c r="C30" s="3">
        <v>-204137779.13070267</v>
      </c>
      <c r="D30" s="3">
        <v>-38194670.269297317</v>
      </c>
    </row>
    <row r="31" spans="1:4" x14ac:dyDescent="0.3">
      <c r="A31" s="245" t="s">
        <v>818</v>
      </c>
      <c r="B31" s="3"/>
      <c r="C31" s="3"/>
      <c r="D31" s="3"/>
    </row>
    <row r="32" spans="1:4" x14ac:dyDescent="0.3">
      <c r="A32" s="246" t="s">
        <v>5</v>
      </c>
      <c r="B32" s="3">
        <v>198563.8</v>
      </c>
      <c r="C32" s="3">
        <v>3005100</v>
      </c>
      <c r="D32" s="3">
        <v>-2806536.2</v>
      </c>
    </row>
    <row r="33" spans="1:4" x14ac:dyDescent="0.3">
      <c r="A33" s="246" t="s">
        <v>7</v>
      </c>
      <c r="B33" s="3">
        <v>-84839700.385496676</v>
      </c>
      <c r="C33" s="3">
        <v>-16270357.265479326</v>
      </c>
      <c r="D33" s="3">
        <v>-68569343.12001735</v>
      </c>
    </row>
    <row r="34" spans="1:4" x14ac:dyDescent="0.3">
      <c r="A34" s="246" t="s">
        <v>24</v>
      </c>
      <c r="B34" s="3">
        <v>-37414039.473461226</v>
      </c>
      <c r="C34" s="3">
        <v>-143932.33533800021</v>
      </c>
      <c r="D34" s="3">
        <v>-37270107.138123222</v>
      </c>
    </row>
    <row r="35" spans="1:4" x14ac:dyDescent="0.3">
      <c r="A35" s="245" t="s">
        <v>26</v>
      </c>
      <c r="B35" s="3"/>
      <c r="C35" s="3"/>
      <c r="D35" s="3"/>
    </row>
    <row r="36" spans="1:4" x14ac:dyDescent="0.3">
      <c r="A36" s="246" t="s">
        <v>26</v>
      </c>
      <c r="B36" s="3">
        <v>-7966389.5071139969</v>
      </c>
      <c r="C36" s="3">
        <v>-15876793.497696357</v>
      </c>
      <c r="D36" s="3">
        <v>7910403.99058236</v>
      </c>
    </row>
    <row r="37" spans="1:4" x14ac:dyDescent="0.3">
      <c r="A37" s="245" t="s">
        <v>45</v>
      </c>
      <c r="B37" s="3"/>
      <c r="C37" s="3"/>
      <c r="D37" s="3"/>
    </row>
    <row r="38" spans="1:4" x14ac:dyDescent="0.3">
      <c r="A38" s="246" t="s">
        <v>21</v>
      </c>
      <c r="B38" s="3">
        <v>-110540.0559775251</v>
      </c>
      <c r="C38" s="3">
        <v>0</v>
      </c>
      <c r="D38" s="3">
        <v>-110540.0559775251</v>
      </c>
    </row>
    <row r="39" spans="1:4" x14ac:dyDescent="0.3">
      <c r="A39" s="245" t="s">
        <v>41</v>
      </c>
      <c r="B39" s="3"/>
      <c r="C39" s="3"/>
      <c r="D39" s="3"/>
    </row>
    <row r="40" spans="1:4" x14ac:dyDescent="0.3">
      <c r="A40" s="246" t="s">
        <v>11</v>
      </c>
      <c r="B40" s="3">
        <v>-18678693.869571436</v>
      </c>
      <c r="C40" s="3">
        <v>-20923806.861923188</v>
      </c>
      <c r="D40" s="3">
        <v>2245112.9923517527</v>
      </c>
    </row>
    <row r="41" spans="1:4" x14ac:dyDescent="0.3">
      <c r="A41" s="246" t="s">
        <v>13</v>
      </c>
      <c r="B41" s="3">
        <v>-14280358.702547446</v>
      </c>
      <c r="C41" s="3">
        <v>-24475978.043454606</v>
      </c>
      <c r="D41" s="3">
        <v>10195619.340907168</v>
      </c>
    </row>
    <row r="42" spans="1:4" x14ac:dyDescent="0.3">
      <c r="A42" s="246" t="s">
        <v>20</v>
      </c>
      <c r="B42" s="3">
        <v>-3197291.1599999997</v>
      </c>
      <c r="C42" s="3">
        <v>-576037.5544989194</v>
      </c>
      <c r="D42" s="3">
        <v>-2621253.6055010799</v>
      </c>
    </row>
    <row r="43" spans="1:4" x14ac:dyDescent="0.3">
      <c r="A43" s="246" t="s">
        <v>869</v>
      </c>
      <c r="B43" s="3">
        <v>-6439970.9736460894</v>
      </c>
      <c r="C43" s="3">
        <v>-62537804.720619835</v>
      </c>
      <c r="D43" s="3">
        <v>56097833.746973746</v>
      </c>
    </row>
    <row r="44" spans="1:4" x14ac:dyDescent="0.3">
      <c r="A44" s="246" t="s">
        <v>25</v>
      </c>
      <c r="B44" s="3">
        <v>-63783669.408559777</v>
      </c>
      <c r="C44" s="3">
        <v>-49664371.494003989</v>
      </c>
      <c r="D44" s="3">
        <v>-14119297.914555788</v>
      </c>
    </row>
    <row r="45" spans="1:4" x14ac:dyDescent="0.3">
      <c r="A45" s="246" t="s">
        <v>3</v>
      </c>
      <c r="B45" s="3">
        <v>-5820359.6636258261</v>
      </c>
      <c r="C45" s="3">
        <v>-16673797.357688457</v>
      </c>
      <c r="D45" s="3">
        <v>10853437.694062632</v>
      </c>
    </row>
    <row r="46" spans="1:4" x14ac:dyDescent="0.3">
      <c r="A46" s="2" t="s">
        <v>32</v>
      </c>
      <c r="B46" s="3">
        <v>-699373198.87631655</v>
      </c>
      <c r="C46" s="3">
        <v>-638622383.3995415</v>
      </c>
      <c r="D46" s="3">
        <v>-60750815.476774856</v>
      </c>
    </row>
  </sheetData>
  <printOptions horizontalCentered="1"/>
  <pageMargins left="0.7" right="0.7" top="0.75" bottom="0.75" header="0.3" footer="0.3"/>
  <pageSetup scale="98" orientation="portrait" horizontalDpi="1200" verticalDpi="1200" r:id="rId2"/>
  <customProperties>
    <customPr name="_pios_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4.4" x14ac:dyDescent="0.3"/>
  <cols>
    <col min="1" max="1" width="37" customWidth="1"/>
    <col min="2" max="2" width="16.44140625" customWidth="1"/>
    <col min="3" max="4" width="16" bestFit="1" customWidth="1"/>
  </cols>
  <sheetData>
    <row r="1" spans="1:4" x14ac:dyDescent="0.3">
      <c r="A1" s="231" t="s">
        <v>182</v>
      </c>
      <c r="B1" t="s">
        <v>820</v>
      </c>
    </row>
    <row r="2" spans="1:4" x14ac:dyDescent="0.3">
      <c r="A2" s="213" t="s">
        <v>1969</v>
      </c>
    </row>
    <row r="3" spans="1:4" ht="43.2" x14ac:dyDescent="0.3">
      <c r="A3" s="231" t="s">
        <v>165</v>
      </c>
      <c r="B3" s="214" t="s">
        <v>1142</v>
      </c>
      <c r="C3" s="214" t="s">
        <v>806</v>
      </c>
      <c r="D3" s="214" t="s">
        <v>168</v>
      </c>
    </row>
    <row r="4" spans="1:4" x14ac:dyDescent="0.3">
      <c r="A4" s="2" t="s">
        <v>805</v>
      </c>
      <c r="B4" s="3">
        <v>-11375248.9825867</v>
      </c>
      <c r="C4" s="3">
        <v>-61398324.463648111</v>
      </c>
      <c r="D4" s="3">
        <v>50023075.481061399</v>
      </c>
    </row>
    <row r="5" spans="1:4" x14ac:dyDescent="0.3">
      <c r="A5" s="245" t="s">
        <v>2</v>
      </c>
      <c r="B5" s="3">
        <v>-2741448.25</v>
      </c>
      <c r="C5" s="3">
        <v>-32512440.305859655</v>
      </c>
      <c r="D5" s="3">
        <v>29770992.055859651</v>
      </c>
    </row>
    <row r="6" spans="1:4" x14ac:dyDescent="0.3">
      <c r="A6" s="245" t="s">
        <v>3</v>
      </c>
      <c r="B6" s="3">
        <v>-5820359.6636258261</v>
      </c>
      <c r="C6" s="3">
        <v>-16673797.357688457</v>
      </c>
      <c r="D6" s="3">
        <v>10853437.694062632</v>
      </c>
    </row>
    <row r="7" spans="1:4" x14ac:dyDescent="0.3">
      <c r="A7" s="245" t="s">
        <v>12</v>
      </c>
      <c r="B7" s="3"/>
      <c r="C7" s="3"/>
      <c r="D7" s="3">
        <v>0</v>
      </c>
    </row>
    <row r="8" spans="1:4" x14ac:dyDescent="0.3">
      <c r="A8" s="245" t="s">
        <v>819</v>
      </c>
      <c r="B8" s="3">
        <v>-1442703.39398975</v>
      </c>
      <c r="C8" s="3">
        <v>-7165996.3759999918</v>
      </c>
      <c r="D8" s="3">
        <v>5723292.9820102416</v>
      </c>
    </row>
    <row r="9" spans="1:4" x14ac:dyDescent="0.3">
      <c r="A9" s="245" t="s">
        <v>21</v>
      </c>
      <c r="B9" s="3">
        <v>-110540.0559775251</v>
      </c>
      <c r="C9" s="3">
        <v>0</v>
      </c>
      <c r="D9" s="3">
        <v>-110540.0559775251</v>
      </c>
    </row>
    <row r="10" spans="1:4" x14ac:dyDescent="0.3">
      <c r="A10" s="245" t="s">
        <v>26</v>
      </c>
      <c r="B10" s="3">
        <v>-1635.29</v>
      </c>
      <c r="C10" s="3">
        <v>0</v>
      </c>
      <c r="D10" s="3">
        <v>-1635.29</v>
      </c>
    </row>
    <row r="11" spans="1:4" x14ac:dyDescent="0.3">
      <c r="A11" s="245" t="s">
        <v>31</v>
      </c>
      <c r="B11" s="3">
        <v>-1258562.3289936027</v>
      </c>
      <c r="C11" s="3">
        <v>-4266596.526499996</v>
      </c>
      <c r="D11" s="3">
        <v>3008034.1975063933</v>
      </c>
    </row>
    <row r="12" spans="1:4" x14ac:dyDescent="0.3">
      <c r="A12" s="245" t="s">
        <v>805</v>
      </c>
      <c r="B12" s="3"/>
      <c r="C12" s="3">
        <v>-779493.89760000783</v>
      </c>
      <c r="D12" s="3">
        <v>779493.89760000783</v>
      </c>
    </row>
    <row r="13" spans="1:4" x14ac:dyDescent="0.3">
      <c r="A13" s="2" t="s">
        <v>845</v>
      </c>
      <c r="B13" s="3">
        <v>-21619864.110905468</v>
      </c>
      <c r="C13" s="3">
        <v>-12515349.617285645</v>
      </c>
      <c r="D13" s="3">
        <v>-9104514.4936198201</v>
      </c>
    </row>
    <row r="14" spans="1:4" x14ac:dyDescent="0.3">
      <c r="A14" s="245" t="s">
        <v>26</v>
      </c>
      <c r="B14" s="3">
        <v>-21619864.110905468</v>
      </c>
      <c r="C14" s="3">
        <v>-12515349.617285645</v>
      </c>
      <c r="D14" s="3">
        <v>-9104514.4936198201</v>
      </c>
    </row>
    <row r="15" spans="1:4" x14ac:dyDescent="0.3">
      <c r="A15" s="2" t="s">
        <v>848</v>
      </c>
      <c r="B15" s="3">
        <v>-158669103.47773042</v>
      </c>
      <c r="C15" s="3">
        <v>-177412055.06673956</v>
      </c>
      <c r="D15" s="3">
        <v>18742951.589009125</v>
      </c>
    </row>
    <row r="16" spans="1:4" x14ac:dyDescent="0.3">
      <c r="A16" s="245" t="s">
        <v>15</v>
      </c>
      <c r="B16" s="3">
        <v>-158669103.47773042</v>
      </c>
      <c r="C16" s="3">
        <v>-177412055.06673956</v>
      </c>
      <c r="D16" s="3">
        <v>18742951.589009125</v>
      </c>
    </row>
    <row r="17" spans="1:4" x14ac:dyDescent="0.3">
      <c r="A17" s="2" t="s">
        <v>847</v>
      </c>
      <c r="B17" s="3">
        <v>-91272832.043701723</v>
      </c>
      <c r="C17" s="3">
        <v>-7918559.9684375096</v>
      </c>
      <c r="D17" s="3">
        <v>-83354272.075264201</v>
      </c>
    </row>
    <row r="18" spans="1:4" x14ac:dyDescent="0.3">
      <c r="A18" s="245" t="s">
        <v>4</v>
      </c>
      <c r="B18" s="3">
        <v>14562652.299999999</v>
      </c>
      <c r="C18" s="3">
        <v>6382400.0000000037</v>
      </c>
      <c r="D18" s="3">
        <v>8180252.2999999952</v>
      </c>
    </row>
    <row r="19" spans="1:4" x14ac:dyDescent="0.3">
      <c r="A19" s="245" t="s">
        <v>6</v>
      </c>
      <c r="B19" s="3">
        <v>-83378955.872942969</v>
      </c>
      <c r="C19" s="3">
        <v>-4503420.9951020703</v>
      </c>
      <c r="D19" s="3">
        <v>-78875534.877840891</v>
      </c>
    </row>
    <row r="20" spans="1:4" x14ac:dyDescent="0.3">
      <c r="A20" s="245" t="s">
        <v>23</v>
      </c>
      <c r="B20" s="3">
        <v>-22456528.470758755</v>
      </c>
      <c r="C20" s="3">
        <v>-9797538.9733354431</v>
      </c>
      <c r="D20" s="3">
        <v>-12658989.497423312</v>
      </c>
    </row>
    <row r="21" spans="1:4" x14ac:dyDescent="0.3">
      <c r="A21" s="2" t="s">
        <v>846</v>
      </c>
      <c r="B21" s="3">
        <v>-122055176.0589579</v>
      </c>
      <c r="C21" s="3">
        <v>-13409189.600817326</v>
      </c>
      <c r="D21" s="3">
        <v>-108645986.45814058</v>
      </c>
    </row>
    <row r="22" spans="1:4" x14ac:dyDescent="0.3">
      <c r="A22" s="245" t="s">
        <v>5</v>
      </c>
      <c r="B22" s="3">
        <v>198563.8</v>
      </c>
      <c r="C22" s="3">
        <v>3005100</v>
      </c>
      <c r="D22" s="3">
        <v>-2806536.2</v>
      </c>
    </row>
    <row r="23" spans="1:4" x14ac:dyDescent="0.3">
      <c r="A23" s="245" t="s">
        <v>7</v>
      </c>
      <c r="B23" s="3">
        <v>-84839700.385496676</v>
      </c>
      <c r="C23" s="3">
        <v>-16270357.265479326</v>
      </c>
      <c r="D23" s="3">
        <v>-68569343.12001735</v>
      </c>
    </row>
    <row r="24" spans="1:4" x14ac:dyDescent="0.3">
      <c r="A24" s="245" t="s">
        <v>24</v>
      </c>
      <c r="B24" s="3">
        <v>-37414039.473461226</v>
      </c>
      <c r="C24" s="3">
        <v>-143932.33533800021</v>
      </c>
      <c r="D24" s="3">
        <v>-37270107.138123222</v>
      </c>
    </row>
    <row r="25" spans="1:4" x14ac:dyDescent="0.3">
      <c r="A25" s="2" t="s">
        <v>850</v>
      </c>
      <c r="B25" s="3">
        <v>-3100110.6847722479</v>
      </c>
      <c r="C25" s="3">
        <v>-13216826.700870501</v>
      </c>
      <c r="D25" s="3">
        <v>10116716.016098252</v>
      </c>
    </row>
    <row r="26" spans="1:4" x14ac:dyDescent="0.3">
      <c r="A26" s="245" t="s">
        <v>19</v>
      </c>
      <c r="B26" s="3">
        <v>-3100110.6847722479</v>
      </c>
      <c r="C26" s="3">
        <v>-13216826.700870501</v>
      </c>
      <c r="D26" s="3">
        <v>10116716.016098252</v>
      </c>
    </row>
    <row r="27" spans="1:4" x14ac:dyDescent="0.3">
      <c r="A27" s="2" t="s">
        <v>843</v>
      </c>
      <c r="B27" s="3">
        <v>-111249104.59764281</v>
      </c>
      <c r="C27" s="3">
        <v>-79953656.025475577</v>
      </c>
      <c r="D27" s="3">
        <v>-31295448.572167225</v>
      </c>
    </row>
    <row r="28" spans="1:4" x14ac:dyDescent="0.3">
      <c r="A28" s="245" t="s">
        <v>10</v>
      </c>
      <c r="B28" s="3">
        <v>-92570410.728071377</v>
      </c>
      <c r="C28" s="3">
        <v>-59029849.163552389</v>
      </c>
      <c r="D28" s="3">
        <v>-33540561.564518977</v>
      </c>
    </row>
    <row r="29" spans="1:4" x14ac:dyDescent="0.3">
      <c r="A29" s="245" t="s">
        <v>11</v>
      </c>
      <c r="B29" s="3">
        <v>-18678693.869571436</v>
      </c>
      <c r="C29" s="3">
        <v>-20923806.861923188</v>
      </c>
      <c r="D29" s="3">
        <v>2245112.9923517527</v>
      </c>
    </row>
    <row r="30" spans="1:4" x14ac:dyDescent="0.3">
      <c r="A30" s="2" t="s">
        <v>841</v>
      </c>
      <c r="B30" s="3">
        <v>-34462242.745508127</v>
      </c>
      <c r="C30" s="3">
        <v>-167082331.01708764</v>
      </c>
      <c r="D30" s="3">
        <v>132620088.2715795</v>
      </c>
    </row>
    <row r="31" spans="1:4" x14ac:dyDescent="0.3">
      <c r="A31" s="245" t="s">
        <v>869</v>
      </c>
      <c r="B31" s="3">
        <v>-34462242.745508127</v>
      </c>
      <c r="C31" s="3">
        <v>-167082331.01708764</v>
      </c>
      <c r="D31" s="3">
        <v>132620088.2715795</v>
      </c>
    </row>
    <row r="32" spans="1:4" x14ac:dyDescent="0.3">
      <c r="A32" s="2" t="s">
        <v>849</v>
      </c>
      <c r="B32" s="3">
        <v>-14280358.702547446</v>
      </c>
      <c r="C32" s="3">
        <v>-24475978.043454606</v>
      </c>
      <c r="D32" s="3">
        <v>10195619.340907168</v>
      </c>
    </row>
    <row r="33" spans="1:4" x14ac:dyDescent="0.3">
      <c r="A33" s="245" t="s">
        <v>13</v>
      </c>
      <c r="B33" s="3">
        <v>-14280358.702547446</v>
      </c>
      <c r="C33" s="3">
        <v>-24475978.043454606</v>
      </c>
      <c r="D33" s="3">
        <v>10195619.340907168</v>
      </c>
    </row>
    <row r="34" spans="1:4" x14ac:dyDescent="0.3">
      <c r="A34" s="2" t="s">
        <v>851</v>
      </c>
      <c r="B34" s="3">
        <v>-3197291.1599999997</v>
      </c>
      <c r="C34" s="3">
        <v>-576037.5544989194</v>
      </c>
      <c r="D34" s="3">
        <v>-2621253.6055010799</v>
      </c>
    </row>
    <row r="35" spans="1:4" x14ac:dyDescent="0.3">
      <c r="A35" s="245" t="s">
        <v>20</v>
      </c>
      <c r="B35" s="3">
        <v>-3197291.1599999997</v>
      </c>
      <c r="C35" s="3">
        <v>-576037.5544989194</v>
      </c>
      <c r="D35" s="3">
        <v>-2621253.6055010799</v>
      </c>
    </row>
    <row r="36" spans="1:4" x14ac:dyDescent="0.3">
      <c r="A36" s="2" t="s">
        <v>844</v>
      </c>
      <c r="B36" s="3">
        <v>-63783669.408559777</v>
      </c>
      <c r="C36" s="3">
        <v>-49664371.494003989</v>
      </c>
      <c r="D36" s="3">
        <v>-14119297.914555788</v>
      </c>
    </row>
    <row r="37" spans="1:4" x14ac:dyDescent="0.3">
      <c r="A37" s="245" t="s">
        <v>25</v>
      </c>
      <c r="B37" s="3">
        <v>-63783669.408559777</v>
      </c>
      <c r="C37" s="3">
        <v>-49664371.494003989</v>
      </c>
      <c r="D37" s="3">
        <v>-14119297.914555788</v>
      </c>
    </row>
    <row r="38" spans="1:4" x14ac:dyDescent="0.3">
      <c r="A38" s="2" t="s">
        <v>842</v>
      </c>
      <c r="B38" s="3">
        <v>-617924.75170522952</v>
      </c>
      <c r="C38" s="3">
        <v>-12558883.900882704</v>
      </c>
      <c r="D38" s="3">
        <v>11940959.149177475</v>
      </c>
    </row>
    <row r="39" spans="1:4" x14ac:dyDescent="0.3">
      <c r="A39" s="245" t="s">
        <v>1</v>
      </c>
      <c r="B39" s="3">
        <v>-617924.75170522952</v>
      </c>
      <c r="C39" s="3">
        <v>-12558883.900882704</v>
      </c>
      <c r="D39" s="3">
        <v>11940959.149177475</v>
      </c>
    </row>
    <row r="40" spans="1:4" x14ac:dyDescent="0.3">
      <c r="A40" s="2" t="s">
        <v>852</v>
      </c>
      <c r="B40" s="3">
        <v>-44028432.891698539</v>
      </c>
      <c r="C40" s="3">
        <v>-9047247.2370254043</v>
      </c>
      <c r="D40" s="3">
        <v>-34981185.654673137</v>
      </c>
    </row>
    <row r="41" spans="1:4" x14ac:dyDescent="0.3">
      <c r="A41" s="245" t="s">
        <v>28</v>
      </c>
      <c r="B41" s="3">
        <v>-44028432.891698539</v>
      </c>
      <c r="C41" s="3">
        <v>-9047247.2370254043</v>
      </c>
      <c r="D41" s="3">
        <v>-34981185.654673137</v>
      </c>
    </row>
    <row r="42" spans="1:4" x14ac:dyDescent="0.3">
      <c r="A42" s="2" t="s">
        <v>853</v>
      </c>
      <c r="B42" s="3">
        <v>-19661839.260000002</v>
      </c>
      <c r="C42" s="3">
        <v>-10173066.606914049</v>
      </c>
      <c r="D42" s="3">
        <v>-9488772.6530859526</v>
      </c>
    </row>
    <row r="43" spans="1:4" x14ac:dyDescent="0.3">
      <c r="A43" s="245" t="s">
        <v>29</v>
      </c>
      <c r="B43" s="3">
        <v>-19661839.260000002</v>
      </c>
      <c r="C43" s="3">
        <v>-10173066.606914049</v>
      </c>
      <c r="D43" s="3">
        <v>-9488772.6530859526</v>
      </c>
    </row>
    <row r="44" spans="1:4" x14ac:dyDescent="0.3">
      <c r="A44" s="2" t="s">
        <v>32</v>
      </c>
      <c r="B44" s="3">
        <v>-699373198.87631631</v>
      </c>
      <c r="C44" s="3">
        <v>-639401877.29714155</v>
      </c>
      <c r="D44" s="3">
        <v>-59971321.579174861</v>
      </c>
    </row>
    <row r="46" spans="1:4" x14ac:dyDescent="0.3">
      <c r="B46" s="257"/>
      <c r="C46" s="257"/>
      <c r="D46" s="257"/>
    </row>
    <row r="47" spans="1:4" x14ac:dyDescent="0.3">
      <c r="B47" s="257"/>
      <c r="C47" s="257"/>
      <c r="D47" s="257"/>
    </row>
    <row r="48" spans="1:4" x14ac:dyDescent="0.3">
      <c r="B48" s="257"/>
      <c r="C48" s="257"/>
      <c r="D48" s="257"/>
    </row>
  </sheetData>
  <pageMargins left="0.7" right="0.7" top="0.75" bottom="0.75" header="0.3" footer="0.3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opLeftCell="A10" zoomScale="85" zoomScaleNormal="85" workbookViewId="0">
      <selection activeCell="K31" sqref="K31"/>
    </sheetView>
  </sheetViews>
  <sheetFormatPr defaultRowHeight="14.4" x14ac:dyDescent="0.3"/>
  <cols>
    <col min="2" max="2" width="15.6640625" customWidth="1"/>
    <col min="3" max="3" width="12" bestFit="1" customWidth="1"/>
    <col min="4" max="4" width="15.5546875" bestFit="1" customWidth="1"/>
    <col min="5" max="5" width="14.33203125" bestFit="1" customWidth="1"/>
    <col min="6" max="6" width="16.5546875" bestFit="1" customWidth="1"/>
    <col min="7" max="7" width="12.88671875" bestFit="1" customWidth="1"/>
    <col min="8" max="8" width="16.44140625" bestFit="1" customWidth="1"/>
  </cols>
  <sheetData>
    <row r="1" spans="2:16" x14ac:dyDescent="0.3">
      <c r="B1" s="455" t="s">
        <v>1956</v>
      </c>
    </row>
    <row r="2" spans="2:16" x14ac:dyDescent="0.3">
      <c r="B2" s="456" t="s">
        <v>825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2:16" x14ac:dyDescent="0.3"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2:16" x14ac:dyDescent="0.3">
      <c r="B4" s="456"/>
      <c r="C4" s="457"/>
      <c r="D4" s="457"/>
      <c r="E4" s="457"/>
      <c r="F4" s="457"/>
      <c r="G4" s="457"/>
      <c r="H4" s="457"/>
      <c r="I4" s="456"/>
      <c r="J4" s="456"/>
      <c r="K4" s="456"/>
      <c r="L4" s="456"/>
      <c r="M4" s="456"/>
      <c r="N4" s="456"/>
      <c r="O4" s="456"/>
      <c r="P4" s="456"/>
    </row>
    <row r="5" spans="2:16" x14ac:dyDescent="0.3">
      <c r="B5" s="458" t="s">
        <v>826</v>
      </c>
      <c r="C5" s="458" t="s">
        <v>827</v>
      </c>
      <c r="D5" s="458">
        <v>2022</v>
      </c>
      <c r="E5" s="458">
        <v>2023</v>
      </c>
      <c r="F5" s="458">
        <v>2024</v>
      </c>
      <c r="G5" s="458">
        <v>2025</v>
      </c>
      <c r="H5" s="458" t="s">
        <v>828</v>
      </c>
      <c r="I5" s="456"/>
      <c r="J5" s="456"/>
      <c r="K5" s="456"/>
      <c r="L5" s="456"/>
      <c r="M5" s="456"/>
      <c r="N5" s="456"/>
      <c r="O5" s="456"/>
      <c r="P5" s="456"/>
    </row>
    <row r="6" spans="2:16" x14ac:dyDescent="0.3">
      <c r="B6" s="459"/>
      <c r="C6" s="459"/>
      <c r="D6" s="459"/>
      <c r="E6" s="459"/>
      <c r="F6" s="459"/>
      <c r="G6" s="459"/>
      <c r="H6" s="459"/>
      <c r="I6" s="456"/>
      <c r="J6" s="456"/>
      <c r="K6" s="456"/>
      <c r="L6" s="456"/>
      <c r="M6" s="456"/>
      <c r="N6" s="456"/>
      <c r="O6" s="456"/>
      <c r="P6" s="456"/>
    </row>
    <row r="7" spans="2:16" x14ac:dyDescent="0.3">
      <c r="B7" s="459" t="s">
        <v>829</v>
      </c>
      <c r="C7" s="460">
        <v>0</v>
      </c>
      <c r="D7" s="460">
        <v>-40119811.454329111</v>
      </c>
      <c r="E7" s="460">
        <v>0</v>
      </c>
      <c r="F7" s="460">
        <v>-256428722.37744194</v>
      </c>
      <c r="G7" s="460">
        <v>-254417.050227406</v>
      </c>
      <c r="H7" s="460">
        <v>-296802950.88199842</v>
      </c>
      <c r="I7" s="456"/>
      <c r="J7" s="456"/>
      <c r="K7" s="456"/>
      <c r="L7" s="456"/>
      <c r="M7" s="456"/>
      <c r="N7" s="456"/>
      <c r="O7" s="456"/>
      <c r="P7" s="456"/>
    </row>
    <row r="8" spans="2:16" x14ac:dyDescent="0.3">
      <c r="B8" s="459" t="s">
        <v>830</v>
      </c>
      <c r="C8" s="461">
        <v>0</v>
      </c>
      <c r="D8" s="461">
        <v>0</v>
      </c>
      <c r="E8" s="461">
        <v>-40119811.454329111</v>
      </c>
      <c r="F8" s="461">
        <v>-256683139.42766923</v>
      </c>
      <c r="G8" s="461"/>
      <c r="H8" s="460">
        <v>-296802950.88199842</v>
      </c>
      <c r="I8" s="456"/>
      <c r="J8" s="456"/>
      <c r="K8" s="456"/>
      <c r="L8" s="456"/>
      <c r="M8" s="456"/>
      <c r="N8" s="456"/>
      <c r="O8" s="456"/>
      <c r="P8" s="456"/>
    </row>
    <row r="9" spans="2:16" ht="15" thickBot="1" x14ac:dyDescent="0.35">
      <c r="B9" s="459" t="s">
        <v>831</v>
      </c>
      <c r="C9" s="462">
        <f>C7-C8</f>
        <v>0</v>
      </c>
      <c r="D9" s="462">
        <f t="shared" ref="D9:H9" si="0">D7-D8</f>
        <v>-40119811.454329111</v>
      </c>
      <c r="E9" s="462">
        <f t="shared" si="0"/>
        <v>40119811.454329111</v>
      </c>
      <c r="F9" s="462">
        <f t="shared" si="0"/>
        <v>254417.05022728443</v>
      </c>
      <c r="G9" s="462">
        <f t="shared" si="0"/>
        <v>-254417.050227406</v>
      </c>
      <c r="H9" s="462">
        <f t="shared" si="0"/>
        <v>0</v>
      </c>
      <c r="I9" s="456"/>
      <c r="J9" s="456"/>
      <c r="K9" s="456"/>
      <c r="L9" s="456"/>
      <c r="M9" s="456"/>
      <c r="N9" s="456"/>
      <c r="O9" s="456"/>
      <c r="P9" s="456"/>
    </row>
    <row r="10" spans="2:16" ht="15" thickTop="1" x14ac:dyDescent="0.3">
      <c r="B10" s="459"/>
      <c r="C10" s="463"/>
      <c r="D10" s="463"/>
      <c r="E10" s="463"/>
      <c r="F10" s="463"/>
      <c r="G10" s="463"/>
      <c r="H10" s="463"/>
      <c r="I10" s="456"/>
      <c r="J10" s="456"/>
      <c r="K10" s="456"/>
      <c r="L10" s="456"/>
      <c r="M10" s="456"/>
      <c r="N10" s="456"/>
      <c r="O10" s="456"/>
      <c r="P10" s="456"/>
    </row>
    <row r="11" spans="2:16" x14ac:dyDescent="0.3">
      <c r="B11" s="459"/>
      <c r="C11" s="463"/>
      <c r="D11" s="463"/>
      <c r="E11" s="463"/>
      <c r="F11" s="463"/>
      <c r="G11" s="463"/>
      <c r="H11" s="463"/>
      <c r="I11" s="456"/>
      <c r="J11" s="456"/>
      <c r="K11" s="456"/>
      <c r="L11" s="456"/>
      <c r="M11" s="456"/>
      <c r="N11" s="456"/>
      <c r="O11" s="456"/>
      <c r="P11" s="456"/>
    </row>
    <row r="12" spans="2:16" x14ac:dyDescent="0.3"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</row>
    <row r="13" spans="2:16" x14ac:dyDescent="0.3"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</row>
    <row r="14" spans="2:16" x14ac:dyDescent="0.3"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</row>
    <row r="15" spans="2:16" x14ac:dyDescent="0.3">
      <c r="B15" s="456"/>
      <c r="C15" s="456"/>
      <c r="D15" s="464" t="s">
        <v>832</v>
      </c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65" t="s">
        <v>833</v>
      </c>
      <c r="P15" s="456"/>
    </row>
    <row r="16" spans="2:16" x14ac:dyDescent="0.3">
      <c r="B16" s="456"/>
      <c r="C16" s="456"/>
      <c r="D16" s="466" t="s">
        <v>834</v>
      </c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</row>
    <row r="17" spans="2:16" x14ac:dyDescent="0.3">
      <c r="B17" s="456"/>
      <c r="C17" s="456"/>
      <c r="D17" s="466" t="s">
        <v>835</v>
      </c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</row>
    <row r="18" spans="2:16" x14ac:dyDescent="0.3">
      <c r="B18" s="456"/>
      <c r="C18" s="456"/>
      <c r="D18" s="466" t="s">
        <v>836</v>
      </c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67">
        <v>2.5100000000000001E-2</v>
      </c>
      <c r="P18" s="456"/>
    </row>
    <row r="19" spans="2:16" x14ac:dyDescent="0.3">
      <c r="B19" s="456"/>
      <c r="C19" s="456"/>
      <c r="D19" s="466" t="s">
        <v>837</v>
      </c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67">
        <v>1.54E-2</v>
      </c>
      <c r="P19" s="456"/>
    </row>
    <row r="20" spans="2:16" x14ac:dyDescent="0.3">
      <c r="B20" s="456"/>
      <c r="C20" s="456"/>
      <c r="D20" s="466" t="s">
        <v>838</v>
      </c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</row>
    <row r="21" spans="2:16" x14ac:dyDescent="0.3">
      <c r="B21" s="456"/>
      <c r="C21" s="456"/>
      <c r="D21" s="468" t="s">
        <v>839</v>
      </c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</row>
    <row r="22" spans="2:16" x14ac:dyDescent="0.3"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</row>
    <row r="23" spans="2:16" x14ac:dyDescent="0.3"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</row>
    <row r="24" spans="2:16" x14ac:dyDescent="0.3"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</row>
    <row r="25" spans="2:16" x14ac:dyDescent="0.3"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</row>
    <row r="26" spans="2:16" x14ac:dyDescent="0.3"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</row>
    <row r="27" spans="2:16" x14ac:dyDescent="0.3"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</row>
    <row r="28" spans="2:16" x14ac:dyDescent="0.3"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</row>
    <row r="29" spans="2:16" x14ac:dyDescent="0.3">
      <c r="B29" s="456"/>
      <c r="C29" s="456"/>
      <c r="D29" s="456"/>
      <c r="E29" s="456" t="s">
        <v>840</v>
      </c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</row>
    <row r="30" spans="2:16" x14ac:dyDescent="0.3"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</row>
    <row r="31" spans="2:16" x14ac:dyDescent="0.3"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</row>
    <row r="32" spans="2:16" x14ac:dyDescent="0.3"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</row>
    <row r="33" spans="2:16" x14ac:dyDescent="0.3"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</row>
    <row r="34" spans="2:16" x14ac:dyDescent="0.3"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</row>
    <row r="35" spans="2:16" x14ac:dyDescent="0.3"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</row>
    <row r="36" spans="2:16" x14ac:dyDescent="0.3"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</row>
    <row r="37" spans="2:16" x14ac:dyDescent="0.3"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</row>
    <row r="38" spans="2:16" x14ac:dyDescent="0.3"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</row>
    <row r="39" spans="2:16" x14ac:dyDescent="0.3"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</row>
    <row r="40" spans="2:16" x14ac:dyDescent="0.3"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</row>
    <row r="41" spans="2:16" x14ac:dyDescent="0.3"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</row>
    <row r="42" spans="2:16" x14ac:dyDescent="0.3"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</row>
    <row r="43" spans="2:16" x14ac:dyDescent="0.3"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D12" sqref="D12"/>
    </sheetView>
  </sheetViews>
  <sheetFormatPr defaultColWidth="9.33203125" defaultRowHeight="13.2" x14ac:dyDescent="0.25"/>
  <cols>
    <col min="1" max="1" width="4.33203125" style="134" bestFit="1" customWidth="1"/>
    <col min="2" max="2" width="58.6640625" style="134" customWidth="1"/>
    <col min="3" max="3" width="15" style="134" bestFit="1" customWidth="1"/>
    <col min="4" max="4" width="15.33203125" style="134" bestFit="1" customWidth="1"/>
    <col min="5" max="6" width="16.44140625" style="134" bestFit="1" customWidth="1"/>
    <col min="7" max="9" width="15.33203125" style="134" bestFit="1" customWidth="1"/>
    <col min="10" max="10" width="16.88671875" style="134" bestFit="1" customWidth="1"/>
    <col min="11" max="16384" width="9.33203125" style="134"/>
  </cols>
  <sheetData>
    <row r="1" spans="1:10" x14ac:dyDescent="0.25">
      <c r="A1" s="133" t="s">
        <v>127</v>
      </c>
      <c r="E1" s="135" t="s">
        <v>128</v>
      </c>
    </row>
    <row r="2" spans="1:10" x14ac:dyDescent="0.25">
      <c r="A2" s="133" t="s">
        <v>129</v>
      </c>
    </row>
    <row r="3" spans="1:10" x14ac:dyDescent="0.25">
      <c r="A3" s="133" t="s">
        <v>130</v>
      </c>
    </row>
    <row r="4" spans="1:10" x14ac:dyDescent="0.25">
      <c r="A4" s="133"/>
    </row>
    <row r="5" spans="1:10" x14ac:dyDescent="0.25">
      <c r="A5" s="136" t="s">
        <v>131</v>
      </c>
    </row>
    <row r="7" spans="1:10" ht="14.4" x14ac:dyDescent="0.3">
      <c r="A7" s="137" t="s">
        <v>132</v>
      </c>
      <c r="B7" s="137" t="s">
        <v>133</v>
      </c>
      <c r="C7" s="137">
        <v>2022</v>
      </c>
      <c r="D7" s="137">
        <v>2023</v>
      </c>
      <c r="E7" s="137">
        <v>2024</v>
      </c>
      <c r="F7" s="138"/>
    </row>
    <row r="8" spans="1:10" ht="14.4" x14ac:dyDescent="0.3">
      <c r="F8" s="138"/>
    </row>
    <row r="9" spans="1:10" ht="14.4" x14ac:dyDescent="0.3">
      <c r="A9" s="301">
        <f>ROW()</f>
        <v>9</v>
      </c>
      <c r="B9" s="296" t="s">
        <v>67</v>
      </c>
      <c r="C9" s="140">
        <v>2.6200000000000001E-2</v>
      </c>
      <c r="D9" s="140">
        <v>2.5499999999999998E-2</v>
      </c>
      <c r="E9" s="140">
        <v>2.5499999999999998E-2</v>
      </c>
      <c r="F9" s="141"/>
      <c r="G9" s="141"/>
      <c r="H9" s="141"/>
    </row>
    <row r="10" spans="1:10" ht="14.4" x14ac:dyDescent="0.3">
      <c r="A10" s="301">
        <f>ROW()</f>
        <v>10</v>
      </c>
      <c r="B10" s="296" t="s">
        <v>68</v>
      </c>
      <c r="C10" s="140">
        <v>7.2300000000000003E-2</v>
      </c>
      <c r="D10" s="140">
        <v>7.1599999999999997E-2</v>
      </c>
      <c r="E10" s="140">
        <v>7.1599999999999997E-2</v>
      </c>
      <c r="F10" s="141"/>
      <c r="G10" s="141"/>
      <c r="H10" s="141"/>
    </row>
    <row r="11" spans="1:10" ht="14.4" x14ac:dyDescent="0.3">
      <c r="A11" s="301">
        <f>ROW()</f>
        <v>11</v>
      </c>
      <c r="B11" s="296" t="s">
        <v>69</v>
      </c>
      <c r="C11" s="140">
        <v>0.21</v>
      </c>
      <c r="D11" s="140">
        <v>0.21</v>
      </c>
      <c r="E11" s="140">
        <v>0.21</v>
      </c>
      <c r="F11" s="141"/>
      <c r="G11" s="141"/>
      <c r="H11" s="141"/>
    </row>
    <row r="12" spans="1:10" ht="14.4" x14ac:dyDescent="0.3">
      <c r="A12" s="301">
        <f>ROW()</f>
        <v>12</v>
      </c>
      <c r="B12" s="296" t="s">
        <v>70</v>
      </c>
      <c r="C12" s="140">
        <v>0.752355</v>
      </c>
      <c r="D12" s="140">
        <v>0.752355</v>
      </c>
      <c r="E12" s="140">
        <v>0.752355</v>
      </c>
      <c r="F12" s="141"/>
      <c r="G12" s="141"/>
      <c r="H12" s="141"/>
    </row>
    <row r="13" spans="1:10" ht="14.4" x14ac:dyDescent="0.3">
      <c r="A13" s="301">
        <f>ROW()</f>
        <v>13</v>
      </c>
      <c r="B13" s="296" t="s">
        <v>109</v>
      </c>
      <c r="C13" s="142">
        <v>466843558.72516948</v>
      </c>
      <c r="D13" s="142">
        <v>682036404.07630312</v>
      </c>
      <c r="E13" s="142">
        <v>1388026490.6517072</v>
      </c>
      <c r="F13" s="143"/>
      <c r="G13" s="143"/>
      <c r="H13" s="143"/>
      <c r="I13" s="143"/>
      <c r="J13" s="143"/>
    </row>
    <row r="14" spans="1:10" ht="14.4" x14ac:dyDescent="0.3">
      <c r="A14" s="301">
        <f>ROW()</f>
        <v>14</v>
      </c>
      <c r="B14" s="296"/>
      <c r="C14" s="142"/>
      <c r="D14" s="142"/>
      <c r="E14" s="142"/>
      <c r="F14" s="141"/>
      <c r="G14" s="141"/>
      <c r="H14" s="141"/>
      <c r="I14" s="141"/>
      <c r="J14" s="141"/>
    </row>
    <row r="15" spans="1:10" ht="14.4" x14ac:dyDescent="0.3">
      <c r="A15" s="301">
        <f>ROW()</f>
        <v>15</v>
      </c>
      <c r="B15" s="296" t="s">
        <v>134</v>
      </c>
      <c r="C15" s="142">
        <v>-7056541.818855999</v>
      </c>
      <c r="D15" s="142">
        <v>-30022505.538783982</v>
      </c>
      <c r="E15" s="142">
        <v>-72434981.631290019</v>
      </c>
      <c r="F15" s="143"/>
      <c r="G15" s="143"/>
      <c r="H15" s="143"/>
      <c r="I15" s="143"/>
      <c r="J15" s="143"/>
    </row>
    <row r="16" spans="1:10" ht="14.4" x14ac:dyDescent="0.3">
      <c r="A16" s="301">
        <f>ROW()</f>
        <v>16</v>
      </c>
      <c r="B16" s="296" t="s">
        <v>135</v>
      </c>
      <c r="C16" s="144">
        <v>1731154.2774910009</v>
      </c>
      <c r="D16" s="144">
        <v>6205711.5625445591</v>
      </c>
      <c r="E16" s="144">
        <v>15652329.743660886</v>
      </c>
      <c r="F16" s="143"/>
      <c r="G16" s="143"/>
      <c r="H16" s="143"/>
      <c r="I16" s="143"/>
      <c r="J16" s="143"/>
    </row>
    <row r="17" spans="1:9" ht="14.4" x14ac:dyDescent="0.3">
      <c r="A17" s="301">
        <f>ROW()</f>
        <v>17</v>
      </c>
      <c r="B17" s="296" t="s">
        <v>136</v>
      </c>
      <c r="C17" s="145">
        <f>SUM(C15:C16)</f>
        <v>-5325387.5413649976</v>
      </c>
      <c r="D17" s="145">
        <f>SUM(D15:D16)</f>
        <v>-23816793.976239424</v>
      </c>
      <c r="E17" s="145">
        <f>SUM(E15:E16)</f>
        <v>-56782651.887629136</v>
      </c>
      <c r="F17" s="141"/>
      <c r="G17" s="141"/>
      <c r="H17" s="141"/>
    </row>
    <row r="18" spans="1:9" ht="14.4" x14ac:dyDescent="0.3">
      <c r="A18" s="301">
        <f>ROW()</f>
        <v>18</v>
      </c>
      <c r="B18" s="296" t="s">
        <v>137</v>
      </c>
      <c r="C18" s="144">
        <f>C13*C9*C11</f>
        <v>2568573.2601058823</v>
      </c>
      <c r="D18" s="144">
        <f>D13*D9*D11</f>
        <v>3652304.9438286028</v>
      </c>
      <c r="E18" s="144">
        <f>E13*E9*E11</f>
        <v>7432881.8574398914</v>
      </c>
      <c r="F18" s="141"/>
      <c r="G18" s="141"/>
      <c r="H18" s="141"/>
    </row>
    <row r="19" spans="1:9" ht="14.4" x14ac:dyDescent="0.3">
      <c r="A19" s="301">
        <f>ROW()</f>
        <v>19</v>
      </c>
      <c r="B19" s="296" t="s">
        <v>138</v>
      </c>
      <c r="C19" s="145">
        <f>SUM(C17:C18)</f>
        <v>-2756814.2812591153</v>
      </c>
      <c r="D19" s="145">
        <f>SUM(D17:D18)</f>
        <v>-20164489.032410823</v>
      </c>
      <c r="E19" s="145">
        <f>SUM(E17:E18)</f>
        <v>-49349770.030189246</v>
      </c>
      <c r="F19" s="141"/>
      <c r="G19" s="141"/>
      <c r="H19" s="141"/>
    </row>
    <row r="20" spans="1:9" ht="14.4" x14ac:dyDescent="0.3">
      <c r="A20" s="301">
        <f>ROW()</f>
        <v>20</v>
      </c>
      <c r="B20" s="296" t="s">
        <v>139</v>
      </c>
      <c r="C20" s="144">
        <f>C13*C10</f>
        <v>33752789.295829758</v>
      </c>
      <c r="D20" s="144">
        <f>D13*D10</f>
        <v>48833806.531863302</v>
      </c>
      <c r="E20" s="144">
        <f>E13*E10</f>
        <v>99382696.730662227</v>
      </c>
      <c r="F20" s="141"/>
      <c r="G20" s="141"/>
      <c r="H20" s="141"/>
    </row>
    <row r="21" spans="1:9" ht="14.4" x14ac:dyDescent="0.3">
      <c r="A21" s="301">
        <f>ROW()</f>
        <v>21</v>
      </c>
      <c r="B21" s="296" t="s">
        <v>65</v>
      </c>
      <c r="C21" s="146">
        <f>C20-C19</f>
        <v>36509603.57708887</v>
      </c>
      <c r="D21" s="146">
        <f>D20-D19</f>
        <v>68998295.564274132</v>
      </c>
      <c r="E21" s="146">
        <f>E20-E19</f>
        <v>148732466.76085147</v>
      </c>
      <c r="F21" s="141"/>
      <c r="G21" s="141"/>
      <c r="H21" s="141"/>
    </row>
    <row r="22" spans="1:9" ht="15" thickBot="1" x14ac:dyDescent="0.35">
      <c r="A22" s="301">
        <f>ROW()</f>
        <v>22</v>
      </c>
      <c r="B22" s="296" t="s">
        <v>140</v>
      </c>
      <c r="C22" s="147">
        <f>C21/C12</f>
        <v>48527096.353568286</v>
      </c>
      <c r="D22" s="147">
        <f>D21/D12</f>
        <v>91709758.776474044</v>
      </c>
      <c r="E22" s="147">
        <f>E21/E12</f>
        <v>197689211.5568468</v>
      </c>
      <c r="F22" s="141"/>
      <c r="G22" s="141"/>
      <c r="H22" s="141"/>
      <c r="I22" s="148"/>
    </row>
    <row r="23" spans="1:9" ht="15" thickTop="1" x14ac:dyDescent="0.3">
      <c r="A23" s="301">
        <f>ROW()</f>
        <v>23</v>
      </c>
      <c r="B23" s="296" t="s">
        <v>141</v>
      </c>
      <c r="C23" s="142">
        <v>0</v>
      </c>
      <c r="D23" s="142">
        <f>D22</f>
        <v>91709758.776474044</v>
      </c>
      <c r="E23" s="142">
        <f>E22</f>
        <v>197689211.5568468</v>
      </c>
      <c r="F23" s="141"/>
      <c r="G23" s="141"/>
      <c r="H23" s="141"/>
      <c r="I23" s="148"/>
    </row>
    <row r="24" spans="1:9" ht="14.4" x14ac:dyDescent="0.3">
      <c r="A24" s="301">
        <f>ROW()</f>
        <v>24</v>
      </c>
      <c r="B24" s="296"/>
      <c r="C24" s="149"/>
      <c r="D24" s="142"/>
      <c r="E24" s="142"/>
      <c r="F24" s="141"/>
      <c r="G24" s="141"/>
      <c r="H24" s="141"/>
    </row>
    <row r="25" spans="1:9" ht="15" thickBot="1" x14ac:dyDescent="0.35">
      <c r="A25" s="301">
        <f>ROW()</f>
        <v>25</v>
      </c>
      <c r="B25" s="296" t="s">
        <v>142</v>
      </c>
      <c r="C25" s="150">
        <f>C23</f>
        <v>0</v>
      </c>
      <c r="D25" s="151">
        <f>D23-C23</f>
        <v>91709758.776474044</v>
      </c>
      <c r="E25" s="151">
        <f>E23-D23</f>
        <v>105979452.78037275</v>
      </c>
      <c r="F25" s="141"/>
      <c r="G25" s="141"/>
      <c r="H25" s="141"/>
    </row>
    <row r="26" spans="1:9" ht="14.4" thickTop="1" x14ac:dyDescent="0.25">
      <c r="A26" s="296"/>
      <c r="B26" s="296"/>
      <c r="C26" s="302"/>
      <c r="D26" s="302"/>
      <c r="E26" s="302"/>
    </row>
    <row r="27" spans="1:9" ht="13.8" x14ac:dyDescent="0.25">
      <c r="A27" s="296"/>
      <c r="B27" s="296"/>
      <c r="C27" s="302"/>
      <c r="D27" s="302"/>
      <c r="E27" s="302"/>
    </row>
    <row r="28" spans="1:9" ht="13.8" x14ac:dyDescent="0.25">
      <c r="A28" s="296"/>
      <c r="B28" s="296" t="s">
        <v>866</v>
      </c>
      <c r="C28" s="303">
        <f>C22</f>
        <v>48527096.353568286</v>
      </c>
      <c r="D28" s="303">
        <f>D25-C28</f>
        <v>43182662.422905758</v>
      </c>
      <c r="E28" s="303">
        <f>E25</f>
        <v>105979452.78037275</v>
      </c>
      <c r="F28" s="158">
        <f>SUM(C28:E28)</f>
        <v>197689211.5568468</v>
      </c>
      <c r="G28" s="295">
        <f>F28-E23</f>
        <v>0</v>
      </c>
    </row>
    <row r="29" spans="1:9" ht="14.4" x14ac:dyDescent="0.3">
      <c r="A29" s="296"/>
      <c r="B29" s="296" t="s">
        <v>867</v>
      </c>
      <c r="C29" s="297">
        <f>D29</f>
        <v>5.0000000000000001E-3</v>
      </c>
      <c r="D29" s="297">
        <f>'STR RR Recalc (Table 1)'!G22</f>
        <v>5.0000000000000001E-3</v>
      </c>
      <c r="E29" s="297">
        <f>D29</f>
        <v>5.0000000000000001E-3</v>
      </c>
      <c r="F29" s="138"/>
    </row>
    <row r="30" spans="1:9" ht="14.4" x14ac:dyDescent="0.3">
      <c r="A30" s="296"/>
      <c r="B30" s="296" t="s">
        <v>868</v>
      </c>
      <c r="C30" s="298">
        <f>D30</f>
        <v>4532676.7554964293</v>
      </c>
      <c r="D30" s="299">
        <f>D13*D29/D12</f>
        <v>4532676.7554964293</v>
      </c>
      <c r="E30" s="299">
        <f>E13*E29/E12</f>
        <v>9224544.8667963073</v>
      </c>
      <c r="F30" s="138"/>
    </row>
    <row r="31" spans="1:9" ht="14.4" x14ac:dyDescent="0.3">
      <c r="A31" s="296"/>
      <c r="B31" s="296"/>
      <c r="C31" s="300">
        <f>C30/C22</f>
        <v>9.3405068427572083E-2</v>
      </c>
      <c r="D31" s="300">
        <f>D30/D28</f>
        <v>0.10496519902145084</v>
      </c>
      <c r="E31" s="300">
        <f>E30/E28</f>
        <v>8.7040880329065831E-2</v>
      </c>
      <c r="F31" s="138"/>
    </row>
    <row r="32" spans="1:9" ht="14.4" x14ac:dyDescent="0.3">
      <c r="B32" s="138"/>
      <c r="C32" s="138"/>
      <c r="D32" s="138"/>
      <c r="E32" s="138"/>
      <c r="F32" s="138"/>
    </row>
    <row r="33" spans="2:6" ht="14.4" x14ac:dyDescent="0.3">
      <c r="B33" s="138"/>
      <c r="C33" s="138"/>
      <c r="D33" s="138"/>
      <c r="E33" s="138"/>
      <c r="F33" s="138"/>
    </row>
    <row r="34" spans="2:6" ht="14.4" x14ac:dyDescent="0.3">
      <c r="B34" s="138"/>
      <c r="C34" s="138"/>
      <c r="D34" s="138"/>
      <c r="E34" s="138"/>
      <c r="F34" s="138"/>
    </row>
    <row r="35" spans="2:6" ht="14.4" x14ac:dyDescent="0.3">
      <c r="B35" s="138"/>
      <c r="C35" s="138"/>
      <c r="D35" s="138"/>
      <c r="E35" s="138"/>
      <c r="F35" s="138"/>
    </row>
    <row r="36" spans="2:6" ht="14.4" x14ac:dyDescent="0.3">
      <c r="B36" s="138"/>
      <c r="C36" s="138"/>
      <c r="D36" s="138"/>
      <c r="E36" s="138"/>
      <c r="F36" s="138"/>
    </row>
    <row r="37" spans="2:6" ht="14.4" x14ac:dyDescent="0.3">
      <c r="B37" s="138"/>
      <c r="C37" s="138"/>
      <c r="D37" s="138"/>
      <c r="E37" s="138"/>
      <c r="F37" s="138"/>
    </row>
    <row r="38" spans="2:6" ht="14.4" x14ac:dyDescent="0.3">
      <c r="B38" s="138"/>
      <c r="C38" s="138"/>
      <c r="D38" s="138"/>
      <c r="E38" s="138"/>
      <c r="F38" s="138"/>
    </row>
    <row r="39" spans="2:6" ht="14.4" x14ac:dyDescent="0.3">
      <c r="B39" s="138"/>
      <c r="C39" s="138"/>
      <c r="D39" s="138"/>
      <c r="E39" s="138"/>
      <c r="F39" s="138"/>
    </row>
    <row r="40" spans="2:6" ht="14.4" x14ac:dyDescent="0.3">
      <c r="B40" s="138"/>
      <c r="C40" s="138"/>
      <c r="D40" s="138"/>
      <c r="E40" s="138"/>
      <c r="F40" s="138"/>
    </row>
    <row r="41" spans="2:6" ht="14.4" x14ac:dyDescent="0.3">
      <c r="B41" s="138"/>
      <c r="C41" s="138"/>
      <c r="D41" s="138"/>
      <c r="E41" s="138"/>
      <c r="F41" s="138"/>
    </row>
    <row r="42" spans="2:6" ht="14.4" x14ac:dyDescent="0.3">
      <c r="B42" s="138"/>
      <c r="C42" s="138"/>
      <c r="D42" s="138"/>
      <c r="E42" s="138"/>
      <c r="F42" s="138"/>
    </row>
    <row r="43" spans="2:6" ht="14.4" x14ac:dyDescent="0.3">
      <c r="B43" s="138"/>
      <c r="C43" s="138"/>
      <c r="D43" s="138"/>
      <c r="E43" s="138"/>
      <c r="F43" s="138"/>
    </row>
    <row r="44" spans="2:6" ht="14.4" x14ac:dyDescent="0.3">
      <c r="B44" s="138"/>
      <c r="C44" s="138"/>
      <c r="D44" s="138"/>
      <c r="E44" s="138"/>
      <c r="F44" s="138"/>
    </row>
    <row r="45" spans="2:6" ht="14.4" x14ac:dyDescent="0.3">
      <c r="B45" s="138"/>
      <c r="C45" s="138"/>
      <c r="D45" s="138"/>
      <c r="E45" s="138"/>
      <c r="F45" s="138"/>
    </row>
    <row r="46" spans="2:6" ht="14.4" x14ac:dyDescent="0.3">
      <c r="B46" s="138"/>
      <c r="C46" s="138"/>
      <c r="D46" s="138"/>
      <c r="E46" s="138"/>
      <c r="F46" s="138"/>
    </row>
    <row r="47" spans="2:6" ht="14.4" x14ac:dyDescent="0.3">
      <c r="B47" s="138"/>
      <c r="C47" s="138"/>
      <c r="D47" s="138"/>
      <c r="E47" s="138"/>
      <c r="F47" s="138"/>
    </row>
    <row r="48" spans="2:6" ht="14.4" x14ac:dyDescent="0.3">
      <c r="B48" s="138"/>
      <c r="C48" s="138"/>
      <c r="D48" s="138"/>
      <c r="E48" s="138"/>
      <c r="F48" s="138"/>
    </row>
    <row r="49" spans="2:6" ht="14.4" x14ac:dyDescent="0.3">
      <c r="B49" s="138"/>
      <c r="C49" s="138"/>
      <c r="D49" s="138"/>
      <c r="E49" s="138"/>
      <c r="F49" s="138"/>
    </row>
    <row r="50" spans="2:6" ht="14.4" x14ac:dyDescent="0.3">
      <c r="B50" s="138"/>
      <c r="C50" s="138"/>
      <c r="D50" s="138"/>
      <c r="E50" s="138"/>
      <c r="F50" s="138"/>
    </row>
    <row r="51" spans="2:6" ht="14.4" x14ac:dyDescent="0.3">
      <c r="B51" s="138"/>
      <c r="C51" s="138"/>
      <c r="D51" s="138"/>
      <c r="E51" s="138"/>
      <c r="F51" s="138"/>
    </row>
    <row r="52" spans="2:6" ht="14.4" x14ac:dyDescent="0.3">
      <c r="B52" s="138"/>
      <c r="C52" s="138"/>
      <c r="D52" s="138"/>
      <c r="E52" s="138"/>
      <c r="F52" s="138"/>
    </row>
    <row r="53" spans="2:6" ht="14.4" x14ac:dyDescent="0.3">
      <c r="B53" s="138"/>
      <c r="C53" s="138"/>
      <c r="D53" s="138"/>
      <c r="E53" s="138"/>
      <c r="F53" s="138"/>
    </row>
    <row r="54" spans="2:6" ht="14.4" x14ac:dyDescent="0.3">
      <c r="B54" s="138"/>
      <c r="C54" s="138"/>
      <c r="D54" s="138"/>
      <c r="E54" s="138"/>
      <c r="F54" s="138"/>
    </row>
    <row r="55" spans="2:6" ht="14.4" x14ac:dyDescent="0.3">
      <c r="B55" s="138"/>
      <c r="C55" s="138"/>
      <c r="D55" s="138"/>
      <c r="E55" s="138"/>
      <c r="F55" s="138"/>
    </row>
    <row r="56" spans="2:6" ht="14.4" x14ac:dyDescent="0.3">
      <c r="B56" s="138"/>
      <c r="C56" s="138"/>
      <c r="D56" s="138"/>
      <c r="E56" s="138"/>
      <c r="F56" s="138"/>
    </row>
    <row r="57" spans="2:6" ht="14.4" x14ac:dyDescent="0.3">
      <c r="B57" s="138"/>
      <c r="C57" s="138"/>
      <c r="D57" s="138"/>
      <c r="E57" s="138"/>
      <c r="F57" s="138"/>
    </row>
    <row r="58" spans="2:6" ht="14.4" x14ac:dyDescent="0.3">
      <c r="B58" s="138"/>
      <c r="C58" s="138"/>
      <c r="D58" s="138"/>
      <c r="E58" s="138"/>
      <c r="F58" s="138"/>
    </row>
    <row r="59" spans="2:6" ht="14.4" x14ac:dyDescent="0.3">
      <c r="B59" s="138"/>
      <c r="C59" s="138"/>
      <c r="D59" s="138"/>
      <c r="E59" s="138"/>
      <c r="F59" s="138"/>
    </row>
    <row r="60" spans="2:6" ht="14.4" x14ac:dyDescent="0.3">
      <c r="B60" s="138"/>
      <c r="C60" s="138"/>
      <c r="D60" s="138"/>
      <c r="E60" s="138"/>
      <c r="F60" s="138"/>
    </row>
    <row r="61" spans="2:6" ht="14.4" x14ac:dyDescent="0.3">
      <c r="B61" s="138"/>
      <c r="C61" s="138"/>
      <c r="D61" s="138"/>
      <c r="E61" s="138"/>
      <c r="F61" s="138"/>
    </row>
    <row r="62" spans="2:6" ht="14.4" x14ac:dyDescent="0.3">
      <c r="B62" s="138"/>
      <c r="C62" s="138"/>
      <c r="D62" s="138"/>
      <c r="E62" s="138"/>
      <c r="F62" s="138"/>
    </row>
    <row r="63" spans="2:6" ht="14.4" x14ac:dyDescent="0.3">
      <c r="B63" s="138"/>
      <c r="C63" s="138"/>
      <c r="D63" s="138"/>
      <c r="E63" s="138"/>
      <c r="F63" s="138"/>
    </row>
    <row r="64" spans="2:6" ht="14.4" x14ac:dyDescent="0.3">
      <c r="B64" s="138"/>
      <c r="C64" s="138"/>
      <c r="D64" s="138"/>
      <c r="E64" s="138"/>
      <c r="F64" s="138"/>
    </row>
    <row r="65" spans="2:6" ht="14.4" x14ac:dyDescent="0.3">
      <c r="B65" s="138"/>
      <c r="C65" s="138"/>
      <c r="D65" s="138"/>
      <c r="E65" s="138"/>
      <c r="F65" s="138"/>
    </row>
    <row r="66" spans="2:6" ht="14.4" x14ac:dyDescent="0.3">
      <c r="B66" s="138"/>
      <c r="C66" s="138"/>
      <c r="D66" s="138"/>
      <c r="E66" s="138"/>
      <c r="F66" s="138"/>
    </row>
    <row r="67" spans="2:6" ht="14.4" x14ac:dyDescent="0.3">
      <c r="B67" s="138"/>
      <c r="C67" s="138"/>
      <c r="D67" s="138"/>
      <c r="E67" s="138"/>
      <c r="F67" s="138"/>
    </row>
    <row r="68" spans="2:6" ht="14.4" x14ac:dyDescent="0.3">
      <c r="B68" s="138"/>
      <c r="C68" s="138"/>
      <c r="D68" s="138"/>
      <c r="E68" s="138"/>
      <c r="F68" s="138"/>
    </row>
    <row r="69" spans="2:6" ht="14.4" x14ac:dyDescent="0.3">
      <c r="B69" s="138"/>
      <c r="C69" s="138"/>
      <c r="D69" s="138"/>
      <c r="E69" s="138"/>
      <c r="F69" s="138"/>
    </row>
    <row r="70" spans="2:6" ht="14.4" x14ac:dyDescent="0.3">
      <c r="B70" s="138"/>
      <c r="C70" s="138"/>
      <c r="D70" s="138"/>
      <c r="E70" s="138"/>
      <c r="F70" s="138"/>
    </row>
    <row r="71" spans="2:6" ht="14.4" x14ac:dyDescent="0.3">
      <c r="B71" s="138"/>
      <c r="C71" s="138"/>
      <c r="D71" s="138"/>
      <c r="E71" s="138"/>
      <c r="F71" s="138"/>
    </row>
    <row r="72" spans="2:6" ht="14.4" x14ac:dyDescent="0.3">
      <c r="B72" s="138"/>
      <c r="C72" s="138"/>
      <c r="D72" s="138"/>
      <c r="E72" s="138"/>
      <c r="F72" s="138"/>
    </row>
    <row r="73" spans="2:6" ht="14.4" x14ac:dyDescent="0.3">
      <c r="B73" s="138"/>
      <c r="C73" s="138"/>
      <c r="D73" s="138"/>
      <c r="E73" s="138"/>
      <c r="F73" s="138"/>
    </row>
    <row r="74" spans="2:6" ht="14.4" x14ac:dyDescent="0.3">
      <c r="B74" s="138"/>
      <c r="C74" s="138"/>
      <c r="D74" s="138"/>
      <c r="E74" s="138"/>
      <c r="F74" s="138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33" sqref="C33"/>
    </sheetView>
  </sheetViews>
  <sheetFormatPr defaultColWidth="9.33203125" defaultRowHeight="13.2" x14ac:dyDescent="0.25"/>
  <cols>
    <col min="1" max="1" width="6.33203125" style="134" customWidth="1"/>
    <col min="2" max="2" width="53.6640625" style="134" bestFit="1" customWidth="1"/>
    <col min="3" max="5" width="15.6640625" style="134" bestFit="1" customWidth="1"/>
    <col min="6" max="6" width="15.33203125" style="134" bestFit="1" customWidth="1"/>
    <col min="7" max="10" width="15" style="134" bestFit="1" customWidth="1"/>
    <col min="11" max="11" width="5.109375" style="134" bestFit="1" customWidth="1"/>
    <col min="12" max="16384" width="9.33203125" style="134"/>
  </cols>
  <sheetData>
    <row r="1" spans="1:11" x14ac:dyDescent="0.25">
      <c r="A1" s="133" t="s">
        <v>127</v>
      </c>
      <c r="E1" s="135" t="s">
        <v>128</v>
      </c>
    </row>
    <row r="2" spans="1:11" x14ac:dyDescent="0.25">
      <c r="A2" s="133" t="s">
        <v>129</v>
      </c>
    </row>
    <row r="3" spans="1:11" x14ac:dyDescent="0.25">
      <c r="A3" s="133" t="s">
        <v>130</v>
      </c>
    </row>
    <row r="4" spans="1:11" x14ac:dyDescent="0.25">
      <c r="A4" s="133"/>
    </row>
    <row r="5" spans="1:11" x14ac:dyDescent="0.25">
      <c r="A5" s="136" t="s">
        <v>143</v>
      </c>
    </row>
    <row r="7" spans="1:11" ht="14.4" x14ac:dyDescent="0.3">
      <c r="A7" s="137" t="s">
        <v>132</v>
      </c>
      <c r="B7" s="137" t="s">
        <v>133</v>
      </c>
      <c r="C7" s="137">
        <v>2022</v>
      </c>
      <c r="D7" s="137">
        <v>2023</v>
      </c>
      <c r="E7" s="137">
        <v>2024</v>
      </c>
      <c r="F7" s="138"/>
    </row>
    <row r="8" spans="1:11" ht="14.4" x14ac:dyDescent="0.3">
      <c r="F8" s="138"/>
    </row>
    <row r="9" spans="1:11" ht="14.4" x14ac:dyDescent="0.3">
      <c r="A9" s="139">
        <f>ROW()</f>
        <v>9</v>
      </c>
      <c r="B9" s="134" t="s">
        <v>67</v>
      </c>
      <c r="C9" s="152">
        <v>2.6200000000000001E-2</v>
      </c>
      <c r="D9" s="152">
        <v>2.5499999999999998E-2</v>
      </c>
      <c r="E9" s="152">
        <v>2.5499999999999998E-2</v>
      </c>
      <c r="F9" s="138"/>
    </row>
    <row r="10" spans="1:11" ht="14.4" x14ac:dyDescent="0.3">
      <c r="A10" s="139">
        <f>ROW()</f>
        <v>10</v>
      </c>
      <c r="B10" s="134" t="s">
        <v>68</v>
      </c>
      <c r="C10" s="152">
        <v>7.2300000000000003E-2</v>
      </c>
      <c r="D10" s="152">
        <v>7.1599999999999997E-2</v>
      </c>
      <c r="E10" s="152">
        <v>7.1599999999999997E-2</v>
      </c>
      <c r="F10" s="138"/>
    </row>
    <row r="11" spans="1:11" ht="14.4" x14ac:dyDescent="0.3">
      <c r="A11" s="139">
        <f>ROW()</f>
        <v>11</v>
      </c>
      <c r="B11" s="134" t="s">
        <v>69</v>
      </c>
      <c r="C11" s="152">
        <v>0.21</v>
      </c>
      <c r="D11" s="152">
        <v>0.21</v>
      </c>
      <c r="E11" s="152">
        <v>0.21</v>
      </c>
      <c r="F11" s="138"/>
    </row>
    <row r="12" spans="1:11" ht="14.4" x14ac:dyDescent="0.3">
      <c r="A12" s="139">
        <f>ROW()</f>
        <v>12</v>
      </c>
      <c r="B12" s="134" t="s">
        <v>70</v>
      </c>
      <c r="C12" s="152">
        <v>0.75480100000000006</v>
      </c>
      <c r="D12" s="152">
        <v>0.75480100000000006</v>
      </c>
      <c r="E12" s="152">
        <v>0.75480100000000006</v>
      </c>
      <c r="F12" s="138"/>
    </row>
    <row r="13" spans="1:11" ht="14.4" x14ac:dyDescent="0.3">
      <c r="A13" s="139">
        <f>ROW()</f>
        <v>13</v>
      </c>
      <c r="B13" s="134" t="s">
        <v>109</v>
      </c>
      <c r="C13" s="153">
        <v>263916344.05486456</v>
      </c>
      <c r="D13" s="153">
        <v>334493403.3409487</v>
      </c>
      <c r="E13" s="153">
        <v>644810592.53539729</v>
      </c>
      <c r="F13" s="143"/>
      <c r="G13" s="143"/>
      <c r="H13" s="143"/>
      <c r="I13" s="154"/>
      <c r="J13" s="154"/>
    </row>
    <row r="14" spans="1:11" ht="14.4" x14ac:dyDescent="0.3">
      <c r="A14" s="139">
        <f>ROW()</f>
        <v>14</v>
      </c>
      <c r="C14" s="153"/>
      <c r="D14" s="155"/>
      <c r="E14" s="155"/>
      <c r="F14" s="138"/>
      <c r="I14" s="154"/>
      <c r="J14" s="154"/>
    </row>
    <row r="15" spans="1:11" ht="14.4" x14ac:dyDescent="0.3">
      <c r="A15" s="139">
        <f>ROW()</f>
        <v>15</v>
      </c>
      <c r="B15" s="134" t="s">
        <v>134</v>
      </c>
      <c r="C15" s="153">
        <v>-4562846.2311439998</v>
      </c>
      <c r="D15" s="153">
        <v>-15825245.001215998</v>
      </c>
      <c r="E15" s="153">
        <v>-35109891.338709995</v>
      </c>
      <c r="F15" s="143"/>
      <c r="G15" s="143"/>
      <c r="H15" s="143"/>
      <c r="I15" s="143"/>
      <c r="J15" s="143"/>
      <c r="K15" s="143"/>
    </row>
    <row r="16" spans="1:11" ht="14.4" x14ac:dyDescent="0.3">
      <c r="A16" s="139">
        <f>ROW()</f>
        <v>16</v>
      </c>
      <c r="B16" s="134" t="s">
        <v>135</v>
      </c>
      <c r="C16" s="144">
        <v>1296670.5468090023</v>
      </c>
      <c r="D16" s="144">
        <v>3645192.0389554403</v>
      </c>
      <c r="E16" s="144">
        <v>7766732.2376391236</v>
      </c>
      <c r="F16" s="143"/>
      <c r="G16" s="143"/>
      <c r="H16" s="143"/>
      <c r="I16" s="143"/>
      <c r="J16" s="143"/>
    </row>
    <row r="17" spans="1:10" ht="14.4" x14ac:dyDescent="0.3">
      <c r="A17" s="139">
        <f>ROW()</f>
        <v>17</v>
      </c>
      <c r="B17" s="134" t="s">
        <v>136</v>
      </c>
      <c r="C17" s="145">
        <f>SUM(C15:C16)</f>
        <v>-3266175.6843349976</v>
      </c>
      <c r="D17" s="145">
        <f>SUM(D15:D16)</f>
        <v>-12180052.962260557</v>
      </c>
      <c r="E17" s="145">
        <f>SUM(E15:E16)</f>
        <v>-27343159.101070873</v>
      </c>
      <c r="F17" s="138"/>
      <c r="I17" s="154"/>
      <c r="J17" s="154"/>
    </row>
    <row r="18" spans="1:10" ht="14.4" x14ac:dyDescent="0.3">
      <c r="A18" s="139">
        <f>ROW()</f>
        <v>18</v>
      </c>
      <c r="B18" s="134" t="s">
        <v>137</v>
      </c>
      <c r="C18" s="144">
        <f>C13*C9*C11</f>
        <v>1452067.7249898647</v>
      </c>
      <c r="D18" s="144">
        <f>D13*D9*D11</f>
        <v>1791212.1748907804</v>
      </c>
      <c r="E18" s="144">
        <f>E13*E9*E11</f>
        <v>3452960.7230270519</v>
      </c>
      <c r="F18" s="138"/>
      <c r="I18" s="154"/>
      <c r="J18" s="154"/>
    </row>
    <row r="19" spans="1:10" ht="14.4" x14ac:dyDescent="0.3">
      <c r="A19" s="139">
        <f>ROW()</f>
        <v>19</v>
      </c>
      <c r="B19" s="134" t="s">
        <v>138</v>
      </c>
      <c r="C19" s="145">
        <f>SUM(C17:C18)</f>
        <v>-1814107.9593451328</v>
      </c>
      <c r="D19" s="145">
        <f>SUM(D17:D18)</f>
        <v>-10388840.787369777</v>
      </c>
      <c r="E19" s="145">
        <f>SUM(E17:E18)</f>
        <v>-23890198.378043823</v>
      </c>
      <c r="F19" s="138"/>
      <c r="I19" s="154"/>
      <c r="J19" s="154"/>
    </row>
    <row r="20" spans="1:10" ht="14.4" x14ac:dyDescent="0.3">
      <c r="A20" s="139">
        <f>ROW()</f>
        <v>20</v>
      </c>
      <c r="B20" s="134" t="s">
        <v>139</v>
      </c>
      <c r="C20" s="144">
        <f>C13*C10</f>
        <v>19081151.675166707</v>
      </c>
      <c r="D20" s="144">
        <f>D13*D10</f>
        <v>23949727.679211926</v>
      </c>
      <c r="E20" s="144">
        <f>E13*E10</f>
        <v>46168438.425534442</v>
      </c>
      <c r="F20" s="138"/>
      <c r="I20" s="154"/>
      <c r="J20" s="154"/>
    </row>
    <row r="21" spans="1:10" ht="14.4" x14ac:dyDescent="0.3">
      <c r="A21" s="139">
        <f>ROW()</f>
        <v>21</v>
      </c>
      <c r="B21" s="134" t="s">
        <v>65</v>
      </c>
      <c r="C21" s="146">
        <f>C20-C19</f>
        <v>20895259.63451184</v>
      </c>
      <c r="D21" s="146">
        <f>D20-D19</f>
        <v>34338568.466581702</v>
      </c>
      <c r="E21" s="146">
        <f>E20-E19</f>
        <v>70058636.803578258</v>
      </c>
      <c r="F21" s="138"/>
      <c r="I21" s="154"/>
      <c r="J21" s="154"/>
    </row>
    <row r="22" spans="1:10" ht="14.4" x14ac:dyDescent="0.3">
      <c r="A22" s="139">
        <f>ROW()</f>
        <v>22</v>
      </c>
      <c r="B22" s="134" t="s">
        <v>140</v>
      </c>
      <c r="C22" s="156">
        <f>C21/C12</f>
        <v>27683137.190480456</v>
      </c>
      <c r="D22" s="156">
        <f>D21/D12</f>
        <v>45493538.650030538</v>
      </c>
      <c r="E22" s="156">
        <f>E21/E12</f>
        <v>92817360.872042105</v>
      </c>
      <c r="F22" s="138"/>
      <c r="I22" s="154"/>
      <c r="J22" s="154"/>
    </row>
    <row r="23" spans="1:10" ht="14.4" x14ac:dyDescent="0.3">
      <c r="A23" s="139">
        <f>ROW()</f>
        <v>23</v>
      </c>
      <c r="B23" s="134" t="s">
        <v>141</v>
      </c>
      <c r="C23" s="146">
        <v>0</v>
      </c>
      <c r="D23" s="146">
        <f>D22</f>
        <v>45493538.650030538</v>
      </c>
      <c r="E23" s="146">
        <f>E22</f>
        <v>92817360.872042105</v>
      </c>
      <c r="F23" s="138"/>
    </row>
    <row r="24" spans="1:10" ht="14.4" x14ac:dyDescent="0.3">
      <c r="A24" s="139">
        <f>ROW()</f>
        <v>24</v>
      </c>
      <c r="C24" s="149"/>
      <c r="D24" s="142"/>
      <c r="E24" s="142"/>
      <c r="F24" s="138"/>
    </row>
    <row r="25" spans="1:10" ht="15" thickBot="1" x14ac:dyDescent="0.35">
      <c r="A25" s="139">
        <f>ROW()</f>
        <v>25</v>
      </c>
      <c r="B25" s="134" t="s">
        <v>142</v>
      </c>
      <c r="C25" s="150">
        <f>C23</f>
        <v>0</v>
      </c>
      <c r="D25" s="151">
        <f>D23-C23</f>
        <v>45493538.650030538</v>
      </c>
      <c r="E25" s="151">
        <f>E23-D23</f>
        <v>47323822.222011566</v>
      </c>
      <c r="F25" s="138"/>
    </row>
    <row r="26" spans="1:10" ht="15" thickTop="1" x14ac:dyDescent="0.3">
      <c r="F26" s="138"/>
    </row>
    <row r="27" spans="1:10" ht="14.4" x14ac:dyDescent="0.3">
      <c r="B27" s="157"/>
      <c r="C27" s="158"/>
      <c r="D27" s="158"/>
      <c r="E27" s="158"/>
      <c r="F27" s="138"/>
    </row>
    <row r="28" spans="1:10" ht="13.8" x14ac:dyDescent="0.25">
      <c r="B28" s="296" t="s">
        <v>866</v>
      </c>
      <c r="C28" s="303">
        <f>C22</f>
        <v>27683137.190480456</v>
      </c>
      <c r="D28" s="303">
        <f>D25-C28</f>
        <v>17810401.459550083</v>
      </c>
      <c r="E28" s="303">
        <f>E25</f>
        <v>47323822.222011566</v>
      </c>
      <c r="F28" s="158">
        <f>SUM(C28:E28)</f>
        <v>92817360.872042105</v>
      </c>
      <c r="G28" s="295">
        <f>F28-E23</f>
        <v>0</v>
      </c>
    </row>
    <row r="29" spans="1:10" ht="14.4" x14ac:dyDescent="0.3">
      <c r="B29" s="296" t="s">
        <v>867</v>
      </c>
      <c r="C29" s="297">
        <f>D29</f>
        <v>5.0000000000000001E-3</v>
      </c>
      <c r="D29" s="297">
        <f>'STR RR Recalc (Table 1)'!G22</f>
        <v>5.0000000000000001E-3</v>
      </c>
      <c r="E29" s="297">
        <f>D29</f>
        <v>5.0000000000000001E-3</v>
      </c>
      <c r="F29" s="138"/>
    </row>
    <row r="30" spans="1:10" ht="14.4" x14ac:dyDescent="0.3">
      <c r="B30" s="296" t="s">
        <v>868</v>
      </c>
      <c r="C30" s="298">
        <f>D30</f>
        <v>2215772.1263018246</v>
      </c>
      <c r="D30" s="299">
        <f>D13*D29/D12</f>
        <v>2215772.1263018246</v>
      </c>
      <c r="E30" s="299">
        <f>E13*E29/E12</f>
        <v>4271394.6625362001</v>
      </c>
      <c r="F30" s="138"/>
    </row>
    <row r="31" spans="1:10" ht="14.4" x14ac:dyDescent="0.3">
      <c r="B31" s="296"/>
      <c r="C31" s="300">
        <f>C30/C22</f>
        <v>8.0040499422289954E-2</v>
      </c>
      <c r="D31" s="300">
        <f>D30/D28</f>
        <v>0.12440888159282393</v>
      </c>
      <c r="E31" s="300">
        <f>E30/E28</f>
        <v>9.0258868831382372E-2</v>
      </c>
      <c r="F31" s="138"/>
    </row>
    <row r="32" spans="1:10" x14ac:dyDescent="0.25">
      <c r="C32" s="158"/>
      <c r="D32" s="158"/>
      <c r="E32" s="158"/>
      <c r="F32" s="158"/>
    </row>
    <row r="33" spans="3:6" x14ac:dyDescent="0.25">
      <c r="C33" s="158"/>
      <c r="D33" s="158"/>
      <c r="E33" s="158"/>
      <c r="F33" s="158"/>
    </row>
    <row r="34" spans="3:6" x14ac:dyDescent="0.25">
      <c r="C34" s="158"/>
      <c r="D34" s="158"/>
      <c r="E34" s="158"/>
      <c r="F34" s="158"/>
    </row>
    <row r="35" spans="3:6" x14ac:dyDescent="0.25">
      <c r="C35" s="158"/>
      <c r="D35" s="158"/>
      <c r="E35" s="158"/>
      <c r="F35" s="158"/>
    </row>
    <row r="36" spans="3:6" x14ac:dyDescent="0.25">
      <c r="C36" s="158"/>
      <c r="D36" s="158"/>
      <c r="E36" s="158"/>
      <c r="F36" s="158"/>
    </row>
    <row r="37" spans="3:6" x14ac:dyDescent="0.25">
      <c r="C37" s="158"/>
      <c r="D37" s="158"/>
      <c r="E37" s="158"/>
      <c r="F37" s="158"/>
    </row>
    <row r="38" spans="3:6" x14ac:dyDescent="0.25">
      <c r="C38" s="158"/>
      <c r="D38" s="158"/>
      <c r="E38" s="158"/>
      <c r="F38" s="158"/>
    </row>
    <row r="39" spans="3:6" x14ac:dyDescent="0.25">
      <c r="C39" s="158"/>
      <c r="D39" s="158"/>
      <c r="E39" s="158"/>
      <c r="F39" s="158"/>
    </row>
    <row r="41" spans="3:6" x14ac:dyDescent="0.25">
      <c r="C41" s="159"/>
      <c r="D41" s="159"/>
      <c r="E41" s="159"/>
      <c r="F41" s="159"/>
    </row>
    <row r="42" spans="3:6" x14ac:dyDescent="0.25">
      <c r="C42" s="159"/>
      <c r="D42" s="159"/>
      <c r="E42" s="159"/>
      <c r="F42" s="159"/>
    </row>
    <row r="43" spans="3:6" x14ac:dyDescent="0.25">
      <c r="C43" s="159"/>
      <c r="D43" s="159"/>
      <c r="E43" s="159"/>
      <c r="F43" s="159"/>
    </row>
    <row r="44" spans="3:6" x14ac:dyDescent="0.25">
      <c r="C44" s="159"/>
      <c r="D44" s="159"/>
      <c r="E44" s="159"/>
      <c r="F44" s="159"/>
    </row>
    <row r="45" spans="3:6" x14ac:dyDescent="0.25">
      <c r="C45" s="159"/>
      <c r="D45" s="159"/>
      <c r="E45" s="159"/>
      <c r="F45" s="159"/>
    </row>
    <row r="46" spans="3:6" x14ac:dyDescent="0.25">
      <c r="C46" s="159"/>
      <c r="D46" s="159"/>
      <c r="E46" s="159"/>
      <c r="F46" s="159"/>
    </row>
    <row r="47" spans="3:6" x14ac:dyDescent="0.25">
      <c r="C47" s="159"/>
      <c r="D47" s="159"/>
      <c r="E47" s="159"/>
      <c r="F47" s="159"/>
    </row>
    <row r="48" spans="3:6" x14ac:dyDescent="0.25">
      <c r="C48" s="159"/>
      <c r="D48" s="159"/>
      <c r="E48" s="159"/>
      <c r="F48" s="159"/>
    </row>
    <row r="49" spans="3:6" x14ac:dyDescent="0.25">
      <c r="C49" s="159"/>
      <c r="D49" s="159"/>
      <c r="E49" s="159"/>
      <c r="F49" s="159"/>
    </row>
    <row r="50" spans="3:6" x14ac:dyDescent="0.25">
      <c r="C50" s="159"/>
      <c r="D50" s="159"/>
      <c r="E50" s="159"/>
      <c r="F50" s="159"/>
    </row>
    <row r="51" spans="3:6" x14ac:dyDescent="0.25">
      <c r="C51" s="159"/>
      <c r="D51" s="159"/>
      <c r="E51" s="159"/>
      <c r="F51" s="159"/>
    </row>
    <row r="52" spans="3:6" x14ac:dyDescent="0.25">
      <c r="C52" s="159"/>
      <c r="D52" s="159"/>
      <c r="E52" s="159"/>
      <c r="F52" s="159"/>
    </row>
    <row r="53" spans="3:6" x14ac:dyDescent="0.25">
      <c r="C53" s="159"/>
      <c r="D53" s="159"/>
      <c r="E53" s="159"/>
      <c r="F53" s="159"/>
    </row>
    <row r="54" spans="3:6" x14ac:dyDescent="0.25">
      <c r="C54" s="154"/>
    </row>
    <row r="55" spans="3:6" x14ac:dyDescent="0.25">
      <c r="C55" s="154"/>
    </row>
    <row r="56" spans="3:6" x14ac:dyDescent="0.25">
      <c r="C56" s="154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workbookViewId="0">
      <pane xSplit="2" ySplit="5" topLeftCell="C39" activePane="bottomRight" state="frozen"/>
      <selection activeCell="I36" sqref="I36"/>
      <selection pane="topRight" activeCell="I36" sqref="I36"/>
      <selection pane="bottomLeft" activeCell="I36" sqref="I36"/>
      <selection pane="bottomRight" activeCell="H63" sqref="H63"/>
    </sheetView>
  </sheetViews>
  <sheetFormatPr defaultRowHeight="14.4" x14ac:dyDescent="0.3"/>
  <cols>
    <col min="2" max="2" width="41.5546875" bestFit="1" customWidth="1"/>
    <col min="3" max="3" width="25.44140625" bestFit="1" customWidth="1"/>
    <col min="4" max="4" width="9.109375" bestFit="1" customWidth="1"/>
    <col min="5" max="5" width="19.88671875" bestFit="1" customWidth="1"/>
    <col min="7" max="7" width="41.5546875" bestFit="1" customWidth="1"/>
    <col min="8" max="8" width="25.44140625" bestFit="1" customWidth="1"/>
    <col min="9" max="9" width="9.109375" bestFit="1" customWidth="1"/>
    <col min="10" max="10" width="17.109375" customWidth="1"/>
  </cols>
  <sheetData>
    <row r="2" spans="1:10" ht="18" x14ac:dyDescent="0.35">
      <c r="B2" s="66" t="s">
        <v>37</v>
      </c>
      <c r="F2" s="67"/>
      <c r="G2" s="66" t="s">
        <v>38</v>
      </c>
    </row>
    <row r="3" spans="1:10" x14ac:dyDescent="0.3">
      <c r="F3" s="67"/>
    </row>
    <row r="4" spans="1:10" x14ac:dyDescent="0.3">
      <c r="A4" s="61" t="s">
        <v>52</v>
      </c>
      <c r="F4" s="67"/>
    </row>
    <row r="5" spans="1:10" x14ac:dyDescent="0.3">
      <c r="A5" s="19" t="s">
        <v>54</v>
      </c>
      <c r="B5" s="13" t="s">
        <v>0</v>
      </c>
      <c r="C5" s="13" t="s">
        <v>39</v>
      </c>
      <c r="D5" s="13" t="s">
        <v>40</v>
      </c>
      <c r="E5" s="13" t="s">
        <v>1584</v>
      </c>
      <c r="F5" s="68"/>
      <c r="G5" s="13" t="s">
        <v>0</v>
      </c>
      <c r="H5" s="13" t="s">
        <v>39</v>
      </c>
      <c r="I5" s="13" t="s">
        <v>40</v>
      </c>
      <c r="J5" s="13" t="s">
        <v>1584</v>
      </c>
    </row>
    <row r="6" spans="1:10" x14ac:dyDescent="0.3">
      <c r="A6" s="26">
        <v>1</v>
      </c>
      <c r="B6" t="s">
        <v>869</v>
      </c>
      <c r="C6" t="s">
        <v>41</v>
      </c>
      <c r="D6" t="s">
        <v>42</v>
      </c>
      <c r="E6" s="7">
        <v>2585143.9233339997</v>
      </c>
      <c r="F6" s="67"/>
      <c r="G6" t="s">
        <v>869</v>
      </c>
      <c r="H6" t="s">
        <v>41</v>
      </c>
      <c r="I6" t="s">
        <v>42</v>
      </c>
      <c r="J6" s="7">
        <v>1335304.8533326667</v>
      </c>
    </row>
    <row r="7" spans="1:10" s="8" customFormat="1" x14ac:dyDescent="0.3">
      <c r="A7" s="26">
        <f>A6+1</f>
        <v>2</v>
      </c>
      <c r="B7" t="s">
        <v>869</v>
      </c>
      <c r="C7" t="s">
        <v>41</v>
      </c>
      <c r="D7" t="s">
        <v>43</v>
      </c>
      <c r="E7" s="7">
        <v>15089799.116666663</v>
      </c>
      <c r="F7" s="67"/>
      <c r="G7" t="s">
        <v>869</v>
      </c>
      <c r="H7" t="s">
        <v>41</v>
      </c>
      <c r="I7" t="s">
        <v>43</v>
      </c>
      <c r="J7" s="7">
        <v>0</v>
      </c>
    </row>
    <row r="8" spans="1:10" s="8" customFormat="1" x14ac:dyDescent="0.3">
      <c r="A8" s="26">
        <f t="shared" ref="A8:A62" si="0">A7+1</f>
        <v>3</v>
      </c>
      <c r="B8" t="s">
        <v>869</v>
      </c>
      <c r="C8" t="s">
        <v>41</v>
      </c>
      <c r="D8" t="s">
        <v>44</v>
      </c>
      <c r="E8" s="7">
        <v>0</v>
      </c>
      <c r="F8" s="67"/>
      <c r="G8" t="s">
        <v>869</v>
      </c>
      <c r="H8" t="s">
        <v>41</v>
      </c>
      <c r="I8" t="s">
        <v>44</v>
      </c>
      <c r="J8" s="7">
        <v>11040154.186666667</v>
      </c>
    </row>
    <row r="9" spans="1:10" s="8" customFormat="1" x14ac:dyDescent="0.3">
      <c r="A9" s="26">
        <f t="shared" si="0"/>
        <v>4</v>
      </c>
      <c r="B9" t="s">
        <v>1</v>
      </c>
      <c r="C9" t="s">
        <v>45</v>
      </c>
      <c r="D9" t="s">
        <v>43</v>
      </c>
      <c r="E9" s="7">
        <v>163258.24333333335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3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5006137.7654166659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3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5736257.5908333333</v>
      </c>
    </row>
    <row r="12" spans="1:10" s="8" customFormat="1" x14ac:dyDescent="0.3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-14236237.534166669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3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-1568587.6816666666</v>
      </c>
    </row>
    <row r="14" spans="1:10" s="8" customFormat="1" x14ac:dyDescent="0.3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79257830.225416675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3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20101.651250000003</v>
      </c>
    </row>
    <row r="16" spans="1:10" s="8" customFormat="1" x14ac:dyDescent="0.3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2832.6887500000003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3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118640878.05041665</v>
      </c>
    </row>
    <row r="18" spans="1:10" s="8" customFormat="1" x14ac:dyDescent="0.3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9261.4049999999825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3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5179821.9019085001</v>
      </c>
      <c r="F19" s="67"/>
      <c r="G19" t="s">
        <v>9</v>
      </c>
      <c r="H19" t="s">
        <v>41</v>
      </c>
      <c r="I19" t="s">
        <v>42</v>
      </c>
      <c r="J19" s="7">
        <v>2675534.3339248337</v>
      </c>
    </row>
    <row r="20" spans="1:10" s="8" customFormat="1" x14ac:dyDescent="0.3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105587700.83374995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3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23739315.732083339</v>
      </c>
    </row>
    <row r="22" spans="1:10" s="8" customFormat="1" x14ac:dyDescent="0.3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54183824.50166665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3">
      <c r="A23" s="26">
        <f t="shared" si="0"/>
        <v>18</v>
      </c>
      <c r="B23" t="s">
        <v>819</v>
      </c>
      <c r="C23" t="s">
        <v>41</v>
      </c>
      <c r="D23" t="s">
        <v>43</v>
      </c>
      <c r="E23" s="7">
        <v>277146.53916666663</v>
      </c>
      <c r="F23" s="67"/>
      <c r="G23" t="s">
        <v>819</v>
      </c>
      <c r="H23" t="s">
        <v>41</v>
      </c>
      <c r="I23" t="s">
        <v>43</v>
      </c>
      <c r="J23" s="7">
        <v>0</v>
      </c>
    </row>
    <row r="24" spans="1:10" s="8" customFormat="1" x14ac:dyDescent="0.3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19090948.870416671</v>
      </c>
    </row>
    <row r="25" spans="1:10" s="8" customFormat="1" x14ac:dyDescent="0.3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-3595.8600000000006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3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160280782.9966667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3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-29641.090000000007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3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6522851.8203169974</v>
      </c>
      <c r="F28" s="67"/>
      <c r="G28" t="s">
        <v>17</v>
      </c>
      <c r="H28" t="s">
        <v>41</v>
      </c>
      <c r="I28" t="s">
        <v>42</v>
      </c>
      <c r="J28" s="7">
        <v>3369249.8180163321</v>
      </c>
    </row>
    <row r="29" spans="1:10" s="8" customFormat="1" x14ac:dyDescent="0.3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232924.97000000003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3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154464.00999999998</v>
      </c>
    </row>
    <row r="31" spans="1:10" s="8" customFormat="1" x14ac:dyDescent="0.3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3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2677726.1862499998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3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1560532.325</v>
      </c>
    </row>
    <row r="34" spans="1:10" s="8" customFormat="1" x14ac:dyDescent="0.3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506294.4120833333</v>
      </c>
    </row>
    <row r="35" spans="1:10" s="8" customFormat="1" x14ac:dyDescent="0.3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14435849.020000001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3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26095020.657266743</v>
      </c>
      <c r="F36" s="67"/>
      <c r="G36" t="s">
        <v>85</v>
      </c>
      <c r="H36" t="s">
        <v>85</v>
      </c>
      <c r="I36" t="s">
        <v>42</v>
      </c>
      <c r="J36" s="7">
        <v>13478865.689816581</v>
      </c>
    </row>
    <row r="37" spans="1:10" s="8" customFormat="1" x14ac:dyDescent="0.3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30932629.891666666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3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4413164.9916666672</v>
      </c>
    </row>
    <row r="39" spans="1:10" s="8" customFormat="1" x14ac:dyDescent="0.3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34271524.095000081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3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48534662.120833345</v>
      </c>
    </row>
    <row r="41" spans="1:10" s="8" customFormat="1" x14ac:dyDescent="0.3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60557014.25833334</v>
      </c>
    </row>
    <row r="42" spans="1:10" s="8" customFormat="1" x14ac:dyDescent="0.3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71143812.659166664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3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21865008.785833333</v>
      </c>
    </row>
    <row r="44" spans="1:10" s="8" customFormat="1" x14ac:dyDescent="0.3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16843979.2794035</v>
      </c>
      <c r="F44" s="67"/>
      <c r="G44" t="s">
        <v>26</v>
      </c>
      <c r="H44" t="s">
        <v>45</v>
      </c>
      <c r="I44" t="s">
        <v>42</v>
      </c>
      <c r="J44" s="7">
        <v>8700423.6314298343</v>
      </c>
    </row>
    <row r="45" spans="1:10" s="8" customFormat="1" x14ac:dyDescent="0.3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19188087.734583333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3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1541876.3087499999</v>
      </c>
    </row>
    <row r="47" spans="1:10" s="8" customFormat="1" x14ac:dyDescent="0.3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13985814.217697</v>
      </c>
      <c r="F47" s="67"/>
      <c r="G47" t="s">
        <v>26</v>
      </c>
      <c r="H47" t="s">
        <v>41</v>
      </c>
      <c r="I47" t="s">
        <v>42</v>
      </c>
      <c r="J47" s="7">
        <v>7224095.1206363337</v>
      </c>
    </row>
    <row r="48" spans="1:10" s="8" customFormat="1" x14ac:dyDescent="0.3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117039704.04416665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3" s="8" customFormat="1" x14ac:dyDescent="0.3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9432203.7058333326</v>
      </c>
    </row>
    <row r="50" spans="1:13" s="8" customFormat="1" x14ac:dyDescent="0.3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17787799.592916667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3" s="8" customFormat="1" x14ac:dyDescent="0.3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2842664.0216666665</v>
      </c>
    </row>
    <row r="52" spans="1:13" s="8" customFormat="1" x14ac:dyDescent="0.3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3" s="8" customFormat="1" x14ac:dyDescent="0.3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3" s="8" customFormat="1" x14ac:dyDescent="0.3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3" s="8" customFormat="1" x14ac:dyDescent="0.3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3" s="8" customFormat="1" x14ac:dyDescent="0.3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3" x14ac:dyDescent="0.3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2061746.6195833334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  <c r="L57" s="8"/>
      <c r="M57" s="8"/>
    </row>
    <row r="58" spans="1:13" x14ac:dyDescent="0.3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1834414.8974999997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  <c r="L58" s="8"/>
      <c r="M58" s="8"/>
    </row>
    <row r="59" spans="1:13" x14ac:dyDescent="0.3">
      <c r="A59" s="26">
        <f t="shared" si="0"/>
        <v>54</v>
      </c>
      <c r="B59" t="s">
        <v>870</v>
      </c>
      <c r="C59" t="s">
        <v>45</v>
      </c>
      <c r="D59" t="s">
        <v>42</v>
      </c>
      <c r="E59" s="7">
        <v>0</v>
      </c>
      <c r="F59" s="67"/>
      <c r="G59" t="s">
        <v>870</v>
      </c>
      <c r="H59" t="s">
        <v>45</v>
      </c>
      <c r="I59" t="s">
        <v>42</v>
      </c>
      <c r="J59" s="7">
        <v>0</v>
      </c>
      <c r="K59" s="8"/>
      <c r="L59" s="8"/>
      <c r="M59" s="8"/>
    </row>
    <row r="60" spans="1:13" x14ac:dyDescent="0.3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6530908.2300000004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  <c r="L60" s="8"/>
      <c r="M60" s="8"/>
    </row>
    <row r="61" spans="1:13" x14ac:dyDescent="0.3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1158287.94120375</v>
      </c>
      <c r="F61" s="67"/>
      <c r="G61" t="s">
        <v>30</v>
      </c>
      <c r="H61" t="s">
        <v>45</v>
      </c>
      <c r="I61" t="s">
        <v>42</v>
      </c>
      <c r="J61" s="7">
        <v>598290.67754625005</v>
      </c>
      <c r="K61" s="8"/>
      <c r="L61" s="8"/>
      <c r="M61" s="8"/>
    </row>
    <row r="62" spans="1:13" ht="15" thickBot="1" x14ac:dyDescent="0.35">
      <c r="A62" s="26">
        <f t="shared" si="0"/>
        <v>57</v>
      </c>
      <c r="B62" s="69" t="s">
        <v>32</v>
      </c>
      <c r="C62" s="70"/>
      <c r="D62" s="70"/>
      <c r="E62" s="71">
        <f>SUM(E6:E61)</f>
        <v>796097147.51363051</v>
      </c>
      <c r="F62" s="72"/>
      <c r="G62" s="69" t="s">
        <v>32</v>
      </c>
      <c r="H62" s="70"/>
      <c r="I62" s="70"/>
      <c r="J62" s="71">
        <f>SUM(J6:J61)</f>
        <v>365488717.46470284</v>
      </c>
      <c r="K62" s="8"/>
      <c r="L62" s="8"/>
      <c r="M62" s="8"/>
    </row>
    <row r="63" spans="1:13" x14ac:dyDescent="0.3">
      <c r="B63" s="9"/>
      <c r="C63" s="8"/>
      <c r="D63" s="8"/>
      <c r="E63" s="10"/>
      <c r="F63" s="8"/>
      <c r="G63" s="9"/>
      <c r="H63" s="8"/>
      <c r="I63" s="8"/>
      <c r="J63" s="10"/>
      <c r="K63" s="8"/>
      <c r="L63" s="8"/>
      <c r="M63" s="8"/>
    </row>
    <row r="64" spans="1:13" x14ac:dyDescent="0.3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3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3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pane xSplit="2" ySplit="5" topLeftCell="E6" activePane="bottomRight" state="frozen"/>
      <selection activeCell="I36" sqref="I36"/>
      <selection pane="topRight" activeCell="I36" sqref="I36"/>
      <selection pane="bottomLeft" activeCell="I36" sqref="I36"/>
      <selection pane="bottomRight" activeCell="J6" sqref="J6"/>
    </sheetView>
  </sheetViews>
  <sheetFormatPr defaultRowHeight="14.4" x14ac:dyDescent="0.3"/>
  <cols>
    <col min="2" max="2" width="41.5546875" bestFit="1" customWidth="1"/>
    <col min="3" max="3" width="25.109375" bestFit="1" customWidth="1"/>
    <col min="4" max="4" width="9.109375" bestFit="1" customWidth="1"/>
    <col min="5" max="5" width="15.88671875" bestFit="1" customWidth="1"/>
    <col min="7" max="7" width="41.5546875" bestFit="1" customWidth="1"/>
    <col min="8" max="8" width="25.109375" bestFit="1" customWidth="1"/>
    <col min="9" max="9" width="9.109375" bestFit="1" customWidth="1"/>
    <col min="10" max="10" width="15.88671875" bestFit="1" customWidth="1"/>
  </cols>
  <sheetData>
    <row r="1" spans="1:10" x14ac:dyDescent="0.3">
      <c r="B1" s="4"/>
      <c r="F1" s="67"/>
    </row>
    <row r="2" spans="1:10" ht="18" x14ac:dyDescent="0.35">
      <c r="B2" s="66" t="s">
        <v>37</v>
      </c>
      <c r="C2" s="73"/>
      <c r="D2" s="73"/>
      <c r="E2" s="73"/>
      <c r="F2" s="74"/>
      <c r="G2" s="66" t="s">
        <v>38</v>
      </c>
    </row>
    <row r="3" spans="1:10" x14ac:dyDescent="0.3">
      <c r="F3" s="67"/>
    </row>
    <row r="4" spans="1:10" x14ac:dyDescent="0.3">
      <c r="A4" s="61" t="s">
        <v>52</v>
      </c>
      <c r="E4" s="5"/>
      <c r="F4" s="67"/>
    </row>
    <row r="5" spans="1:10" x14ac:dyDescent="0.3">
      <c r="A5" s="19" t="s">
        <v>54</v>
      </c>
      <c r="B5" s="13" t="s">
        <v>0</v>
      </c>
      <c r="C5" s="13" t="s">
        <v>39</v>
      </c>
      <c r="D5" s="13" t="s">
        <v>40</v>
      </c>
      <c r="E5" s="13" t="s">
        <v>1585</v>
      </c>
      <c r="F5" s="68"/>
      <c r="G5" s="13" t="s">
        <v>0</v>
      </c>
      <c r="H5" s="13" t="s">
        <v>39</v>
      </c>
      <c r="I5" s="13" t="s">
        <v>40</v>
      </c>
      <c r="J5" s="13" t="s">
        <v>1585</v>
      </c>
    </row>
    <row r="6" spans="1:10" x14ac:dyDescent="0.3">
      <c r="A6" s="26">
        <v>1</v>
      </c>
      <c r="B6" t="s">
        <v>869</v>
      </c>
      <c r="C6" t="s">
        <v>41</v>
      </c>
      <c r="D6" t="s">
        <v>42</v>
      </c>
      <c r="E6" s="7">
        <v>188944.70831136056</v>
      </c>
      <c r="F6" s="67"/>
      <c r="G6" t="s">
        <v>869</v>
      </c>
      <c r="H6" t="s">
        <v>41</v>
      </c>
      <c r="I6" t="s">
        <v>42</v>
      </c>
      <c r="J6" s="7">
        <v>97595.64399582865</v>
      </c>
    </row>
    <row r="7" spans="1:10" s="8" customFormat="1" x14ac:dyDescent="0.3">
      <c r="A7" s="26">
        <f>A6+1</f>
        <v>2</v>
      </c>
      <c r="B7" t="s">
        <v>869</v>
      </c>
      <c r="C7" t="s">
        <v>41</v>
      </c>
      <c r="D7" t="s">
        <v>43</v>
      </c>
      <c r="E7" s="7">
        <v>479223.53495273483</v>
      </c>
      <c r="F7" s="67"/>
      <c r="G7" t="s">
        <v>869</v>
      </c>
      <c r="H7" t="s">
        <v>41</v>
      </c>
      <c r="I7" t="s">
        <v>43</v>
      </c>
      <c r="J7" s="7">
        <v>0</v>
      </c>
    </row>
    <row r="8" spans="1:10" s="8" customFormat="1" x14ac:dyDescent="0.3">
      <c r="A8" s="26">
        <f t="shared" ref="A8:A62" si="0">A7+1</f>
        <v>3</v>
      </c>
      <c r="B8" t="s">
        <v>869</v>
      </c>
      <c r="C8" t="s">
        <v>41</v>
      </c>
      <c r="D8" t="s">
        <v>44</v>
      </c>
      <c r="E8" s="7">
        <v>0</v>
      </c>
      <c r="F8" s="67"/>
      <c r="G8" t="s">
        <v>869</v>
      </c>
      <c r="H8" t="s">
        <v>41</v>
      </c>
      <c r="I8" t="s">
        <v>44</v>
      </c>
      <c r="J8" s="7">
        <v>325156.86525246024</v>
      </c>
    </row>
    <row r="9" spans="1:10" s="8" customFormat="1" x14ac:dyDescent="0.3">
      <c r="A9" s="26">
        <f t="shared" si="0"/>
        <v>4</v>
      </c>
      <c r="B9" t="s">
        <v>1</v>
      </c>
      <c r="C9" t="s">
        <v>45</v>
      </c>
      <c r="D9" t="s">
        <v>43</v>
      </c>
      <c r="E9" s="7">
        <v>1713.3318589166668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3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89858.451288883618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3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127484.82421287484</v>
      </c>
    </row>
    <row r="12" spans="1:10" s="8" customFormat="1" x14ac:dyDescent="0.3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-414628.32214930793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3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-52607.404029384103</v>
      </c>
    </row>
    <row r="14" spans="1:10" s="8" customFormat="1" x14ac:dyDescent="0.3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2261286.2438486847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3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634.7029489966045</v>
      </c>
    </row>
    <row r="16" spans="1:10" s="8" customFormat="1" x14ac:dyDescent="0.3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285.57772366386803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3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3263642.4379582289</v>
      </c>
    </row>
    <row r="18" spans="1:10" s="8" customFormat="1" x14ac:dyDescent="0.3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1067.5246145833332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3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1015983.7057397708</v>
      </c>
      <c r="F19" s="67"/>
      <c r="G19" t="s">
        <v>9</v>
      </c>
      <c r="H19" t="s">
        <v>41</v>
      </c>
      <c r="I19" t="s">
        <v>42</v>
      </c>
      <c r="J19" s="7">
        <v>524786.24533661804</v>
      </c>
    </row>
    <row r="20" spans="1:10" s="8" customFormat="1" x14ac:dyDescent="0.3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2790029.4703639331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3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627814.93933698232</v>
      </c>
    </row>
    <row r="22" spans="1:10" s="8" customFormat="1" x14ac:dyDescent="0.3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177488.0274752673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3">
      <c r="A23" s="26">
        <f t="shared" si="0"/>
        <v>18</v>
      </c>
      <c r="B23" t="s">
        <v>819</v>
      </c>
      <c r="C23" t="s">
        <v>41</v>
      </c>
      <c r="D23" t="s">
        <v>43</v>
      </c>
      <c r="E23" s="7">
        <v>1991.4332651684733</v>
      </c>
      <c r="F23" s="67"/>
      <c r="G23" t="s">
        <v>819</v>
      </c>
      <c r="H23" t="s">
        <v>41</v>
      </c>
      <c r="I23" t="s">
        <v>43</v>
      </c>
      <c r="J23" s="7">
        <v>0</v>
      </c>
    </row>
    <row r="24" spans="1:10" s="8" customFormat="1" x14ac:dyDescent="0.3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471735.11641573103</v>
      </c>
    </row>
    <row r="25" spans="1:10" s="8" customFormat="1" x14ac:dyDescent="0.3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-328.52681395833332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3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4536779.9114811895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3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-8031.040493055556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3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1625896.3801376768</v>
      </c>
      <c r="F28" s="67"/>
      <c r="G28" t="s">
        <v>17</v>
      </c>
      <c r="H28" t="s">
        <v>41</v>
      </c>
      <c r="I28" t="s">
        <v>42</v>
      </c>
      <c r="J28" s="7">
        <v>839824.5481875838</v>
      </c>
    </row>
    <row r="29" spans="1:10" s="8" customFormat="1" x14ac:dyDescent="0.3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57803.900114562501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3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54708.101222222227</v>
      </c>
    </row>
    <row r="31" spans="1:10" s="8" customFormat="1" x14ac:dyDescent="0.3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3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79875.919268406564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3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2530.2505838263887</v>
      </c>
    </row>
    <row r="34" spans="1:10" s="8" customFormat="1" x14ac:dyDescent="0.3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20370.790299451386</v>
      </c>
    </row>
    <row r="35" spans="1:10" s="8" customFormat="1" x14ac:dyDescent="0.3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1378362.3740106877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3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2367588.9134471864</v>
      </c>
      <c r="F36" s="67"/>
      <c r="G36" t="s">
        <v>85</v>
      </c>
      <c r="H36" t="s">
        <v>85</v>
      </c>
      <c r="I36" t="s">
        <v>42</v>
      </c>
      <c r="J36" s="7">
        <v>1222931.1251442397</v>
      </c>
    </row>
    <row r="37" spans="1:10" s="8" customFormat="1" x14ac:dyDescent="0.3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681643.62735216203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3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48583.297369701584</v>
      </c>
    </row>
    <row r="39" spans="1:10" s="8" customFormat="1" x14ac:dyDescent="0.3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942974.88288525585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3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819483.89911246474</v>
      </c>
    </row>
    <row r="41" spans="1:10" s="8" customFormat="1" x14ac:dyDescent="0.3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1303797.2430099526</v>
      </c>
    </row>
    <row r="42" spans="1:10" s="8" customFormat="1" x14ac:dyDescent="0.3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2529677.1644083103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3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950232.76538122701</v>
      </c>
    </row>
    <row r="44" spans="1:10" s="8" customFormat="1" x14ac:dyDescent="0.3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2253405.2480796594</v>
      </c>
      <c r="F44" s="67"/>
      <c r="G44" t="s">
        <v>26</v>
      </c>
      <c r="H44" t="s">
        <v>45</v>
      </c>
      <c r="I44" t="s">
        <v>42</v>
      </c>
      <c r="J44" s="7">
        <v>1163951.8160387201</v>
      </c>
    </row>
    <row r="45" spans="1:10" s="8" customFormat="1" x14ac:dyDescent="0.3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1501951.6569591404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3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80787.15298742603</v>
      </c>
    </row>
    <row r="47" spans="1:10" s="8" customFormat="1" x14ac:dyDescent="0.3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2139622.1529673613</v>
      </c>
      <c r="F47" s="67"/>
      <c r="G47" t="s">
        <v>26</v>
      </c>
      <c r="H47" t="s">
        <v>41</v>
      </c>
      <c r="I47" t="s">
        <v>42</v>
      </c>
      <c r="J47" s="7">
        <v>1105179.4135588161</v>
      </c>
    </row>
    <row r="48" spans="1:10" s="8" customFormat="1" x14ac:dyDescent="0.3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4852789.2262072265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3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332860.85802441637</v>
      </c>
    </row>
    <row r="50" spans="1:10" x14ac:dyDescent="0.3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558451.24263954291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3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59887.78265254166</v>
      </c>
    </row>
    <row r="52" spans="1:10" x14ac:dyDescent="0.3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3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3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3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3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3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23249.906689138377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3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2068.0370027919971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3">
      <c r="A59" s="26">
        <f t="shared" si="0"/>
        <v>54</v>
      </c>
      <c r="B59" t="s">
        <v>870</v>
      </c>
      <c r="C59" t="s">
        <v>45</v>
      </c>
      <c r="D59" t="s">
        <v>42</v>
      </c>
      <c r="E59" s="7">
        <v>0</v>
      </c>
      <c r="F59" s="67"/>
      <c r="G59" t="s">
        <v>870</v>
      </c>
      <c r="H59" t="s">
        <v>45</v>
      </c>
      <c r="I59" t="s">
        <v>42</v>
      </c>
      <c r="J59" s="7">
        <v>0</v>
      </c>
    </row>
    <row r="60" spans="1:10" x14ac:dyDescent="0.3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36730.138531472228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3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199416.3005986122</v>
      </c>
      <c r="F61" s="67"/>
      <c r="G61" t="s">
        <v>30</v>
      </c>
      <c r="H61" t="s">
        <v>45</v>
      </c>
      <c r="I61" t="s">
        <v>42</v>
      </c>
      <c r="J61" s="7">
        <v>103004.53743386005</v>
      </c>
    </row>
    <row r="62" spans="1:10" ht="15" thickBot="1" x14ac:dyDescent="0.35">
      <c r="A62" s="26">
        <f t="shared" si="0"/>
        <v>57</v>
      </c>
      <c r="B62" s="69" t="s">
        <v>32</v>
      </c>
      <c r="C62" s="70"/>
      <c r="D62" s="70"/>
      <c r="E62" s="71">
        <f>SUM(E6:E61)</f>
        <v>32353171.102767024</v>
      </c>
      <c r="F62" s="72"/>
      <c r="G62" s="69" t="s">
        <v>32</v>
      </c>
      <c r="H62" s="70"/>
      <c r="I62" s="70"/>
      <c r="J62" s="71">
        <f>SUM(J6:J61)</f>
        <v>13494376.952434788</v>
      </c>
    </row>
    <row r="63" spans="1:10" x14ac:dyDescent="0.3">
      <c r="B63" s="9"/>
      <c r="E63" s="11"/>
      <c r="G63" s="9"/>
      <c r="J63" s="11"/>
    </row>
    <row r="64" spans="1:10" x14ac:dyDescent="0.3">
      <c r="B64" s="9"/>
      <c r="E64" s="11"/>
      <c r="G64" s="9"/>
      <c r="J64" s="11"/>
    </row>
    <row r="65" spans="2:10" x14ac:dyDescent="0.3">
      <c r="B65" s="9"/>
      <c r="E65" s="11"/>
      <c r="G65" s="9"/>
      <c r="J65" s="11"/>
    </row>
    <row r="66" spans="2:10" x14ac:dyDescent="0.3">
      <c r="B66" s="9"/>
      <c r="E66" s="11"/>
      <c r="G66" s="9"/>
      <c r="J66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/>
  </sheetViews>
  <sheetFormatPr defaultRowHeight="14.4" x14ac:dyDescent="0.3"/>
  <cols>
    <col min="2" max="2" width="41.5546875" bestFit="1" customWidth="1"/>
    <col min="3" max="3" width="25.109375" bestFit="1" customWidth="1"/>
    <col min="4" max="4" width="9.109375" bestFit="1" customWidth="1"/>
    <col min="5" max="5" width="15.109375" bestFit="1" customWidth="1"/>
    <col min="7" max="7" width="41.5546875" bestFit="1" customWidth="1"/>
    <col min="8" max="8" width="25.109375" bestFit="1" customWidth="1"/>
    <col min="9" max="9" width="9.109375" bestFit="1" customWidth="1"/>
    <col min="10" max="10" width="15.109375" bestFit="1" customWidth="1"/>
  </cols>
  <sheetData>
    <row r="1" spans="1:10" x14ac:dyDescent="0.3">
      <c r="B1" s="4"/>
      <c r="F1" s="67"/>
    </row>
    <row r="2" spans="1:10" ht="18" x14ac:dyDescent="0.35">
      <c r="B2" s="66" t="s">
        <v>37</v>
      </c>
      <c r="C2" s="73"/>
      <c r="D2" s="73"/>
      <c r="E2" s="73"/>
      <c r="F2" s="74"/>
      <c r="G2" s="66" t="s">
        <v>38</v>
      </c>
    </row>
    <row r="3" spans="1:10" x14ac:dyDescent="0.3">
      <c r="F3" s="67"/>
    </row>
    <row r="4" spans="1:10" x14ac:dyDescent="0.3">
      <c r="A4" s="61" t="s">
        <v>52</v>
      </c>
      <c r="F4" s="67"/>
    </row>
    <row r="5" spans="1:10" x14ac:dyDescent="0.3">
      <c r="A5" s="19" t="s">
        <v>54</v>
      </c>
      <c r="B5" s="13" t="s">
        <v>0</v>
      </c>
      <c r="C5" s="13" t="s">
        <v>39</v>
      </c>
      <c r="D5" s="13" t="s">
        <v>40</v>
      </c>
      <c r="E5" s="13" t="s">
        <v>872</v>
      </c>
      <c r="F5" s="68"/>
      <c r="G5" s="13" t="s">
        <v>0</v>
      </c>
      <c r="H5" s="13" t="s">
        <v>39</v>
      </c>
      <c r="I5" s="13" t="s">
        <v>40</v>
      </c>
      <c r="J5" s="13" t="s">
        <v>872</v>
      </c>
    </row>
    <row r="6" spans="1:10" x14ac:dyDescent="0.3">
      <c r="A6" s="26">
        <v>1</v>
      </c>
      <c r="B6" t="s">
        <v>869</v>
      </c>
      <c r="C6" t="s">
        <v>41</v>
      </c>
      <c r="D6" t="s">
        <v>42</v>
      </c>
      <c r="E6" s="7">
        <v>454726.98588401458</v>
      </c>
      <c r="F6" s="67"/>
      <c r="G6" t="s">
        <v>869</v>
      </c>
      <c r="H6" t="s">
        <v>41</v>
      </c>
      <c r="I6" t="s">
        <v>42</v>
      </c>
      <c r="J6" s="7">
        <v>234880.21139231935</v>
      </c>
    </row>
    <row r="7" spans="1:10" s="8" customFormat="1" x14ac:dyDescent="0.3">
      <c r="A7" s="26">
        <f>A6+1</f>
        <v>2</v>
      </c>
      <c r="B7" t="s">
        <v>869</v>
      </c>
      <c r="C7" t="s">
        <v>41</v>
      </c>
      <c r="D7" t="s">
        <v>43</v>
      </c>
      <c r="E7" s="7">
        <v>686458.46548178222</v>
      </c>
      <c r="F7" s="67"/>
      <c r="G7" t="s">
        <v>869</v>
      </c>
      <c r="H7" t="s">
        <v>41</v>
      </c>
      <c r="I7" t="s">
        <v>43</v>
      </c>
      <c r="J7" s="7">
        <v>0</v>
      </c>
    </row>
    <row r="8" spans="1:10" s="8" customFormat="1" x14ac:dyDescent="0.3">
      <c r="A8" s="26">
        <f t="shared" ref="A8:A62" si="0">A7+1</f>
        <v>3</v>
      </c>
      <c r="B8" t="s">
        <v>869</v>
      </c>
      <c r="C8" t="s">
        <v>41</v>
      </c>
      <c r="D8" t="s">
        <v>44</v>
      </c>
      <c r="E8" s="7">
        <v>0</v>
      </c>
      <c r="F8" s="67"/>
      <c r="G8" t="s">
        <v>869</v>
      </c>
      <c r="H8" t="s">
        <v>41</v>
      </c>
      <c r="I8" t="s">
        <v>44</v>
      </c>
      <c r="J8" s="7">
        <v>799247.73928539664</v>
      </c>
    </row>
    <row r="9" spans="1:10" s="8" customFormat="1" x14ac:dyDescent="0.3">
      <c r="A9" s="26">
        <f t="shared" si="0"/>
        <v>4</v>
      </c>
      <c r="B9" t="s">
        <v>1</v>
      </c>
      <c r="C9" t="s">
        <v>45</v>
      </c>
      <c r="D9" t="s">
        <v>43</v>
      </c>
      <c r="E9" s="7">
        <v>7953.1627200601843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3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107382.38246529897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3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264050.65786646964</v>
      </c>
    </row>
    <row r="12" spans="1:10" s="8" customFormat="1" x14ac:dyDescent="0.3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-60662.983759304043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3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-31370.699667204364</v>
      </c>
    </row>
    <row r="14" spans="1:10" s="8" customFormat="1" x14ac:dyDescent="0.3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799870.02381538227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3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615.79252405677221</v>
      </c>
    </row>
    <row r="16" spans="1:10" s="8" customFormat="1" x14ac:dyDescent="0.3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65.394046855606078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3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4462663.8953570956</v>
      </c>
    </row>
    <row r="18" spans="1:10" s="8" customFormat="1" x14ac:dyDescent="0.3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6830.9920522102666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3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379675.07577025512</v>
      </c>
      <c r="F19" s="67"/>
      <c r="G19" t="s">
        <v>9</v>
      </c>
      <c r="H19" t="s">
        <v>41</v>
      </c>
      <c r="I19" t="s">
        <v>42</v>
      </c>
      <c r="J19" s="7">
        <v>196113.63483067774</v>
      </c>
    </row>
    <row r="20" spans="1:10" s="8" customFormat="1" x14ac:dyDescent="0.3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1400751.509383799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3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949428.75361364952</v>
      </c>
    </row>
    <row r="22" spans="1:10" s="8" customFormat="1" x14ac:dyDescent="0.3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1055058.2659856556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3">
      <c r="A23" s="26">
        <f t="shared" si="0"/>
        <v>18</v>
      </c>
      <c r="B23" t="s">
        <v>819</v>
      </c>
      <c r="C23" t="s">
        <v>41</v>
      </c>
      <c r="D23" t="s">
        <v>43</v>
      </c>
      <c r="E23" s="7">
        <v>-20644.571249068267</v>
      </c>
      <c r="F23" s="67"/>
      <c r="G23" t="s">
        <v>819</v>
      </c>
      <c r="H23" t="s">
        <v>41</v>
      </c>
      <c r="I23" t="s">
        <v>43</v>
      </c>
      <c r="J23" s="7">
        <v>0</v>
      </c>
    </row>
    <row r="24" spans="1:10" s="8" customFormat="1" x14ac:dyDescent="0.3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729457.39143396297</v>
      </c>
    </row>
    <row r="25" spans="1:10" s="8" customFormat="1" x14ac:dyDescent="0.3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-16.704245347448644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3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1655045.275893853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3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-756.94879326502291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3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208436.04056009062</v>
      </c>
      <c r="F28" s="67"/>
      <c r="G28" t="s">
        <v>17</v>
      </c>
      <c r="H28" t="s">
        <v>41</v>
      </c>
      <c r="I28" t="s">
        <v>42</v>
      </c>
      <c r="J28" s="7">
        <v>107663.50533025003</v>
      </c>
    </row>
    <row r="29" spans="1:10" s="8" customFormat="1" x14ac:dyDescent="0.3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6969.7947312774413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3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-102.42049783094808</v>
      </c>
    </row>
    <row r="31" spans="1:10" s="8" customFormat="1" x14ac:dyDescent="0.3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3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126527.70782320583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3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16464.086238965152</v>
      </c>
    </row>
    <row r="34" spans="1:10" s="8" customFormat="1" x14ac:dyDescent="0.3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10175.062828016216</v>
      </c>
    </row>
    <row r="35" spans="1:10" s="8" customFormat="1" x14ac:dyDescent="0.3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-12983.695394158094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3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2472789.0014670389</v>
      </c>
      <c r="F36" s="67"/>
      <c r="G36" t="s">
        <v>85</v>
      </c>
      <c r="H36" t="s">
        <v>85</v>
      </c>
      <c r="I36" t="s">
        <v>42</v>
      </c>
      <c r="J36" s="7">
        <v>1277270.1454347488</v>
      </c>
    </row>
    <row r="37" spans="1:10" s="8" customFormat="1" x14ac:dyDescent="0.3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-526431.16332908382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3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-352034.83110481821</v>
      </c>
    </row>
    <row r="39" spans="1:10" s="8" customFormat="1" x14ac:dyDescent="0.3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686173.00898094219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3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1890061.7372362106</v>
      </c>
    </row>
    <row r="41" spans="1:10" s="8" customFormat="1" x14ac:dyDescent="0.3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2815729.3854248286</v>
      </c>
    </row>
    <row r="42" spans="1:10" s="8" customFormat="1" x14ac:dyDescent="0.3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2619136.8856605999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3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1073249.3370517879</v>
      </c>
    </row>
    <row r="44" spans="1:10" s="8" customFormat="1" x14ac:dyDescent="0.3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784066.42161520582</v>
      </c>
      <c r="F44" s="67"/>
      <c r="G44" t="s">
        <v>26</v>
      </c>
      <c r="H44" t="s">
        <v>45</v>
      </c>
      <c r="I44" t="s">
        <v>42</v>
      </c>
      <c r="J44" s="7">
        <v>404993.96906602837</v>
      </c>
    </row>
    <row r="45" spans="1:10" s="8" customFormat="1" x14ac:dyDescent="0.3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794756.55402615387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3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117642.96385471657</v>
      </c>
    </row>
    <row r="47" spans="1:10" s="8" customFormat="1" x14ac:dyDescent="0.3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274664.76931139099</v>
      </c>
      <c r="F47" s="67"/>
      <c r="G47" t="s">
        <v>26</v>
      </c>
      <c r="H47" t="s">
        <v>41</v>
      </c>
      <c r="I47" t="s">
        <v>42</v>
      </c>
      <c r="J47" s="7">
        <v>141872.64244382738</v>
      </c>
    </row>
    <row r="48" spans="1:10" s="8" customFormat="1" x14ac:dyDescent="0.3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3064190.2691187928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3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453855.06613024208</v>
      </c>
    </row>
    <row r="50" spans="1:10" x14ac:dyDescent="0.3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399848.02949220315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3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100282.88726583292</v>
      </c>
    </row>
    <row r="52" spans="1:10" x14ac:dyDescent="0.3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3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3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3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3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3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34077.986262483762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3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262480.79237658833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3">
      <c r="A59" s="26">
        <f t="shared" si="0"/>
        <v>54</v>
      </c>
      <c r="B59" t="s">
        <v>870</v>
      </c>
      <c r="C59" t="s">
        <v>45</v>
      </c>
      <c r="D59" t="s">
        <v>42</v>
      </c>
      <c r="E59" s="7">
        <v>0</v>
      </c>
      <c r="F59" s="67"/>
      <c r="G59" t="s">
        <v>870</v>
      </c>
      <c r="H59" t="s">
        <v>45</v>
      </c>
      <c r="I59" t="s">
        <v>42</v>
      </c>
      <c r="J59" s="7">
        <v>0</v>
      </c>
    </row>
    <row r="60" spans="1:10" x14ac:dyDescent="0.3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109217.79629341209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3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96472.838539197008</v>
      </c>
      <c r="F61" s="67"/>
      <c r="G61" t="s">
        <v>30</v>
      </c>
      <c r="H61" t="s">
        <v>45</v>
      </c>
      <c r="I61" t="s">
        <v>42</v>
      </c>
      <c r="J61" s="7">
        <v>49831.132554520023</v>
      </c>
    </row>
    <row r="62" spans="1:10" ht="15" thickBot="1" x14ac:dyDescent="0.35">
      <c r="A62" s="26">
        <f t="shared" si="0"/>
        <v>57</v>
      </c>
      <c r="B62" s="69" t="s">
        <v>32</v>
      </c>
      <c r="C62" s="70"/>
      <c r="D62" s="70"/>
      <c r="E62" s="71">
        <f>SUM(E6:E61)</f>
        <v>17872129.362987526</v>
      </c>
      <c r="F62" s="72"/>
      <c r="G62" s="69" t="s">
        <v>32</v>
      </c>
      <c r="H62" s="70"/>
      <c r="I62" s="70"/>
      <c r="J62" s="71">
        <f>SUM(J6:J61)</f>
        <v>15712042.045893749</v>
      </c>
    </row>
    <row r="63" spans="1:10" x14ac:dyDescent="0.3">
      <c r="A63" s="26"/>
      <c r="B63" s="9"/>
      <c r="E63" s="11"/>
      <c r="G63" s="9"/>
      <c r="J63" s="11"/>
    </row>
    <row r="64" spans="1:10" x14ac:dyDescent="0.3">
      <c r="A64" s="26"/>
      <c r="B64" s="9"/>
      <c r="E64" s="11"/>
      <c r="G64" s="9"/>
      <c r="J64" s="11"/>
    </row>
    <row r="65" spans="1:10" x14ac:dyDescent="0.3">
      <c r="A65" s="26"/>
      <c r="B65" s="9"/>
      <c r="E65" s="11"/>
      <c r="G65" s="9"/>
      <c r="J65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2" ySplit="5" topLeftCell="C6" activePane="bottomRight" state="frozen"/>
      <selection activeCell="I36" sqref="I36"/>
      <selection pane="topRight" activeCell="I36" sqref="I36"/>
      <selection pane="bottomLeft" activeCell="I36" sqref="I36"/>
      <selection pane="bottomRight" activeCell="G6" sqref="G6:G60"/>
    </sheetView>
  </sheetViews>
  <sheetFormatPr defaultRowHeight="14.4" x14ac:dyDescent="0.3"/>
  <cols>
    <col min="2" max="2" width="41.5546875" bestFit="1" customWidth="1"/>
    <col min="3" max="3" width="25.109375" bestFit="1" customWidth="1"/>
    <col min="4" max="4" width="9.109375" bestFit="1" customWidth="1"/>
    <col min="5" max="5" width="15.109375" bestFit="1" customWidth="1"/>
    <col min="7" max="7" width="41.5546875" bestFit="1" customWidth="1"/>
    <col min="8" max="8" width="25.109375" bestFit="1" customWidth="1"/>
    <col min="9" max="9" width="9.109375" bestFit="1" customWidth="1"/>
    <col min="10" max="10" width="15.109375" bestFit="1" customWidth="1"/>
  </cols>
  <sheetData>
    <row r="1" spans="1:10" x14ac:dyDescent="0.3">
      <c r="B1" s="4"/>
    </row>
    <row r="2" spans="1:10" ht="18" x14ac:dyDescent="0.35">
      <c r="B2" s="66" t="s">
        <v>37</v>
      </c>
      <c r="C2" s="73"/>
      <c r="D2" s="73"/>
      <c r="E2" s="73"/>
      <c r="F2" s="74"/>
      <c r="G2" s="66" t="s">
        <v>38</v>
      </c>
    </row>
    <row r="3" spans="1:10" x14ac:dyDescent="0.3">
      <c r="F3" s="67"/>
    </row>
    <row r="4" spans="1:10" x14ac:dyDescent="0.3">
      <c r="A4" s="61" t="s">
        <v>52</v>
      </c>
      <c r="F4" s="67"/>
    </row>
    <row r="5" spans="1:10" x14ac:dyDescent="0.3">
      <c r="A5" s="19" t="s">
        <v>54</v>
      </c>
      <c r="B5" s="13" t="s">
        <v>0</v>
      </c>
      <c r="C5" s="13" t="s">
        <v>39</v>
      </c>
      <c r="D5" s="13" t="s">
        <v>40</v>
      </c>
      <c r="E5" s="13" t="s">
        <v>871</v>
      </c>
      <c r="F5" s="68"/>
      <c r="G5" s="13" t="s">
        <v>0</v>
      </c>
      <c r="H5" s="13" t="s">
        <v>39</v>
      </c>
      <c r="I5" s="13" t="s">
        <v>40</v>
      </c>
      <c r="J5" s="13" t="s">
        <v>871</v>
      </c>
    </row>
    <row r="6" spans="1:10" x14ac:dyDescent="0.3">
      <c r="A6" s="26">
        <v>1</v>
      </c>
      <c r="B6" t="s">
        <v>869</v>
      </c>
      <c r="C6" t="s">
        <v>41</v>
      </c>
      <c r="D6" t="s">
        <v>42</v>
      </c>
      <c r="E6" s="7">
        <v>184822.5372357915</v>
      </c>
      <c r="F6" s="67"/>
      <c r="G6" t="s">
        <v>869</v>
      </c>
      <c r="H6" t="s">
        <v>41</v>
      </c>
      <c r="I6" t="s">
        <v>42</v>
      </c>
      <c r="J6" s="7">
        <v>95466.418232500146</v>
      </c>
    </row>
    <row r="7" spans="1:10" s="8" customFormat="1" x14ac:dyDescent="0.3">
      <c r="A7" s="26">
        <f>A6+1</f>
        <v>2</v>
      </c>
      <c r="B7" t="s">
        <v>869</v>
      </c>
      <c r="C7" t="s">
        <v>41</v>
      </c>
      <c r="D7" t="s">
        <v>43</v>
      </c>
      <c r="E7" s="7">
        <v>748941.05452572461</v>
      </c>
      <c r="F7" s="67"/>
      <c r="G7" t="s">
        <v>869</v>
      </c>
      <c r="H7" t="s">
        <v>41</v>
      </c>
      <c r="I7" t="s">
        <v>43</v>
      </c>
      <c r="J7" s="7">
        <v>0</v>
      </c>
    </row>
    <row r="8" spans="1:10" s="8" customFormat="1" x14ac:dyDescent="0.3">
      <c r="A8" s="26">
        <f t="shared" ref="A8:A62" si="0">A7+1</f>
        <v>3</v>
      </c>
      <c r="B8" t="s">
        <v>869</v>
      </c>
      <c r="C8" t="s">
        <v>41</v>
      </c>
      <c r="D8" t="s">
        <v>44</v>
      </c>
      <c r="E8" s="7">
        <v>0</v>
      </c>
      <c r="F8" s="67"/>
      <c r="G8" t="s">
        <v>869</v>
      </c>
      <c r="H8" t="s">
        <v>41</v>
      </c>
      <c r="I8" t="s">
        <v>44</v>
      </c>
      <c r="J8" s="7">
        <v>636646.70544048306</v>
      </c>
    </row>
    <row r="9" spans="1:10" s="8" customFormat="1" x14ac:dyDescent="0.3">
      <c r="A9" s="26">
        <f t="shared" si="0"/>
        <v>4</v>
      </c>
      <c r="B9" t="s">
        <v>1</v>
      </c>
      <c r="C9" t="s">
        <v>45</v>
      </c>
      <c r="D9" t="s">
        <v>43</v>
      </c>
      <c r="E9" s="7">
        <v>14509.210332333334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3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169609.75651247142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3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181980.89940942632</v>
      </c>
    </row>
    <row r="12" spans="1:10" s="8" customFormat="1" x14ac:dyDescent="0.3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-631668.08080489072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3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-53328.032734999993</v>
      </c>
    </row>
    <row r="14" spans="1:10" s="8" customFormat="1" x14ac:dyDescent="0.3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3262097.4905843786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3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833.44953175874252</v>
      </c>
    </row>
    <row r="16" spans="1:10" s="8" customFormat="1" x14ac:dyDescent="0.3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204.80034065348721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3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4530169.9028064189</v>
      </c>
    </row>
    <row r="18" spans="1:10" s="8" customFormat="1" x14ac:dyDescent="0.3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770.07891666666524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3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1133177.3872265001</v>
      </c>
      <c r="F19" s="67"/>
      <c r="G19" t="s">
        <v>9</v>
      </c>
      <c r="H19" t="s">
        <v>41</v>
      </c>
      <c r="I19" t="s">
        <v>42</v>
      </c>
      <c r="J19" s="7">
        <v>585320.31860683346</v>
      </c>
    </row>
    <row r="20" spans="1:10" s="8" customFormat="1" x14ac:dyDescent="0.3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3739639.2920287163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3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943299.32068860729</v>
      </c>
    </row>
    <row r="22" spans="1:10" s="8" customFormat="1" x14ac:dyDescent="0.3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1229545.2780046598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3">
      <c r="A23" s="26">
        <f t="shared" si="0"/>
        <v>18</v>
      </c>
      <c r="B23" t="s">
        <v>819</v>
      </c>
      <c r="C23" t="s">
        <v>41</v>
      </c>
      <c r="D23" t="s">
        <v>43</v>
      </c>
      <c r="E23" s="7">
        <v>9665.3951794521654</v>
      </c>
      <c r="F23" s="67"/>
      <c r="G23" t="s">
        <v>819</v>
      </c>
      <c r="H23" t="s">
        <v>41</v>
      </c>
      <c r="I23" t="s">
        <v>43</v>
      </c>
      <c r="J23" s="7">
        <v>0</v>
      </c>
    </row>
    <row r="24" spans="1:10" s="8" customFormat="1" x14ac:dyDescent="0.3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656078.70053785166</v>
      </c>
    </row>
    <row r="25" spans="1:10" s="8" customFormat="1" x14ac:dyDescent="0.3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-265.55426099999994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3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6109532.7676543705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3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-6422.2361666666666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3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1249098.8130698481</v>
      </c>
      <c r="F28" s="67"/>
      <c r="G28" t="s">
        <v>17</v>
      </c>
      <c r="H28" t="s">
        <v>41</v>
      </c>
      <c r="I28" t="s">
        <v>42</v>
      </c>
      <c r="J28" s="7">
        <v>645197.23344190209</v>
      </c>
    </row>
    <row r="29" spans="1:10" s="8" customFormat="1" x14ac:dyDescent="0.3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38082.094586500003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3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36381.202666666672</v>
      </c>
    </row>
    <row r="31" spans="1:10" s="8" customFormat="1" x14ac:dyDescent="0.3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3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111013.69658944389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3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9050.9312311666654</v>
      </c>
    </row>
    <row r="34" spans="1:10" s="8" customFormat="1" x14ac:dyDescent="0.3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15917.254481833334</v>
      </c>
    </row>
    <row r="35" spans="1:10" s="8" customFormat="1" x14ac:dyDescent="0.3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1788962.5898035003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3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4592681.6547855409</v>
      </c>
      <c r="F36" s="67"/>
      <c r="G36" t="s">
        <v>85</v>
      </c>
      <c r="H36" t="s">
        <v>85</v>
      </c>
      <c r="I36" t="s">
        <v>42</v>
      </c>
      <c r="J36" s="7">
        <v>2372258.6770093348</v>
      </c>
    </row>
    <row r="37" spans="1:10" s="8" customFormat="1" x14ac:dyDescent="0.3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2629068.0996477022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3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189844.33453256963</v>
      </c>
    </row>
    <row r="39" spans="1:10" s="8" customFormat="1" x14ac:dyDescent="0.3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1633228.3674291214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3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1326797.8207572035</v>
      </c>
    </row>
    <row r="41" spans="1:10" s="8" customFormat="1" x14ac:dyDescent="0.3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1884037.7668192282</v>
      </c>
    </row>
    <row r="42" spans="1:10" s="8" customFormat="1" x14ac:dyDescent="0.3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3424141.0999305411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3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1025279.7349748376</v>
      </c>
    </row>
    <row r="44" spans="1:10" s="8" customFormat="1" x14ac:dyDescent="0.3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2411041.2971608536</v>
      </c>
      <c r="F44" s="67"/>
      <c r="G44" t="s">
        <v>26</v>
      </c>
      <c r="H44" t="s">
        <v>45</v>
      </c>
      <c r="I44" t="s">
        <v>42</v>
      </c>
      <c r="J44" s="7">
        <v>1245375.5926796887</v>
      </c>
    </row>
    <row r="45" spans="1:10" s="8" customFormat="1" x14ac:dyDescent="0.3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1754983.0134382478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3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111473.39759622494</v>
      </c>
    </row>
    <row r="47" spans="1:10" s="8" customFormat="1" x14ac:dyDescent="0.3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2209168.5681625456</v>
      </c>
      <c r="F47" s="67"/>
      <c r="G47" t="s">
        <v>26</v>
      </c>
      <c r="H47" t="s">
        <v>41</v>
      </c>
      <c r="I47" t="s">
        <v>42</v>
      </c>
      <c r="J47" s="7">
        <v>1141102.2358449546</v>
      </c>
    </row>
    <row r="48" spans="1:10" s="8" customFormat="1" x14ac:dyDescent="0.3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5869773.7732337695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1" s="8" customFormat="1" x14ac:dyDescent="0.3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424467.40941272851</v>
      </c>
    </row>
    <row r="50" spans="1:11" s="8" customFormat="1" x14ac:dyDescent="0.3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662284.22906773898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1" s="8" customFormat="1" x14ac:dyDescent="0.3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79361.339720143093</v>
      </c>
    </row>
    <row r="52" spans="1:11" s="8" customFormat="1" x14ac:dyDescent="0.3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1" s="8" customFormat="1" x14ac:dyDescent="0.3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1" s="8" customFormat="1" x14ac:dyDescent="0.3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1" s="8" customFormat="1" x14ac:dyDescent="0.3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1" s="8" customFormat="1" x14ac:dyDescent="0.3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1" x14ac:dyDescent="0.3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49182.104828243551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</row>
    <row r="58" spans="1:11" x14ac:dyDescent="0.3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49632.888067007923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</row>
    <row r="59" spans="1:11" x14ac:dyDescent="0.3">
      <c r="A59" s="26">
        <f t="shared" si="0"/>
        <v>54</v>
      </c>
      <c r="B59" t="s">
        <v>870</v>
      </c>
      <c r="C59" t="s">
        <v>45</v>
      </c>
      <c r="D59" t="s">
        <v>42</v>
      </c>
      <c r="E59" s="7">
        <v>0</v>
      </c>
      <c r="F59" s="67"/>
      <c r="G59" t="s">
        <v>870</v>
      </c>
      <c r="H59" t="s">
        <v>45</v>
      </c>
      <c r="I59" t="s">
        <v>42</v>
      </c>
      <c r="J59" s="7">
        <v>0</v>
      </c>
      <c r="K59" s="8"/>
    </row>
    <row r="60" spans="1:11" x14ac:dyDescent="0.3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168872.81168816669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</row>
    <row r="61" spans="1:11" x14ac:dyDescent="0.3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241726.87243741119</v>
      </c>
      <c r="F61" s="67"/>
      <c r="G61" t="s">
        <v>30</v>
      </c>
      <c r="H61" t="s">
        <v>45</v>
      </c>
      <c r="I61" t="s">
        <v>42</v>
      </c>
      <c r="J61" s="7">
        <v>124859.22467725546</v>
      </c>
      <c r="K61" s="8"/>
    </row>
    <row r="62" spans="1:11" ht="15" thickBot="1" x14ac:dyDescent="0.35">
      <c r="A62" s="26">
        <f t="shared" si="0"/>
        <v>57</v>
      </c>
      <c r="B62" s="69" t="s">
        <v>32</v>
      </c>
      <c r="C62" s="70"/>
      <c r="D62" s="70"/>
      <c r="E62" s="71">
        <f>SUM(E6:E61)</f>
        <v>44847101.151235342</v>
      </c>
      <c r="F62" s="72"/>
      <c r="G62" s="69" t="s">
        <v>32</v>
      </c>
      <c r="H62" s="70"/>
      <c r="I62" s="70"/>
      <c r="J62" s="71">
        <f>SUM(J6:J61)</f>
        <v>18207871.838364616</v>
      </c>
      <c r="K62" s="8"/>
    </row>
    <row r="63" spans="1:11" x14ac:dyDescent="0.3">
      <c r="B63" s="9"/>
      <c r="C63" s="8"/>
      <c r="D63" s="8"/>
      <c r="E63" s="10"/>
      <c r="F63" s="8"/>
      <c r="G63" s="9"/>
      <c r="H63" s="8"/>
      <c r="I63" s="8"/>
      <c r="J63" s="10"/>
    </row>
    <row r="64" spans="1:11" x14ac:dyDescent="0.3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3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3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4" topLeftCell="A5" activePane="bottomLeft" state="frozen"/>
      <selection pane="bottomLeft" activeCell="F1" sqref="F1:G2"/>
    </sheetView>
  </sheetViews>
  <sheetFormatPr defaultColWidth="8.88671875" defaultRowHeight="13.2" x14ac:dyDescent="0.25"/>
  <cols>
    <col min="1" max="1" width="8.88671875" style="28"/>
    <col min="2" max="2" width="35" style="28" customWidth="1"/>
    <col min="3" max="3" width="16.88671875" style="28" bestFit="1" customWidth="1"/>
    <col min="4" max="4" width="5" style="43" customWidth="1"/>
    <col min="5" max="5" width="30.88671875" style="28" bestFit="1" customWidth="1"/>
    <col min="6" max="6" width="18.44140625" style="28" bestFit="1" customWidth="1"/>
    <col min="7" max="16384" width="8.88671875" style="28"/>
  </cols>
  <sheetData>
    <row r="1" spans="1:10" x14ac:dyDescent="0.25">
      <c r="B1" s="32" t="s">
        <v>86</v>
      </c>
      <c r="E1" s="28" t="s">
        <v>33</v>
      </c>
      <c r="F1" s="39" t="s">
        <v>34</v>
      </c>
      <c r="G1" s="40">
        <v>0.34060000000000001</v>
      </c>
    </row>
    <row r="2" spans="1:10" ht="14.4" x14ac:dyDescent="0.3">
      <c r="B2" s="32" t="s">
        <v>1144</v>
      </c>
      <c r="E2" s="41"/>
      <c r="F2" s="39" t="s">
        <v>35</v>
      </c>
      <c r="G2" s="40">
        <v>0.65939999999999999</v>
      </c>
    </row>
    <row r="3" spans="1:10" ht="14.4" x14ac:dyDescent="0.3">
      <c r="A3" s="61" t="s">
        <v>52</v>
      </c>
    </row>
    <row r="4" spans="1:10" ht="14.4" x14ac:dyDescent="0.3">
      <c r="A4" s="19" t="s">
        <v>54</v>
      </c>
      <c r="B4" s="78"/>
      <c r="C4" s="29" t="s">
        <v>88</v>
      </c>
      <c r="D4" s="79"/>
      <c r="E4" s="78"/>
      <c r="F4" s="29" t="s">
        <v>89</v>
      </c>
    </row>
    <row r="5" spans="1:10" ht="14.4" x14ac:dyDescent="0.3">
      <c r="A5" s="26">
        <v>1</v>
      </c>
      <c r="B5" s="32" t="s">
        <v>87</v>
      </c>
      <c r="D5" s="46"/>
      <c r="E5" s="32" t="s">
        <v>87</v>
      </c>
    </row>
    <row r="6" spans="1:10" ht="15" thickBot="1" x14ac:dyDescent="0.35">
      <c r="A6" s="26">
        <f>A5+1</f>
        <v>2</v>
      </c>
      <c r="B6" s="28" t="s">
        <v>71</v>
      </c>
      <c r="C6" s="48">
        <v>-3978749.3539995141</v>
      </c>
      <c r="D6" s="47"/>
      <c r="E6" s="28" t="s">
        <v>72</v>
      </c>
      <c r="F6" s="30">
        <f>-C6</f>
        <v>3978749.3539995141</v>
      </c>
    </row>
    <row r="7" spans="1:10" ht="15" thickTop="1" x14ac:dyDescent="0.3">
      <c r="A7" s="26">
        <f t="shared" ref="A7:A28" si="0">A6+1</f>
        <v>3</v>
      </c>
      <c r="C7" s="30"/>
      <c r="D7" s="47"/>
      <c r="F7" s="30"/>
    </row>
    <row r="8" spans="1:10" ht="14.4" x14ac:dyDescent="0.3">
      <c r="A8" s="26">
        <f t="shared" si="0"/>
        <v>4</v>
      </c>
      <c r="C8" s="30"/>
      <c r="D8" s="47"/>
      <c r="F8" s="30"/>
    </row>
    <row r="9" spans="1:10" ht="14.4" x14ac:dyDescent="0.3">
      <c r="A9" s="26">
        <f t="shared" si="0"/>
        <v>5</v>
      </c>
      <c r="B9" s="32" t="s">
        <v>35</v>
      </c>
      <c r="C9" s="30"/>
      <c r="D9" s="47"/>
      <c r="E9" s="32" t="s">
        <v>35</v>
      </c>
      <c r="F9" s="30"/>
    </row>
    <row r="10" spans="1:10" ht="14.4" x14ac:dyDescent="0.3">
      <c r="A10" s="26">
        <f t="shared" si="0"/>
        <v>6</v>
      </c>
      <c r="B10" s="28" t="s">
        <v>73</v>
      </c>
      <c r="C10" s="30">
        <v>-3386251.983635236</v>
      </c>
      <c r="D10" s="47"/>
      <c r="E10" s="28" t="s">
        <v>74</v>
      </c>
      <c r="F10" s="30">
        <f>-C10</f>
        <v>3386251.983635236</v>
      </c>
    </row>
    <row r="11" spans="1:10" ht="14.4" x14ac:dyDescent="0.3">
      <c r="A11" s="26">
        <f t="shared" si="0"/>
        <v>7</v>
      </c>
      <c r="B11" s="28" t="s">
        <v>75</v>
      </c>
      <c r="C11" s="30">
        <v>857168.71318748628</v>
      </c>
      <c r="D11" s="47"/>
      <c r="E11" s="28" t="s">
        <v>75</v>
      </c>
      <c r="F11" s="30">
        <f>-C11</f>
        <v>-857168.71318748628</v>
      </c>
    </row>
    <row r="12" spans="1:10" ht="14.4" x14ac:dyDescent="0.3">
      <c r="A12" s="26">
        <f t="shared" si="0"/>
        <v>8</v>
      </c>
      <c r="B12" s="28" t="s">
        <v>76</v>
      </c>
      <c r="C12" s="33">
        <f>C6*G2</f>
        <v>-2623587.3240272794</v>
      </c>
      <c r="D12" s="47"/>
      <c r="E12" s="28" t="s">
        <v>76</v>
      </c>
      <c r="F12" s="35">
        <f>-C12</f>
        <v>2623587.3240272794</v>
      </c>
    </row>
    <row r="13" spans="1:10" ht="14.4" x14ac:dyDescent="0.3">
      <c r="A13" s="26">
        <f t="shared" si="0"/>
        <v>9</v>
      </c>
      <c r="B13" s="28" t="s">
        <v>77</v>
      </c>
      <c r="C13" s="30">
        <f>SUM(C10:C12)</f>
        <v>-5152670.594475029</v>
      </c>
      <c r="D13" s="47"/>
      <c r="E13" s="28" t="s">
        <v>90</v>
      </c>
      <c r="F13" s="30">
        <f>SUM(F10:F12)</f>
        <v>5152670.594475029</v>
      </c>
    </row>
    <row r="14" spans="1:10" ht="14.4" x14ac:dyDescent="0.3">
      <c r="A14" s="26">
        <f t="shared" si="0"/>
        <v>10</v>
      </c>
      <c r="D14" s="47"/>
      <c r="F14" s="30"/>
    </row>
    <row r="15" spans="1:10" ht="14.4" x14ac:dyDescent="0.3">
      <c r="A15" s="26">
        <f t="shared" si="0"/>
        <v>11</v>
      </c>
      <c r="B15" s="28" t="s">
        <v>78</v>
      </c>
      <c r="C15" s="36">
        <f>C13*-0.21</f>
        <v>1082060.8248397561</v>
      </c>
      <c r="D15" s="47"/>
      <c r="E15" s="28" t="s">
        <v>47</v>
      </c>
      <c r="F15" s="31">
        <v>-17870599.545940101</v>
      </c>
      <c r="H15"/>
      <c r="I15"/>
      <c r="J15"/>
    </row>
    <row r="16" spans="1:10" ht="14.4" x14ac:dyDescent="0.3">
      <c r="A16" s="26">
        <f t="shared" si="0"/>
        <v>12</v>
      </c>
      <c r="B16" s="28" t="s">
        <v>79</v>
      </c>
      <c r="C16" s="34">
        <v>1173382.9652480222</v>
      </c>
      <c r="D16" s="47"/>
      <c r="E16" s="28" t="s">
        <v>79</v>
      </c>
      <c r="F16" s="44">
        <v>-1173382.9652480222</v>
      </c>
    </row>
    <row r="17" spans="1:6" ht="15" thickBot="1" x14ac:dyDescent="0.35">
      <c r="A17" s="26">
        <f t="shared" si="0"/>
        <v>13</v>
      </c>
      <c r="B17" s="28" t="s">
        <v>80</v>
      </c>
      <c r="C17" s="44">
        <v>-44573.157189539634</v>
      </c>
      <c r="D17" s="47"/>
      <c r="E17" s="28" t="s">
        <v>93</v>
      </c>
      <c r="F17" s="50">
        <f>SUM(F13:F16)</f>
        <v>-13891311.916713094</v>
      </c>
    </row>
    <row r="18" spans="1:6" ht="15" thickBot="1" x14ac:dyDescent="0.35">
      <c r="A18" s="26">
        <f t="shared" si="0"/>
        <v>14</v>
      </c>
      <c r="B18" s="28" t="s">
        <v>91</v>
      </c>
      <c r="C18" s="49">
        <f>SUM(C13:C17)</f>
        <v>-2941799.9615767905</v>
      </c>
      <c r="D18" s="47"/>
      <c r="F18" s="37"/>
    </row>
    <row r="19" spans="1:6" ht="14.4" x14ac:dyDescent="0.3">
      <c r="A19" s="26">
        <f t="shared" si="0"/>
        <v>15</v>
      </c>
      <c r="C19" s="37"/>
      <c r="D19" s="47"/>
      <c r="F19" s="37"/>
    </row>
    <row r="20" spans="1:6" ht="14.4" x14ac:dyDescent="0.3">
      <c r="A20" s="26">
        <f t="shared" si="0"/>
        <v>16</v>
      </c>
      <c r="B20" s="32" t="s">
        <v>34</v>
      </c>
      <c r="C20" s="30"/>
      <c r="D20" s="47"/>
      <c r="E20" s="32" t="s">
        <v>34</v>
      </c>
      <c r="F20" s="30"/>
    </row>
    <row r="21" spans="1:6" ht="14.4" x14ac:dyDescent="0.3">
      <c r="A21" s="26">
        <f t="shared" si="0"/>
        <v>17</v>
      </c>
      <c r="B21" s="28" t="s">
        <v>81</v>
      </c>
      <c r="C21" s="30">
        <v>-383506.64321593056</v>
      </c>
      <c r="D21" s="47"/>
      <c r="E21" s="28" t="s">
        <v>82</v>
      </c>
      <c r="F21" s="30">
        <f>-C21</f>
        <v>383506.64321593056</v>
      </c>
    </row>
    <row r="22" spans="1:6" ht="14.4" x14ac:dyDescent="0.3">
      <c r="A22" s="26">
        <f t="shared" si="0"/>
        <v>18</v>
      </c>
      <c r="B22" s="28" t="s">
        <v>83</v>
      </c>
      <c r="C22" s="33">
        <f>C6*G1</f>
        <v>-1355162.0299722345</v>
      </c>
      <c r="D22" s="47"/>
      <c r="E22" s="28" t="s">
        <v>83</v>
      </c>
      <c r="F22" s="33">
        <f>-C22</f>
        <v>1355162.0299722345</v>
      </c>
    </row>
    <row r="23" spans="1:6" ht="15" thickBot="1" x14ac:dyDescent="0.35">
      <c r="A23" s="26">
        <f t="shared" si="0"/>
        <v>19</v>
      </c>
      <c r="B23" s="28" t="s">
        <v>77</v>
      </c>
      <c r="C23" s="38">
        <f>C21+C22</f>
        <v>-1738668.6731881651</v>
      </c>
      <c r="D23" s="47"/>
      <c r="E23" s="28" t="s">
        <v>90</v>
      </c>
      <c r="F23" s="51">
        <f>F21+F22</f>
        <v>1738668.6731881651</v>
      </c>
    </row>
    <row r="24" spans="1:6" ht="14.4" x14ac:dyDescent="0.3">
      <c r="A24" s="26">
        <f t="shared" si="0"/>
        <v>20</v>
      </c>
      <c r="C24" s="30"/>
      <c r="D24" s="47"/>
      <c r="F24" s="30"/>
    </row>
    <row r="25" spans="1:6" ht="14.4" x14ac:dyDescent="0.3">
      <c r="A25" s="26">
        <f t="shared" si="0"/>
        <v>21</v>
      </c>
      <c r="B25" s="28" t="s">
        <v>78</v>
      </c>
      <c r="C25" s="36">
        <f>C23*-0.21</f>
        <v>365120.42136951466</v>
      </c>
      <c r="D25" s="47"/>
      <c r="E25" s="28" t="s">
        <v>47</v>
      </c>
      <c r="F25" s="31">
        <v>-10697927.190460086</v>
      </c>
    </row>
    <row r="26" spans="1:6" ht="14.4" x14ac:dyDescent="0.3">
      <c r="A26" s="26">
        <f t="shared" si="0"/>
        <v>22</v>
      </c>
      <c r="B26" s="28" t="s">
        <v>79</v>
      </c>
      <c r="C26" s="34">
        <v>34611.028251983225</v>
      </c>
      <c r="D26" s="47"/>
      <c r="E26" s="28" t="s">
        <v>79</v>
      </c>
      <c r="F26" s="44">
        <v>56827.410818460281</v>
      </c>
    </row>
    <row r="27" spans="1:6" ht="15" thickBot="1" x14ac:dyDescent="0.35">
      <c r="A27" s="26">
        <f t="shared" si="0"/>
        <v>23</v>
      </c>
      <c r="B27" s="28" t="s">
        <v>80</v>
      </c>
      <c r="C27" s="44">
        <v>-85992.295310460031</v>
      </c>
      <c r="D27" s="47"/>
      <c r="E27" s="28" t="s">
        <v>94</v>
      </c>
      <c r="F27" s="50">
        <f>SUM(F23:F26)</f>
        <v>-8902431.1064534616</v>
      </c>
    </row>
    <row r="28" spans="1:6" ht="15" thickBot="1" x14ac:dyDescent="0.35">
      <c r="A28" s="26">
        <f t="shared" si="0"/>
        <v>24</v>
      </c>
      <c r="B28" s="28" t="s">
        <v>92</v>
      </c>
      <c r="C28" s="49">
        <f>SUM(C23:C27)</f>
        <v>-1424929.5188771272</v>
      </c>
      <c r="D28" s="47"/>
      <c r="E28" s="30"/>
      <c r="F28" s="30"/>
    </row>
    <row r="29" spans="1:6" ht="14.4" x14ac:dyDescent="0.3">
      <c r="C29" s="30"/>
      <c r="D29" s="31"/>
      <c r="E29" s="30"/>
      <c r="F29" s="30"/>
    </row>
    <row r="30" spans="1:6" ht="14.4" x14ac:dyDescent="0.3">
      <c r="C30" s="30"/>
      <c r="D30" s="31"/>
      <c r="E30" s="30"/>
      <c r="F30" s="30"/>
    </row>
    <row r="31" spans="1:6" ht="14.4" x14ac:dyDescent="0.3">
      <c r="C31" s="30"/>
      <c r="D31" s="31"/>
      <c r="E31" s="30"/>
      <c r="F31" s="30"/>
    </row>
    <row r="32" spans="1:6" ht="14.4" x14ac:dyDescent="0.3">
      <c r="C32" s="30"/>
      <c r="D32" s="31"/>
    </row>
    <row r="33" spans="3:5" ht="14.4" x14ac:dyDescent="0.3">
      <c r="C33" s="30"/>
      <c r="D33" s="31"/>
      <c r="E33" s="39"/>
    </row>
    <row r="34" spans="3:5" x14ac:dyDescent="0.25">
      <c r="E34" s="39"/>
    </row>
    <row r="36" spans="3:5" x14ac:dyDescent="0.25">
      <c r="D36" s="42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22"/>
  <sheetViews>
    <sheetView topLeftCell="A22" workbookViewId="0"/>
  </sheetViews>
  <sheetFormatPr defaultRowHeight="14.4" x14ac:dyDescent="0.3"/>
  <cols>
    <col min="1" max="1" width="36.44140625" bestFit="1" customWidth="1"/>
    <col min="2" max="2" width="9.109375" customWidth="1"/>
    <col min="34" max="34" width="14.5546875" bestFit="1" customWidth="1"/>
  </cols>
  <sheetData>
    <row r="3" spans="1:34" x14ac:dyDescent="0.3">
      <c r="B3" s="62" t="s">
        <v>1145</v>
      </c>
      <c r="C3" s="62"/>
    </row>
    <row r="4" spans="1:34" x14ac:dyDescent="0.3">
      <c r="A4" s="249" t="s">
        <v>108</v>
      </c>
      <c r="B4" s="249" t="s">
        <v>107</v>
      </c>
      <c r="C4" s="249" t="s">
        <v>158</v>
      </c>
    </row>
    <row r="5" spans="1:34" x14ac:dyDescent="0.3">
      <c r="A5" s="286"/>
      <c r="B5" s="285" t="s">
        <v>857</v>
      </c>
      <c r="C5" s="285"/>
    </row>
    <row r="6" spans="1:34" x14ac:dyDescent="0.3">
      <c r="A6" s="8"/>
      <c r="B6" s="287"/>
      <c r="C6" s="287"/>
    </row>
    <row r="7" spans="1:34" x14ac:dyDescent="0.3">
      <c r="A7" t="s">
        <v>854</v>
      </c>
      <c r="B7" s="288">
        <f>B15</f>
        <v>5.5200000000000005</v>
      </c>
      <c r="C7" s="288">
        <f>C15</f>
        <v>2.7055349262500004</v>
      </c>
    </row>
    <row r="8" spans="1:34" x14ac:dyDescent="0.3">
      <c r="A8" t="s">
        <v>863</v>
      </c>
      <c r="B8" s="291">
        <v>5.44</v>
      </c>
      <c r="C8" s="291">
        <v>2.56</v>
      </c>
    </row>
    <row r="9" spans="1:34" ht="15" thickBot="1" x14ac:dyDescent="0.35">
      <c r="A9" t="s">
        <v>855</v>
      </c>
      <c r="B9" s="292">
        <f>B7-B8</f>
        <v>8.0000000000000071E-2</v>
      </c>
      <c r="C9" s="292">
        <f>C7-C8</f>
        <v>0.14553492625000031</v>
      </c>
    </row>
    <row r="10" spans="1:34" ht="15" thickTop="1" x14ac:dyDescent="0.3"/>
    <row r="12" spans="1:34" x14ac:dyDescent="0.3">
      <c r="A12" t="s">
        <v>858</v>
      </c>
      <c r="B12" s="283">
        <v>5.7</v>
      </c>
      <c r="C12" s="283">
        <v>3</v>
      </c>
    </row>
    <row r="13" spans="1:34" x14ac:dyDescent="0.3">
      <c r="A13" t="s">
        <v>859</v>
      </c>
      <c r="B13" s="284">
        <f>-B22</f>
        <v>-0.18</v>
      </c>
      <c r="C13" s="284">
        <f>-C22</f>
        <v>-9.0000000000000011E-2</v>
      </c>
    </row>
    <row r="14" spans="1:34" x14ac:dyDescent="0.3">
      <c r="A14" t="s">
        <v>856</v>
      </c>
      <c r="B14" s="284">
        <v>0</v>
      </c>
      <c r="C14" s="284">
        <f>-AH17</f>
        <v>-0.20446507375</v>
      </c>
    </row>
    <row r="15" spans="1:34" x14ac:dyDescent="0.3">
      <c r="A15" t="s">
        <v>854</v>
      </c>
      <c r="B15" s="293">
        <f>SUM(B12:B14)</f>
        <v>5.5200000000000005</v>
      </c>
      <c r="C15" s="293">
        <f>SUM(C12:C14)</f>
        <v>2.7055349262500004</v>
      </c>
    </row>
    <row r="16" spans="1:34" x14ac:dyDescent="0.3">
      <c r="B16" s="257"/>
      <c r="C16" s="257"/>
      <c r="AH16" s="7">
        <f>((23672419+229226655)+(2*(235433950+234717518+234018643+233746177+233024439+232559079+231853491+231199065+230638085+229940901)))/24</f>
        <v>204465073.75</v>
      </c>
    </row>
    <row r="17" spans="1:34" x14ac:dyDescent="0.3">
      <c r="B17" s="257"/>
      <c r="C17" s="257"/>
      <c r="AH17" s="3">
        <f>AH16/1000000000</f>
        <v>0.20446507375</v>
      </c>
    </row>
    <row r="18" spans="1:34" x14ac:dyDescent="0.3">
      <c r="A18" t="s">
        <v>170</v>
      </c>
      <c r="B18" s="257"/>
      <c r="C18" s="257"/>
    </row>
    <row r="19" spans="1:34" x14ac:dyDescent="0.3">
      <c r="A19" s="245" t="s">
        <v>36</v>
      </c>
      <c r="B19" s="288">
        <f>ROUND(246714212/1000000000,2)</f>
        <v>0.25</v>
      </c>
      <c r="C19" s="288">
        <f>ROUND(114495479/1000000000,2)</f>
        <v>0.11</v>
      </c>
    </row>
    <row r="20" spans="1:34" x14ac:dyDescent="0.3">
      <c r="A20" s="245" t="s">
        <v>860</v>
      </c>
      <c r="B20" s="289">
        <f>ROUND(-42580472/1000000000,2)</f>
        <v>-0.04</v>
      </c>
      <c r="C20" s="289">
        <f>ROUND(-14578075/1000000000,2)</f>
        <v>-0.01</v>
      </c>
    </row>
    <row r="21" spans="1:34" x14ac:dyDescent="0.3">
      <c r="A21" s="245" t="s">
        <v>861</v>
      </c>
      <c r="B21" s="289">
        <f>ROUND(-27689187/1000000000,2)</f>
        <v>-0.03</v>
      </c>
      <c r="C21" s="289">
        <f>ROUND(-13425119/1000000000,2)</f>
        <v>-0.01</v>
      </c>
    </row>
    <row r="22" spans="1:34" x14ac:dyDescent="0.3">
      <c r="A22" s="2" t="s">
        <v>862</v>
      </c>
      <c r="B22" s="290">
        <f t="shared" ref="B22:C22" si="0">SUM(B19:B21)</f>
        <v>0.18</v>
      </c>
      <c r="C22" s="290">
        <f t="shared" si="0"/>
        <v>9.0000000000000011E-2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pane xSplit="3" ySplit="4" topLeftCell="O7" activePane="bottomRight" state="frozen"/>
      <selection activeCell="O22" sqref="O22"/>
      <selection pane="topRight" activeCell="O22" sqref="O22"/>
      <selection pane="bottomLeft" activeCell="O22" sqref="O22"/>
      <selection pane="bottomRight" activeCell="O22" sqref="O22"/>
    </sheetView>
  </sheetViews>
  <sheetFormatPr defaultColWidth="8.6640625" defaultRowHeight="14.4" x14ac:dyDescent="0.3"/>
  <cols>
    <col min="1" max="1" width="41.44140625" style="411" bestFit="1" customWidth="1"/>
    <col min="2" max="2" width="25.88671875" style="411" bestFit="1" customWidth="1"/>
    <col min="3" max="3" width="9.109375" style="412" bestFit="1" customWidth="1"/>
    <col min="4" max="5" width="16.6640625" style="411" bestFit="1" customWidth="1"/>
    <col min="6" max="8" width="20.6640625" style="411" customWidth="1"/>
    <col min="9" max="9" width="4.33203125" style="411" customWidth="1"/>
    <col min="10" max="10" width="42.6640625" style="411" bestFit="1" customWidth="1"/>
    <col min="11" max="11" width="42.6640625" style="411" customWidth="1"/>
    <col min="12" max="12" width="9.44140625" style="411" customWidth="1"/>
    <col min="13" max="17" width="20.6640625" style="411" customWidth="1"/>
    <col min="18" max="18" width="4.109375" style="411" customWidth="1"/>
    <col min="19" max="19" width="42.6640625" style="411" bestFit="1" customWidth="1"/>
    <col min="20" max="20" width="27" style="411" bestFit="1" customWidth="1"/>
    <col min="21" max="21" width="9.6640625" style="411" customWidth="1"/>
    <col min="22" max="26" width="20.6640625" style="411" customWidth="1"/>
    <col min="27" max="27" width="4.88671875" style="411" customWidth="1"/>
    <col min="28" max="28" width="5.88671875" style="411" bestFit="1" customWidth="1"/>
    <col min="29" max="29" width="6.109375" style="411" customWidth="1"/>
    <col min="30" max="16384" width="8.6640625" style="411"/>
  </cols>
  <sheetData>
    <row r="1" spans="1:28" x14ac:dyDescent="0.3">
      <c r="A1" s="411" t="s">
        <v>33</v>
      </c>
      <c r="C1" s="433" t="s">
        <v>34</v>
      </c>
      <c r="D1" s="432">
        <v>0.34060000000000001</v>
      </c>
      <c r="E1" s="433" t="s">
        <v>35</v>
      </c>
      <c r="F1" s="432">
        <v>0.65939999999999999</v>
      </c>
      <c r="L1" s="430" t="s">
        <v>37</v>
      </c>
      <c r="U1" s="430" t="s">
        <v>38</v>
      </c>
    </row>
    <row r="2" spans="1:28" x14ac:dyDescent="0.3">
      <c r="AB2" s="429" t="s">
        <v>1621</v>
      </c>
    </row>
    <row r="3" spans="1:28" x14ac:dyDescent="0.3">
      <c r="A3" s="431" t="s">
        <v>0</v>
      </c>
      <c r="B3" s="431" t="s">
        <v>1620</v>
      </c>
      <c r="C3" s="430" t="s">
        <v>40</v>
      </c>
      <c r="D3" s="430" t="s">
        <v>1619</v>
      </c>
      <c r="E3" s="430" t="s">
        <v>1618</v>
      </c>
      <c r="F3" s="430" t="s">
        <v>1617</v>
      </c>
      <c r="G3" s="430" t="s">
        <v>1616</v>
      </c>
      <c r="H3" s="430" t="s">
        <v>1615</v>
      </c>
      <c r="J3" s="431" t="s">
        <v>0</v>
      </c>
      <c r="K3" s="431" t="s">
        <v>1620</v>
      </c>
      <c r="L3" s="430" t="s">
        <v>40</v>
      </c>
      <c r="M3" s="430" t="s">
        <v>1619</v>
      </c>
      <c r="N3" s="430" t="s">
        <v>1618</v>
      </c>
      <c r="O3" s="430" t="s">
        <v>1617</v>
      </c>
      <c r="P3" s="430" t="s">
        <v>1616</v>
      </c>
      <c r="Q3" s="430" t="s">
        <v>1615</v>
      </c>
      <c r="S3" s="431" t="s">
        <v>0</v>
      </c>
      <c r="T3" s="431" t="s">
        <v>1620</v>
      </c>
      <c r="U3" s="430" t="s">
        <v>40</v>
      </c>
      <c r="V3" s="430" t="s">
        <v>1619</v>
      </c>
      <c r="W3" s="430" t="s">
        <v>1618</v>
      </c>
      <c r="X3" s="430" t="s">
        <v>1617</v>
      </c>
      <c r="Y3" s="430" t="s">
        <v>1616</v>
      </c>
      <c r="Z3" s="430" t="s">
        <v>1615</v>
      </c>
      <c r="AB3" s="429" t="s">
        <v>122</v>
      </c>
    </row>
    <row r="4" spans="1:28" x14ac:dyDescent="0.3">
      <c r="A4" s="428" t="s">
        <v>1614</v>
      </c>
      <c r="B4" s="428"/>
      <c r="C4" s="427"/>
      <c r="D4" s="417">
        <v>2</v>
      </c>
      <c r="E4" s="417">
        <v>3</v>
      </c>
      <c r="F4" s="417">
        <v>4</v>
      </c>
      <c r="G4" s="417">
        <v>5</v>
      </c>
      <c r="H4" s="417">
        <v>6</v>
      </c>
      <c r="J4" s="428"/>
      <c r="K4" s="428"/>
      <c r="L4" s="427"/>
      <c r="M4" s="417"/>
      <c r="N4" s="417"/>
      <c r="O4" s="417"/>
      <c r="P4" s="417"/>
      <c r="Q4" s="417"/>
      <c r="S4" s="428"/>
      <c r="T4" s="428"/>
      <c r="U4" s="427"/>
      <c r="V4" s="417"/>
      <c r="W4" s="417"/>
      <c r="X4" s="417"/>
      <c r="Y4" s="417"/>
      <c r="Z4" s="417"/>
      <c r="AB4" s="426"/>
    </row>
    <row r="5" spans="1:28" x14ac:dyDescent="0.3">
      <c r="A5" s="415" t="s">
        <v>1613</v>
      </c>
      <c r="B5" s="415" t="s">
        <v>1168</v>
      </c>
      <c r="C5" s="412" t="str">
        <f>MID(VLOOKUP(A5,'Calc DG Gross Plant'!$A$5:$D$511,4,FALSE),5,1)</f>
        <v>C</v>
      </c>
      <c r="D5" s="418">
        <v>0</v>
      </c>
      <c r="E5" s="413">
        <v>42525866.620000005</v>
      </c>
      <c r="F5" s="413">
        <v>42525866.620000005</v>
      </c>
      <c r="G5" s="413">
        <v>42525866.620000005</v>
      </c>
      <c r="H5" s="413">
        <v>0</v>
      </c>
      <c r="J5" s="418" t="str">
        <f t="shared" ref="J5:J47" si="0">A5</f>
        <v>AMI Meters and Modules Deployment - Common</v>
      </c>
      <c r="K5" s="418" t="str">
        <f t="shared" ref="K5:K47" si="1">B5</f>
        <v>Programmatic</v>
      </c>
      <c r="L5" s="412" t="str">
        <f t="shared" ref="L5:L47" si="2">C5</f>
        <v>C</v>
      </c>
      <c r="M5" s="418">
        <f t="shared" ref="M5:M50" si="3">IF($L5="C",D5*$F$1,IF($L5="G",0,D5))</f>
        <v>0</v>
      </c>
      <c r="N5" s="418">
        <f t="shared" ref="N5:N50" si="4">IF($L5="C",E5*$F$1,IF($L5="G",0,E5))</f>
        <v>28041556.449228004</v>
      </c>
      <c r="O5" s="418">
        <f t="shared" ref="O5:O50" si="5">IF($L5="C",F5*$F$1,IF($L5="G",0,F5))</f>
        <v>28041556.449228004</v>
      </c>
      <c r="P5" s="418">
        <f t="shared" ref="P5:P50" si="6">IF($L5="C",G5*$F$1,IF($L5="G",0,G5))</f>
        <v>28041556.449228004</v>
      </c>
      <c r="Q5" s="418">
        <f t="shared" ref="Q5:Q50" si="7">IF($L5="C",H5*$F$1,IF($L5="G",0,H5))</f>
        <v>0</v>
      </c>
      <c r="S5" s="418" t="str">
        <f t="shared" ref="S5:S47" si="8">A5</f>
        <v>AMI Meters and Modules Deployment - Common</v>
      </c>
      <c r="T5" s="418" t="str">
        <f t="shared" ref="T5:T47" si="9">B5</f>
        <v>Programmatic</v>
      </c>
      <c r="U5" s="412" t="str">
        <f t="shared" ref="U5:U47" si="10">C5</f>
        <v>C</v>
      </c>
      <c r="V5" s="418">
        <f t="shared" ref="V5:V50" si="11">IF($U5="C",D5*$D$1,IF($U5="E",0,D5))</f>
        <v>0</v>
      </c>
      <c r="W5" s="418">
        <f t="shared" ref="W5:W50" si="12">IF($U5="C",E5*$D$1,IF($U5="E",0,E5))</f>
        <v>14484310.170772003</v>
      </c>
      <c r="X5" s="418">
        <f t="shared" ref="X5:X50" si="13">IF($U5="C",F5*$D$1,IF($U5="E",0,F5))</f>
        <v>14484310.170772003</v>
      </c>
      <c r="Y5" s="418">
        <f t="shared" ref="Y5:Y50" si="14">IF($U5="C",G5*$D$1,IF($U5="E",0,G5))</f>
        <v>14484310.170772003</v>
      </c>
      <c r="Z5" s="418">
        <f t="shared" ref="Z5:Z50" si="15">IF($U5="C",H5*$D$1,IF($U5="E",0,H5))</f>
        <v>0</v>
      </c>
      <c r="AB5" s="413">
        <f t="shared" ref="AB5:AB36" si="16">SUM(D5:H5)-SUM(M5:Q5)-SUM(V5:Z5)</f>
        <v>0</v>
      </c>
    </row>
    <row r="6" spans="1:28" x14ac:dyDescent="0.3">
      <c r="A6" s="415" t="s">
        <v>1612</v>
      </c>
      <c r="B6" s="415" t="s">
        <v>1168</v>
      </c>
      <c r="C6" s="412" t="str">
        <f>MID(VLOOKUP(A6,'Calc DG Gross Plant'!$A$5:$D$511,4,FALSE),5,1)</f>
        <v>E</v>
      </c>
      <c r="D6" s="418">
        <v>0</v>
      </c>
      <c r="E6" s="413">
        <v>1289514.01</v>
      </c>
      <c r="F6" s="413">
        <v>5634554.4100000001</v>
      </c>
      <c r="G6" s="413">
        <v>105570483.56999999</v>
      </c>
      <c r="H6" s="413">
        <v>0</v>
      </c>
      <c r="J6" s="418" t="str">
        <f t="shared" si="0"/>
        <v>AMI Meters and Modules Deployment - Electric</v>
      </c>
      <c r="K6" s="418" t="str">
        <f t="shared" si="1"/>
        <v>Programmatic</v>
      </c>
      <c r="L6" s="412" t="str">
        <f t="shared" si="2"/>
        <v>E</v>
      </c>
      <c r="M6" s="418">
        <f t="shared" si="3"/>
        <v>0</v>
      </c>
      <c r="N6" s="418">
        <f t="shared" si="4"/>
        <v>1289514.01</v>
      </c>
      <c r="O6" s="418">
        <f t="shared" si="5"/>
        <v>5634554.4100000001</v>
      </c>
      <c r="P6" s="418">
        <f t="shared" si="6"/>
        <v>105570483.56999999</v>
      </c>
      <c r="Q6" s="418">
        <f t="shared" si="7"/>
        <v>0</v>
      </c>
      <c r="S6" s="418" t="str">
        <f t="shared" si="8"/>
        <v>AMI Meters and Modules Deployment - Electric</v>
      </c>
      <c r="T6" s="418" t="str">
        <f t="shared" si="9"/>
        <v>Programmatic</v>
      </c>
      <c r="U6" s="412" t="str">
        <f t="shared" si="10"/>
        <v>E</v>
      </c>
      <c r="V6" s="418">
        <f t="shared" si="11"/>
        <v>0</v>
      </c>
      <c r="W6" s="418">
        <f t="shared" si="12"/>
        <v>0</v>
      </c>
      <c r="X6" s="418">
        <f t="shared" si="13"/>
        <v>0</v>
      </c>
      <c r="Y6" s="418">
        <f t="shared" si="14"/>
        <v>0</v>
      </c>
      <c r="Z6" s="418">
        <f t="shared" si="15"/>
        <v>0</v>
      </c>
      <c r="AB6" s="413">
        <f t="shared" si="16"/>
        <v>0</v>
      </c>
    </row>
    <row r="7" spans="1:28" x14ac:dyDescent="0.3">
      <c r="A7" s="415" t="s">
        <v>1611</v>
      </c>
      <c r="B7" s="415" t="s">
        <v>1168</v>
      </c>
      <c r="C7" s="412" t="str">
        <f>MID(VLOOKUP(A7,'Calc DG Gross Plant'!$A$5:$D$511,4,FALSE),5,1)</f>
        <v>G</v>
      </c>
      <c r="D7" s="418">
        <v>0</v>
      </c>
      <c r="E7" s="413">
        <v>0</v>
      </c>
      <c r="F7" s="413">
        <v>2616723.4</v>
      </c>
      <c r="G7" s="413">
        <v>62801361.469999999</v>
      </c>
      <c r="H7" s="413">
        <v>0</v>
      </c>
      <c r="J7" s="418" t="str">
        <f t="shared" si="0"/>
        <v>AMI Meters and Modules Deployment - Gas</v>
      </c>
      <c r="K7" s="418" t="str">
        <f t="shared" si="1"/>
        <v>Programmatic</v>
      </c>
      <c r="L7" s="412" t="str">
        <f t="shared" si="2"/>
        <v>G</v>
      </c>
      <c r="M7" s="418">
        <f t="shared" si="3"/>
        <v>0</v>
      </c>
      <c r="N7" s="418">
        <f t="shared" si="4"/>
        <v>0</v>
      </c>
      <c r="O7" s="418">
        <f t="shared" si="5"/>
        <v>0</v>
      </c>
      <c r="P7" s="418">
        <f t="shared" si="6"/>
        <v>0</v>
      </c>
      <c r="Q7" s="418">
        <f t="shared" si="7"/>
        <v>0</v>
      </c>
      <c r="S7" s="418" t="str">
        <f t="shared" si="8"/>
        <v>AMI Meters and Modules Deployment - Gas</v>
      </c>
      <c r="T7" s="418" t="str">
        <f t="shared" si="9"/>
        <v>Programmatic</v>
      </c>
      <c r="U7" s="412" t="str">
        <f t="shared" si="10"/>
        <v>G</v>
      </c>
      <c r="V7" s="418">
        <f t="shared" si="11"/>
        <v>0</v>
      </c>
      <c r="W7" s="418">
        <f t="shared" si="12"/>
        <v>0</v>
      </c>
      <c r="X7" s="418">
        <f t="shared" si="13"/>
        <v>2616723.4</v>
      </c>
      <c r="Y7" s="418">
        <f t="shared" si="14"/>
        <v>62801361.469999999</v>
      </c>
      <c r="Z7" s="418">
        <f t="shared" si="15"/>
        <v>0</v>
      </c>
      <c r="AB7" s="413">
        <f t="shared" si="16"/>
        <v>0</v>
      </c>
    </row>
    <row r="8" spans="1:28" x14ac:dyDescent="0.3">
      <c r="A8" s="415" t="s">
        <v>1</v>
      </c>
      <c r="B8" s="415" t="s">
        <v>1181</v>
      </c>
      <c r="C8" s="412" t="str">
        <f>MID(VLOOKUP(A8,'Calc DG Gross Plant'!$A$5:$D$511,4,FALSE),5,1)</f>
        <v>E</v>
      </c>
      <c r="D8" s="418">
        <v>0</v>
      </c>
      <c r="E8" s="413">
        <v>7967622.2999999989</v>
      </c>
      <c r="F8" s="413">
        <v>15392645.76</v>
      </c>
      <c r="G8" s="413">
        <v>28355186.039999999</v>
      </c>
      <c r="H8" s="413">
        <v>0</v>
      </c>
      <c r="J8" s="418" t="str">
        <f t="shared" si="0"/>
        <v>Bainbridge Tlines Trans</v>
      </c>
      <c r="K8" s="418" t="str">
        <f t="shared" si="1"/>
        <v>Specific</v>
      </c>
      <c r="L8" s="412" t="str">
        <f t="shared" si="2"/>
        <v>E</v>
      </c>
      <c r="M8" s="418">
        <f t="shared" si="3"/>
        <v>0</v>
      </c>
      <c r="N8" s="418">
        <f t="shared" si="4"/>
        <v>7967622.2999999989</v>
      </c>
      <c r="O8" s="418">
        <f t="shared" si="5"/>
        <v>15392645.76</v>
      </c>
      <c r="P8" s="418">
        <f t="shared" si="6"/>
        <v>28355186.039999999</v>
      </c>
      <c r="Q8" s="418">
        <f t="shared" si="7"/>
        <v>0</v>
      </c>
      <c r="S8" s="418" t="str">
        <f t="shared" si="8"/>
        <v>Bainbridge Tlines Trans</v>
      </c>
      <c r="T8" s="418" t="str">
        <f t="shared" si="9"/>
        <v>Specific</v>
      </c>
      <c r="U8" s="412" t="str">
        <f t="shared" si="10"/>
        <v>E</v>
      </c>
      <c r="V8" s="418">
        <f t="shared" si="11"/>
        <v>0</v>
      </c>
      <c r="W8" s="418">
        <f t="shared" si="12"/>
        <v>0</v>
      </c>
      <c r="X8" s="418">
        <f t="shared" si="13"/>
        <v>0</v>
      </c>
      <c r="Y8" s="418">
        <f t="shared" si="14"/>
        <v>0</v>
      </c>
      <c r="Z8" s="418">
        <f t="shared" si="15"/>
        <v>0</v>
      </c>
      <c r="AB8" s="413">
        <f t="shared" si="16"/>
        <v>0</v>
      </c>
    </row>
    <row r="9" spans="1:28" x14ac:dyDescent="0.3">
      <c r="A9" s="415" t="s">
        <v>2</v>
      </c>
      <c r="B9" s="415" t="s">
        <v>1168</v>
      </c>
      <c r="C9" s="412" t="str">
        <f>MID(VLOOKUP(A9,'Calc DG Gross Plant'!$A$5:$D$511,4,FALSE),5,1)</f>
        <v>E</v>
      </c>
      <c r="D9" s="418">
        <v>0</v>
      </c>
      <c r="E9" s="413">
        <v>3072519.3699999996</v>
      </c>
      <c r="F9" s="413">
        <v>19354971.91</v>
      </c>
      <c r="G9" s="413">
        <v>69498833.429999992</v>
      </c>
      <c r="H9" s="413">
        <v>0</v>
      </c>
      <c r="J9" s="418" t="str">
        <f t="shared" si="0"/>
        <v>Capacity Electric</v>
      </c>
      <c r="K9" s="418" t="str">
        <f t="shared" si="1"/>
        <v>Programmatic</v>
      </c>
      <c r="L9" s="412" t="str">
        <f t="shared" si="2"/>
        <v>E</v>
      </c>
      <c r="M9" s="418">
        <f t="shared" si="3"/>
        <v>0</v>
      </c>
      <c r="N9" s="418">
        <f t="shared" si="4"/>
        <v>3072519.3699999996</v>
      </c>
      <c r="O9" s="418">
        <f t="shared" si="5"/>
        <v>19354971.91</v>
      </c>
      <c r="P9" s="418">
        <f t="shared" si="6"/>
        <v>69498833.429999992</v>
      </c>
      <c r="Q9" s="418">
        <f t="shared" si="7"/>
        <v>0</v>
      </c>
      <c r="S9" s="418" t="str">
        <f t="shared" si="8"/>
        <v>Capacity Electric</v>
      </c>
      <c r="T9" s="418" t="str">
        <f t="shared" si="9"/>
        <v>Programmatic</v>
      </c>
      <c r="U9" s="412" t="str">
        <f t="shared" si="10"/>
        <v>E</v>
      </c>
      <c r="V9" s="418">
        <f t="shared" si="11"/>
        <v>0</v>
      </c>
      <c r="W9" s="418">
        <f t="shared" si="12"/>
        <v>0</v>
      </c>
      <c r="X9" s="418">
        <f t="shared" si="13"/>
        <v>0</v>
      </c>
      <c r="Y9" s="418">
        <f t="shared" si="14"/>
        <v>0</v>
      </c>
      <c r="Z9" s="418">
        <f t="shared" si="15"/>
        <v>0</v>
      </c>
      <c r="AB9" s="413">
        <f t="shared" si="16"/>
        <v>0</v>
      </c>
    </row>
    <row r="10" spans="1:28" x14ac:dyDescent="0.3">
      <c r="A10" s="415" t="s">
        <v>3</v>
      </c>
      <c r="B10" s="415" t="s">
        <v>1168</v>
      </c>
      <c r="C10" s="412" t="str">
        <f>MID(VLOOKUP(A10,'Calc DG Gross Plant'!$A$5:$D$511,4,FALSE),5,1)</f>
        <v>G</v>
      </c>
      <c r="D10" s="418">
        <v>0</v>
      </c>
      <c r="E10" s="413">
        <v>4938754.53</v>
      </c>
      <c r="F10" s="413">
        <v>7772018.5499999998</v>
      </c>
      <c r="G10" s="413">
        <v>34604747.909999996</v>
      </c>
      <c r="H10" s="413">
        <v>0</v>
      </c>
      <c r="J10" s="418" t="str">
        <f t="shared" si="0"/>
        <v>Capacity Gas</v>
      </c>
      <c r="K10" s="418" t="str">
        <f t="shared" si="1"/>
        <v>Programmatic</v>
      </c>
      <c r="L10" s="412" t="str">
        <f t="shared" si="2"/>
        <v>G</v>
      </c>
      <c r="M10" s="418">
        <f t="shared" si="3"/>
        <v>0</v>
      </c>
      <c r="N10" s="418">
        <f t="shared" si="4"/>
        <v>0</v>
      </c>
      <c r="O10" s="418">
        <f t="shared" si="5"/>
        <v>0</v>
      </c>
      <c r="P10" s="418">
        <f t="shared" si="6"/>
        <v>0</v>
      </c>
      <c r="Q10" s="418">
        <f t="shared" si="7"/>
        <v>0</v>
      </c>
      <c r="S10" s="418" t="str">
        <f t="shared" si="8"/>
        <v>Capacity Gas</v>
      </c>
      <c r="T10" s="418" t="str">
        <f t="shared" si="9"/>
        <v>Programmatic</v>
      </c>
      <c r="U10" s="412" t="str">
        <f t="shared" si="10"/>
        <v>G</v>
      </c>
      <c r="V10" s="418">
        <f t="shared" si="11"/>
        <v>0</v>
      </c>
      <c r="W10" s="418">
        <f t="shared" si="12"/>
        <v>4938754.53</v>
      </c>
      <c r="X10" s="418">
        <f t="shared" si="13"/>
        <v>7772018.5499999998</v>
      </c>
      <c r="Y10" s="418">
        <f t="shared" si="14"/>
        <v>34604747.909999996</v>
      </c>
      <c r="Z10" s="418">
        <f t="shared" si="15"/>
        <v>0</v>
      </c>
      <c r="AB10" s="413">
        <f t="shared" si="16"/>
        <v>0</v>
      </c>
    </row>
    <row r="11" spans="1:28" x14ac:dyDescent="0.3">
      <c r="A11" s="415" t="s">
        <v>4</v>
      </c>
      <c r="B11" s="415" t="s">
        <v>1180</v>
      </c>
      <c r="C11" s="412" t="str">
        <f>MID(VLOOKUP(A11,'Calc DG Gross Plant'!$A$5:$D$511,4,FALSE),5,1)</f>
        <v>E</v>
      </c>
      <c r="D11" s="418">
        <v>0</v>
      </c>
      <c r="E11" s="413">
        <v>-17388699.84</v>
      </c>
      <c r="F11" s="413">
        <v>-20579899.91</v>
      </c>
      <c r="G11" s="413">
        <v>-26962300.07</v>
      </c>
      <c r="H11" s="413">
        <v>0</v>
      </c>
      <c r="J11" s="418" t="str">
        <f t="shared" si="0"/>
        <v>CIAC - Electric</v>
      </c>
      <c r="K11" s="418" t="str">
        <f t="shared" si="1"/>
        <v>Programmatic Customer Drive</v>
      </c>
      <c r="L11" s="412" t="str">
        <f t="shared" si="2"/>
        <v>E</v>
      </c>
      <c r="M11" s="418">
        <f t="shared" si="3"/>
        <v>0</v>
      </c>
      <c r="N11" s="418">
        <f t="shared" si="4"/>
        <v>-17388699.84</v>
      </c>
      <c r="O11" s="418">
        <f t="shared" si="5"/>
        <v>-20579899.91</v>
      </c>
      <c r="P11" s="418">
        <f t="shared" si="6"/>
        <v>-26962300.07</v>
      </c>
      <c r="Q11" s="418">
        <f t="shared" si="7"/>
        <v>0</v>
      </c>
      <c r="S11" s="418" t="str">
        <f t="shared" si="8"/>
        <v>CIAC - Electric</v>
      </c>
      <c r="T11" s="418" t="str">
        <f t="shared" si="9"/>
        <v>Programmatic Customer Drive</v>
      </c>
      <c r="U11" s="412" t="str">
        <f t="shared" si="10"/>
        <v>E</v>
      </c>
      <c r="V11" s="418">
        <f t="shared" si="11"/>
        <v>0</v>
      </c>
      <c r="W11" s="418">
        <f t="shared" si="12"/>
        <v>0</v>
      </c>
      <c r="X11" s="418">
        <f t="shared" si="13"/>
        <v>0</v>
      </c>
      <c r="Y11" s="418">
        <f t="shared" si="14"/>
        <v>0</v>
      </c>
      <c r="Z11" s="418">
        <f t="shared" si="15"/>
        <v>0</v>
      </c>
      <c r="AB11" s="413">
        <f t="shared" si="16"/>
        <v>0</v>
      </c>
    </row>
    <row r="12" spans="1:28" x14ac:dyDescent="0.3">
      <c r="A12" s="415" t="s">
        <v>5</v>
      </c>
      <c r="B12" s="415" t="s">
        <v>1180</v>
      </c>
      <c r="C12" s="412" t="str">
        <f>MID(VLOOKUP(A12,'Calc DG Gross Plant'!$A$5:$D$511,4,FALSE),5,1)</f>
        <v>G</v>
      </c>
      <c r="D12" s="418">
        <v>0</v>
      </c>
      <c r="E12" s="413">
        <v>-1548400.0799999996</v>
      </c>
      <c r="F12" s="413">
        <v>-3050950.06</v>
      </c>
      <c r="G12" s="413">
        <v>-6056050.0599999996</v>
      </c>
      <c r="H12" s="413">
        <v>0</v>
      </c>
      <c r="J12" s="418" t="str">
        <f t="shared" si="0"/>
        <v>CIAC - Gas</v>
      </c>
      <c r="K12" s="418" t="str">
        <f t="shared" si="1"/>
        <v>Programmatic Customer Drive</v>
      </c>
      <c r="L12" s="412" t="str">
        <f t="shared" si="2"/>
        <v>G</v>
      </c>
      <c r="M12" s="418">
        <f t="shared" si="3"/>
        <v>0</v>
      </c>
      <c r="N12" s="418">
        <f t="shared" si="4"/>
        <v>0</v>
      </c>
      <c r="O12" s="418">
        <f t="shared" si="5"/>
        <v>0</v>
      </c>
      <c r="P12" s="418">
        <f t="shared" si="6"/>
        <v>0</v>
      </c>
      <c r="Q12" s="418">
        <f t="shared" si="7"/>
        <v>0</v>
      </c>
      <c r="S12" s="418" t="str">
        <f t="shared" si="8"/>
        <v>CIAC - Gas</v>
      </c>
      <c r="T12" s="418" t="str">
        <f t="shared" si="9"/>
        <v>Programmatic Customer Drive</v>
      </c>
      <c r="U12" s="412" t="str">
        <f t="shared" si="10"/>
        <v>G</v>
      </c>
      <c r="V12" s="418">
        <f t="shared" si="11"/>
        <v>0</v>
      </c>
      <c r="W12" s="418">
        <f t="shared" si="12"/>
        <v>-1548400.0799999996</v>
      </c>
      <c r="X12" s="418">
        <f t="shared" si="13"/>
        <v>-3050950.06</v>
      </c>
      <c r="Y12" s="418">
        <f t="shared" si="14"/>
        <v>-6056050.0599999996</v>
      </c>
      <c r="Z12" s="418">
        <f t="shared" si="15"/>
        <v>0</v>
      </c>
      <c r="AB12" s="413">
        <f t="shared" si="16"/>
        <v>0</v>
      </c>
    </row>
    <row r="13" spans="1:28" x14ac:dyDescent="0.3">
      <c r="A13" s="415" t="s">
        <v>1610</v>
      </c>
      <c r="B13" s="415" t="s">
        <v>1168</v>
      </c>
      <c r="C13" s="412" t="str">
        <f>MID(VLOOKUP(A13,'Calc DG Gross Plant'!$A$5:$D$511,4,FALSE),5,1)</f>
        <v>E</v>
      </c>
      <c r="D13" s="418">
        <v>0</v>
      </c>
      <c r="E13" s="413">
        <v>902499.95999999973</v>
      </c>
      <c r="F13" s="413">
        <v>2982340.0500000003</v>
      </c>
      <c r="G13" s="413">
        <v>14637620.119999995</v>
      </c>
      <c r="H13" s="413">
        <v>0</v>
      </c>
      <c r="J13" s="418" t="str">
        <f t="shared" si="0"/>
        <v>Colstrip 3&amp;4</v>
      </c>
      <c r="K13" s="418" t="str">
        <f t="shared" si="1"/>
        <v>Programmatic</v>
      </c>
      <c r="L13" s="412" t="str">
        <f t="shared" si="2"/>
        <v>E</v>
      </c>
      <c r="M13" s="418">
        <f t="shared" si="3"/>
        <v>0</v>
      </c>
      <c r="N13" s="418">
        <f t="shared" si="4"/>
        <v>902499.95999999973</v>
      </c>
      <c r="O13" s="418">
        <f t="shared" si="5"/>
        <v>2982340.0500000003</v>
      </c>
      <c r="P13" s="418">
        <f t="shared" si="6"/>
        <v>14637620.119999995</v>
      </c>
      <c r="Q13" s="418">
        <f t="shared" si="7"/>
        <v>0</v>
      </c>
      <c r="S13" s="418" t="str">
        <f t="shared" si="8"/>
        <v>Colstrip 3&amp;4</v>
      </c>
      <c r="T13" s="418" t="str">
        <f t="shared" si="9"/>
        <v>Programmatic</v>
      </c>
      <c r="U13" s="412" t="str">
        <f t="shared" si="10"/>
        <v>E</v>
      </c>
      <c r="V13" s="418">
        <f t="shared" si="11"/>
        <v>0</v>
      </c>
      <c r="W13" s="418">
        <f t="shared" si="12"/>
        <v>0</v>
      </c>
      <c r="X13" s="418">
        <f t="shared" si="13"/>
        <v>0</v>
      </c>
      <c r="Y13" s="418">
        <f t="shared" si="14"/>
        <v>0</v>
      </c>
      <c r="Z13" s="418">
        <f t="shared" si="15"/>
        <v>0</v>
      </c>
      <c r="AB13" s="413">
        <f t="shared" si="16"/>
        <v>0</v>
      </c>
    </row>
    <row r="14" spans="1:28" x14ac:dyDescent="0.3">
      <c r="A14" s="415" t="s">
        <v>1609</v>
      </c>
      <c r="B14" s="415" t="s">
        <v>1181</v>
      </c>
      <c r="C14" s="412" t="str">
        <f>MID(VLOOKUP(A14,'Calc DG Gross Plant'!$A$5:$D$511,4,FALSE),5,1)</f>
        <v>C</v>
      </c>
      <c r="D14" s="418">
        <v>0</v>
      </c>
      <c r="E14" s="413">
        <v>0</v>
      </c>
      <c r="F14" s="413">
        <v>0</v>
      </c>
      <c r="G14" s="413">
        <v>648599.62</v>
      </c>
      <c r="H14" s="413">
        <v>0</v>
      </c>
      <c r="J14" s="418" t="str">
        <f t="shared" si="0"/>
        <v>Control Center</v>
      </c>
      <c r="K14" s="418" t="str">
        <f t="shared" si="1"/>
        <v>Specific</v>
      </c>
      <c r="L14" s="412" t="str">
        <f t="shared" si="2"/>
        <v>C</v>
      </c>
      <c r="M14" s="418">
        <f t="shared" si="3"/>
        <v>0</v>
      </c>
      <c r="N14" s="418">
        <f t="shared" si="4"/>
        <v>0</v>
      </c>
      <c r="O14" s="418">
        <f t="shared" si="5"/>
        <v>0</v>
      </c>
      <c r="P14" s="418">
        <f t="shared" si="6"/>
        <v>427686.58942799998</v>
      </c>
      <c r="Q14" s="418">
        <f t="shared" si="7"/>
        <v>0</v>
      </c>
      <c r="S14" s="418" t="str">
        <f t="shared" si="8"/>
        <v>Control Center</v>
      </c>
      <c r="T14" s="418" t="str">
        <f t="shared" si="9"/>
        <v>Specific</v>
      </c>
      <c r="U14" s="412" t="str">
        <f t="shared" si="10"/>
        <v>C</v>
      </c>
      <c r="V14" s="418">
        <f t="shared" si="11"/>
        <v>0</v>
      </c>
      <c r="W14" s="418">
        <f t="shared" si="12"/>
        <v>0</v>
      </c>
      <c r="X14" s="418">
        <f t="shared" si="13"/>
        <v>0</v>
      </c>
      <c r="Y14" s="418">
        <f t="shared" si="14"/>
        <v>220913.03057200002</v>
      </c>
      <c r="Z14" s="418">
        <f t="shared" si="15"/>
        <v>0</v>
      </c>
      <c r="AB14" s="413">
        <f t="shared" si="16"/>
        <v>0</v>
      </c>
    </row>
    <row r="15" spans="1:28" x14ac:dyDescent="0.3">
      <c r="A15" s="415" t="s">
        <v>6</v>
      </c>
      <c r="B15" s="415" t="s">
        <v>1180</v>
      </c>
      <c r="C15" s="412" t="str">
        <f>MID(VLOOKUP(A15,'Calc DG Gross Plant'!$A$5:$D$511,4,FALSE),5,1)</f>
        <v>E</v>
      </c>
      <c r="D15" s="418">
        <v>0</v>
      </c>
      <c r="E15" s="413">
        <v>8026288.7699999996</v>
      </c>
      <c r="F15" s="413">
        <v>10197872.050000001</v>
      </c>
      <c r="G15" s="413">
        <v>15449444.700000001</v>
      </c>
      <c r="H15" s="413">
        <v>0</v>
      </c>
      <c r="J15" s="418" t="str">
        <f t="shared" si="0"/>
        <v>Customer Construction Electric</v>
      </c>
      <c r="K15" s="418" t="str">
        <f t="shared" si="1"/>
        <v>Programmatic Customer Drive</v>
      </c>
      <c r="L15" s="412" t="str">
        <f t="shared" si="2"/>
        <v>E</v>
      </c>
      <c r="M15" s="418">
        <f t="shared" si="3"/>
        <v>0</v>
      </c>
      <c r="N15" s="418">
        <f t="shared" si="4"/>
        <v>8026288.7699999996</v>
      </c>
      <c r="O15" s="418">
        <f t="shared" si="5"/>
        <v>10197872.050000001</v>
      </c>
      <c r="P15" s="418">
        <f t="shared" si="6"/>
        <v>15449444.700000001</v>
      </c>
      <c r="Q15" s="418">
        <f t="shared" si="7"/>
        <v>0</v>
      </c>
      <c r="S15" s="418" t="str">
        <f t="shared" si="8"/>
        <v>Customer Construction Electric</v>
      </c>
      <c r="T15" s="418" t="str">
        <f t="shared" si="9"/>
        <v>Programmatic Customer Drive</v>
      </c>
      <c r="U15" s="412" t="str">
        <f t="shared" si="10"/>
        <v>E</v>
      </c>
      <c r="V15" s="418">
        <f t="shared" si="11"/>
        <v>0</v>
      </c>
      <c r="W15" s="418">
        <f t="shared" si="12"/>
        <v>0</v>
      </c>
      <c r="X15" s="418">
        <f t="shared" si="13"/>
        <v>0</v>
      </c>
      <c r="Y15" s="418">
        <f t="shared" si="14"/>
        <v>0</v>
      </c>
      <c r="Z15" s="418">
        <f t="shared" si="15"/>
        <v>0</v>
      </c>
      <c r="AB15" s="413">
        <f t="shared" si="16"/>
        <v>0</v>
      </c>
    </row>
    <row r="16" spans="1:28" x14ac:dyDescent="0.3">
      <c r="A16" s="415" t="s">
        <v>7</v>
      </c>
      <c r="B16" s="415" t="s">
        <v>1180</v>
      </c>
      <c r="C16" s="412" t="str">
        <f>MID(VLOOKUP(A16,'Calc DG Gross Plant'!$A$5:$D$511,4,FALSE),5,1)</f>
        <v>G</v>
      </c>
      <c r="D16" s="418">
        <v>0</v>
      </c>
      <c r="E16" s="413">
        <v>112076224.10000001</v>
      </c>
      <c r="F16" s="413">
        <v>120247865.59</v>
      </c>
      <c r="G16" s="413">
        <v>208862186.84</v>
      </c>
      <c r="H16" s="413">
        <v>0</v>
      </c>
      <c r="J16" s="418" t="str">
        <f t="shared" si="0"/>
        <v>Customer Construction Gas</v>
      </c>
      <c r="K16" s="418" t="str">
        <f t="shared" si="1"/>
        <v>Programmatic Customer Drive</v>
      </c>
      <c r="L16" s="412" t="str">
        <f t="shared" si="2"/>
        <v>G</v>
      </c>
      <c r="M16" s="418">
        <f t="shared" si="3"/>
        <v>0</v>
      </c>
      <c r="N16" s="418">
        <f t="shared" si="4"/>
        <v>0</v>
      </c>
      <c r="O16" s="418">
        <f t="shared" si="5"/>
        <v>0</v>
      </c>
      <c r="P16" s="418">
        <f t="shared" si="6"/>
        <v>0</v>
      </c>
      <c r="Q16" s="418">
        <f t="shared" si="7"/>
        <v>0</v>
      </c>
      <c r="S16" s="418" t="str">
        <f t="shared" si="8"/>
        <v>Customer Construction Gas</v>
      </c>
      <c r="T16" s="418" t="str">
        <f t="shared" si="9"/>
        <v>Programmatic Customer Drive</v>
      </c>
      <c r="U16" s="412" t="str">
        <f t="shared" si="10"/>
        <v>G</v>
      </c>
      <c r="V16" s="418">
        <f t="shared" si="11"/>
        <v>0</v>
      </c>
      <c r="W16" s="418">
        <f t="shared" si="12"/>
        <v>112076224.10000001</v>
      </c>
      <c r="X16" s="418">
        <f t="shared" si="13"/>
        <v>120247865.59</v>
      </c>
      <c r="Y16" s="418">
        <f t="shared" si="14"/>
        <v>208862186.84</v>
      </c>
      <c r="Z16" s="418">
        <f t="shared" si="15"/>
        <v>0</v>
      </c>
      <c r="AB16" s="413">
        <f t="shared" si="16"/>
        <v>0</v>
      </c>
    </row>
    <row r="17" spans="1:28" x14ac:dyDescent="0.3">
      <c r="A17" s="415" t="s">
        <v>8</v>
      </c>
      <c r="B17" s="415" t="s">
        <v>1168</v>
      </c>
      <c r="C17" s="412" t="str">
        <f>MID(VLOOKUP(A17,'Calc DG Gross Plant'!$A$5:$D$511,4,FALSE),5,1)</f>
        <v>E</v>
      </c>
      <c r="D17" s="418">
        <v>0</v>
      </c>
      <c r="E17" s="413">
        <v>1128673.25</v>
      </c>
      <c r="F17" s="413">
        <v>1648673.27</v>
      </c>
      <c r="G17" s="413">
        <v>4483041.3</v>
      </c>
      <c r="H17" s="413">
        <v>0</v>
      </c>
      <c r="J17" s="418" t="str">
        <f t="shared" si="0"/>
        <v>Customer Sited Energy Storage</v>
      </c>
      <c r="K17" s="418" t="str">
        <f t="shared" si="1"/>
        <v>Programmatic</v>
      </c>
      <c r="L17" s="412" t="str">
        <f t="shared" si="2"/>
        <v>E</v>
      </c>
      <c r="M17" s="418">
        <f t="shared" si="3"/>
        <v>0</v>
      </c>
      <c r="N17" s="418">
        <f t="shared" si="4"/>
        <v>1128673.25</v>
      </c>
      <c r="O17" s="418">
        <f t="shared" si="5"/>
        <v>1648673.27</v>
      </c>
      <c r="P17" s="418">
        <f t="shared" si="6"/>
        <v>4483041.3</v>
      </c>
      <c r="Q17" s="418">
        <f t="shared" si="7"/>
        <v>0</v>
      </c>
      <c r="S17" s="418" t="str">
        <f t="shared" si="8"/>
        <v>Customer Sited Energy Storage</v>
      </c>
      <c r="T17" s="418" t="str">
        <f t="shared" si="9"/>
        <v>Programmatic</v>
      </c>
      <c r="U17" s="412" t="str">
        <f t="shared" si="10"/>
        <v>E</v>
      </c>
      <c r="V17" s="418">
        <f t="shared" si="11"/>
        <v>0</v>
      </c>
      <c r="W17" s="418">
        <f t="shared" si="12"/>
        <v>0</v>
      </c>
      <c r="X17" s="418">
        <f t="shared" si="13"/>
        <v>0</v>
      </c>
      <c r="Y17" s="418">
        <f t="shared" si="14"/>
        <v>0</v>
      </c>
      <c r="Z17" s="418">
        <f t="shared" si="15"/>
        <v>0</v>
      </c>
      <c r="AB17" s="413">
        <f t="shared" si="16"/>
        <v>0</v>
      </c>
    </row>
    <row r="18" spans="1:28" x14ac:dyDescent="0.3">
      <c r="A18" s="415" t="s">
        <v>9</v>
      </c>
      <c r="B18" s="415" t="s">
        <v>1168</v>
      </c>
      <c r="C18" s="412" t="str">
        <f>MID(VLOOKUP(A18,'Calc DG Gross Plant'!$A$5:$D$511,4,FALSE),5,1)</f>
        <v>C</v>
      </c>
      <c r="D18" s="418">
        <v>0</v>
      </c>
      <c r="E18" s="413">
        <v>0</v>
      </c>
      <c r="F18" s="413">
        <v>829114.48</v>
      </c>
      <c r="G18" s="413">
        <v>19898747.469999999</v>
      </c>
      <c r="H18" s="413">
        <v>0</v>
      </c>
      <c r="J18" s="418" t="str">
        <f t="shared" si="0"/>
        <v>Data Center Hardware Refresh</v>
      </c>
      <c r="K18" s="418" t="str">
        <f t="shared" si="1"/>
        <v>Programmatic</v>
      </c>
      <c r="L18" s="412" t="str">
        <f t="shared" si="2"/>
        <v>C</v>
      </c>
      <c r="M18" s="418">
        <f t="shared" si="3"/>
        <v>0</v>
      </c>
      <c r="N18" s="418">
        <f t="shared" si="4"/>
        <v>0</v>
      </c>
      <c r="O18" s="418">
        <f t="shared" si="5"/>
        <v>546718.08811200003</v>
      </c>
      <c r="P18" s="418">
        <f t="shared" si="6"/>
        <v>13121234.081718</v>
      </c>
      <c r="Q18" s="418">
        <f t="shared" si="7"/>
        <v>0</v>
      </c>
      <c r="S18" s="418" t="str">
        <f t="shared" si="8"/>
        <v>Data Center Hardware Refresh</v>
      </c>
      <c r="T18" s="418" t="str">
        <f t="shared" si="9"/>
        <v>Programmatic</v>
      </c>
      <c r="U18" s="412" t="str">
        <f t="shared" si="10"/>
        <v>C</v>
      </c>
      <c r="V18" s="418">
        <f t="shared" si="11"/>
        <v>0</v>
      </c>
      <c r="W18" s="418">
        <f t="shared" si="12"/>
        <v>0</v>
      </c>
      <c r="X18" s="418">
        <f t="shared" si="13"/>
        <v>282396.39188800001</v>
      </c>
      <c r="Y18" s="418">
        <f t="shared" si="14"/>
        <v>6777513.3882820001</v>
      </c>
      <c r="Z18" s="418">
        <f t="shared" si="15"/>
        <v>0</v>
      </c>
      <c r="AB18" s="413">
        <f t="shared" si="16"/>
        <v>0</v>
      </c>
    </row>
    <row r="19" spans="1:28" x14ac:dyDescent="0.3">
      <c r="A19" s="415" t="s">
        <v>10</v>
      </c>
      <c r="B19" s="415" t="s">
        <v>1168</v>
      </c>
      <c r="C19" s="412" t="str">
        <f>MID(VLOOKUP(A19,'Calc DG Gross Plant'!$A$5:$D$511,4,FALSE),5,1)</f>
        <v>E</v>
      </c>
      <c r="D19" s="418">
        <v>0</v>
      </c>
      <c r="E19" s="413">
        <v>58072642.930000007</v>
      </c>
      <c r="F19" s="413">
        <v>87594834.919999987</v>
      </c>
      <c r="G19" s="413">
        <v>145761419.47999999</v>
      </c>
      <c r="H19" s="413">
        <v>0</v>
      </c>
      <c r="J19" s="418" t="str">
        <f t="shared" si="0"/>
        <v>Emergent Electric</v>
      </c>
      <c r="K19" s="418" t="str">
        <f t="shared" si="1"/>
        <v>Programmatic</v>
      </c>
      <c r="L19" s="412" t="str">
        <f t="shared" si="2"/>
        <v>E</v>
      </c>
      <c r="M19" s="418">
        <f t="shared" si="3"/>
        <v>0</v>
      </c>
      <c r="N19" s="418">
        <f t="shared" si="4"/>
        <v>58072642.930000007</v>
      </c>
      <c r="O19" s="418">
        <f t="shared" si="5"/>
        <v>87594834.919999987</v>
      </c>
      <c r="P19" s="418">
        <f t="shared" si="6"/>
        <v>145761419.47999999</v>
      </c>
      <c r="Q19" s="418">
        <f t="shared" si="7"/>
        <v>0</v>
      </c>
      <c r="S19" s="418" t="str">
        <f t="shared" si="8"/>
        <v>Emergent Electric</v>
      </c>
      <c r="T19" s="418" t="str">
        <f t="shared" si="9"/>
        <v>Programmatic</v>
      </c>
      <c r="U19" s="412" t="str">
        <f t="shared" si="10"/>
        <v>E</v>
      </c>
      <c r="V19" s="418">
        <f t="shared" si="11"/>
        <v>0</v>
      </c>
      <c r="W19" s="418">
        <f t="shared" si="12"/>
        <v>0</v>
      </c>
      <c r="X19" s="418">
        <f t="shared" si="13"/>
        <v>0</v>
      </c>
      <c r="Y19" s="418">
        <f t="shared" si="14"/>
        <v>0</v>
      </c>
      <c r="Z19" s="418">
        <f t="shared" si="15"/>
        <v>0</v>
      </c>
      <c r="AB19" s="413">
        <f t="shared" si="16"/>
        <v>0</v>
      </c>
    </row>
    <row r="20" spans="1:28" x14ac:dyDescent="0.3">
      <c r="A20" s="415" t="s">
        <v>11</v>
      </c>
      <c r="B20" s="415" t="s">
        <v>1168</v>
      </c>
      <c r="C20" s="412" t="str">
        <f>MID(VLOOKUP(A20,'Calc DG Gross Plant'!$A$5:$D$511,4,FALSE),5,1)</f>
        <v>G</v>
      </c>
      <c r="D20" s="418">
        <v>0</v>
      </c>
      <c r="E20" s="413">
        <v>18021826.140000001</v>
      </c>
      <c r="F20" s="413">
        <v>28515180.260000005</v>
      </c>
      <c r="G20" s="413">
        <v>50641812.820000008</v>
      </c>
      <c r="H20" s="413">
        <v>0</v>
      </c>
      <c r="J20" s="418" t="str">
        <f t="shared" si="0"/>
        <v>Emergent Gas</v>
      </c>
      <c r="K20" s="418" t="str">
        <f t="shared" si="1"/>
        <v>Programmatic</v>
      </c>
      <c r="L20" s="412" t="str">
        <f t="shared" si="2"/>
        <v>G</v>
      </c>
      <c r="M20" s="418">
        <f t="shared" si="3"/>
        <v>0</v>
      </c>
      <c r="N20" s="418">
        <f t="shared" si="4"/>
        <v>0</v>
      </c>
      <c r="O20" s="418">
        <f t="shared" si="5"/>
        <v>0</v>
      </c>
      <c r="P20" s="418">
        <f t="shared" si="6"/>
        <v>0</v>
      </c>
      <c r="Q20" s="418">
        <f t="shared" si="7"/>
        <v>0</v>
      </c>
      <c r="S20" s="418" t="str">
        <f t="shared" si="8"/>
        <v>Emergent Gas</v>
      </c>
      <c r="T20" s="418" t="str">
        <f t="shared" si="9"/>
        <v>Programmatic</v>
      </c>
      <c r="U20" s="412" t="str">
        <f t="shared" si="10"/>
        <v>G</v>
      </c>
      <c r="V20" s="418">
        <f t="shared" si="11"/>
        <v>0</v>
      </c>
      <c r="W20" s="418">
        <f t="shared" si="12"/>
        <v>18021826.140000001</v>
      </c>
      <c r="X20" s="418">
        <f t="shared" si="13"/>
        <v>28515180.260000005</v>
      </c>
      <c r="Y20" s="418">
        <f t="shared" si="14"/>
        <v>50641812.820000008</v>
      </c>
      <c r="Z20" s="418">
        <f t="shared" si="15"/>
        <v>0</v>
      </c>
      <c r="AB20" s="413">
        <f t="shared" si="16"/>
        <v>0</v>
      </c>
    </row>
    <row r="21" spans="1:28" x14ac:dyDescent="0.3">
      <c r="A21" s="415" t="s">
        <v>1608</v>
      </c>
      <c r="B21" s="415" t="s">
        <v>1181</v>
      </c>
      <c r="C21" s="412" t="str">
        <f>MID(VLOOKUP(A21,'Calc DG Gross Plant'!$A$5:$D$511,4,FALSE),5,1)</f>
        <v>E</v>
      </c>
      <c r="D21" s="418">
        <v>0</v>
      </c>
      <c r="E21" s="413">
        <v>0</v>
      </c>
      <c r="F21" s="413">
        <v>0</v>
      </c>
      <c r="G21" s="413">
        <v>0</v>
      </c>
      <c r="H21" s="413">
        <v>0</v>
      </c>
      <c r="J21" s="418" t="str">
        <f t="shared" si="0"/>
        <v>EMS Upgrade</v>
      </c>
      <c r="K21" s="418" t="str">
        <f t="shared" si="1"/>
        <v>Specific</v>
      </c>
      <c r="L21" s="412" t="str">
        <f t="shared" si="2"/>
        <v>E</v>
      </c>
      <c r="M21" s="418">
        <f t="shared" si="3"/>
        <v>0</v>
      </c>
      <c r="N21" s="418">
        <f t="shared" si="4"/>
        <v>0</v>
      </c>
      <c r="O21" s="418">
        <f t="shared" si="5"/>
        <v>0</v>
      </c>
      <c r="P21" s="418">
        <f t="shared" si="6"/>
        <v>0</v>
      </c>
      <c r="Q21" s="418">
        <f t="shared" si="7"/>
        <v>0</v>
      </c>
      <c r="S21" s="418" t="str">
        <f t="shared" si="8"/>
        <v>EMS Upgrade</v>
      </c>
      <c r="T21" s="418" t="str">
        <f t="shared" si="9"/>
        <v>Specific</v>
      </c>
      <c r="U21" s="412" t="str">
        <f t="shared" si="10"/>
        <v>E</v>
      </c>
      <c r="V21" s="418">
        <f t="shared" si="11"/>
        <v>0</v>
      </c>
      <c r="W21" s="418">
        <f t="shared" si="12"/>
        <v>0</v>
      </c>
      <c r="X21" s="418">
        <f t="shared" si="13"/>
        <v>0</v>
      </c>
      <c r="Y21" s="418">
        <f t="shared" si="14"/>
        <v>0</v>
      </c>
      <c r="Z21" s="418">
        <f t="shared" si="15"/>
        <v>0</v>
      </c>
      <c r="AB21" s="413">
        <f t="shared" si="16"/>
        <v>0</v>
      </c>
    </row>
    <row r="22" spans="1:28" x14ac:dyDescent="0.3">
      <c r="A22" s="415" t="s">
        <v>12</v>
      </c>
      <c r="B22" s="415" t="s">
        <v>1181</v>
      </c>
      <c r="C22" s="412" t="str">
        <f>MID(VLOOKUP(A22,'Calc DG Gross Plant'!$A$5:$D$511,4,FALSE),5,1)</f>
        <v>E</v>
      </c>
      <c r="D22" s="418">
        <v>0</v>
      </c>
      <c r="E22" s="413">
        <v>0</v>
      </c>
      <c r="F22" s="413">
        <v>8358294.1899999995</v>
      </c>
      <c r="G22" s="413">
        <v>93595465.980000004</v>
      </c>
      <c r="H22" s="413">
        <v>0</v>
      </c>
      <c r="J22" s="418" t="str">
        <f t="shared" si="0"/>
        <v>Energize Eastside</v>
      </c>
      <c r="K22" s="418" t="str">
        <f t="shared" si="1"/>
        <v>Specific</v>
      </c>
      <c r="L22" s="412" t="str">
        <f t="shared" si="2"/>
        <v>E</v>
      </c>
      <c r="M22" s="418">
        <f t="shared" si="3"/>
        <v>0</v>
      </c>
      <c r="N22" s="418">
        <f t="shared" si="4"/>
        <v>0</v>
      </c>
      <c r="O22" s="418">
        <f t="shared" si="5"/>
        <v>8358294.1899999995</v>
      </c>
      <c r="P22" s="418">
        <f t="shared" si="6"/>
        <v>93595465.980000004</v>
      </c>
      <c r="Q22" s="418">
        <f t="shared" si="7"/>
        <v>0</v>
      </c>
      <c r="S22" s="418" t="str">
        <f t="shared" si="8"/>
        <v>Energize Eastside</v>
      </c>
      <c r="T22" s="418" t="str">
        <f t="shared" si="9"/>
        <v>Specific</v>
      </c>
      <c r="U22" s="412" t="str">
        <f t="shared" si="10"/>
        <v>E</v>
      </c>
      <c r="V22" s="418">
        <f t="shared" si="11"/>
        <v>0</v>
      </c>
      <c r="W22" s="418">
        <f t="shared" si="12"/>
        <v>0</v>
      </c>
      <c r="X22" s="418">
        <f t="shared" si="13"/>
        <v>0</v>
      </c>
      <c r="Y22" s="418">
        <f t="shared" si="14"/>
        <v>0</v>
      </c>
      <c r="Z22" s="418">
        <f t="shared" si="15"/>
        <v>0</v>
      </c>
      <c r="AB22" s="413">
        <f t="shared" si="16"/>
        <v>0</v>
      </c>
    </row>
    <row r="23" spans="1:28" x14ac:dyDescent="0.3">
      <c r="A23" s="415" t="s">
        <v>819</v>
      </c>
      <c r="B23" s="415" t="s">
        <v>1168</v>
      </c>
      <c r="C23" s="412" t="str">
        <f>MID(VLOOKUP(A23,'Calc DG Gross Plant'!$A$5:$D$511,4,FALSE),5,1)</f>
        <v>E</v>
      </c>
      <c r="D23" s="418">
        <v>0</v>
      </c>
      <c r="E23" s="413">
        <v>3158695.8</v>
      </c>
      <c r="F23" s="413">
        <v>6741693.9500000002</v>
      </c>
      <c r="G23" s="413">
        <v>15982057.68</v>
      </c>
      <c r="H23" s="413">
        <v>0</v>
      </c>
      <c r="J23" s="418" t="str">
        <f t="shared" si="0"/>
        <v>EV Circuit</v>
      </c>
      <c r="K23" s="418" t="str">
        <f t="shared" si="1"/>
        <v>Programmatic</v>
      </c>
      <c r="L23" s="412" t="str">
        <f t="shared" si="2"/>
        <v>E</v>
      </c>
      <c r="M23" s="418">
        <f t="shared" si="3"/>
        <v>0</v>
      </c>
      <c r="N23" s="418">
        <f t="shared" si="4"/>
        <v>3158695.8</v>
      </c>
      <c r="O23" s="418">
        <f t="shared" si="5"/>
        <v>6741693.9500000002</v>
      </c>
      <c r="P23" s="418">
        <f t="shared" si="6"/>
        <v>15982057.68</v>
      </c>
      <c r="Q23" s="418">
        <f t="shared" si="7"/>
        <v>0</v>
      </c>
      <c r="S23" s="418" t="str">
        <f t="shared" si="8"/>
        <v>EV Circuit</v>
      </c>
      <c r="T23" s="418" t="str">
        <f t="shared" si="9"/>
        <v>Programmatic</v>
      </c>
      <c r="U23" s="412" t="str">
        <f t="shared" si="10"/>
        <v>E</v>
      </c>
      <c r="V23" s="418">
        <f t="shared" si="11"/>
        <v>0</v>
      </c>
      <c r="W23" s="418">
        <f t="shared" si="12"/>
        <v>0</v>
      </c>
      <c r="X23" s="418">
        <f t="shared" si="13"/>
        <v>0</v>
      </c>
      <c r="Y23" s="418">
        <f t="shared" si="14"/>
        <v>0</v>
      </c>
      <c r="Z23" s="418">
        <f t="shared" si="15"/>
        <v>0</v>
      </c>
      <c r="AB23" s="413">
        <f t="shared" si="16"/>
        <v>0</v>
      </c>
    </row>
    <row r="24" spans="1:28" x14ac:dyDescent="0.3">
      <c r="A24" s="415" t="s">
        <v>1607</v>
      </c>
      <c r="B24" s="415" t="s">
        <v>1181</v>
      </c>
      <c r="C24" s="412" t="str">
        <f>MID(VLOOKUP(A24,'Calc DG Gross Plant'!$A$5:$D$511,4,FALSE),5,1)</f>
        <v>E</v>
      </c>
      <c r="D24" s="418">
        <v>0</v>
      </c>
      <c r="E24" s="413">
        <v>1447.55</v>
      </c>
      <c r="F24" s="413">
        <v>1507.86</v>
      </c>
      <c r="G24" s="413">
        <v>288136.64</v>
      </c>
      <c r="H24" s="413">
        <v>0</v>
      </c>
      <c r="J24" s="418" t="str">
        <f t="shared" si="0"/>
        <v>Freddy Hot Gas Path</v>
      </c>
      <c r="K24" s="418" t="str">
        <f t="shared" si="1"/>
        <v>Specific</v>
      </c>
      <c r="L24" s="412" t="str">
        <f t="shared" si="2"/>
        <v>E</v>
      </c>
      <c r="M24" s="418">
        <f t="shared" si="3"/>
        <v>0</v>
      </c>
      <c r="N24" s="418">
        <f t="shared" si="4"/>
        <v>1447.55</v>
      </c>
      <c r="O24" s="418">
        <f t="shared" si="5"/>
        <v>1507.86</v>
      </c>
      <c r="P24" s="418">
        <f t="shared" si="6"/>
        <v>288136.64</v>
      </c>
      <c r="Q24" s="418">
        <f t="shared" si="7"/>
        <v>0</v>
      </c>
      <c r="S24" s="418" t="str">
        <f t="shared" si="8"/>
        <v>Freddy Hot Gas Path</v>
      </c>
      <c r="T24" s="418" t="str">
        <f t="shared" si="9"/>
        <v>Specific</v>
      </c>
      <c r="U24" s="412" t="str">
        <f t="shared" si="10"/>
        <v>E</v>
      </c>
      <c r="V24" s="418">
        <f t="shared" si="11"/>
        <v>0</v>
      </c>
      <c r="W24" s="418">
        <f t="shared" si="12"/>
        <v>0</v>
      </c>
      <c r="X24" s="418">
        <f t="shared" si="13"/>
        <v>0</v>
      </c>
      <c r="Y24" s="418">
        <f t="shared" si="14"/>
        <v>0</v>
      </c>
      <c r="Z24" s="418">
        <f t="shared" si="15"/>
        <v>0</v>
      </c>
      <c r="AB24" s="413">
        <f t="shared" si="16"/>
        <v>0</v>
      </c>
    </row>
    <row r="25" spans="1:28" x14ac:dyDescent="0.3">
      <c r="A25" s="415" t="s">
        <v>13</v>
      </c>
      <c r="B25" s="415" t="s">
        <v>1168</v>
      </c>
      <c r="C25" s="412" t="str">
        <f>MID(VLOOKUP(A25,'Calc DG Gross Plant'!$A$5:$D$511,4,FALSE),5,1)</f>
        <v>G</v>
      </c>
      <c r="D25" s="418">
        <v>0</v>
      </c>
      <c r="E25" s="413">
        <v>19964351.760000005</v>
      </c>
      <c r="F25" s="413">
        <v>32005861.580000002</v>
      </c>
      <c r="G25" s="413">
        <v>57237705.45000001</v>
      </c>
      <c r="H25" s="413">
        <v>0</v>
      </c>
      <c r="J25" s="418" t="str">
        <f t="shared" si="0"/>
        <v>Gas Modernization</v>
      </c>
      <c r="K25" s="418" t="str">
        <f t="shared" si="1"/>
        <v>Programmatic</v>
      </c>
      <c r="L25" s="412" t="str">
        <f t="shared" si="2"/>
        <v>G</v>
      </c>
      <c r="M25" s="418">
        <f t="shared" si="3"/>
        <v>0</v>
      </c>
      <c r="N25" s="418">
        <f t="shared" si="4"/>
        <v>0</v>
      </c>
      <c r="O25" s="418">
        <f t="shared" si="5"/>
        <v>0</v>
      </c>
      <c r="P25" s="418">
        <f t="shared" si="6"/>
        <v>0</v>
      </c>
      <c r="Q25" s="418">
        <f t="shared" si="7"/>
        <v>0</v>
      </c>
      <c r="S25" s="418" t="str">
        <f t="shared" si="8"/>
        <v>Gas Modernization</v>
      </c>
      <c r="T25" s="418" t="str">
        <f t="shared" si="9"/>
        <v>Programmatic</v>
      </c>
      <c r="U25" s="412" t="str">
        <f t="shared" si="10"/>
        <v>G</v>
      </c>
      <c r="V25" s="418">
        <f t="shared" si="11"/>
        <v>0</v>
      </c>
      <c r="W25" s="418">
        <f t="shared" si="12"/>
        <v>19964351.760000005</v>
      </c>
      <c r="X25" s="418">
        <f t="shared" si="13"/>
        <v>32005861.580000002</v>
      </c>
      <c r="Y25" s="418">
        <f t="shared" si="14"/>
        <v>57237705.45000001</v>
      </c>
      <c r="Z25" s="418">
        <f t="shared" si="15"/>
        <v>0</v>
      </c>
      <c r="AB25" s="413">
        <f t="shared" si="16"/>
        <v>0</v>
      </c>
    </row>
    <row r="26" spans="1:28" x14ac:dyDescent="0.3">
      <c r="A26" s="415" t="s">
        <v>14</v>
      </c>
      <c r="B26" s="415" t="s">
        <v>1181</v>
      </c>
      <c r="C26" s="412" t="str">
        <f>MID(VLOOKUP(A26,'Calc DG Gross Plant'!$A$5:$D$511,4,FALSE),5,1)</f>
        <v>E</v>
      </c>
      <c r="D26" s="418">
        <v>0</v>
      </c>
      <c r="E26" s="413">
        <v>-9590572.3200000003</v>
      </c>
      <c r="F26" s="413">
        <v>-9590572.3200000003</v>
      </c>
      <c r="G26" s="413">
        <v>-9590572.3200000003</v>
      </c>
      <c r="H26" s="413">
        <v>0</v>
      </c>
      <c r="J26" s="418" t="str">
        <f t="shared" si="0"/>
        <v>Goldendale MM</v>
      </c>
      <c r="K26" s="418" t="str">
        <f t="shared" si="1"/>
        <v>Specific</v>
      </c>
      <c r="L26" s="412" t="str">
        <f t="shared" si="2"/>
        <v>E</v>
      </c>
      <c r="M26" s="418">
        <f t="shared" si="3"/>
        <v>0</v>
      </c>
      <c r="N26" s="418">
        <f t="shared" si="4"/>
        <v>-9590572.3200000003</v>
      </c>
      <c r="O26" s="418">
        <f t="shared" si="5"/>
        <v>-9590572.3200000003</v>
      </c>
      <c r="P26" s="418">
        <f t="shared" si="6"/>
        <v>-9590572.3200000003</v>
      </c>
      <c r="Q26" s="418">
        <f t="shared" si="7"/>
        <v>0</v>
      </c>
      <c r="S26" s="418" t="str">
        <f t="shared" si="8"/>
        <v>Goldendale MM</v>
      </c>
      <c r="T26" s="418" t="str">
        <f t="shared" si="9"/>
        <v>Specific</v>
      </c>
      <c r="U26" s="412" t="str">
        <f t="shared" si="10"/>
        <v>E</v>
      </c>
      <c r="V26" s="418">
        <f t="shared" si="11"/>
        <v>0</v>
      </c>
      <c r="W26" s="418">
        <f t="shared" si="12"/>
        <v>0</v>
      </c>
      <c r="X26" s="418">
        <f t="shared" si="13"/>
        <v>0</v>
      </c>
      <c r="Y26" s="418">
        <f t="shared" si="14"/>
        <v>0</v>
      </c>
      <c r="Z26" s="418">
        <f t="shared" si="15"/>
        <v>0</v>
      </c>
      <c r="AB26" s="413">
        <f t="shared" si="16"/>
        <v>0</v>
      </c>
    </row>
    <row r="27" spans="1:28" x14ac:dyDescent="0.3">
      <c r="A27" s="415" t="s">
        <v>15</v>
      </c>
      <c r="B27" s="415" t="s">
        <v>1168</v>
      </c>
      <c r="C27" s="412" t="str">
        <f>MID(VLOOKUP(A27,'Calc DG Gross Plant'!$A$5:$D$511,4,FALSE),5,1)</f>
        <v>E</v>
      </c>
      <c r="D27" s="418">
        <v>0</v>
      </c>
      <c r="E27" s="413">
        <v>141899986.32000002</v>
      </c>
      <c r="F27" s="413">
        <v>225004749.23999998</v>
      </c>
      <c r="G27" s="413">
        <v>447159398.98000002</v>
      </c>
      <c r="H27" s="413">
        <v>0</v>
      </c>
      <c r="J27" s="418" t="str">
        <f t="shared" si="0"/>
        <v>Grid Modernization</v>
      </c>
      <c r="K27" s="418" t="str">
        <f t="shared" si="1"/>
        <v>Programmatic</v>
      </c>
      <c r="L27" s="412" t="str">
        <f t="shared" si="2"/>
        <v>E</v>
      </c>
      <c r="M27" s="418">
        <f t="shared" si="3"/>
        <v>0</v>
      </c>
      <c r="N27" s="418">
        <f t="shared" si="4"/>
        <v>141899986.32000002</v>
      </c>
      <c r="O27" s="418">
        <f t="shared" si="5"/>
        <v>225004749.23999998</v>
      </c>
      <c r="P27" s="418">
        <f t="shared" si="6"/>
        <v>447159398.98000002</v>
      </c>
      <c r="Q27" s="418">
        <f t="shared" si="7"/>
        <v>0</v>
      </c>
      <c r="S27" s="418" t="str">
        <f t="shared" si="8"/>
        <v>Grid Modernization</v>
      </c>
      <c r="T27" s="418" t="str">
        <f t="shared" si="9"/>
        <v>Programmatic</v>
      </c>
      <c r="U27" s="412" t="str">
        <f t="shared" si="10"/>
        <v>E</v>
      </c>
      <c r="V27" s="418">
        <f t="shared" si="11"/>
        <v>0</v>
      </c>
      <c r="W27" s="418">
        <f t="shared" si="12"/>
        <v>0</v>
      </c>
      <c r="X27" s="418">
        <f t="shared" si="13"/>
        <v>0</v>
      </c>
      <c r="Y27" s="418">
        <f t="shared" si="14"/>
        <v>0</v>
      </c>
      <c r="Z27" s="418">
        <f t="shared" si="15"/>
        <v>0</v>
      </c>
      <c r="AB27" s="413">
        <f t="shared" si="16"/>
        <v>0</v>
      </c>
    </row>
    <row r="28" spans="1:28" x14ac:dyDescent="0.3">
      <c r="A28" s="415" t="s">
        <v>1606</v>
      </c>
      <c r="B28" s="415" t="s">
        <v>1168</v>
      </c>
      <c r="C28" s="412" t="str">
        <f>MID(VLOOKUP(A28,'Calc DG Gross Plant'!$A$5:$D$511,4,FALSE),5,1)</f>
        <v>C</v>
      </c>
      <c r="D28" s="418">
        <v>0</v>
      </c>
      <c r="E28" s="413">
        <v>28780121.369999997</v>
      </c>
      <c r="F28" s="413">
        <v>44327845.890000001</v>
      </c>
      <c r="G28" s="413">
        <v>77053298.300000012</v>
      </c>
      <c r="H28" s="413">
        <v>0</v>
      </c>
      <c r="J28" s="418" t="str">
        <f t="shared" si="0"/>
        <v>IT Operational Program - Common</v>
      </c>
      <c r="K28" s="418" t="str">
        <f t="shared" si="1"/>
        <v>Programmatic</v>
      </c>
      <c r="L28" s="412" t="str">
        <f t="shared" si="2"/>
        <v>C</v>
      </c>
      <c r="M28" s="418">
        <f t="shared" si="3"/>
        <v>0</v>
      </c>
      <c r="N28" s="418">
        <f t="shared" si="4"/>
        <v>18977612.031377997</v>
      </c>
      <c r="O28" s="418">
        <f t="shared" si="5"/>
        <v>29229781.579866</v>
      </c>
      <c r="P28" s="418">
        <f t="shared" si="6"/>
        <v>50808944.899020009</v>
      </c>
      <c r="Q28" s="418">
        <f t="shared" si="7"/>
        <v>0</v>
      </c>
      <c r="S28" s="418" t="str">
        <f t="shared" si="8"/>
        <v>IT Operational Program - Common</v>
      </c>
      <c r="T28" s="418" t="str">
        <f t="shared" si="9"/>
        <v>Programmatic</v>
      </c>
      <c r="U28" s="412" t="str">
        <f t="shared" si="10"/>
        <v>C</v>
      </c>
      <c r="V28" s="418">
        <f t="shared" si="11"/>
        <v>0</v>
      </c>
      <c r="W28" s="418">
        <f t="shared" si="12"/>
        <v>9802509.3386220001</v>
      </c>
      <c r="X28" s="418">
        <f t="shared" si="13"/>
        <v>15098064.310134001</v>
      </c>
      <c r="Y28" s="418">
        <f t="shared" si="14"/>
        <v>26244353.400980007</v>
      </c>
      <c r="Z28" s="418">
        <f t="shared" si="15"/>
        <v>0</v>
      </c>
      <c r="AB28" s="413">
        <f t="shared" si="16"/>
        <v>0</v>
      </c>
    </row>
    <row r="29" spans="1:28" x14ac:dyDescent="0.3">
      <c r="A29" s="415" t="s">
        <v>18</v>
      </c>
      <c r="B29" s="415" t="s">
        <v>1181</v>
      </c>
      <c r="C29" s="412" t="str">
        <f>MID(VLOOKUP(A29,'Calc DG Gross Plant'!$A$5:$D$511,4,FALSE),5,1)</f>
        <v>E</v>
      </c>
      <c r="D29" s="418">
        <v>0</v>
      </c>
      <c r="E29" s="413">
        <v>0</v>
      </c>
      <c r="F29" s="413">
        <v>0</v>
      </c>
      <c r="G29" s="413">
        <v>0</v>
      </c>
      <c r="H29" s="413">
        <v>0</v>
      </c>
      <c r="J29" s="418" t="str">
        <f t="shared" si="0"/>
        <v>Lower Baker Dam Grouting Program</v>
      </c>
      <c r="K29" s="418" t="str">
        <f t="shared" si="1"/>
        <v>Specific</v>
      </c>
      <c r="L29" s="412" t="str">
        <f t="shared" si="2"/>
        <v>E</v>
      </c>
      <c r="M29" s="418">
        <f t="shared" si="3"/>
        <v>0</v>
      </c>
      <c r="N29" s="418">
        <f t="shared" si="4"/>
        <v>0</v>
      </c>
      <c r="O29" s="418">
        <f t="shared" si="5"/>
        <v>0</v>
      </c>
      <c r="P29" s="418">
        <f t="shared" si="6"/>
        <v>0</v>
      </c>
      <c r="Q29" s="418">
        <f t="shared" si="7"/>
        <v>0</v>
      </c>
      <c r="S29" s="418" t="str">
        <f t="shared" si="8"/>
        <v>Lower Baker Dam Grouting Program</v>
      </c>
      <c r="T29" s="418" t="str">
        <f t="shared" si="9"/>
        <v>Specific</v>
      </c>
      <c r="U29" s="412" t="str">
        <f t="shared" si="10"/>
        <v>E</v>
      </c>
      <c r="V29" s="418">
        <f t="shared" si="11"/>
        <v>0</v>
      </c>
      <c r="W29" s="418">
        <f t="shared" si="12"/>
        <v>0</v>
      </c>
      <c r="X29" s="418">
        <f t="shared" si="13"/>
        <v>0</v>
      </c>
      <c r="Y29" s="418">
        <f t="shared" si="14"/>
        <v>0</v>
      </c>
      <c r="Z29" s="418">
        <f t="shared" si="15"/>
        <v>0</v>
      </c>
      <c r="AB29" s="413">
        <f t="shared" si="16"/>
        <v>0</v>
      </c>
    </row>
    <row r="30" spans="1:28" x14ac:dyDescent="0.3">
      <c r="A30" s="415" t="s">
        <v>19</v>
      </c>
      <c r="B30" s="415" t="s">
        <v>1168</v>
      </c>
      <c r="C30" s="412" t="str">
        <f>MID(VLOOKUP(A30,'Calc DG Gross Plant'!$A$5:$D$511,4,FALSE),5,1)</f>
        <v>E</v>
      </c>
      <c r="D30" s="418">
        <v>0</v>
      </c>
      <c r="E30" s="413">
        <v>18519242.819999997</v>
      </c>
      <c r="F30" s="413">
        <v>21115306.319999997</v>
      </c>
      <c r="G30" s="413">
        <v>38723809.619999997</v>
      </c>
      <c r="H30" s="413">
        <v>0</v>
      </c>
      <c r="J30" s="418" t="str">
        <f t="shared" si="0"/>
        <v>Major Projects Electric</v>
      </c>
      <c r="K30" s="418" t="str">
        <f t="shared" si="1"/>
        <v>Programmatic</v>
      </c>
      <c r="L30" s="412" t="str">
        <f t="shared" si="2"/>
        <v>E</v>
      </c>
      <c r="M30" s="418">
        <f t="shared" si="3"/>
        <v>0</v>
      </c>
      <c r="N30" s="418">
        <f t="shared" si="4"/>
        <v>18519242.819999997</v>
      </c>
      <c r="O30" s="418">
        <f t="shared" si="5"/>
        <v>21115306.319999997</v>
      </c>
      <c r="P30" s="418">
        <f t="shared" si="6"/>
        <v>38723809.619999997</v>
      </c>
      <c r="Q30" s="418">
        <f t="shared" si="7"/>
        <v>0</v>
      </c>
      <c r="S30" s="418" t="str">
        <f t="shared" si="8"/>
        <v>Major Projects Electric</v>
      </c>
      <c r="T30" s="418" t="str">
        <f t="shared" si="9"/>
        <v>Programmatic</v>
      </c>
      <c r="U30" s="412" t="str">
        <f t="shared" si="10"/>
        <v>E</v>
      </c>
      <c r="V30" s="418">
        <f t="shared" si="11"/>
        <v>0</v>
      </c>
      <c r="W30" s="418">
        <f t="shared" si="12"/>
        <v>0</v>
      </c>
      <c r="X30" s="418">
        <f t="shared" si="13"/>
        <v>0</v>
      </c>
      <c r="Y30" s="418">
        <f t="shared" si="14"/>
        <v>0</v>
      </c>
      <c r="Z30" s="418">
        <f t="shared" si="15"/>
        <v>0</v>
      </c>
      <c r="AB30" s="413">
        <f t="shared" si="16"/>
        <v>0</v>
      </c>
    </row>
    <row r="31" spans="1:28" x14ac:dyDescent="0.3">
      <c r="A31" s="415" t="s">
        <v>20</v>
      </c>
      <c r="B31" s="415" t="s">
        <v>1168</v>
      </c>
      <c r="C31" s="412" t="str">
        <f>MID(VLOOKUP(A31,'Calc DG Gross Plant'!$A$5:$D$511,4,FALSE),5,1)</f>
        <v>G</v>
      </c>
      <c r="D31" s="423">
        <v>0</v>
      </c>
      <c r="E31" s="425">
        <v>3362349.75</v>
      </c>
      <c r="F31" s="425">
        <v>3650368.53</v>
      </c>
      <c r="G31" s="425">
        <v>4226406.09</v>
      </c>
      <c r="H31" s="425">
        <v>0</v>
      </c>
      <c r="I31" s="422"/>
      <c r="J31" s="423" t="str">
        <f t="shared" si="0"/>
        <v>Major Projects Gas</v>
      </c>
      <c r="K31" s="418" t="str">
        <f t="shared" si="1"/>
        <v>Programmatic</v>
      </c>
      <c r="L31" s="424" t="str">
        <f t="shared" si="2"/>
        <v>G</v>
      </c>
      <c r="M31" s="423">
        <f t="shared" si="3"/>
        <v>0</v>
      </c>
      <c r="N31" s="423">
        <f t="shared" si="4"/>
        <v>0</v>
      </c>
      <c r="O31" s="423">
        <f t="shared" si="5"/>
        <v>0</v>
      </c>
      <c r="P31" s="423">
        <f t="shared" si="6"/>
        <v>0</v>
      </c>
      <c r="Q31" s="423">
        <f t="shared" si="7"/>
        <v>0</v>
      </c>
      <c r="R31" s="422"/>
      <c r="S31" s="423" t="str">
        <f t="shared" si="8"/>
        <v>Major Projects Gas</v>
      </c>
      <c r="T31" s="418" t="str">
        <f t="shared" si="9"/>
        <v>Programmatic</v>
      </c>
      <c r="U31" s="424" t="str">
        <f t="shared" si="10"/>
        <v>G</v>
      </c>
      <c r="V31" s="423">
        <f t="shared" si="11"/>
        <v>0</v>
      </c>
      <c r="W31" s="423">
        <f t="shared" si="12"/>
        <v>3362349.75</v>
      </c>
      <c r="X31" s="423">
        <f t="shared" si="13"/>
        <v>3650368.53</v>
      </c>
      <c r="Y31" s="423">
        <f t="shared" si="14"/>
        <v>4226406.09</v>
      </c>
      <c r="Z31" s="423">
        <f t="shared" si="15"/>
        <v>0</v>
      </c>
      <c r="AA31" s="422"/>
      <c r="AB31" s="421">
        <f t="shared" si="16"/>
        <v>0</v>
      </c>
    </row>
    <row r="32" spans="1:28" x14ac:dyDescent="0.3">
      <c r="A32" s="415" t="s">
        <v>21</v>
      </c>
      <c r="B32" s="415" t="s">
        <v>1181</v>
      </c>
      <c r="C32" s="412" t="str">
        <f>MID(VLOOKUP(A32,'Calc DG Gross Plant'!$A$5:$D$511,4,FALSE),5,1)</f>
        <v>G</v>
      </c>
      <c r="D32" s="423">
        <v>0</v>
      </c>
      <c r="E32" s="425">
        <v>1256366.2</v>
      </c>
      <c r="F32" s="425">
        <v>1256366.2</v>
      </c>
      <c r="G32" s="425">
        <v>1256366.2</v>
      </c>
      <c r="H32" s="425">
        <v>0</v>
      </c>
      <c r="I32" s="422"/>
      <c r="J32" s="423" t="str">
        <f t="shared" si="0"/>
        <v>Marine Crossing</v>
      </c>
      <c r="K32" s="418" t="str">
        <f t="shared" si="1"/>
        <v>Specific</v>
      </c>
      <c r="L32" s="424" t="str">
        <f t="shared" si="2"/>
        <v>G</v>
      </c>
      <c r="M32" s="423">
        <f t="shared" si="3"/>
        <v>0</v>
      </c>
      <c r="N32" s="423">
        <f t="shared" si="4"/>
        <v>0</v>
      </c>
      <c r="O32" s="423">
        <f t="shared" si="5"/>
        <v>0</v>
      </c>
      <c r="P32" s="423">
        <f t="shared" si="6"/>
        <v>0</v>
      </c>
      <c r="Q32" s="423">
        <f t="shared" si="7"/>
        <v>0</v>
      </c>
      <c r="R32" s="422"/>
      <c r="S32" s="423" t="str">
        <f t="shared" si="8"/>
        <v>Marine Crossing</v>
      </c>
      <c r="T32" s="418" t="str">
        <f t="shared" si="9"/>
        <v>Specific</v>
      </c>
      <c r="U32" s="424" t="str">
        <f t="shared" si="10"/>
        <v>G</v>
      </c>
      <c r="V32" s="423">
        <f t="shared" si="11"/>
        <v>0</v>
      </c>
      <c r="W32" s="423">
        <f t="shared" si="12"/>
        <v>1256366.2</v>
      </c>
      <c r="X32" s="423">
        <f t="shared" si="13"/>
        <v>1256366.2</v>
      </c>
      <c r="Y32" s="423">
        <f t="shared" si="14"/>
        <v>1256366.2</v>
      </c>
      <c r="Z32" s="423">
        <f t="shared" si="15"/>
        <v>0</v>
      </c>
      <c r="AA32" s="422"/>
      <c r="AB32" s="421">
        <f t="shared" si="16"/>
        <v>0</v>
      </c>
    </row>
    <row r="33" spans="1:28" x14ac:dyDescent="0.3">
      <c r="A33" s="415" t="s">
        <v>22</v>
      </c>
      <c r="B33" s="415" t="s">
        <v>1181</v>
      </c>
      <c r="C33" s="412" t="str">
        <f>MID(VLOOKUP(A33,'Calc DG Gross Plant'!$A$5:$D$511,4,FALSE),5,1)</f>
        <v>E</v>
      </c>
      <c r="D33" s="418">
        <v>0</v>
      </c>
      <c r="E33" s="413">
        <v>14828422.560000001</v>
      </c>
      <c r="F33" s="413">
        <v>12731803.369999999</v>
      </c>
      <c r="G33" s="413">
        <v>10635184.199999999</v>
      </c>
      <c r="H33" s="413">
        <v>0</v>
      </c>
      <c r="J33" s="418" t="str">
        <f t="shared" si="0"/>
        <v>Mint Farm MM</v>
      </c>
      <c r="K33" s="418" t="str">
        <f t="shared" si="1"/>
        <v>Specific</v>
      </c>
      <c r="L33" s="412" t="str">
        <f t="shared" si="2"/>
        <v>E</v>
      </c>
      <c r="M33" s="418">
        <f t="shared" si="3"/>
        <v>0</v>
      </c>
      <c r="N33" s="418">
        <f t="shared" si="4"/>
        <v>14828422.560000001</v>
      </c>
      <c r="O33" s="418">
        <f t="shared" si="5"/>
        <v>12731803.369999999</v>
      </c>
      <c r="P33" s="418">
        <f t="shared" si="6"/>
        <v>10635184.199999999</v>
      </c>
      <c r="Q33" s="418">
        <f t="shared" si="7"/>
        <v>0</v>
      </c>
      <c r="S33" s="418" t="str">
        <f t="shared" si="8"/>
        <v>Mint Farm MM</v>
      </c>
      <c r="T33" s="418" t="str">
        <f t="shared" si="9"/>
        <v>Specific</v>
      </c>
      <c r="U33" s="412" t="str">
        <f t="shared" si="10"/>
        <v>E</v>
      </c>
      <c r="V33" s="418">
        <f t="shared" si="11"/>
        <v>0</v>
      </c>
      <c r="W33" s="418">
        <f t="shared" si="12"/>
        <v>0</v>
      </c>
      <c r="X33" s="418">
        <f t="shared" si="13"/>
        <v>0</v>
      </c>
      <c r="Y33" s="418">
        <f t="shared" si="14"/>
        <v>0</v>
      </c>
      <c r="Z33" s="418">
        <f t="shared" si="15"/>
        <v>0</v>
      </c>
      <c r="AB33" s="413">
        <f t="shared" si="16"/>
        <v>0</v>
      </c>
    </row>
    <row r="34" spans="1:28" x14ac:dyDescent="0.3">
      <c r="A34" s="415" t="s">
        <v>23</v>
      </c>
      <c r="B34" s="415" t="s">
        <v>1180</v>
      </c>
      <c r="C34" s="412" t="str">
        <f>MID(VLOOKUP(A34,'Calc DG Gross Plant'!$A$5:$D$511,4,FALSE),5,1)</f>
        <v>E</v>
      </c>
      <c r="D34" s="418">
        <v>0</v>
      </c>
      <c r="E34" s="413">
        <v>13427256.92</v>
      </c>
      <c r="F34" s="413">
        <v>18494170.390000001</v>
      </c>
      <c r="G34" s="413">
        <v>28457343.260000002</v>
      </c>
      <c r="H34" s="413">
        <v>0</v>
      </c>
      <c r="J34" s="418" t="str">
        <f t="shared" si="0"/>
        <v>PI Electric</v>
      </c>
      <c r="K34" s="418" t="str">
        <f t="shared" si="1"/>
        <v>Programmatic Customer Drive</v>
      </c>
      <c r="L34" s="412" t="str">
        <f t="shared" si="2"/>
        <v>E</v>
      </c>
      <c r="M34" s="418">
        <f t="shared" si="3"/>
        <v>0</v>
      </c>
      <c r="N34" s="418">
        <f t="shared" si="4"/>
        <v>13427256.92</v>
      </c>
      <c r="O34" s="418">
        <f t="shared" si="5"/>
        <v>18494170.390000001</v>
      </c>
      <c r="P34" s="418">
        <f t="shared" si="6"/>
        <v>28457343.260000002</v>
      </c>
      <c r="Q34" s="418">
        <f t="shared" si="7"/>
        <v>0</v>
      </c>
      <c r="S34" s="418" t="str">
        <f t="shared" si="8"/>
        <v>PI Electric</v>
      </c>
      <c r="T34" s="418" t="str">
        <f t="shared" si="9"/>
        <v>Programmatic Customer Drive</v>
      </c>
      <c r="U34" s="412" t="str">
        <f t="shared" si="10"/>
        <v>E</v>
      </c>
      <c r="V34" s="418">
        <f t="shared" si="11"/>
        <v>0</v>
      </c>
      <c r="W34" s="418">
        <f t="shared" si="12"/>
        <v>0</v>
      </c>
      <c r="X34" s="418">
        <f t="shared" si="13"/>
        <v>0</v>
      </c>
      <c r="Y34" s="418">
        <f t="shared" si="14"/>
        <v>0</v>
      </c>
      <c r="Z34" s="418">
        <f t="shared" si="15"/>
        <v>0</v>
      </c>
      <c r="AB34" s="413">
        <f t="shared" si="16"/>
        <v>0</v>
      </c>
    </row>
    <row r="35" spans="1:28" x14ac:dyDescent="0.3">
      <c r="A35" s="415" t="s">
        <v>24</v>
      </c>
      <c r="B35" s="415" t="s">
        <v>1180</v>
      </c>
      <c r="C35" s="412" t="str">
        <f>MID(VLOOKUP(A35,'Calc DG Gross Plant'!$A$5:$D$511,4,FALSE),5,1)</f>
        <v>G</v>
      </c>
      <c r="D35" s="418">
        <v>0</v>
      </c>
      <c r="E35" s="413">
        <v>9705747.8200000003</v>
      </c>
      <c r="F35" s="413">
        <v>9806259.4500000011</v>
      </c>
      <c r="G35" s="413">
        <v>9861026.3100000024</v>
      </c>
      <c r="H35" s="413">
        <v>0</v>
      </c>
      <c r="J35" s="418" t="str">
        <f t="shared" si="0"/>
        <v>PI Gas</v>
      </c>
      <c r="K35" s="418" t="str">
        <f t="shared" si="1"/>
        <v>Programmatic Customer Drive</v>
      </c>
      <c r="L35" s="412" t="str">
        <f t="shared" si="2"/>
        <v>G</v>
      </c>
      <c r="M35" s="418">
        <f t="shared" si="3"/>
        <v>0</v>
      </c>
      <c r="N35" s="418">
        <f t="shared" si="4"/>
        <v>0</v>
      </c>
      <c r="O35" s="418">
        <f t="shared" si="5"/>
        <v>0</v>
      </c>
      <c r="P35" s="418">
        <f t="shared" si="6"/>
        <v>0</v>
      </c>
      <c r="Q35" s="418">
        <f t="shared" si="7"/>
        <v>0</v>
      </c>
      <c r="S35" s="418" t="str">
        <f t="shared" si="8"/>
        <v>PI Gas</v>
      </c>
      <c r="T35" s="418" t="str">
        <f t="shared" si="9"/>
        <v>Programmatic Customer Drive</v>
      </c>
      <c r="U35" s="412" t="str">
        <f t="shared" si="10"/>
        <v>G</v>
      </c>
      <c r="V35" s="418">
        <f t="shared" si="11"/>
        <v>0</v>
      </c>
      <c r="W35" s="418">
        <f t="shared" si="12"/>
        <v>9705747.8200000003</v>
      </c>
      <c r="X35" s="418">
        <f t="shared" si="13"/>
        <v>9806259.4500000011</v>
      </c>
      <c r="Y35" s="418">
        <f t="shared" si="14"/>
        <v>9861026.3100000024</v>
      </c>
      <c r="Z35" s="418">
        <f t="shared" si="15"/>
        <v>0</v>
      </c>
      <c r="AB35" s="413">
        <f t="shared" si="16"/>
        <v>0</v>
      </c>
    </row>
    <row r="36" spans="1:28" x14ac:dyDescent="0.3">
      <c r="A36" s="415" t="s">
        <v>25</v>
      </c>
      <c r="B36" s="415" t="s">
        <v>1168</v>
      </c>
      <c r="C36" s="412" t="str">
        <f>MID(VLOOKUP(A36,'Calc DG Gross Plant'!$A$5:$D$511,4,FALSE),5,1)</f>
        <v>G</v>
      </c>
      <c r="D36" s="418">
        <v>0</v>
      </c>
      <c r="E36" s="413">
        <v>53168011.580000006</v>
      </c>
      <c r="F36" s="413">
        <v>77876166.570000008</v>
      </c>
      <c r="G36" s="413">
        <v>138334121.74000001</v>
      </c>
      <c r="H36" s="413">
        <v>0</v>
      </c>
      <c r="J36" s="418" t="str">
        <f t="shared" si="0"/>
        <v>Pipe Replacement</v>
      </c>
      <c r="K36" s="418" t="str">
        <f t="shared" si="1"/>
        <v>Programmatic</v>
      </c>
      <c r="L36" s="412" t="str">
        <f t="shared" si="2"/>
        <v>G</v>
      </c>
      <c r="M36" s="418">
        <f t="shared" si="3"/>
        <v>0</v>
      </c>
      <c r="N36" s="418">
        <f t="shared" si="4"/>
        <v>0</v>
      </c>
      <c r="O36" s="418">
        <f t="shared" si="5"/>
        <v>0</v>
      </c>
      <c r="P36" s="418">
        <f t="shared" si="6"/>
        <v>0</v>
      </c>
      <c r="Q36" s="418">
        <f t="shared" si="7"/>
        <v>0</v>
      </c>
      <c r="S36" s="418" t="str">
        <f t="shared" si="8"/>
        <v>Pipe Replacement</v>
      </c>
      <c r="T36" s="418" t="str">
        <f t="shared" si="9"/>
        <v>Programmatic</v>
      </c>
      <c r="U36" s="412" t="str">
        <f t="shared" si="10"/>
        <v>G</v>
      </c>
      <c r="V36" s="418">
        <f t="shared" si="11"/>
        <v>0</v>
      </c>
      <c r="W36" s="418">
        <f t="shared" si="12"/>
        <v>53168011.580000006</v>
      </c>
      <c r="X36" s="418">
        <f t="shared" si="13"/>
        <v>77876166.570000008</v>
      </c>
      <c r="Y36" s="418">
        <f t="shared" si="14"/>
        <v>138334121.74000001</v>
      </c>
      <c r="Z36" s="418">
        <f t="shared" si="15"/>
        <v>0</v>
      </c>
      <c r="AB36" s="413">
        <f t="shared" si="16"/>
        <v>0</v>
      </c>
    </row>
    <row r="37" spans="1:28" x14ac:dyDescent="0.3">
      <c r="A37" s="415" t="s">
        <v>1605</v>
      </c>
      <c r="B37" s="415" t="s">
        <v>26</v>
      </c>
      <c r="C37" s="412" t="str">
        <f>MID(VLOOKUP(A37,'Calc DG Gross Plant'!$A$5:$D$511,4,FALSE),5,1)</f>
        <v>C</v>
      </c>
      <c r="D37" s="418">
        <v>0</v>
      </c>
      <c r="E37" s="413">
        <v>28943040.559999999</v>
      </c>
      <c r="F37" s="413">
        <v>51764891.280000001</v>
      </c>
      <c r="G37" s="413">
        <v>136293652.81000003</v>
      </c>
      <c r="H37" s="413">
        <v>0</v>
      </c>
      <c r="J37" s="418" t="str">
        <f t="shared" si="0"/>
        <v>Projected - Common</v>
      </c>
      <c r="K37" s="418" t="str">
        <f t="shared" si="1"/>
        <v>Projected</v>
      </c>
      <c r="L37" s="412" t="str">
        <f t="shared" si="2"/>
        <v>C</v>
      </c>
      <c r="M37" s="418">
        <f t="shared" si="3"/>
        <v>0</v>
      </c>
      <c r="N37" s="418">
        <f t="shared" si="4"/>
        <v>19085040.945264</v>
      </c>
      <c r="O37" s="418">
        <f t="shared" si="5"/>
        <v>34133769.310032003</v>
      </c>
      <c r="P37" s="418">
        <f t="shared" si="6"/>
        <v>89872034.662914023</v>
      </c>
      <c r="Q37" s="418">
        <f t="shared" si="7"/>
        <v>0</v>
      </c>
      <c r="S37" s="418" t="str">
        <f t="shared" si="8"/>
        <v>Projected - Common</v>
      </c>
      <c r="T37" s="418" t="str">
        <f t="shared" si="9"/>
        <v>Projected</v>
      </c>
      <c r="U37" s="412" t="str">
        <f t="shared" si="10"/>
        <v>C</v>
      </c>
      <c r="V37" s="418">
        <f t="shared" si="11"/>
        <v>0</v>
      </c>
      <c r="W37" s="418">
        <f t="shared" si="12"/>
        <v>9857999.6147360001</v>
      </c>
      <c r="X37" s="418">
        <f t="shared" si="13"/>
        <v>17631121.969968002</v>
      </c>
      <c r="Y37" s="418">
        <f t="shared" si="14"/>
        <v>46421618.147086009</v>
      </c>
      <c r="Z37" s="418">
        <f t="shared" si="15"/>
        <v>0</v>
      </c>
      <c r="AB37" s="413">
        <f t="shared" ref="AB37:AB55" si="17">SUM(D37:H37)-SUM(M37:Q37)-SUM(V37:Z37)</f>
        <v>0</v>
      </c>
    </row>
    <row r="38" spans="1:28" x14ac:dyDescent="0.3">
      <c r="A38" s="415" t="s">
        <v>1604</v>
      </c>
      <c r="B38" s="415" t="s">
        <v>26</v>
      </c>
      <c r="C38" s="412" t="str">
        <f>MID(VLOOKUP(A38,'Calc DG Gross Plant'!$A$5:$D$511,4,FALSE),5,1)</f>
        <v>E</v>
      </c>
      <c r="D38" s="418">
        <v>0</v>
      </c>
      <c r="E38" s="413">
        <v>137801651.11999992</v>
      </c>
      <c r="F38" s="413">
        <v>178176006.90999997</v>
      </c>
      <c r="G38" s="413">
        <v>266939689.60999992</v>
      </c>
      <c r="H38" s="413">
        <v>0</v>
      </c>
      <c r="J38" s="418" t="str">
        <f t="shared" si="0"/>
        <v>Projected - Electric</v>
      </c>
      <c r="K38" s="418" t="str">
        <f t="shared" si="1"/>
        <v>Projected</v>
      </c>
      <c r="L38" s="412" t="str">
        <f t="shared" si="2"/>
        <v>E</v>
      </c>
      <c r="M38" s="418">
        <f t="shared" si="3"/>
        <v>0</v>
      </c>
      <c r="N38" s="418">
        <f t="shared" si="4"/>
        <v>137801651.11999992</v>
      </c>
      <c r="O38" s="418">
        <f t="shared" si="5"/>
        <v>178176006.90999997</v>
      </c>
      <c r="P38" s="418">
        <f t="shared" si="6"/>
        <v>266939689.60999992</v>
      </c>
      <c r="Q38" s="418">
        <f t="shared" si="7"/>
        <v>0</v>
      </c>
      <c r="S38" s="418" t="str">
        <f t="shared" si="8"/>
        <v>Projected - Electric</v>
      </c>
      <c r="T38" s="418" t="str">
        <f t="shared" si="9"/>
        <v>Projected</v>
      </c>
      <c r="U38" s="412" t="str">
        <f t="shared" si="10"/>
        <v>E</v>
      </c>
      <c r="V38" s="418">
        <f t="shared" si="11"/>
        <v>0</v>
      </c>
      <c r="W38" s="418">
        <f t="shared" si="12"/>
        <v>0</v>
      </c>
      <c r="X38" s="418">
        <f t="shared" si="13"/>
        <v>0</v>
      </c>
      <c r="Y38" s="418">
        <f t="shared" si="14"/>
        <v>0</v>
      </c>
      <c r="Z38" s="418">
        <f t="shared" si="15"/>
        <v>0</v>
      </c>
      <c r="AB38" s="413">
        <f t="shared" si="17"/>
        <v>0</v>
      </c>
    </row>
    <row r="39" spans="1:28" x14ac:dyDescent="0.3">
      <c r="A39" s="415" t="s">
        <v>1603</v>
      </c>
      <c r="B39" s="415" t="s">
        <v>26</v>
      </c>
      <c r="C39" s="412" t="str">
        <f>MID(VLOOKUP(A39,'Calc DG Gross Plant'!$A$5:$D$511,4,FALSE),5,1)</f>
        <v>G</v>
      </c>
      <c r="D39" s="418">
        <v>0</v>
      </c>
      <c r="E39" s="413">
        <v>20090655.879999999</v>
      </c>
      <c r="F39" s="413">
        <v>30683155.220000006</v>
      </c>
      <c r="G39" s="413">
        <v>50451858.829999998</v>
      </c>
      <c r="H39" s="413">
        <v>0</v>
      </c>
      <c r="J39" s="418" t="str">
        <f t="shared" si="0"/>
        <v>Projected - Gas</v>
      </c>
      <c r="K39" s="418" t="str">
        <f t="shared" si="1"/>
        <v>Projected</v>
      </c>
      <c r="L39" s="412" t="str">
        <f t="shared" si="2"/>
        <v>G</v>
      </c>
      <c r="M39" s="418">
        <f t="shared" si="3"/>
        <v>0</v>
      </c>
      <c r="N39" s="418">
        <f t="shared" si="4"/>
        <v>0</v>
      </c>
      <c r="O39" s="418">
        <f t="shared" si="5"/>
        <v>0</v>
      </c>
      <c r="P39" s="418">
        <f t="shared" si="6"/>
        <v>0</v>
      </c>
      <c r="Q39" s="418">
        <f t="shared" si="7"/>
        <v>0</v>
      </c>
      <c r="S39" s="418" t="str">
        <f t="shared" si="8"/>
        <v>Projected - Gas</v>
      </c>
      <c r="T39" s="418" t="str">
        <f t="shared" si="9"/>
        <v>Projected</v>
      </c>
      <c r="U39" s="412" t="str">
        <f t="shared" si="10"/>
        <v>G</v>
      </c>
      <c r="V39" s="418">
        <f t="shared" si="11"/>
        <v>0</v>
      </c>
      <c r="W39" s="418">
        <f t="shared" si="12"/>
        <v>20090655.879999999</v>
      </c>
      <c r="X39" s="418">
        <f t="shared" si="13"/>
        <v>30683155.220000006</v>
      </c>
      <c r="Y39" s="418">
        <f t="shared" si="14"/>
        <v>50451858.829999998</v>
      </c>
      <c r="Z39" s="418">
        <f t="shared" si="15"/>
        <v>0</v>
      </c>
      <c r="AB39" s="413">
        <f t="shared" si="17"/>
        <v>0</v>
      </c>
    </row>
    <row r="40" spans="1:28" x14ac:dyDescent="0.3">
      <c r="A40" s="415" t="s">
        <v>31</v>
      </c>
      <c r="B40" s="415" t="s">
        <v>1168</v>
      </c>
      <c r="C40" s="412" t="str">
        <f>MID(VLOOKUP(A40,'Calc DG Gross Plant'!$A$5:$D$511,4,FALSE),5,1)</f>
        <v>E</v>
      </c>
      <c r="D40" s="418">
        <v>0</v>
      </c>
      <c r="E40" s="413">
        <v>966466.55999999994</v>
      </c>
      <c r="F40" s="413">
        <v>3099764.77</v>
      </c>
      <c r="G40" s="413">
        <v>9723596.8000000007</v>
      </c>
      <c r="H40" s="413">
        <v>0</v>
      </c>
      <c r="J40" s="418" t="str">
        <f t="shared" si="0"/>
        <v>Resilience Enhancement</v>
      </c>
      <c r="K40" s="418" t="str">
        <f t="shared" si="1"/>
        <v>Programmatic</v>
      </c>
      <c r="L40" s="412" t="str">
        <f t="shared" si="2"/>
        <v>E</v>
      </c>
      <c r="M40" s="418">
        <f t="shared" si="3"/>
        <v>0</v>
      </c>
      <c r="N40" s="418">
        <f t="shared" si="4"/>
        <v>966466.55999999994</v>
      </c>
      <c r="O40" s="418">
        <f t="shared" si="5"/>
        <v>3099764.77</v>
      </c>
      <c r="P40" s="418">
        <f t="shared" si="6"/>
        <v>9723596.8000000007</v>
      </c>
      <c r="Q40" s="418">
        <f t="shared" si="7"/>
        <v>0</v>
      </c>
      <c r="S40" s="418" t="str">
        <f t="shared" si="8"/>
        <v>Resilience Enhancement</v>
      </c>
      <c r="T40" s="418" t="str">
        <f t="shared" si="9"/>
        <v>Programmatic</v>
      </c>
      <c r="U40" s="412" t="str">
        <f t="shared" si="10"/>
        <v>E</v>
      </c>
      <c r="V40" s="418">
        <f t="shared" si="11"/>
        <v>0</v>
      </c>
      <c r="W40" s="418">
        <f t="shared" si="12"/>
        <v>0</v>
      </c>
      <c r="X40" s="418">
        <f t="shared" si="13"/>
        <v>0</v>
      </c>
      <c r="Y40" s="418">
        <f t="shared" si="14"/>
        <v>0</v>
      </c>
      <c r="Z40" s="418">
        <f t="shared" si="15"/>
        <v>0</v>
      </c>
      <c r="AB40" s="413">
        <f t="shared" si="17"/>
        <v>0</v>
      </c>
    </row>
    <row r="41" spans="1:28" x14ac:dyDescent="0.3">
      <c r="A41" s="415" t="s">
        <v>1602</v>
      </c>
      <c r="B41" s="415" t="s">
        <v>1168</v>
      </c>
      <c r="C41" s="412" t="str">
        <f>MID(VLOOKUP(A41,'Calc DG Gross Plant'!$A$5:$D$511,4,FALSE),5,1)</f>
        <v>G</v>
      </c>
      <c r="D41" s="418">
        <v>0</v>
      </c>
      <c r="E41" s="413">
        <v>0</v>
      </c>
      <c r="F41" s="413">
        <v>0</v>
      </c>
      <c r="G41" s="413">
        <v>0</v>
      </c>
      <c r="H41" s="413">
        <v>0</v>
      </c>
      <c r="J41" s="418" t="str">
        <f t="shared" si="0"/>
        <v>RNG</v>
      </c>
      <c r="K41" s="418" t="str">
        <f t="shared" si="1"/>
        <v>Programmatic</v>
      </c>
      <c r="L41" s="412" t="str">
        <f t="shared" si="2"/>
        <v>G</v>
      </c>
      <c r="M41" s="418">
        <f t="shared" si="3"/>
        <v>0</v>
      </c>
      <c r="N41" s="418">
        <f t="shared" si="4"/>
        <v>0</v>
      </c>
      <c r="O41" s="418">
        <f t="shared" si="5"/>
        <v>0</v>
      </c>
      <c r="P41" s="418">
        <f t="shared" si="6"/>
        <v>0</v>
      </c>
      <c r="Q41" s="418">
        <f t="shared" si="7"/>
        <v>0</v>
      </c>
      <c r="S41" s="418" t="str">
        <f t="shared" si="8"/>
        <v>RNG</v>
      </c>
      <c r="T41" s="418" t="str">
        <f t="shared" si="9"/>
        <v>Programmatic</v>
      </c>
      <c r="U41" s="412" t="str">
        <f t="shared" si="10"/>
        <v>G</v>
      </c>
      <c r="V41" s="418">
        <f t="shared" si="11"/>
        <v>0</v>
      </c>
      <c r="W41" s="418">
        <f t="shared" si="12"/>
        <v>0</v>
      </c>
      <c r="X41" s="418">
        <f t="shared" si="13"/>
        <v>0</v>
      </c>
      <c r="Y41" s="418">
        <f t="shared" si="14"/>
        <v>0</v>
      </c>
      <c r="Z41" s="418">
        <f t="shared" si="15"/>
        <v>0</v>
      </c>
      <c r="AB41" s="413">
        <f t="shared" si="17"/>
        <v>0</v>
      </c>
    </row>
    <row r="42" spans="1:28" x14ac:dyDescent="0.3">
      <c r="A42" s="415" t="s">
        <v>1601</v>
      </c>
      <c r="B42" s="415" t="s">
        <v>1181</v>
      </c>
      <c r="C42" s="412" t="str">
        <f>MID(VLOOKUP(A42,'Calc DG Gross Plant'!$A$5:$D$511,4,FALSE),5,1)</f>
        <v>E</v>
      </c>
      <c r="D42" s="418">
        <v>0</v>
      </c>
      <c r="E42" s="413">
        <v>0</v>
      </c>
      <c r="F42" s="413">
        <v>1690000.02</v>
      </c>
      <c r="G42" s="413">
        <v>5420882.2800000003</v>
      </c>
      <c r="H42" s="413">
        <v>0</v>
      </c>
      <c r="J42" s="418" t="str">
        <f t="shared" si="0"/>
        <v>Rooftop Solar</v>
      </c>
      <c r="K42" s="418" t="str">
        <f t="shared" si="1"/>
        <v>Specific</v>
      </c>
      <c r="L42" s="412" t="str">
        <f t="shared" si="2"/>
        <v>E</v>
      </c>
      <c r="M42" s="418">
        <f t="shared" si="3"/>
        <v>0</v>
      </c>
      <c r="N42" s="418">
        <f t="shared" si="4"/>
        <v>0</v>
      </c>
      <c r="O42" s="418">
        <f t="shared" si="5"/>
        <v>1690000.02</v>
      </c>
      <c r="P42" s="418">
        <f t="shared" si="6"/>
        <v>5420882.2800000003</v>
      </c>
      <c r="Q42" s="418">
        <f t="shared" si="7"/>
        <v>0</v>
      </c>
      <c r="S42" s="418" t="str">
        <f t="shared" si="8"/>
        <v>Rooftop Solar</v>
      </c>
      <c r="T42" s="418" t="str">
        <f t="shared" si="9"/>
        <v>Specific</v>
      </c>
      <c r="U42" s="412" t="str">
        <f t="shared" si="10"/>
        <v>E</v>
      </c>
      <c r="V42" s="418">
        <f t="shared" si="11"/>
        <v>0</v>
      </c>
      <c r="W42" s="418">
        <f t="shared" si="12"/>
        <v>0</v>
      </c>
      <c r="X42" s="418">
        <f t="shared" si="13"/>
        <v>0</v>
      </c>
      <c r="Y42" s="418">
        <f t="shared" si="14"/>
        <v>0</v>
      </c>
      <c r="Z42" s="418">
        <f t="shared" si="15"/>
        <v>0</v>
      </c>
      <c r="AB42" s="413">
        <f t="shared" si="17"/>
        <v>0</v>
      </c>
    </row>
    <row r="43" spans="1:28" x14ac:dyDescent="0.3">
      <c r="A43" s="415" t="s">
        <v>28</v>
      </c>
      <c r="B43" s="415" t="s">
        <v>1181</v>
      </c>
      <c r="C43" s="412" t="str">
        <f>MID(VLOOKUP(A43,'Calc DG Gross Plant'!$A$5:$D$511,4,FALSE),5,1)</f>
        <v>E</v>
      </c>
      <c r="D43" s="418">
        <v>0</v>
      </c>
      <c r="E43" s="413">
        <v>22989916.780000001</v>
      </c>
      <c r="F43" s="413">
        <v>27513540.460000001</v>
      </c>
      <c r="G43" s="413">
        <v>32037164.140000001</v>
      </c>
      <c r="H43" s="413">
        <v>0</v>
      </c>
      <c r="J43" s="418" t="str">
        <f t="shared" si="0"/>
        <v>Sammamish Juanita 115Kv Tline</v>
      </c>
      <c r="K43" s="418" t="str">
        <f t="shared" si="1"/>
        <v>Specific</v>
      </c>
      <c r="L43" s="412" t="str">
        <f t="shared" si="2"/>
        <v>E</v>
      </c>
      <c r="M43" s="418">
        <f t="shared" si="3"/>
        <v>0</v>
      </c>
      <c r="N43" s="418">
        <f t="shared" si="4"/>
        <v>22989916.780000001</v>
      </c>
      <c r="O43" s="418">
        <f t="shared" si="5"/>
        <v>27513540.460000001</v>
      </c>
      <c r="P43" s="418">
        <f t="shared" si="6"/>
        <v>32037164.140000001</v>
      </c>
      <c r="Q43" s="418">
        <f t="shared" si="7"/>
        <v>0</v>
      </c>
      <c r="S43" s="418" t="str">
        <f t="shared" si="8"/>
        <v>Sammamish Juanita 115Kv Tline</v>
      </c>
      <c r="T43" s="418" t="str">
        <f t="shared" si="9"/>
        <v>Specific</v>
      </c>
      <c r="U43" s="412" t="str">
        <f t="shared" si="10"/>
        <v>E</v>
      </c>
      <c r="V43" s="418">
        <f t="shared" si="11"/>
        <v>0</v>
      </c>
      <c r="W43" s="418">
        <f t="shared" si="12"/>
        <v>0</v>
      </c>
      <c r="X43" s="418">
        <f t="shared" si="13"/>
        <v>0</v>
      </c>
      <c r="Y43" s="418">
        <f t="shared" si="14"/>
        <v>0</v>
      </c>
      <c r="Z43" s="418">
        <f t="shared" si="15"/>
        <v>0</v>
      </c>
      <c r="AB43" s="413">
        <f t="shared" si="17"/>
        <v>0</v>
      </c>
    </row>
    <row r="44" spans="1:28" x14ac:dyDescent="0.3">
      <c r="A44" s="415" t="s">
        <v>870</v>
      </c>
      <c r="B44" s="415" t="s">
        <v>1181</v>
      </c>
      <c r="C44" s="412" t="str">
        <f>MID(VLOOKUP(A44,'Calc DG Gross Plant'!$A$5:$D$511,4,FALSE),5,1)</f>
        <v>C</v>
      </c>
      <c r="D44" s="418">
        <v>0</v>
      </c>
      <c r="E44" s="413">
        <v>0</v>
      </c>
      <c r="F44" s="413">
        <v>0</v>
      </c>
      <c r="G44" s="413">
        <v>5015395.03</v>
      </c>
      <c r="H44" s="413">
        <v>0</v>
      </c>
      <c r="J44" s="418" t="str">
        <f t="shared" si="0"/>
        <v>SAP S/4 Hana</v>
      </c>
      <c r="K44" s="418" t="str">
        <f t="shared" si="1"/>
        <v>Specific</v>
      </c>
      <c r="L44" s="412" t="str">
        <f t="shared" si="2"/>
        <v>C</v>
      </c>
      <c r="M44" s="418">
        <f t="shared" si="3"/>
        <v>0</v>
      </c>
      <c r="N44" s="418">
        <f t="shared" si="4"/>
        <v>0</v>
      </c>
      <c r="O44" s="418">
        <f t="shared" si="5"/>
        <v>0</v>
      </c>
      <c r="P44" s="418">
        <f t="shared" si="6"/>
        <v>3307151.4827820002</v>
      </c>
      <c r="Q44" s="418">
        <f t="shared" si="7"/>
        <v>0</v>
      </c>
      <c r="S44" s="418" t="str">
        <f t="shared" si="8"/>
        <v>SAP S/4 Hana</v>
      </c>
      <c r="T44" s="418" t="str">
        <f t="shared" si="9"/>
        <v>Specific</v>
      </c>
      <c r="U44" s="412" t="str">
        <f t="shared" si="10"/>
        <v>C</v>
      </c>
      <c r="V44" s="418">
        <f t="shared" si="11"/>
        <v>0</v>
      </c>
      <c r="W44" s="418">
        <f t="shared" si="12"/>
        <v>0</v>
      </c>
      <c r="X44" s="418">
        <f t="shared" si="13"/>
        <v>0</v>
      </c>
      <c r="Y44" s="418">
        <f t="shared" si="14"/>
        <v>1708243.5472180001</v>
      </c>
      <c r="Z44" s="418">
        <f t="shared" si="15"/>
        <v>0</v>
      </c>
      <c r="AB44" s="413">
        <f t="shared" si="17"/>
        <v>0</v>
      </c>
    </row>
    <row r="45" spans="1:28" x14ac:dyDescent="0.3">
      <c r="A45" s="415" t="s">
        <v>29</v>
      </c>
      <c r="B45" s="415" t="s">
        <v>1181</v>
      </c>
      <c r="C45" s="412" t="str">
        <f>MID(VLOOKUP(A45,'Calc DG Gross Plant'!$A$5:$D$511,4,FALSE),5,1)</f>
        <v>E</v>
      </c>
      <c r="D45" s="418">
        <v>0</v>
      </c>
      <c r="E45" s="413">
        <v>15952966.93</v>
      </c>
      <c r="F45" s="413">
        <v>21039500.23</v>
      </c>
      <c r="G45" s="413">
        <v>26126033.530000001</v>
      </c>
      <c r="H45" s="413">
        <v>0</v>
      </c>
      <c r="J45" s="418" t="str">
        <f t="shared" si="0"/>
        <v>Thurston Transmission Capacity</v>
      </c>
      <c r="K45" s="418" t="str">
        <f t="shared" si="1"/>
        <v>Specific</v>
      </c>
      <c r="L45" s="412" t="str">
        <f t="shared" si="2"/>
        <v>E</v>
      </c>
      <c r="M45" s="418">
        <f t="shared" si="3"/>
        <v>0</v>
      </c>
      <c r="N45" s="418">
        <f t="shared" si="4"/>
        <v>15952966.93</v>
      </c>
      <c r="O45" s="418">
        <f t="shared" si="5"/>
        <v>21039500.23</v>
      </c>
      <c r="P45" s="418">
        <f t="shared" si="6"/>
        <v>26126033.530000001</v>
      </c>
      <c r="Q45" s="418">
        <f t="shared" si="7"/>
        <v>0</v>
      </c>
      <c r="S45" s="418" t="str">
        <f t="shared" si="8"/>
        <v>Thurston Transmission Capacity</v>
      </c>
      <c r="T45" s="418" t="str">
        <f t="shared" si="9"/>
        <v>Specific</v>
      </c>
      <c r="U45" s="412" t="str">
        <f t="shared" si="10"/>
        <v>E</v>
      </c>
      <c r="V45" s="418">
        <f t="shared" si="11"/>
        <v>0</v>
      </c>
      <c r="W45" s="418">
        <f t="shared" si="12"/>
        <v>0</v>
      </c>
      <c r="X45" s="418">
        <f t="shared" si="13"/>
        <v>0</v>
      </c>
      <c r="Y45" s="418">
        <f t="shared" si="14"/>
        <v>0</v>
      </c>
      <c r="Z45" s="418">
        <f t="shared" si="15"/>
        <v>0</v>
      </c>
      <c r="AB45" s="413">
        <f t="shared" si="17"/>
        <v>0</v>
      </c>
    </row>
    <row r="46" spans="1:28" x14ac:dyDescent="0.3">
      <c r="A46" s="415" t="s">
        <v>30</v>
      </c>
      <c r="B46" s="415" t="s">
        <v>1181</v>
      </c>
      <c r="C46" s="412" t="str">
        <f>MID(VLOOKUP(A46,'Calc DG Gross Plant'!$A$5:$D$511,4,FALSE),5,1)</f>
        <v>C</v>
      </c>
      <c r="D46" s="418">
        <v>0</v>
      </c>
      <c r="E46" s="413">
        <v>0</v>
      </c>
      <c r="F46" s="413">
        <v>0</v>
      </c>
      <c r="G46" s="413">
        <v>372207.19000000006</v>
      </c>
      <c r="H46" s="413">
        <v>0</v>
      </c>
      <c r="J46" s="418" t="str">
        <f t="shared" si="0"/>
        <v>Transport Network Modernization</v>
      </c>
      <c r="K46" s="418" t="str">
        <f t="shared" si="1"/>
        <v>Specific</v>
      </c>
      <c r="L46" s="412" t="str">
        <f t="shared" si="2"/>
        <v>C</v>
      </c>
      <c r="M46" s="418">
        <f t="shared" si="3"/>
        <v>0</v>
      </c>
      <c r="N46" s="418">
        <f t="shared" si="4"/>
        <v>0</v>
      </c>
      <c r="O46" s="418">
        <f t="shared" si="5"/>
        <v>0</v>
      </c>
      <c r="P46" s="418">
        <f t="shared" si="6"/>
        <v>245433.42108600005</v>
      </c>
      <c r="Q46" s="418">
        <f t="shared" si="7"/>
        <v>0</v>
      </c>
      <c r="S46" s="418" t="str">
        <f t="shared" si="8"/>
        <v>Transport Network Modernization</v>
      </c>
      <c r="T46" s="418" t="str">
        <f t="shared" si="9"/>
        <v>Specific</v>
      </c>
      <c r="U46" s="412" t="str">
        <f t="shared" si="10"/>
        <v>C</v>
      </c>
      <c r="V46" s="418">
        <f t="shared" si="11"/>
        <v>0</v>
      </c>
      <c r="W46" s="418">
        <f t="shared" si="12"/>
        <v>0</v>
      </c>
      <c r="X46" s="418">
        <f t="shared" si="13"/>
        <v>0</v>
      </c>
      <c r="Y46" s="418">
        <f t="shared" si="14"/>
        <v>126773.76891400003</v>
      </c>
      <c r="Z46" s="418">
        <f t="shared" si="15"/>
        <v>0</v>
      </c>
      <c r="AB46" s="413">
        <f t="shared" si="17"/>
        <v>0</v>
      </c>
    </row>
    <row r="47" spans="1:28" x14ac:dyDescent="0.3">
      <c r="A47" s="415" t="s">
        <v>1600</v>
      </c>
      <c r="B47" s="415" t="s">
        <v>1168</v>
      </c>
      <c r="C47" s="412" t="str">
        <f>MID(VLOOKUP(A47,'Calc DG Gross Plant'!$A$5:$D$511,4,FALSE),5,1)</f>
        <v>E</v>
      </c>
      <c r="D47" s="418">
        <v>0</v>
      </c>
      <c r="E47" s="413">
        <v>0</v>
      </c>
      <c r="F47" s="413">
        <v>3321706.9200000004</v>
      </c>
      <c r="G47" s="413">
        <v>22179592.080000002</v>
      </c>
      <c r="H47" s="413">
        <v>0</v>
      </c>
      <c r="J47" s="418" t="str">
        <f t="shared" si="0"/>
        <v>UG Feeders</v>
      </c>
      <c r="K47" s="418" t="str">
        <f t="shared" si="1"/>
        <v>Programmatic</v>
      </c>
      <c r="L47" s="412" t="str">
        <f t="shared" si="2"/>
        <v>E</v>
      </c>
      <c r="M47" s="418">
        <f t="shared" si="3"/>
        <v>0</v>
      </c>
      <c r="N47" s="418">
        <f t="shared" si="4"/>
        <v>0</v>
      </c>
      <c r="O47" s="418">
        <f t="shared" si="5"/>
        <v>3321706.9200000004</v>
      </c>
      <c r="P47" s="418">
        <f t="shared" si="6"/>
        <v>22179592.080000002</v>
      </c>
      <c r="Q47" s="418">
        <f t="shared" si="7"/>
        <v>0</v>
      </c>
      <c r="S47" s="418" t="str">
        <f t="shared" si="8"/>
        <v>UG Feeders</v>
      </c>
      <c r="T47" s="418" t="str">
        <f t="shared" si="9"/>
        <v>Programmatic</v>
      </c>
      <c r="U47" s="412" t="str">
        <f t="shared" si="10"/>
        <v>E</v>
      </c>
      <c r="V47" s="418">
        <f t="shared" si="11"/>
        <v>0</v>
      </c>
      <c r="W47" s="418">
        <f t="shared" si="12"/>
        <v>0</v>
      </c>
      <c r="X47" s="418">
        <f t="shared" si="13"/>
        <v>0</v>
      </c>
      <c r="Y47" s="418">
        <f t="shared" si="14"/>
        <v>0</v>
      </c>
      <c r="Z47" s="418">
        <f t="shared" si="15"/>
        <v>0</v>
      </c>
      <c r="AB47" s="413">
        <f t="shared" si="17"/>
        <v>0</v>
      </c>
    </row>
    <row r="48" spans="1:28" x14ac:dyDescent="0.3">
      <c r="A48" s="415"/>
      <c r="B48" s="415"/>
      <c r="D48" s="418"/>
      <c r="E48" s="413"/>
      <c r="F48" s="413"/>
      <c r="G48" s="413"/>
      <c r="H48" s="413"/>
      <c r="J48" s="418">
        <f t="shared" ref="J48:K50" si="18">A48</f>
        <v>0</v>
      </c>
      <c r="K48" s="418">
        <f t="shared" si="18"/>
        <v>0</v>
      </c>
      <c r="L48" s="412"/>
      <c r="M48" s="418">
        <f t="shared" si="3"/>
        <v>0</v>
      </c>
      <c r="N48" s="418">
        <f t="shared" si="4"/>
        <v>0</v>
      </c>
      <c r="O48" s="418">
        <f t="shared" si="5"/>
        <v>0</v>
      </c>
      <c r="P48" s="418">
        <f t="shared" si="6"/>
        <v>0</v>
      </c>
      <c r="Q48" s="418">
        <f t="shared" si="7"/>
        <v>0</v>
      </c>
      <c r="S48" s="418">
        <f t="shared" ref="S48:T50" si="19">A48</f>
        <v>0</v>
      </c>
      <c r="T48" s="418">
        <f t="shared" si="19"/>
        <v>0</v>
      </c>
      <c r="U48" s="412"/>
      <c r="V48" s="418">
        <f t="shared" si="11"/>
        <v>0</v>
      </c>
      <c r="W48" s="418">
        <f t="shared" si="12"/>
        <v>0</v>
      </c>
      <c r="X48" s="418">
        <f t="shared" si="13"/>
        <v>0</v>
      </c>
      <c r="Y48" s="418">
        <f t="shared" si="14"/>
        <v>0</v>
      </c>
      <c r="Z48" s="418">
        <f t="shared" si="15"/>
        <v>0</v>
      </c>
      <c r="AB48" s="413">
        <f t="shared" si="17"/>
        <v>0</v>
      </c>
    </row>
    <row r="49" spans="1:28" x14ac:dyDescent="0.3">
      <c r="A49" s="415"/>
      <c r="B49" s="415"/>
      <c r="D49" s="418"/>
      <c r="E49" s="413"/>
      <c r="F49" s="413"/>
      <c r="G49" s="413"/>
      <c r="H49" s="413"/>
      <c r="J49" s="418">
        <f t="shared" si="18"/>
        <v>0</v>
      </c>
      <c r="K49" s="418">
        <f t="shared" si="18"/>
        <v>0</v>
      </c>
      <c r="L49" s="412"/>
      <c r="M49" s="418">
        <f t="shared" si="3"/>
        <v>0</v>
      </c>
      <c r="N49" s="418">
        <f t="shared" si="4"/>
        <v>0</v>
      </c>
      <c r="O49" s="418">
        <f t="shared" si="5"/>
        <v>0</v>
      </c>
      <c r="P49" s="418">
        <f t="shared" si="6"/>
        <v>0</v>
      </c>
      <c r="Q49" s="418">
        <f t="shared" si="7"/>
        <v>0</v>
      </c>
      <c r="S49" s="418">
        <f t="shared" si="19"/>
        <v>0</v>
      </c>
      <c r="T49" s="418">
        <f t="shared" si="19"/>
        <v>0</v>
      </c>
      <c r="U49" s="412"/>
      <c r="V49" s="418">
        <f t="shared" si="11"/>
        <v>0</v>
      </c>
      <c r="W49" s="418">
        <f t="shared" si="12"/>
        <v>0</v>
      </c>
      <c r="X49" s="418">
        <f t="shared" si="13"/>
        <v>0</v>
      </c>
      <c r="Y49" s="418">
        <f t="shared" si="14"/>
        <v>0</v>
      </c>
      <c r="Z49" s="418">
        <f t="shared" si="15"/>
        <v>0</v>
      </c>
      <c r="AB49" s="413">
        <f t="shared" si="17"/>
        <v>0</v>
      </c>
    </row>
    <row r="50" spans="1:28" x14ac:dyDescent="0.3">
      <c r="A50" s="415"/>
      <c r="B50" s="415"/>
      <c r="D50" s="418"/>
      <c r="E50" s="413"/>
      <c r="F50" s="413"/>
      <c r="G50" s="413"/>
      <c r="H50" s="413"/>
      <c r="J50" s="418">
        <f t="shared" si="18"/>
        <v>0</v>
      </c>
      <c r="K50" s="418">
        <f t="shared" si="18"/>
        <v>0</v>
      </c>
      <c r="L50" s="412"/>
      <c r="M50" s="418">
        <f t="shared" si="3"/>
        <v>0</v>
      </c>
      <c r="N50" s="418">
        <f t="shared" si="4"/>
        <v>0</v>
      </c>
      <c r="O50" s="418">
        <f t="shared" si="5"/>
        <v>0</v>
      </c>
      <c r="P50" s="418">
        <f t="shared" si="6"/>
        <v>0</v>
      </c>
      <c r="Q50" s="418">
        <f t="shared" si="7"/>
        <v>0</v>
      </c>
      <c r="S50" s="418">
        <f t="shared" si="19"/>
        <v>0</v>
      </c>
      <c r="T50" s="418">
        <f t="shared" si="19"/>
        <v>0</v>
      </c>
      <c r="U50" s="412"/>
      <c r="V50" s="418">
        <f t="shared" si="11"/>
        <v>0</v>
      </c>
      <c r="W50" s="418">
        <f t="shared" si="12"/>
        <v>0</v>
      </c>
      <c r="X50" s="418">
        <f t="shared" si="13"/>
        <v>0</v>
      </c>
      <c r="Y50" s="418">
        <f t="shared" si="14"/>
        <v>0</v>
      </c>
      <c r="Z50" s="418">
        <f t="shared" si="15"/>
        <v>0</v>
      </c>
      <c r="AB50" s="413">
        <f t="shared" si="17"/>
        <v>0</v>
      </c>
    </row>
    <row r="51" spans="1:28" x14ac:dyDescent="0.3">
      <c r="A51" s="415"/>
      <c r="B51" s="415"/>
      <c r="D51" s="418"/>
      <c r="E51" s="413"/>
      <c r="F51" s="413"/>
      <c r="G51" s="413"/>
      <c r="H51" s="413"/>
      <c r="J51" s="418"/>
      <c r="K51" s="418"/>
      <c r="L51" s="412"/>
      <c r="M51" s="418"/>
      <c r="N51" s="418"/>
      <c r="O51" s="418"/>
      <c r="P51" s="418"/>
      <c r="Q51" s="418"/>
      <c r="S51" s="418"/>
      <c r="T51" s="418"/>
      <c r="U51" s="412"/>
      <c r="V51" s="418"/>
      <c r="W51" s="418"/>
      <c r="X51" s="418"/>
      <c r="Y51" s="418"/>
      <c r="Z51" s="418"/>
      <c r="AB51" s="413">
        <f t="shared" si="17"/>
        <v>0</v>
      </c>
    </row>
    <row r="52" spans="1:28" x14ac:dyDescent="0.3">
      <c r="A52" s="415"/>
      <c r="B52" s="415"/>
      <c r="D52" s="418"/>
      <c r="E52" s="413"/>
      <c r="F52" s="413"/>
      <c r="G52" s="413"/>
      <c r="H52" s="413"/>
      <c r="J52" s="418"/>
      <c r="K52" s="418"/>
      <c r="L52" s="412"/>
      <c r="M52" s="418"/>
      <c r="N52" s="418"/>
      <c r="O52" s="418"/>
      <c r="P52" s="418"/>
      <c r="Q52" s="418"/>
      <c r="S52" s="418"/>
      <c r="T52" s="418"/>
      <c r="U52" s="412"/>
      <c r="V52" s="418"/>
      <c r="W52" s="418"/>
      <c r="X52" s="418"/>
      <c r="Y52" s="418"/>
      <c r="Z52" s="418"/>
      <c r="AB52" s="413">
        <f t="shared" si="17"/>
        <v>0</v>
      </c>
    </row>
    <row r="53" spans="1:28" x14ac:dyDescent="0.3">
      <c r="A53" s="415"/>
      <c r="B53" s="415"/>
      <c r="D53" s="418"/>
      <c r="E53" s="413"/>
      <c r="F53" s="413"/>
      <c r="G53" s="413"/>
      <c r="H53" s="413"/>
      <c r="J53" s="418"/>
      <c r="K53" s="418"/>
      <c r="L53" s="412"/>
      <c r="M53" s="418"/>
      <c r="N53" s="418"/>
      <c r="O53" s="418"/>
      <c r="P53" s="418"/>
      <c r="Q53" s="418"/>
      <c r="S53" s="418"/>
      <c r="T53" s="418"/>
      <c r="U53" s="412"/>
      <c r="V53" s="418"/>
      <c r="W53" s="418"/>
      <c r="X53" s="418"/>
      <c r="Y53" s="418"/>
      <c r="Z53" s="418"/>
      <c r="AB53" s="413">
        <f t="shared" si="17"/>
        <v>0</v>
      </c>
    </row>
    <row r="54" spans="1:28" x14ac:dyDescent="0.3">
      <c r="A54" s="415"/>
      <c r="B54" s="415"/>
      <c r="D54" s="418"/>
      <c r="E54" s="413"/>
      <c r="F54" s="413"/>
      <c r="G54" s="413"/>
      <c r="H54" s="413"/>
      <c r="J54" s="418"/>
      <c r="K54" s="418"/>
      <c r="L54" s="412"/>
      <c r="M54" s="418"/>
      <c r="N54" s="418"/>
      <c r="O54" s="418"/>
      <c r="P54" s="418"/>
      <c r="Q54" s="418"/>
      <c r="S54" s="418"/>
      <c r="T54" s="418"/>
      <c r="U54" s="412"/>
      <c r="V54" s="418"/>
      <c r="W54" s="418"/>
      <c r="X54" s="418"/>
      <c r="Y54" s="418"/>
      <c r="Z54" s="418"/>
      <c r="AB54" s="413">
        <f t="shared" si="17"/>
        <v>0</v>
      </c>
    </row>
    <row r="55" spans="1:28" x14ac:dyDescent="0.3">
      <c r="A55" s="420"/>
      <c r="B55" s="415"/>
      <c r="D55" s="416"/>
      <c r="E55" s="419"/>
      <c r="F55" s="419"/>
      <c r="G55" s="419"/>
      <c r="H55" s="419"/>
      <c r="J55" s="416"/>
      <c r="K55" s="418"/>
      <c r="L55" s="417"/>
      <c r="M55" s="416"/>
      <c r="N55" s="416"/>
      <c r="O55" s="416"/>
      <c r="P55" s="416"/>
      <c r="Q55" s="416"/>
      <c r="S55" s="416"/>
      <c r="T55" s="418"/>
      <c r="U55" s="417"/>
      <c r="V55" s="416"/>
      <c r="W55" s="416"/>
      <c r="X55" s="416"/>
      <c r="Y55" s="416"/>
      <c r="Z55" s="416"/>
      <c r="AB55" s="413">
        <f t="shared" si="17"/>
        <v>0</v>
      </c>
    </row>
    <row r="56" spans="1:28" x14ac:dyDescent="0.3">
      <c r="A56" s="415" t="s">
        <v>1599</v>
      </c>
      <c r="B56" s="415"/>
      <c r="D56" s="413">
        <f>SUM(D5:D55)</f>
        <v>0</v>
      </c>
      <c r="E56" s="413">
        <f>SUM(E5:E55)</f>
        <v>764311458.01999974</v>
      </c>
      <c r="F56" s="413">
        <f>SUM(F5:F55)</f>
        <v>1090750198.3300002</v>
      </c>
      <c r="G56" s="413">
        <f>SUM(G5:G55)</f>
        <v>2238500821.6900001</v>
      </c>
      <c r="H56" s="413">
        <f>SUM(H5:H55)</f>
        <v>0</v>
      </c>
      <c r="J56" s="415" t="s">
        <v>1599</v>
      </c>
      <c r="K56" s="415"/>
      <c r="L56" s="412"/>
      <c r="M56" s="413">
        <f>SUM(M5:M55)</f>
        <v>0</v>
      </c>
      <c r="N56" s="413">
        <f>SUM(N5:N55)</f>
        <v>489130751.21586996</v>
      </c>
      <c r="O56" s="413">
        <f>SUM(O5:O55)</f>
        <v>731875290.19723785</v>
      </c>
      <c r="P56" s="413">
        <f>SUM(P5:P55)</f>
        <v>1530295552.6361759</v>
      </c>
      <c r="Q56" s="413">
        <f>SUM(Q5:Q55)</f>
        <v>0</v>
      </c>
      <c r="S56" s="415" t="s">
        <v>1599</v>
      </c>
      <c r="T56" s="415"/>
      <c r="U56" s="412"/>
      <c r="V56" s="413">
        <f>SUM(V5:V55)</f>
        <v>0</v>
      </c>
      <c r="W56" s="413">
        <f>SUM(W5:W55)</f>
        <v>275180706.80413002</v>
      </c>
      <c r="X56" s="413">
        <f>SUM(X5:X55)</f>
        <v>358874908.13276201</v>
      </c>
      <c r="Y56" s="413">
        <f>SUM(Y5:Y55)</f>
        <v>708205269.05382395</v>
      </c>
      <c r="Z56" s="413">
        <f>SUM(Z5:Z55)</f>
        <v>0</v>
      </c>
    </row>
    <row r="57" spans="1:28" x14ac:dyDescent="0.3">
      <c r="A57" s="414" t="s">
        <v>1598</v>
      </c>
      <c r="B57" s="414"/>
      <c r="D57" s="413">
        <v>0</v>
      </c>
      <c r="E57" s="413">
        <v>0</v>
      </c>
      <c r="F57" s="413">
        <v>0</v>
      </c>
      <c r="G57" s="413">
        <v>0</v>
      </c>
      <c r="H57" s="413">
        <v>0</v>
      </c>
      <c r="M57" s="413"/>
    </row>
    <row r="58" spans="1:28" x14ac:dyDescent="0.3">
      <c r="M58" s="413"/>
    </row>
  </sheetData>
  <conditionalFormatting sqref="D57:H57">
    <cfRule type="cellIs" dxfId="51" priority="7" operator="equal">
      <formula>0</formula>
    </cfRule>
    <cfRule type="cellIs" dxfId="50" priority="8" operator="notEqual">
      <formula>0</formula>
    </cfRule>
  </conditionalFormatting>
  <conditionalFormatting sqref="AB5">
    <cfRule type="cellIs" dxfId="49" priority="5" operator="equal">
      <formula>0</formula>
    </cfRule>
    <cfRule type="cellIs" dxfId="48" priority="6" operator="notEqual">
      <formula>0</formula>
    </cfRule>
  </conditionalFormatting>
  <conditionalFormatting sqref="AB6:AB48 AB55">
    <cfRule type="cellIs" dxfId="47" priority="3" operator="equal">
      <formula>0</formula>
    </cfRule>
    <cfRule type="cellIs" dxfId="46" priority="4" operator="notEqual">
      <formula>0</formula>
    </cfRule>
  </conditionalFormatting>
  <conditionalFormatting sqref="AB49:AB54">
    <cfRule type="cellIs" dxfId="45" priority="1" operator="equal">
      <formula>0</formula>
    </cfRule>
    <cfRule type="cellIs" dxfId="44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0"/>
  <sheetViews>
    <sheetView zoomScale="90" zoomScaleNormal="90" workbookViewId="0">
      <pane xSplit="1" ySplit="4" topLeftCell="B5" activePane="bottomRight" state="frozen"/>
      <selection activeCell="O22" sqref="O22"/>
      <selection pane="topRight" activeCell="O22" sqref="O22"/>
      <selection pane="bottomLeft" activeCell="O22" sqref="O22"/>
      <selection pane="bottomRight" activeCell="O22" sqref="O22"/>
    </sheetView>
  </sheetViews>
  <sheetFormatPr defaultColWidth="8.6640625" defaultRowHeight="14.4" x14ac:dyDescent="0.3"/>
  <cols>
    <col min="1" max="1" width="46.88671875" style="411" bestFit="1" customWidth="1"/>
    <col min="2" max="2" width="37.44140625" style="411" bestFit="1" customWidth="1"/>
    <col min="3" max="3" width="37.44140625" style="411" customWidth="1"/>
    <col min="4" max="4" width="11.6640625" style="411" bestFit="1" customWidth="1"/>
    <col min="5" max="5" width="16.6640625" style="411" bestFit="1" customWidth="1"/>
    <col min="6" max="9" width="17.6640625" style="411" bestFit="1" customWidth="1"/>
    <col min="10" max="10" width="14.6640625" style="411" bestFit="1" customWidth="1"/>
    <col min="11" max="11" width="3.109375" style="411" customWidth="1"/>
    <col min="12" max="12" width="42.6640625" style="411" bestFit="1" customWidth="1"/>
    <col min="13" max="13" width="46.44140625" style="411" customWidth="1"/>
    <col min="14" max="14" width="31.5546875" style="411" customWidth="1"/>
    <col min="15" max="15" width="11.6640625" style="411" bestFit="1" customWidth="1"/>
    <col min="16" max="16" width="16.109375" style="411" bestFit="1" customWidth="1"/>
    <col min="17" max="20" width="17.6640625" style="411" bestFit="1" customWidth="1"/>
    <col min="21" max="21" width="2.33203125" style="411" customWidth="1"/>
    <col min="22" max="22" width="42.6640625" style="411" bestFit="1" customWidth="1"/>
    <col min="23" max="23" width="34.88671875" style="411" bestFit="1" customWidth="1"/>
    <col min="24" max="24" width="34.88671875" style="411" customWidth="1"/>
    <col min="25" max="25" width="11.6640625" style="411" bestFit="1" customWidth="1"/>
    <col min="26" max="28" width="16.109375" style="411" bestFit="1" customWidth="1"/>
    <col min="29" max="30" width="17.6640625" style="411" bestFit="1" customWidth="1"/>
    <col min="31" max="31" width="5.88671875" style="411" bestFit="1" customWidth="1"/>
    <col min="32" max="16384" width="8.6640625" style="411"/>
  </cols>
  <sheetData>
    <row r="1" spans="1:31" x14ac:dyDescent="0.3">
      <c r="A1" s="411" t="s">
        <v>33</v>
      </c>
      <c r="B1" s="433"/>
      <c r="C1" s="433" t="s">
        <v>34</v>
      </c>
      <c r="D1" s="432">
        <v>0.34060000000000001</v>
      </c>
      <c r="E1" s="433" t="s">
        <v>35</v>
      </c>
      <c r="F1" s="432">
        <v>0.65939999999999999</v>
      </c>
    </row>
    <row r="2" spans="1:31" x14ac:dyDescent="0.3">
      <c r="L2" s="430" t="s">
        <v>37</v>
      </c>
      <c r="V2" s="430" t="s">
        <v>38</v>
      </c>
    </row>
    <row r="3" spans="1:31" x14ac:dyDescent="0.3">
      <c r="AE3" s="437" t="s">
        <v>1621</v>
      </c>
    </row>
    <row r="4" spans="1:31" x14ac:dyDescent="0.3">
      <c r="A4" s="431" t="s">
        <v>0</v>
      </c>
      <c r="B4" s="431" t="s">
        <v>1942</v>
      </c>
      <c r="C4" s="431" t="s">
        <v>1620</v>
      </c>
      <c r="D4" s="430" t="s">
        <v>1941</v>
      </c>
      <c r="E4" s="430" t="s">
        <v>1619</v>
      </c>
      <c r="F4" s="430" t="s">
        <v>1618</v>
      </c>
      <c r="G4" s="430" t="s">
        <v>1617</v>
      </c>
      <c r="H4" s="430" t="s">
        <v>1616</v>
      </c>
      <c r="I4" s="430" t="s">
        <v>1615</v>
      </c>
      <c r="J4" s="430" t="s">
        <v>1708</v>
      </c>
      <c r="L4" s="431" t="s">
        <v>0</v>
      </c>
      <c r="M4" s="431" t="s">
        <v>1942</v>
      </c>
      <c r="N4" s="431" t="str">
        <f t="shared" ref="N4:N67" si="0">C4</f>
        <v>Used and Useful Category</v>
      </c>
      <c r="O4" s="430" t="s">
        <v>1941</v>
      </c>
      <c r="P4" s="430" t="s">
        <v>1619</v>
      </c>
      <c r="Q4" s="430" t="s">
        <v>1618</v>
      </c>
      <c r="R4" s="430" t="s">
        <v>1617</v>
      </c>
      <c r="S4" s="430" t="s">
        <v>1616</v>
      </c>
      <c r="T4" s="430" t="s">
        <v>1615</v>
      </c>
      <c r="V4" s="431" t="s">
        <v>0</v>
      </c>
      <c r="W4" s="431" t="s">
        <v>1942</v>
      </c>
      <c r="X4" s="431" t="str">
        <f t="shared" ref="X4:X67" si="1">C4</f>
        <v>Used and Useful Category</v>
      </c>
      <c r="Y4" s="430" t="s">
        <v>1941</v>
      </c>
      <c r="Z4" s="430" t="s">
        <v>1619</v>
      </c>
      <c r="AA4" s="430" t="s">
        <v>1618</v>
      </c>
      <c r="AB4" s="430" t="s">
        <v>1617</v>
      </c>
      <c r="AC4" s="430" t="s">
        <v>1616</v>
      </c>
      <c r="AD4" s="430" t="s">
        <v>1615</v>
      </c>
      <c r="AE4" s="437" t="s">
        <v>122</v>
      </c>
    </row>
    <row r="5" spans="1:31" x14ac:dyDescent="0.3">
      <c r="A5" s="415" t="s">
        <v>1613</v>
      </c>
      <c r="B5" s="418" t="s">
        <v>1712</v>
      </c>
      <c r="C5" s="418" t="s">
        <v>1168</v>
      </c>
      <c r="D5" s="418" t="str">
        <f t="shared" ref="D5:D68" si="2">"101-"&amp; LEFT(B5,4)</f>
        <v>101-C397</v>
      </c>
      <c r="E5" s="418">
        <v>0</v>
      </c>
      <c r="F5" s="418">
        <v>11567027.199999999</v>
      </c>
      <c r="G5" s="418">
        <v>11567027.199999999</v>
      </c>
      <c r="H5" s="418">
        <v>11567027.199999999</v>
      </c>
      <c r="I5" s="418">
        <v>0</v>
      </c>
      <c r="J5" s="413">
        <v>0</v>
      </c>
      <c r="L5" s="418" t="str">
        <f t="shared" ref="L5:L68" si="3">A5</f>
        <v>AMI Meters and Modules Deployment - Common</v>
      </c>
      <c r="M5" s="418" t="str">
        <f t="shared" ref="M5:M68" si="4">B5</f>
        <v>C3970 CMN Comm Equip, new</v>
      </c>
      <c r="N5" s="418" t="str">
        <f t="shared" si="0"/>
        <v>Programmatic</v>
      </c>
      <c r="O5" s="418" t="str">
        <f t="shared" ref="O5:O68" si="5">D5</f>
        <v>101-C397</v>
      </c>
      <c r="P5" s="418">
        <f t="shared" ref="P5:P68" si="6">IF(MID($O5,5,1)="C",E5*$F$1,IF(MID($O5,5,1)="G",0,E5))</f>
        <v>0</v>
      </c>
      <c r="Q5" s="418">
        <f t="shared" ref="Q5:Q68" si="7">IF(MID($O5,5,1)="C",F5*$F$1,IF(MID($O5,5,1)="G",0,F5))</f>
        <v>7627297.735679999</v>
      </c>
      <c r="R5" s="418">
        <f t="shared" ref="R5:R68" si="8">IF(MID($O5,5,1)="C",G5*$F$1,IF(MID($O5,5,1)="G",0,G5))</f>
        <v>7627297.735679999</v>
      </c>
      <c r="S5" s="418">
        <f t="shared" ref="S5:S68" si="9">IF(MID($O5,5,1)="C",H5*$F$1,IF(MID($O5,5,1)="G",0,H5))</f>
        <v>7627297.735679999</v>
      </c>
      <c r="T5" s="418">
        <f t="shared" ref="T5:T68" si="10">IF(MID($O5,5,1)="C",I5*$F$1,IF(MID($O5,5,1)="G",0,I5))</f>
        <v>0</v>
      </c>
      <c r="V5" s="418" t="str">
        <f t="shared" ref="V5:V68" si="11">A5</f>
        <v>AMI Meters and Modules Deployment - Common</v>
      </c>
      <c r="W5" s="418" t="str">
        <f t="shared" ref="W5:W68" si="12">B5</f>
        <v>C3970 CMN Comm Equip, new</v>
      </c>
      <c r="X5" s="418" t="str">
        <f t="shared" si="1"/>
        <v>Programmatic</v>
      </c>
      <c r="Y5" s="418" t="str">
        <f t="shared" ref="Y5:Y68" si="13">D5</f>
        <v>101-C397</v>
      </c>
      <c r="Z5" s="418">
        <f t="shared" ref="Z5:Z68" si="14">IF(MID($O5,5,1)="C",E5*$D$1,IF(MID($O5,5,1)="E",0,E5))</f>
        <v>0</v>
      </c>
      <c r="AA5" s="418">
        <f t="shared" ref="AA5:AA68" si="15">IF(MID($O5,5,1)="C",F5*$D$1,IF(MID($O5,5,1)="E",0,F5))</f>
        <v>3939729.4643199998</v>
      </c>
      <c r="AB5" s="418">
        <f t="shared" ref="AB5:AB68" si="16">IF(MID($O5,5,1)="C",G5*$D$1,IF(MID($O5,5,1)="E",0,G5))</f>
        <v>3939729.4643199998</v>
      </c>
      <c r="AC5" s="418">
        <f t="shared" ref="AC5:AC68" si="17">IF(MID($O5,5,1)="C",H5*$D$1,IF(MID($O5,5,1)="E",0,H5))</f>
        <v>3939729.4643199998</v>
      </c>
      <c r="AD5" s="418">
        <f t="shared" ref="AD5:AD68" si="18">IF(MID($O5,5,1)="C",I5*$D$1,IF(MID($O5,5,1)="E",0,I5))</f>
        <v>0</v>
      </c>
      <c r="AE5" s="413">
        <f t="shared" ref="AE5:AE68" si="19">SUM(E5:I5)-SUM(P5:T5)-SUM(Z5:AD5)</f>
        <v>0</v>
      </c>
    </row>
    <row r="6" spans="1:31" x14ac:dyDescent="0.3">
      <c r="A6" s="415" t="s">
        <v>1613</v>
      </c>
      <c r="B6" s="418" t="s">
        <v>1940</v>
      </c>
      <c r="C6" s="418" t="s">
        <v>1168</v>
      </c>
      <c r="D6" s="418" t="str">
        <f t="shared" si="2"/>
        <v>101-C397</v>
      </c>
      <c r="E6" s="418">
        <v>0</v>
      </c>
      <c r="F6" s="418">
        <v>30958839.420000002</v>
      </c>
      <c r="G6" s="418">
        <v>30958839.420000002</v>
      </c>
      <c r="H6" s="418">
        <v>30958839.420000002</v>
      </c>
      <c r="I6" s="418">
        <v>0</v>
      </c>
      <c r="J6" s="413">
        <v>0</v>
      </c>
      <c r="L6" s="418" t="str">
        <f t="shared" si="3"/>
        <v>AMI Meters and Modules Deployment - Common</v>
      </c>
      <c r="M6" s="418" t="str">
        <f t="shared" si="4"/>
        <v>C3974 CMN Comm Equip, AMI Network</v>
      </c>
      <c r="N6" s="418" t="str">
        <f t="shared" si="0"/>
        <v>Programmatic</v>
      </c>
      <c r="O6" s="418" t="str">
        <f t="shared" si="5"/>
        <v>101-C397</v>
      </c>
      <c r="P6" s="418">
        <f t="shared" si="6"/>
        <v>0</v>
      </c>
      <c r="Q6" s="418">
        <f t="shared" si="7"/>
        <v>20414258.713548001</v>
      </c>
      <c r="R6" s="418">
        <f t="shared" si="8"/>
        <v>20414258.713548001</v>
      </c>
      <c r="S6" s="418">
        <f t="shared" si="9"/>
        <v>20414258.713548001</v>
      </c>
      <c r="T6" s="418">
        <f t="shared" si="10"/>
        <v>0</v>
      </c>
      <c r="V6" s="418" t="str">
        <f t="shared" si="11"/>
        <v>AMI Meters and Modules Deployment - Common</v>
      </c>
      <c r="W6" s="418" t="str">
        <f t="shared" si="12"/>
        <v>C3974 CMN Comm Equip, AMI Network</v>
      </c>
      <c r="X6" s="418" t="str">
        <f t="shared" si="1"/>
        <v>Programmatic</v>
      </c>
      <c r="Y6" s="418" t="str">
        <f t="shared" si="13"/>
        <v>101-C397</v>
      </c>
      <c r="Z6" s="418">
        <f t="shared" si="14"/>
        <v>0</v>
      </c>
      <c r="AA6" s="418">
        <f t="shared" si="15"/>
        <v>10544580.706452001</v>
      </c>
      <c r="AB6" s="418">
        <f t="shared" si="16"/>
        <v>10544580.706452001</v>
      </c>
      <c r="AC6" s="418">
        <f t="shared" si="17"/>
        <v>10544580.706452001</v>
      </c>
      <c r="AD6" s="418">
        <f t="shared" si="18"/>
        <v>0</v>
      </c>
      <c r="AE6" s="413">
        <f t="shared" si="19"/>
        <v>0</v>
      </c>
    </row>
    <row r="7" spans="1:31" x14ac:dyDescent="0.3">
      <c r="A7" s="415" t="s">
        <v>1612</v>
      </c>
      <c r="B7" s="418" t="s">
        <v>1711</v>
      </c>
      <c r="C7" s="418" t="s">
        <v>1168</v>
      </c>
      <c r="D7" s="418" t="str">
        <f t="shared" si="2"/>
        <v>101-E364</v>
      </c>
      <c r="E7" s="418">
        <v>0</v>
      </c>
      <c r="F7" s="418">
        <v>162665.06</v>
      </c>
      <c r="G7" s="418">
        <v>1200840.1200000001</v>
      </c>
      <c r="H7" s="418">
        <v>25078866.559999999</v>
      </c>
      <c r="I7" s="418">
        <v>0</v>
      </c>
      <c r="J7" s="413">
        <v>0</v>
      </c>
      <c r="L7" s="418" t="str">
        <f t="shared" si="3"/>
        <v>AMI Meters and Modules Deployment - Electric</v>
      </c>
      <c r="M7" s="418" t="str">
        <f t="shared" si="4"/>
        <v>E3640 DST Poles/Towers/Fixtures</v>
      </c>
      <c r="N7" s="418" t="str">
        <f t="shared" si="0"/>
        <v>Programmatic</v>
      </c>
      <c r="O7" s="418" t="str">
        <f t="shared" si="5"/>
        <v>101-E364</v>
      </c>
      <c r="P7" s="418">
        <f t="shared" si="6"/>
        <v>0</v>
      </c>
      <c r="Q7" s="418">
        <f t="shared" si="7"/>
        <v>162665.06</v>
      </c>
      <c r="R7" s="418">
        <f t="shared" si="8"/>
        <v>1200840.1200000001</v>
      </c>
      <c r="S7" s="418">
        <f t="shared" si="9"/>
        <v>25078866.559999999</v>
      </c>
      <c r="T7" s="418">
        <f t="shared" si="10"/>
        <v>0</v>
      </c>
      <c r="V7" s="418" t="str">
        <f t="shared" si="11"/>
        <v>AMI Meters and Modules Deployment - Electric</v>
      </c>
      <c r="W7" s="418" t="str">
        <f t="shared" si="12"/>
        <v>E3640 DST Poles/Towers/Fixtures</v>
      </c>
      <c r="X7" s="418" t="str">
        <f t="shared" si="1"/>
        <v>Programmatic</v>
      </c>
      <c r="Y7" s="418" t="str">
        <f t="shared" si="13"/>
        <v>101-E364</v>
      </c>
      <c r="Z7" s="418">
        <f t="shared" si="14"/>
        <v>0</v>
      </c>
      <c r="AA7" s="418">
        <f t="shared" si="15"/>
        <v>0</v>
      </c>
      <c r="AB7" s="418">
        <f t="shared" si="16"/>
        <v>0</v>
      </c>
      <c r="AC7" s="418">
        <f t="shared" si="17"/>
        <v>0</v>
      </c>
      <c r="AD7" s="418">
        <f t="shared" si="18"/>
        <v>0</v>
      </c>
      <c r="AE7" s="413">
        <f t="shared" si="19"/>
        <v>0</v>
      </c>
    </row>
    <row r="8" spans="1:31" x14ac:dyDescent="0.3">
      <c r="A8" s="415" t="s">
        <v>1612</v>
      </c>
      <c r="B8" s="418" t="s">
        <v>1720</v>
      </c>
      <c r="C8" s="418" t="s">
        <v>1168</v>
      </c>
      <c r="D8" s="418" t="str">
        <f t="shared" si="2"/>
        <v>101-E365</v>
      </c>
      <c r="E8" s="418">
        <v>0</v>
      </c>
      <c r="F8" s="418">
        <v>46679.43</v>
      </c>
      <c r="G8" s="418">
        <v>314596.56</v>
      </c>
      <c r="H8" s="418">
        <v>6476690.5200000005</v>
      </c>
      <c r="I8" s="418">
        <v>0</v>
      </c>
      <c r="J8" s="413">
        <v>0</v>
      </c>
      <c r="L8" s="418" t="str">
        <f t="shared" si="3"/>
        <v>AMI Meters and Modules Deployment - Electric</v>
      </c>
      <c r="M8" s="418" t="str">
        <f t="shared" si="4"/>
        <v>E3650 DST O/H Conductor/Devices</v>
      </c>
      <c r="N8" s="418" t="str">
        <f t="shared" si="0"/>
        <v>Programmatic</v>
      </c>
      <c r="O8" s="418" t="str">
        <f t="shared" si="5"/>
        <v>101-E365</v>
      </c>
      <c r="P8" s="418">
        <f t="shared" si="6"/>
        <v>0</v>
      </c>
      <c r="Q8" s="418">
        <f t="shared" si="7"/>
        <v>46679.43</v>
      </c>
      <c r="R8" s="418">
        <f t="shared" si="8"/>
        <v>314596.56</v>
      </c>
      <c r="S8" s="418">
        <f t="shared" si="9"/>
        <v>6476690.5200000005</v>
      </c>
      <c r="T8" s="418">
        <f t="shared" si="10"/>
        <v>0</v>
      </c>
      <c r="V8" s="418" t="str">
        <f t="shared" si="11"/>
        <v>AMI Meters and Modules Deployment - Electric</v>
      </c>
      <c r="W8" s="418" t="str">
        <f t="shared" si="12"/>
        <v>E3650 DST O/H Conductor/Devices</v>
      </c>
      <c r="X8" s="418" t="str">
        <f t="shared" si="1"/>
        <v>Programmatic</v>
      </c>
      <c r="Y8" s="418" t="str">
        <f t="shared" si="13"/>
        <v>101-E365</v>
      </c>
      <c r="Z8" s="418">
        <f t="shared" si="14"/>
        <v>0</v>
      </c>
      <c r="AA8" s="418">
        <f t="shared" si="15"/>
        <v>0</v>
      </c>
      <c r="AB8" s="418">
        <f t="shared" si="16"/>
        <v>0</v>
      </c>
      <c r="AC8" s="418">
        <f t="shared" si="17"/>
        <v>0</v>
      </c>
      <c r="AD8" s="418">
        <f t="shared" si="18"/>
        <v>0</v>
      </c>
      <c r="AE8" s="413">
        <f t="shared" si="19"/>
        <v>0</v>
      </c>
    </row>
    <row r="9" spans="1:31" x14ac:dyDescent="0.3">
      <c r="A9" s="415" t="s">
        <v>1612</v>
      </c>
      <c r="B9" s="418" t="s">
        <v>1780</v>
      </c>
      <c r="C9" s="418" t="s">
        <v>1168</v>
      </c>
      <c r="D9" s="418" t="str">
        <f t="shared" si="2"/>
        <v>101-E368</v>
      </c>
      <c r="E9" s="418">
        <v>0</v>
      </c>
      <c r="F9" s="418">
        <v>1077563.47</v>
      </c>
      <c r="G9" s="418">
        <v>1429203.34</v>
      </c>
      <c r="H9" s="418">
        <v>9516920.3600000013</v>
      </c>
      <c r="I9" s="418">
        <v>0</v>
      </c>
      <c r="J9" s="413">
        <v>0</v>
      </c>
      <c r="L9" s="418" t="str">
        <f t="shared" si="3"/>
        <v>AMI Meters and Modules Deployment - Electric</v>
      </c>
      <c r="M9" s="418" t="str">
        <f t="shared" si="4"/>
        <v>E368 DST Line Transformers</v>
      </c>
      <c r="N9" s="418" t="str">
        <f t="shared" si="0"/>
        <v>Programmatic</v>
      </c>
      <c r="O9" s="418" t="str">
        <f t="shared" si="5"/>
        <v>101-E368</v>
      </c>
      <c r="P9" s="418">
        <f t="shared" si="6"/>
        <v>0</v>
      </c>
      <c r="Q9" s="418">
        <f t="shared" si="7"/>
        <v>1077563.47</v>
      </c>
      <c r="R9" s="418">
        <f t="shared" si="8"/>
        <v>1429203.34</v>
      </c>
      <c r="S9" s="418">
        <f t="shared" si="9"/>
        <v>9516920.3600000013</v>
      </c>
      <c r="T9" s="418">
        <f t="shared" si="10"/>
        <v>0</v>
      </c>
      <c r="V9" s="418" t="str">
        <f t="shared" si="11"/>
        <v>AMI Meters and Modules Deployment - Electric</v>
      </c>
      <c r="W9" s="418" t="str">
        <f t="shared" si="12"/>
        <v>E368 DST Line Transformers</v>
      </c>
      <c r="X9" s="418" t="str">
        <f t="shared" si="1"/>
        <v>Programmatic</v>
      </c>
      <c r="Y9" s="418" t="str">
        <f t="shared" si="13"/>
        <v>101-E368</v>
      </c>
      <c r="Z9" s="418">
        <f t="shared" si="14"/>
        <v>0</v>
      </c>
      <c r="AA9" s="418">
        <f t="shared" si="15"/>
        <v>0</v>
      </c>
      <c r="AB9" s="418">
        <f t="shared" si="16"/>
        <v>0</v>
      </c>
      <c r="AC9" s="418">
        <f t="shared" si="17"/>
        <v>0</v>
      </c>
      <c r="AD9" s="418">
        <f t="shared" si="18"/>
        <v>0</v>
      </c>
      <c r="AE9" s="413">
        <f t="shared" si="19"/>
        <v>0</v>
      </c>
    </row>
    <row r="10" spans="1:31" x14ac:dyDescent="0.3">
      <c r="A10" s="415" t="s">
        <v>1612</v>
      </c>
      <c r="B10" s="418" t="s">
        <v>1778</v>
      </c>
      <c r="C10" s="418" t="s">
        <v>1168</v>
      </c>
      <c r="D10" s="418" t="str">
        <f t="shared" si="2"/>
        <v>101-E370</v>
      </c>
      <c r="E10" s="418">
        <v>0</v>
      </c>
      <c r="F10" s="418">
        <v>0</v>
      </c>
      <c r="G10" s="418">
        <v>2670563.79</v>
      </c>
      <c r="H10" s="418">
        <v>64093530.920000002</v>
      </c>
      <c r="I10" s="418">
        <v>0</v>
      </c>
      <c r="J10" s="413">
        <v>0</v>
      </c>
      <c r="L10" s="418" t="str">
        <f t="shared" si="3"/>
        <v>AMI Meters and Modules Deployment - Electric</v>
      </c>
      <c r="M10" s="418" t="str">
        <f t="shared" si="4"/>
        <v>E3701 DST Meters AMI</v>
      </c>
      <c r="N10" s="418" t="str">
        <f t="shared" si="0"/>
        <v>Programmatic</v>
      </c>
      <c r="O10" s="418" t="str">
        <f t="shared" si="5"/>
        <v>101-E370</v>
      </c>
      <c r="P10" s="418">
        <f t="shared" si="6"/>
        <v>0</v>
      </c>
      <c r="Q10" s="418">
        <f t="shared" si="7"/>
        <v>0</v>
      </c>
      <c r="R10" s="418">
        <f t="shared" si="8"/>
        <v>2670563.79</v>
      </c>
      <c r="S10" s="418">
        <f t="shared" si="9"/>
        <v>64093530.920000002</v>
      </c>
      <c r="T10" s="418">
        <f t="shared" si="10"/>
        <v>0</v>
      </c>
      <c r="V10" s="418" t="str">
        <f t="shared" si="11"/>
        <v>AMI Meters and Modules Deployment - Electric</v>
      </c>
      <c r="W10" s="418" t="str">
        <f t="shared" si="12"/>
        <v>E3701 DST Meters AMI</v>
      </c>
      <c r="X10" s="418" t="str">
        <f t="shared" si="1"/>
        <v>Programmatic</v>
      </c>
      <c r="Y10" s="418" t="str">
        <f t="shared" si="13"/>
        <v>101-E370</v>
      </c>
      <c r="Z10" s="418">
        <f t="shared" si="14"/>
        <v>0</v>
      </c>
      <c r="AA10" s="418">
        <f t="shared" si="15"/>
        <v>0</v>
      </c>
      <c r="AB10" s="418">
        <f t="shared" si="16"/>
        <v>0</v>
      </c>
      <c r="AC10" s="418">
        <f t="shared" si="17"/>
        <v>0</v>
      </c>
      <c r="AD10" s="418">
        <f t="shared" si="18"/>
        <v>0</v>
      </c>
      <c r="AE10" s="413">
        <f t="shared" si="19"/>
        <v>0</v>
      </c>
    </row>
    <row r="11" spans="1:31" x14ac:dyDescent="0.3">
      <c r="A11" s="415" t="s">
        <v>1612</v>
      </c>
      <c r="B11" s="418" t="s">
        <v>1776</v>
      </c>
      <c r="C11" s="418" t="s">
        <v>1168</v>
      </c>
      <c r="D11" s="418" t="str">
        <f t="shared" si="2"/>
        <v>101-E373</v>
      </c>
      <c r="E11" s="418">
        <v>0</v>
      </c>
      <c r="F11" s="418">
        <v>2606.0500000000002</v>
      </c>
      <c r="G11" s="418">
        <v>19350.599999999999</v>
      </c>
      <c r="H11" s="418">
        <v>404475.21</v>
      </c>
      <c r="I11" s="418">
        <v>0</v>
      </c>
      <c r="J11" s="413">
        <v>0</v>
      </c>
      <c r="L11" s="418" t="str">
        <f t="shared" si="3"/>
        <v>AMI Meters and Modules Deployment - Electric</v>
      </c>
      <c r="M11" s="418" t="str">
        <f t="shared" si="4"/>
        <v>E373 DST Street Lighting &amp; Signal</v>
      </c>
      <c r="N11" s="418" t="str">
        <f t="shared" si="0"/>
        <v>Programmatic</v>
      </c>
      <c r="O11" s="418" t="str">
        <f t="shared" si="5"/>
        <v>101-E373</v>
      </c>
      <c r="P11" s="418">
        <f t="shared" si="6"/>
        <v>0</v>
      </c>
      <c r="Q11" s="418">
        <f t="shared" si="7"/>
        <v>2606.0500000000002</v>
      </c>
      <c r="R11" s="418">
        <f t="shared" si="8"/>
        <v>19350.599999999999</v>
      </c>
      <c r="S11" s="418">
        <f t="shared" si="9"/>
        <v>404475.21</v>
      </c>
      <c r="T11" s="418">
        <f t="shared" si="10"/>
        <v>0</v>
      </c>
      <c r="V11" s="418" t="str">
        <f t="shared" si="11"/>
        <v>AMI Meters and Modules Deployment - Electric</v>
      </c>
      <c r="W11" s="418" t="str">
        <f t="shared" si="12"/>
        <v>E373 DST Street Lighting &amp; Signal</v>
      </c>
      <c r="X11" s="418" t="str">
        <f t="shared" si="1"/>
        <v>Programmatic</v>
      </c>
      <c r="Y11" s="418" t="str">
        <f t="shared" si="13"/>
        <v>101-E373</v>
      </c>
      <c r="Z11" s="418">
        <f t="shared" si="14"/>
        <v>0</v>
      </c>
      <c r="AA11" s="418">
        <f t="shared" si="15"/>
        <v>0</v>
      </c>
      <c r="AB11" s="418">
        <f t="shared" si="16"/>
        <v>0</v>
      </c>
      <c r="AC11" s="418">
        <f t="shared" si="17"/>
        <v>0</v>
      </c>
      <c r="AD11" s="418">
        <f t="shared" si="18"/>
        <v>0</v>
      </c>
      <c r="AE11" s="413">
        <f t="shared" si="19"/>
        <v>0</v>
      </c>
    </row>
    <row r="12" spans="1:31" x14ac:dyDescent="0.3">
      <c r="A12" s="415" t="s">
        <v>1611</v>
      </c>
      <c r="B12" s="418" t="s">
        <v>1745</v>
      </c>
      <c r="C12" s="418" t="s">
        <v>1168</v>
      </c>
      <c r="D12" s="418" t="str">
        <f t="shared" si="2"/>
        <v>101-G375</v>
      </c>
      <c r="E12" s="418">
        <v>0</v>
      </c>
      <c r="F12" s="418">
        <v>0</v>
      </c>
      <c r="G12" s="418">
        <v>5998.24</v>
      </c>
      <c r="H12" s="418">
        <v>143957.81</v>
      </c>
      <c r="I12" s="418">
        <v>0</v>
      </c>
      <c r="J12" s="413">
        <v>0</v>
      </c>
      <c r="L12" s="418" t="str">
        <f t="shared" si="3"/>
        <v>AMI Meters and Modules Deployment - Gas</v>
      </c>
      <c r="M12" s="418" t="str">
        <f t="shared" si="4"/>
        <v>G3750 DST Structures &amp; Improvements</v>
      </c>
      <c r="N12" s="418" t="str">
        <f t="shared" si="0"/>
        <v>Programmatic</v>
      </c>
      <c r="O12" s="418" t="str">
        <f t="shared" si="5"/>
        <v>101-G375</v>
      </c>
      <c r="P12" s="418">
        <f t="shared" si="6"/>
        <v>0</v>
      </c>
      <c r="Q12" s="418">
        <f t="shared" si="7"/>
        <v>0</v>
      </c>
      <c r="R12" s="418">
        <f t="shared" si="8"/>
        <v>0</v>
      </c>
      <c r="S12" s="418">
        <f t="shared" si="9"/>
        <v>0</v>
      </c>
      <c r="T12" s="418">
        <f t="shared" si="10"/>
        <v>0</v>
      </c>
      <c r="V12" s="418" t="str">
        <f t="shared" si="11"/>
        <v>AMI Meters and Modules Deployment - Gas</v>
      </c>
      <c r="W12" s="418" t="str">
        <f t="shared" si="12"/>
        <v>G3750 DST Structures &amp; Improvements</v>
      </c>
      <c r="X12" s="418" t="str">
        <f t="shared" si="1"/>
        <v>Programmatic</v>
      </c>
      <c r="Y12" s="418" t="str">
        <f t="shared" si="13"/>
        <v>101-G375</v>
      </c>
      <c r="Z12" s="418">
        <f t="shared" si="14"/>
        <v>0</v>
      </c>
      <c r="AA12" s="418">
        <f t="shared" si="15"/>
        <v>0</v>
      </c>
      <c r="AB12" s="418">
        <f t="shared" si="16"/>
        <v>5998.24</v>
      </c>
      <c r="AC12" s="418">
        <f t="shared" si="17"/>
        <v>143957.81</v>
      </c>
      <c r="AD12" s="418">
        <f t="shared" si="18"/>
        <v>0</v>
      </c>
      <c r="AE12" s="413">
        <f t="shared" si="19"/>
        <v>0</v>
      </c>
    </row>
    <row r="13" spans="1:31" x14ac:dyDescent="0.3">
      <c r="A13" s="415" t="s">
        <v>1611</v>
      </c>
      <c r="B13" s="418" t="s">
        <v>1736</v>
      </c>
      <c r="C13" s="418" t="s">
        <v>1168</v>
      </c>
      <c r="D13" s="418" t="str">
        <f t="shared" si="2"/>
        <v>101-G381</v>
      </c>
      <c r="E13" s="418">
        <v>0</v>
      </c>
      <c r="F13" s="418">
        <v>0</v>
      </c>
      <c r="G13" s="418">
        <v>320.51</v>
      </c>
      <c r="H13" s="418">
        <v>7692.15</v>
      </c>
      <c r="I13" s="418">
        <v>0</v>
      </c>
      <c r="J13" s="413">
        <v>0</v>
      </c>
      <c r="L13" s="418" t="str">
        <f t="shared" si="3"/>
        <v>AMI Meters and Modules Deployment - Gas</v>
      </c>
      <c r="M13" s="418" t="str">
        <f t="shared" si="4"/>
        <v>G3812 DST Modules, AMI</v>
      </c>
      <c r="N13" s="418" t="str">
        <f t="shared" si="0"/>
        <v>Programmatic</v>
      </c>
      <c r="O13" s="418" t="str">
        <f t="shared" si="5"/>
        <v>101-G381</v>
      </c>
      <c r="P13" s="418">
        <f t="shared" si="6"/>
        <v>0</v>
      </c>
      <c r="Q13" s="418">
        <f t="shared" si="7"/>
        <v>0</v>
      </c>
      <c r="R13" s="418">
        <f t="shared" si="8"/>
        <v>0</v>
      </c>
      <c r="S13" s="418">
        <f t="shared" si="9"/>
        <v>0</v>
      </c>
      <c r="T13" s="418">
        <f t="shared" si="10"/>
        <v>0</v>
      </c>
      <c r="V13" s="418" t="str">
        <f t="shared" si="11"/>
        <v>AMI Meters and Modules Deployment - Gas</v>
      </c>
      <c r="W13" s="418" t="str">
        <f t="shared" si="12"/>
        <v>G3812 DST Modules, AMI</v>
      </c>
      <c r="X13" s="418" t="str">
        <f t="shared" si="1"/>
        <v>Programmatic</v>
      </c>
      <c r="Y13" s="418" t="str">
        <f t="shared" si="13"/>
        <v>101-G381</v>
      </c>
      <c r="Z13" s="418">
        <f t="shared" si="14"/>
        <v>0</v>
      </c>
      <c r="AA13" s="418">
        <f t="shared" si="15"/>
        <v>0</v>
      </c>
      <c r="AB13" s="418">
        <f t="shared" si="16"/>
        <v>320.51</v>
      </c>
      <c r="AC13" s="418">
        <f t="shared" si="17"/>
        <v>7692.15</v>
      </c>
      <c r="AD13" s="418">
        <f t="shared" si="18"/>
        <v>0</v>
      </c>
      <c r="AE13" s="413">
        <f t="shared" si="19"/>
        <v>0</v>
      </c>
    </row>
    <row r="14" spans="1:31" x14ac:dyDescent="0.3">
      <c r="A14" s="415" t="s">
        <v>1611</v>
      </c>
      <c r="B14" s="418" t="s">
        <v>1735</v>
      </c>
      <c r="C14" s="418" t="s">
        <v>1168</v>
      </c>
      <c r="D14" s="418" t="str">
        <f t="shared" si="2"/>
        <v>101-G382</v>
      </c>
      <c r="E14" s="418">
        <v>0</v>
      </c>
      <c r="F14" s="418">
        <v>0</v>
      </c>
      <c r="G14" s="418">
        <v>72392.72</v>
      </c>
      <c r="H14" s="418">
        <v>1737425.29</v>
      </c>
      <c r="I14" s="418">
        <v>0</v>
      </c>
      <c r="J14" s="413">
        <v>0</v>
      </c>
      <c r="L14" s="418" t="str">
        <f t="shared" si="3"/>
        <v>AMI Meters and Modules Deployment - Gas</v>
      </c>
      <c r="M14" s="418" t="str">
        <f t="shared" si="4"/>
        <v>G3820 DST Meter Installations (AMR)</v>
      </c>
      <c r="N14" s="418" t="str">
        <f t="shared" si="0"/>
        <v>Programmatic</v>
      </c>
      <c r="O14" s="418" t="str">
        <f t="shared" si="5"/>
        <v>101-G382</v>
      </c>
      <c r="P14" s="418">
        <f t="shared" si="6"/>
        <v>0</v>
      </c>
      <c r="Q14" s="418">
        <f t="shared" si="7"/>
        <v>0</v>
      </c>
      <c r="R14" s="418">
        <f t="shared" si="8"/>
        <v>0</v>
      </c>
      <c r="S14" s="418">
        <f t="shared" si="9"/>
        <v>0</v>
      </c>
      <c r="T14" s="418">
        <f t="shared" si="10"/>
        <v>0</v>
      </c>
      <c r="V14" s="418" t="str">
        <f t="shared" si="11"/>
        <v>AMI Meters and Modules Deployment - Gas</v>
      </c>
      <c r="W14" s="418" t="str">
        <f t="shared" si="12"/>
        <v>G3820 DST Meter Installations (AMR)</v>
      </c>
      <c r="X14" s="418" t="str">
        <f t="shared" si="1"/>
        <v>Programmatic</v>
      </c>
      <c r="Y14" s="418" t="str">
        <f t="shared" si="13"/>
        <v>101-G382</v>
      </c>
      <c r="Z14" s="418">
        <f t="shared" si="14"/>
        <v>0</v>
      </c>
      <c r="AA14" s="418">
        <f t="shared" si="15"/>
        <v>0</v>
      </c>
      <c r="AB14" s="418">
        <f t="shared" si="16"/>
        <v>72392.72</v>
      </c>
      <c r="AC14" s="418">
        <f t="shared" si="17"/>
        <v>1737425.29</v>
      </c>
      <c r="AD14" s="418">
        <f t="shared" si="18"/>
        <v>0</v>
      </c>
      <c r="AE14" s="413">
        <f t="shared" si="19"/>
        <v>0</v>
      </c>
    </row>
    <row r="15" spans="1:31" x14ac:dyDescent="0.3">
      <c r="A15" s="415" t="s">
        <v>1611</v>
      </c>
      <c r="B15" s="418" t="s">
        <v>1734</v>
      </c>
      <c r="C15" s="418" t="s">
        <v>1168</v>
      </c>
      <c r="D15" s="418" t="str">
        <f t="shared" si="2"/>
        <v>101-G382</v>
      </c>
      <c r="E15" s="418">
        <v>0</v>
      </c>
      <c r="F15" s="418">
        <v>0</v>
      </c>
      <c r="G15" s="418">
        <v>2533028.64</v>
      </c>
      <c r="H15" s="418">
        <v>60792687.280000001</v>
      </c>
      <c r="I15" s="418">
        <v>0</v>
      </c>
      <c r="J15" s="413">
        <v>0</v>
      </c>
      <c r="L15" s="418" t="str">
        <f t="shared" si="3"/>
        <v>AMI Meters and Modules Deployment - Gas</v>
      </c>
      <c r="M15" s="418" t="str">
        <f t="shared" si="4"/>
        <v>G3822 DST Module Installations, AMI</v>
      </c>
      <c r="N15" s="418" t="str">
        <f t="shared" si="0"/>
        <v>Programmatic</v>
      </c>
      <c r="O15" s="418" t="str">
        <f t="shared" si="5"/>
        <v>101-G382</v>
      </c>
      <c r="P15" s="418">
        <f t="shared" si="6"/>
        <v>0</v>
      </c>
      <c r="Q15" s="418">
        <f t="shared" si="7"/>
        <v>0</v>
      </c>
      <c r="R15" s="418">
        <f t="shared" si="8"/>
        <v>0</v>
      </c>
      <c r="S15" s="418">
        <f t="shared" si="9"/>
        <v>0</v>
      </c>
      <c r="T15" s="418">
        <f t="shared" si="10"/>
        <v>0</v>
      </c>
      <c r="V15" s="418" t="str">
        <f t="shared" si="11"/>
        <v>AMI Meters and Modules Deployment - Gas</v>
      </c>
      <c r="W15" s="418" t="str">
        <f t="shared" si="12"/>
        <v>G3822 DST Module Installations, AMI</v>
      </c>
      <c r="X15" s="418" t="str">
        <f t="shared" si="1"/>
        <v>Programmatic</v>
      </c>
      <c r="Y15" s="418" t="str">
        <f t="shared" si="13"/>
        <v>101-G382</v>
      </c>
      <c r="Z15" s="418">
        <f t="shared" si="14"/>
        <v>0</v>
      </c>
      <c r="AA15" s="418">
        <f t="shared" si="15"/>
        <v>0</v>
      </c>
      <c r="AB15" s="418">
        <f t="shared" si="16"/>
        <v>2533028.64</v>
      </c>
      <c r="AC15" s="418">
        <f t="shared" si="17"/>
        <v>60792687.280000001</v>
      </c>
      <c r="AD15" s="418">
        <f t="shared" si="18"/>
        <v>0</v>
      </c>
      <c r="AE15" s="413">
        <f t="shared" si="19"/>
        <v>0</v>
      </c>
    </row>
    <row r="16" spans="1:31" x14ac:dyDescent="0.3">
      <c r="A16" s="415" t="s">
        <v>1611</v>
      </c>
      <c r="B16" s="418" t="s">
        <v>1939</v>
      </c>
      <c r="C16" s="418" t="s">
        <v>1168</v>
      </c>
      <c r="D16" s="418" t="str">
        <f t="shared" si="2"/>
        <v>101-G391</v>
      </c>
      <c r="E16" s="418">
        <v>0</v>
      </c>
      <c r="F16" s="418">
        <v>0</v>
      </c>
      <c r="G16" s="418">
        <v>1176.1300000000001</v>
      </c>
      <c r="H16" s="418">
        <v>28227.02</v>
      </c>
      <c r="I16" s="418">
        <v>0</v>
      </c>
      <c r="J16" s="413">
        <v>0</v>
      </c>
      <c r="L16" s="418" t="str">
        <f t="shared" si="3"/>
        <v>AMI Meters and Modules Deployment - Gas</v>
      </c>
      <c r="M16" s="418" t="str">
        <f t="shared" si="4"/>
        <v>G3911 GEN Office Furn &amp; Eq, new</v>
      </c>
      <c r="N16" s="418" t="str">
        <f t="shared" si="0"/>
        <v>Programmatic</v>
      </c>
      <c r="O16" s="418" t="str">
        <f t="shared" si="5"/>
        <v>101-G391</v>
      </c>
      <c r="P16" s="418">
        <f t="shared" si="6"/>
        <v>0</v>
      </c>
      <c r="Q16" s="418">
        <f t="shared" si="7"/>
        <v>0</v>
      </c>
      <c r="R16" s="418">
        <f t="shared" si="8"/>
        <v>0</v>
      </c>
      <c r="S16" s="418">
        <f t="shared" si="9"/>
        <v>0</v>
      </c>
      <c r="T16" s="418">
        <f t="shared" si="10"/>
        <v>0</v>
      </c>
      <c r="V16" s="418" t="str">
        <f t="shared" si="11"/>
        <v>AMI Meters and Modules Deployment - Gas</v>
      </c>
      <c r="W16" s="418" t="str">
        <f t="shared" si="12"/>
        <v>G3911 GEN Office Furn &amp; Eq, new</v>
      </c>
      <c r="X16" s="418" t="str">
        <f t="shared" si="1"/>
        <v>Programmatic</v>
      </c>
      <c r="Y16" s="418" t="str">
        <f t="shared" si="13"/>
        <v>101-G391</v>
      </c>
      <c r="Z16" s="418">
        <f t="shared" si="14"/>
        <v>0</v>
      </c>
      <c r="AA16" s="418">
        <f t="shared" si="15"/>
        <v>0</v>
      </c>
      <c r="AB16" s="418">
        <f t="shared" si="16"/>
        <v>1176.1300000000001</v>
      </c>
      <c r="AC16" s="418">
        <f t="shared" si="17"/>
        <v>28227.02</v>
      </c>
      <c r="AD16" s="418">
        <f t="shared" si="18"/>
        <v>0</v>
      </c>
      <c r="AE16" s="413">
        <f t="shared" si="19"/>
        <v>0</v>
      </c>
    </row>
    <row r="17" spans="1:31" x14ac:dyDescent="0.3">
      <c r="A17" s="415" t="s">
        <v>1611</v>
      </c>
      <c r="B17" s="418" t="s">
        <v>1728</v>
      </c>
      <c r="C17" s="418" t="s">
        <v>1168</v>
      </c>
      <c r="D17" s="418" t="str">
        <f t="shared" si="2"/>
        <v>101-G391</v>
      </c>
      <c r="E17" s="418">
        <v>0</v>
      </c>
      <c r="F17" s="418">
        <v>0</v>
      </c>
      <c r="G17" s="418">
        <v>3807.16</v>
      </c>
      <c r="H17" s="418">
        <v>91371.92</v>
      </c>
      <c r="I17" s="418">
        <v>0</v>
      </c>
      <c r="J17" s="413">
        <v>0</v>
      </c>
      <c r="L17" s="418" t="str">
        <f t="shared" si="3"/>
        <v>AMI Meters and Modules Deployment - Gas</v>
      </c>
      <c r="M17" s="418" t="str">
        <f t="shared" si="4"/>
        <v>G3912 GEN Computer Eq, new</v>
      </c>
      <c r="N17" s="418" t="str">
        <f t="shared" si="0"/>
        <v>Programmatic</v>
      </c>
      <c r="O17" s="418" t="str">
        <f t="shared" si="5"/>
        <v>101-G391</v>
      </c>
      <c r="P17" s="418">
        <f t="shared" si="6"/>
        <v>0</v>
      </c>
      <c r="Q17" s="418">
        <f t="shared" si="7"/>
        <v>0</v>
      </c>
      <c r="R17" s="418">
        <f t="shared" si="8"/>
        <v>0</v>
      </c>
      <c r="S17" s="418">
        <f t="shared" si="9"/>
        <v>0</v>
      </c>
      <c r="T17" s="418">
        <f t="shared" si="10"/>
        <v>0</v>
      </c>
      <c r="V17" s="418" t="str">
        <f t="shared" si="11"/>
        <v>AMI Meters and Modules Deployment - Gas</v>
      </c>
      <c r="W17" s="418" t="str">
        <f t="shared" si="12"/>
        <v>G3912 GEN Computer Eq, new</v>
      </c>
      <c r="X17" s="418" t="str">
        <f t="shared" si="1"/>
        <v>Programmatic</v>
      </c>
      <c r="Y17" s="418" t="str">
        <f t="shared" si="13"/>
        <v>101-G391</v>
      </c>
      <c r="Z17" s="418">
        <f t="shared" si="14"/>
        <v>0</v>
      </c>
      <c r="AA17" s="418">
        <f t="shared" si="15"/>
        <v>0</v>
      </c>
      <c r="AB17" s="418">
        <f t="shared" si="16"/>
        <v>3807.16</v>
      </c>
      <c r="AC17" s="418">
        <f t="shared" si="17"/>
        <v>91371.92</v>
      </c>
      <c r="AD17" s="418">
        <f t="shared" si="18"/>
        <v>0</v>
      </c>
      <c r="AE17" s="413">
        <f t="shared" si="19"/>
        <v>0</v>
      </c>
    </row>
    <row r="18" spans="1:31" x14ac:dyDescent="0.3">
      <c r="A18" s="418" t="s">
        <v>1</v>
      </c>
      <c r="B18" s="418" t="s">
        <v>1715</v>
      </c>
      <c r="C18" s="418" t="s">
        <v>1181</v>
      </c>
      <c r="D18" s="418" t="str">
        <f t="shared" si="2"/>
        <v>101-E353</v>
      </c>
      <c r="E18" s="418">
        <v>0</v>
      </c>
      <c r="F18" s="418">
        <v>2708991.58</v>
      </c>
      <c r="G18" s="418">
        <v>2901291.46</v>
      </c>
      <c r="H18" s="418">
        <v>5755342.4800000004</v>
      </c>
      <c r="I18" s="418">
        <v>0</v>
      </c>
      <c r="J18" s="413">
        <v>0</v>
      </c>
      <c r="L18" s="418" t="str">
        <f t="shared" si="3"/>
        <v>Bainbridge Tlines Trans</v>
      </c>
      <c r="M18" s="418" t="str">
        <f t="shared" si="4"/>
        <v>E3536 TSM Substation Equipment</v>
      </c>
      <c r="N18" s="418" t="str">
        <f t="shared" si="0"/>
        <v>Specific</v>
      </c>
      <c r="O18" s="418" t="str">
        <f t="shared" si="5"/>
        <v>101-E353</v>
      </c>
      <c r="P18" s="418">
        <f t="shared" si="6"/>
        <v>0</v>
      </c>
      <c r="Q18" s="418">
        <f t="shared" si="7"/>
        <v>2708991.58</v>
      </c>
      <c r="R18" s="418">
        <f t="shared" si="8"/>
        <v>2901291.46</v>
      </c>
      <c r="S18" s="418">
        <f t="shared" si="9"/>
        <v>5755342.4800000004</v>
      </c>
      <c r="T18" s="418">
        <f t="shared" si="10"/>
        <v>0</v>
      </c>
      <c r="V18" s="418" t="str">
        <f t="shared" si="11"/>
        <v>Bainbridge Tlines Trans</v>
      </c>
      <c r="W18" s="418" t="str">
        <f t="shared" si="12"/>
        <v>E3536 TSM Substation Equipment</v>
      </c>
      <c r="X18" s="418" t="str">
        <f t="shared" si="1"/>
        <v>Specific</v>
      </c>
      <c r="Y18" s="418" t="str">
        <f t="shared" si="13"/>
        <v>101-E353</v>
      </c>
      <c r="Z18" s="418">
        <f t="shared" si="14"/>
        <v>0</v>
      </c>
      <c r="AA18" s="418">
        <f t="shared" si="15"/>
        <v>0</v>
      </c>
      <c r="AB18" s="418">
        <f t="shared" si="16"/>
        <v>0</v>
      </c>
      <c r="AC18" s="418">
        <f t="shared" si="17"/>
        <v>0</v>
      </c>
      <c r="AD18" s="418">
        <f t="shared" si="18"/>
        <v>0</v>
      </c>
      <c r="AE18" s="413">
        <f t="shared" si="19"/>
        <v>0</v>
      </c>
    </row>
    <row r="19" spans="1:31" x14ac:dyDescent="0.3">
      <c r="A19" s="418" t="s">
        <v>1</v>
      </c>
      <c r="B19" s="418" t="s">
        <v>1717</v>
      </c>
      <c r="C19" s="418" t="s">
        <v>1181</v>
      </c>
      <c r="D19" s="418" t="str">
        <f t="shared" si="2"/>
        <v>101-E355</v>
      </c>
      <c r="E19" s="418">
        <v>0</v>
      </c>
      <c r="F19" s="418">
        <v>2629315.36</v>
      </c>
      <c r="G19" s="418">
        <v>2815959.4</v>
      </c>
      <c r="H19" s="418">
        <v>5586067.79</v>
      </c>
      <c r="I19" s="418">
        <v>0</v>
      </c>
      <c r="J19" s="413">
        <v>0</v>
      </c>
      <c r="L19" s="418" t="str">
        <f t="shared" si="3"/>
        <v>Bainbridge Tlines Trans</v>
      </c>
      <c r="M19" s="418" t="str">
        <f t="shared" si="4"/>
        <v>E3556 TSM Poles</v>
      </c>
      <c r="N19" s="418" t="str">
        <f t="shared" si="0"/>
        <v>Specific</v>
      </c>
      <c r="O19" s="418" t="str">
        <f t="shared" si="5"/>
        <v>101-E355</v>
      </c>
      <c r="P19" s="418">
        <f t="shared" si="6"/>
        <v>0</v>
      </c>
      <c r="Q19" s="418">
        <f t="shared" si="7"/>
        <v>2629315.36</v>
      </c>
      <c r="R19" s="418">
        <f t="shared" si="8"/>
        <v>2815959.4</v>
      </c>
      <c r="S19" s="418">
        <f t="shared" si="9"/>
        <v>5586067.79</v>
      </c>
      <c r="T19" s="418">
        <f t="shared" si="10"/>
        <v>0</v>
      </c>
      <c r="V19" s="418" t="str">
        <f t="shared" si="11"/>
        <v>Bainbridge Tlines Trans</v>
      </c>
      <c r="W19" s="418" t="str">
        <f t="shared" si="12"/>
        <v>E3556 TSM Poles</v>
      </c>
      <c r="X19" s="418" t="str">
        <f t="shared" si="1"/>
        <v>Specific</v>
      </c>
      <c r="Y19" s="418" t="str">
        <f t="shared" si="13"/>
        <v>101-E355</v>
      </c>
      <c r="Z19" s="418">
        <f t="shared" si="14"/>
        <v>0</v>
      </c>
      <c r="AA19" s="418">
        <f t="shared" si="15"/>
        <v>0</v>
      </c>
      <c r="AB19" s="418">
        <f t="shared" si="16"/>
        <v>0</v>
      </c>
      <c r="AC19" s="418">
        <f t="shared" si="17"/>
        <v>0</v>
      </c>
      <c r="AD19" s="418">
        <f t="shared" si="18"/>
        <v>0</v>
      </c>
      <c r="AE19" s="413">
        <f t="shared" si="19"/>
        <v>0</v>
      </c>
    </row>
    <row r="20" spans="1:31" x14ac:dyDescent="0.3">
      <c r="A20" s="418" t="s">
        <v>1</v>
      </c>
      <c r="B20" s="418" t="s">
        <v>1788</v>
      </c>
      <c r="C20" s="418" t="s">
        <v>1181</v>
      </c>
      <c r="D20" s="418" t="str">
        <f t="shared" si="2"/>
        <v>101-E356</v>
      </c>
      <c r="E20" s="418">
        <v>0</v>
      </c>
      <c r="F20" s="418">
        <v>2629315.36</v>
      </c>
      <c r="G20" s="418">
        <v>2815959.4</v>
      </c>
      <c r="H20" s="418">
        <v>5586067.79</v>
      </c>
      <c r="I20" s="418">
        <v>0</v>
      </c>
      <c r="J20" s="413">
        <v>0</v>
      </c>
      <c r="L20" s="418" t="str">
        <f t="shared" si="3"/>
        <v>Bainbridge Tlines Trans</v>
      </c>
      <c r="M20" s="418" t="str">
        <f t="shared" si="4"/>
        <v>E3566 TSM O/H Conductor/Devices</v>
      </c>
      <c r="N20" s="418" t="str">
        <f t="shared" si="0"/>
        <v>Specific</v>
      </c>
      <c r="O20" s="418" t="str">
        <f t="shared" si="5"/>
        <v>101-E356</v>
      </c>
      <c r="P20" s="418">
        <f t="shared" si="6"/>
        <v>0</v>
      </c>
      <c r="Q20" s="418">
        <f t="shared" si="7"/>
        <v>2629315.36</v>
      </c>
      <c r="R20" s="418">
        <f t="shared" si="8"/>
        <v>2815959.4</v>
      </c>
      <c r="S20" s="418">
        <f t="shared" si="9"/>
        <v>5586067.79</v>
      </c>
      <c r="T20" s="418">
        <f t="shared" si="10"/>
        <v>0</v>
      </c>
      <c r="V20" s="418" t="str">
        <f t="shared" si="11"/>
        <v>Bainbridge Tlines Trans</v>
      </c>
      <c r="W20" s="418" t="str">
        <f t="shared" si="12"/>
        <v>E3566 TSM O/H Conductor/Devices</v>
      </c>
      <c r="X20" s="418" t="str">
        <f t="shared" si="1"/>
        <v>Specific</v>
      </c>
      <c r="Y20" s="418" t="str">
        <f t="shared" si="13"/>
        <v>101-E356</v>
      </c>
      <c r="Z20" s="418">
        <f t="shared" si="14"/>
        <v>0</v>
      </c>
      <c r="AA20" s="418">
        <f t="shared" si="15"/>
        <v>0</v>
      </c>
      <c r="AB20" s="418">
        <f t="shared" si="16"/>
        <v>0</v>
      </c>
      <c r="AC20" s="418">
        <f t="shared" si="17"/>
        <v>0</v>
      </c>
      <c r="AD20" s="418">
        <f t="shared" si="18"/>
        <v>0</v>
      </c>
      <c r="AE20" s="413">
        <f t="shared" si="19"/>
        <v>0</v>
      </c>
    </row>
    <row r="21" spans="1:31" x14ac:dyDescent="0.3">
      <c r="A21" s="418" t="s">
        <v>1</v>
      </c>
      <c r="B21" s="418" t="s">
        <v>1721</v>
      </c>
      <c r="C21" s="418" t="s">
        <v>1181</v>
      </c>
      <c r="D21" s="418" t="str">
        <f t="shared" si="2"/>
        <v>101-E363</v>
      </c>
      <c r="E21" s="418">
        <v>0</v>
      </c>
      <c r="F21" s="418">
        <v>0</v>
      </c>
      <c r="G21" s="418">
        <v>6859435.5</v>
      </c>
      <c r="H21" s="418">
        <v>11427707.98</v>
      </c>
      <c r="I21" s="418">
        <v>0</v>
      </c>
      <c r="J21" s="413">
        <v>0</v>
      </c>
      <c r="L21" s="418" t="str">
        <f t="shared" si="3"/>
        <v>Bainbridge Tlines Trans</v>
      </c>
      <c r="M21" s="418" t="str">
        <f t="shared" si="4"/>
        <v>E3630 DST Battery Storage Equipment</v>
      </c>
      <c r="N21" s="418" t="str">
        <f t="shared" si="0"/>
        <v>Specific</v>
      </c>
      <c r="O21" s="418" t="str">
        <f t="shared" si="5"/>
        <v>101-E363</v>
      </c>
      <c r="P21" s="418">
        <f t="shared" si="6"/>
        <v>0</v>
      </c>
      <c r="Q21" s="418">
        <f t="shared" si="7"/>
        <v>0</v>
      </c>
      <c r="R21" s="418">
        <f t="shared" si="8"/>
        <v>6859435.5</v>
      </c>
      <c r="S21" s="418">
        <f t="shared" si="9"/>
        <v>11427707.98</v>
      </c>
      <c r="T21" s="418">
        <f t="shared" si="10"/>
        <v>0</v>
      </c>
      <c r="V21" s="418" t="str">
        <f t="shared" si="11"/>
        <v>Bainbridge Tlines Trans</v>
      </c>
      <c r="W21" s="418" t="str">
        <f t="shared" si="12"/>
        <v>E3630 DST Battery Storage Equipment</v>
      </c>
      <c r="X21" s="418" t="str">
        <f t="shared" si="1"/>
        <v>Specific</v>
      </c>
      <c r="Y21" s="418" t="str">
        <f t="shared" si="13"/>
        <v>101-E363</v>
      </c>
      <c r="Z21" s="418">
        <f t="shared" si="14"/>
        <v>0</v>
      </c>
      <c r="AA21" s="418">
        <f t="shared" si="15"/>
        <v>0</v>
      </c>
      <c r="AB21" s="418">
        <f t="shared" si="16"/>
        <v>0</v>
      </c>
      <c r="AC21" s="418">
        <f t="shared" si="17"/>
        <v>0</v>
      </c>
      <c r="AD21" s="418">
        <f t="shared" si="18"/>
        <v>0</v>
      </c>
      <c r="AE21" s="413">
        <f t="shared" si="19"/>
        <v>0</v>
      </c>
    </row>
    <row r="22" spans="1:31" x14ac:dyDescent="0.3">
      <c r="A22" s="418" t="s">
        <v>2</v>
      </c>
      <c r="B22" s="418" t="s">
        <v>1793</v>
      </c>
      <c r="C22" s="418" t="s">
        <v>1168</v>
      </c>
      <c r="D22" s="418" t="str">
        <f t="shared" si="2"/>
        <v>101-E355</v>
      </c>
      <c r="E22" s="418">
        <v>0</v>
      </c>
      <c r="F22" s="418">
        <v>0.72</v>
      </c>
      <c r="G22" s="418">
        <v>44674.2</v>
      </c>
      <c r="H22" s="418">
        <v>164568.66</v>
      </c>
      <c r="I22" s="418">
        <v>0</v>
      </c>
      <c r="J22" s="413">
        <v>0</v>
      </c>
      <c r="L22" s="418" t="str">
        <f t="shared" si="3"/>
        <v>Capacity Electric</v>
      </c>
      <c r="M22" s="418" t="str">
        <f t="shared" si="4"/>
        <v>E355 TSM Poles &amp; Fixtures</v>
      </c>
      <c r="N22" s="418" t="str">
        <f t="shared" si="0"/>
        <v>Programmatic</v>
      </c>
      <c r="O22" s="418" t="str">
        <f t="shared" si="5"/>
        <v>101-E355</v>
      </c>
      <c r="P22" s="418">
        <f t="shared" si="6"/>
        <v>0</v>
      </c>
      <c r="Q22" s="418">
        <f t="shared" si="7"/>
        <v>0.72</v>
      </c>
      <c r="R22" s="418">
        <f t="shared" si="8"/>
        <v>44674.2</v>
      </c>
      <c r="S22" s="418">
        <f t="shared" si="9"/>
        <v>164568.66</v>
      </c>
      <c r="T22" s="418">
        <f t="shared" si="10"/>
        <v>0</v>
      </c>
      <c r="V22" s="418" t="str">
        <f t="shared" si="11"/>
        <v>Capacity Electric</v>
      </c>
      <c r="W22" s="418" t="str">
        <f t="shared" si="12"/>
        <v>E355 TSM Poles &amp; Fixtures</v>
      </c>
      <c r="X22" s="418" t="str">
        <f t="shared" si="1"/>
        <v>Programmatic</v>
      </c>
      <c r="Y22" s="418" t="str">
        <f t="shared" si="13"/>
        <v>101-E355</v>
      </c>
      <c r="Z22" s="418">
        <f t="shared" si="14"/>
        <v>0</v>
      </c>
      <c r="AA22" s="418">
        <f t="shared" si="15"/>
        <v>0</v>
      </c>
      <c r="AB22" s="418">
        <f t="shared" si="16"/>
        <v>0</v>
      </c>
      <c r="AC22" s="418">
        <f t="shared" si="17"/>
        <v>0</v>
      </c>
      <c r="AD22" s="418">
        <f t="shared" si="18"/>
        <v>0</v>
      </c>
      <c r="AE22" s="413">
        <f t="shared" si="19"/>
        <v>0</v>
      </c>
    </row>
    <row r="23" spans="1:31" x14ac:dyDescent="0.3">
      <c r="A23" s="418" t="s">
        <v>2</v>
      </c>
      <c r="B23" s="418" t="s">
        <v>1717</v>
      </c>
      <c r="C23" s="418" t="s">
        <v>1168</v>
      </c>
      <c r="D23" s="418" t="str">
        <f t="shared" si="2"/>
        <v>101-E355</v>
      </c>
      <c r="E23" s="418">
        <v>0</v>
      </c>
      <c r="F23" s="418">
        <v>502955.51</v>
      </c>
      <c r="G23" s="418">
        <v>6049594.6699999999</v>
      </c>
      <c r="H23" s="418">
        <v>22569758.530000001</v>
      </c>
      <c r="I23" s="418">
        <v>0</v>
      </c>
      <c r="J23" s="413">
        <v>0</v>
      </c>
      <c r="L23" s="418" t="str">
        <f t="shared" si="3"/>
        <v>Capacity Electric</v>
      </c>
      <c r="M23" s="418" t="str">
        <f t="shared" si="4"/>
        <v>E3556 TSM Poles</v>
      </c>
      <c r="N23" s="418" t="str">
        <f t="shared" si="0"/>
        <v>Programmatic</v>
      </c>
      <c r="O23" s="418" t="str">
        <f t="shared" si="5"/>
        <v>101-E355</v>
      </c>
      <c r="P23" s="418">
        <f t="shared" si="6"/>
        <v>0</v>
      </c>
      <c r="Q23" s="418">
        <f t="shared" si="7"/>
        <v>502955.51</v>
      </c>
      <c r="R23" s="418">
        <f t="shared" si="8"/>
        <v>6049594.6699999999</v>
      </c>
      <c r="S23" s="418">
        <f t="shared" si="9"/>
        <v>22569758.530000001</v>
      </c>
      <c r="T23" s="418">
        <f t="shared" si="10"/>
        <v>0</v>
      </c>
      <c r="V23" s="418" t="str">
        <f t="shared" si="11"/>
        <v>Capacity Electric</v>
      </c>
      <c r="W23" s="418" t="str">
        <f t="shared" si="12"/>
        <v>E3556 TSM Poles</v>
      </c>
      <c r="X23" s="418" t="str">
        <f t="shared" si="1"/>
        <v>Programmatic</v>
      </c>
      <c r="Y23" s="418" t="str">
        <f t="shared" si="13"/>
        <v>101-E355</v>
      </c>
      <c r="Z23" s="418">
        <f t="shared" si="14"/>
        <v>0</v>
      </c>
      <c r="AA23" s="418">
        <f t="shared" si="15"/>
        <v>0</v>
      </c>
      <c r="AB23" s="418">
        <f t="shared" si="16"/>
        <v>0</v>
      </c>
      <c r="AC23" s="418">
        <f t="shared" si="17"/>
        <v>0</v>
      </c>
      <c r="AD23" s="418">
        <f t="shared" si="18"/>
        <v>0</v>
      </c>
      <c r="AE23" s="413">
        <f t="shared" si="19"/>
        <v>0</v>
      </c>
    </row>
    <row r="24" spans="1:31" x14ac:dyDescent="0.3">
      <c r="A24" s="418" t="s">
        <v>2</v>
      </c>
      <c r="B24" s="418" t="s">
        <v>1792</v>
      </c>
      <c r="C24" s="418" t="s">
        <v>1168</v>
      </c>
      <c r="D24" s="418" t="str">
        <f t="shared" si="2"/>
        <v>101-E355</v>
      </c>
      <c r="E24" s="418">
        <v>0</v>
      </c>
      <c r="F24" s="418">
        <v>25.92</v>
      </c>
      <c r="G24" s="418">
        <v>1488911.82</v>
      </c>
      <c r="H24" s="418">
        <v>5484777.4199999999</v>
      </c>
      <c r="I24" s="418">
        <v>0</v>
      </c>
      <c r="J24" s="413">
        <v>0</v>
      </c>
      <c r="L24" s="418" t="str">
        <f t="shared" si="3"/>
        <v>Capacity Electric</v>
      </c>
      <c r="M24" s="418" t="str">
        <f t="shared" si="4"/>
        <v>E3557 TSM Poles</v>
      </c>
      <c r="N24" s="418" t="str">
        <f t="shared" si="0"/>
        <v>Programmatic</v>
      </c>
      <c r="O24" s="418" t="str">
        <f t="shared" si="5"/>
        <v>101-E355</v>
      </c>
      <c r="P24" s="418">
        <f t="shared" si="6"/>
        <v>0</v>
      </c>
      <c r="Q24" s="418">
        <f t="shared" si="7"/>
        <v>25.92</v>
      </c>
      <c r="R24" s="418">
        <f t="shared" si="8"/>
        <v>1488911.82</v>
      </c>
      <c r="S24" s="418">
        <f t="shared" si="9"/>
        <v>5484777.4199999999</v>
      </c>
      <c r="T24" s="418">
        <f t="shared" si="10"/>
        <v>0</v>
      </c>
      <c r="V24" s="418" t="str">
        <f t="shared" si="11"/>
        <v>Capacity Electric</v>
      </c>
      <c r="W24" s="418" t="str">
        <f t="shared" si="12"/>
        <v>E3557 TSM Poles</v>
      </c>
      <c r="X24" s="418" t="str">
        <f t="shared" si="1"/>
        <v>Programmatic</v>
      </c>
      <c r="Y24" s="418" t="str">
        <f t="shared" si="13"/>
        <v>101-E355</v>
      </c>
      <c r="Z24" s="418">
        <f t="shared" si="14"/>
        <v>0</v>
      </c>
      <c r="AA24" s="418">
        <f t="shared" si="15"/>
        <v>0</v>
      </c>
      <c r="AB24" s="418">
        <f t="shared" si="16"/>
        <v>0</v>
      </c>
      <c r="AC24" s="418">
        <f t="shared" si="17"/>
        <v>0</v>
      </c>
      <c r="AD24" s="418">
        <f t="shared" si="18"/>
        <v>0</v>
      </c>
      <c r="AE24" s="413">
        <f t="shared" si="19"/>
        <v>0</v>
      </c>
    </row>
    <row r="25" spans="1:31" x14ac:dyDescent="0.3">
      <c r="A25" s="418" t="s">
        <v>2</v>
      </c>
      <c r="B25" s="418" t="s">
        <v>1788</v>
      </c>
      <c r="C25" s="418" t="s">
        <v>1168</v>
      </c>
      <c r="D25" s="418" t="str">
        <f t="shared" si="2"/>
        <v>101-E356</v>
      </c>
      <c r="E25" s="418">
        <v>0</v>
      </c>
      <c r="F25" s="418">
        <v>9.24</v>
      </c>
      <c r="G25" s="418">
        <v>533436.48</v>
      </c>
      <c r="H25" s="418">
        <v>1965046.26</v>
      </c>
      <c r="I25" s="418">
        <v>0</v>
      </c>
      <c r="J25" s="413">
        <v>0</v>
      </c>
      <c r="L25" s="418" t="str">
        <f t="shared" si="3"/>
        <v>Capacity Electric</v>
      </c>
      <c r="M25" s="418" t="str">
        <f t="shared" si="4"/>
        <v>E3566 TSM O/H Conductor/Devices</v>
      </c>
      <c r="N25" s="418" t="str">
        <f t="shared" si="0"/>
        <v>Programmatic</v>
      </c>
      <c r="O25" s="418" t="str">
        <f t="shared" si="5"/>
        <v>101-E356</v>
      </c>
      <c r="P25" s="418">
        <f t="shared" si="6"/>
        <v>0</v>
      </c>
      <c r="Q25" s="418">
        <f t="shared" si="7"/>
        <v>9.24</v>
      </c>
      <c r="R25" s="418">
        <f t="shared" si="8"/>
        <v>533436.48</v>
      </c>
      <c r="S25" s="418">
        <f t="shared" si="9"/>
        <v>1965046.26</v>
      </c>
      <c r="T25" s="418">
        <f t="shared" si="10"/>
        <v>0</v>
      </c>
      <c r="V25" s="418" t="str">
        <f t="shared" si="11"/>
        <v>Capacity Electric</v>
      </c>
      <c r="W25" s="418" t="str">
        <f t="shared" si="12"/>
        <v>E3566 TSM O/H Conductor/Devices</v>
      </c>
      <c r="X25" s="418" t="str">
        <f t="shared" si="1"/>
        <v>Programmatic</v>
      </c>
      <c r="Y25" s="418" t="str">
        <f t="shared" si="13"/>
        <v>101-E356</v>
      </c>
      <c r="Z25" s="418">
        <f t="shared" si="14"/>
        <v>0</v>
      </c>
      <c r="AA25" s="418">
        <f t="shared" si="15"/>
        <v>0</v>
      </c>
      <c r="AB25" s="418">
        <f t="shared" si="16"/>
        <v>0</v>
      </c>
      <c r="AC25" s="418">
        <f t="shared" si="17"/>
        <v>0</v>
      </c>
      <c r="AD25" s="418">
        <f t="shared" si="18"/>
        <v>0</v>
      </c>
      <c r="AE25" s="413">
        <f t="shared" si="19"/>
        <v>0</v>
      </c>
    </row>
    <row r="26" spans="1:31" x14ac:dyDescent="0.3">
      <c r="A26" s="418" t="s">
        <v>2</v>
      </c>
      <c r="B26" s="418" t="s">
        <v>1787</v>
      </c>
      <c r="C26" s="418" t="s">
        <v>1168</v>
      </c>
      <c r="D26" s="418" t="str">
        <f t="shared" si="2"/>
        <v>101-E356</v>
      </c>
      <c r="E26" s="418">
        <v>0</v>
      </c>
      <c r="F26" s="418">
        <v>6.6</v>
      </c>
      <c r="G26" s="418">
        <v>380994.06</v>
      </c>
      <c r="H26" s="418">
        <v>1403486.64</v>
      </c>
      <c r="I26" s="418">
        <v>0</v>
      </c>
      <c r="J26" s="413">
        <v>0</v>
      </c>
      <c r="L26" s="418" t="str">
        <f t="shared" si="3"/>
        <v>Capacity Electric</v>
      </c>
      <c r="M26" s="418" t="str">
        <f t="shared" si="4"/>
        <v>E3567 TSM O/H Conductor/Devices</v>
      </c>
      <c r="N26" s="418" t="str">
        <f t="shared" si="0"/>
        <v>Programmatic</v>
      </c>
      <c r="O26" s="418" t="str">
        <f t="shared" si="5"/>
        <v>101-E356</v>
      </c>
      <c r="P26" s="418">
        <f t="shared" si="6"/>
        <v>0</v>
      </c>
      <c r="Q26" s="418">
        <f t="shared" si="7"/>
        <v>6.6</v>
      </c>
      <c r="R26" s="418">
        <f t="shared" si="8"/>
        <v>380994.06</v>
      </c>
      <c r="S26" s="418">
        <f t="shared" si="9"/>
        <v>1403486.64</v>
      </c>
      <c r="T26" s="418">
        <f t="shared" si="10"/>
        <v>0</v>
      </c>
      <c r="V26" s="418" t="str">
        <f t="shared" si="11"/>
        <v>Capacity Electric</v>
      </c>
      <c r="W26" s="418" t="str">
        <f t="shared" si="12"/>
        <v>E3567 TSM O/H Conductor/Devices</v>
      </c>
      <c r="X26" s="418" t="str">
        <f t="shared" si="1"/>
        <v>Programmatic</v>
      </c>
      <c r="Y26" s="418" t="str">
        <f t="shared" si="13"/>
        <v>101-E356</v>
      </c>
      <c r="Z26" s="418">
        <f t="shared" si="14"/>
        <v>0</v>
      </c>
      <c r="AA26" s="418">
        <f t="shared" si="15"/>
        <v>0</v>
      </c>
      <c r="AB26" s="418">
        <f t="shared" si="16"/>
        <v>0</v>
      </c>
      <c r="AC26" s="418">
        <f t="shared" si="17"/>
        <v>0</v>
      </c>
      <c r="AD26" s="418">
        <f t="shared" si="18"/>
        <v>0</v>
      </c>
      <c r="AE26" s="413">
        <f t="shared" si="19"/>
        <v>0</v>
      </c>
    </row>
    <row r="27" spans="1:31" x14ac:dyDescent="0.3">
      <c r="A27" s="418" t="s">
        <v>2</v>
      </c>
      <c r="B27" s="418" t="s">
        <v>1781</v>
      </c>
      <c r="C27" s="418" t="s">
        <v>1168</v>
      </c>
      <c r="D27" s="418" t="str">
        <f t="shared" si="2"/>
        <v>101-E362</v>
      </c>
      <c r="E27" s="418">
        <v>0</v>
      </c>
      <c r="F27" s="418">
        <v>75346.41</v>
      </c>
      <c r="G27" s="418">
        <v>98124.63</v>
      </c>
      <c r="H27" s="418">
        <v>129370.35</v>
      </c>
      <c r="I27" s="418">
        <v>0</v>
      </c>
      <c r="J27" s="413">
        <v>0</v>
      </c>
      <c r="L27" s="418" t="str">
        <f t="shared" si="3"/>
        <v>Capacity Electric</v>
      </c>
      <c r="M27" s="418" t="str">
        <f t="shared" si="4"/>
        <v>E3620 DST Substation Equipment</v>
      </c>
      <c r="N27" s="418" t="str">
        <f t="shared" si="0"/>
        <v>Programmatic</v>
      </c>
      <c r="O27" s="418" t="str">
        <f t="shared" si="5"/>
        <v>101-E362</v>
      </c>
      <c r="P27" s="418">
        <f t="shared" si="6"/>
        <v>0</v>
      </c>
      <c r="Q27" s="418">
        <f t="shared" si="7"/>
        <v>75346.41</v>
      </c>
      <c r="R27" s="418">
        <f t="shared" si="8"/>
        <v>98124.63</v>
      </c>
      <c r="S27" s="418">
        <f t="shared" si="9"/>
        <v>129370.35</v>
      </c>
      <c r="T27" s="418">
        <f t="shared" si="10"/>
        <v>0</v>
      </c>
      <c r="V27" s="418" t="str">
        <f t="shared" si="11"/>
        <v>Capacity Electric</v>
      </c>
      <c r="W27" s="418" t="str">
        <f t="shared" si="12"/>
        <v>E3620 DST Substation Equipment</v>
      </c>
      <c r="X27" s="418" t="str">
        <f t="shared" si="1"/>
        <v>Programmatic</v>
      </c>
      <c r="Y27" s="418" t="str">
        <f t="shared" si="13"/>
        <v>101-E362</v>
      </c>
      <c r="Z27" s="418">
        <f t="shared" si="14"/>
        <v>0</v>
      </c>
      <c r="AA27" s="418">
        <f t="shared" si="15"/>
        <v>0</v>
      </c>
      <c r="AB27" s="418">
        <f t="shared" si="16"/>
        <v>0</v>
      </c>
      <c r="AC27" s="418">
        <f t="shared" si="17"/>
        <v>0</v>
      </c>
      <c r="AD27" s="418">
        <f t="shared" si="18"/>
        <v>0</v>
      </c>
      <c r="AE27" s="413">
        <f t="shared" si="19"/>
        <v>0</v>
      </c>
    </row>
    <row r="28" spans="1:31" x14ac:dyDescent="0.3">
      <c r="A28" s="418" t="s">
        <v>2</v>
      </c>
      <c r="B28" s="418" t="s">
        <v>1711</v>
      </c>
      <c r="C28" s="418" t="s">
        <v>1168</v>
      </c>
      <c r="D28" s="418" t="str">
        <f t="shared" si="2"/>
        <v>101-E364</v>
      </c>
      <c r="E28" s="418">
        <v>0</v>
      </c>
      <c r="F28" s="418">
        <v>260811.89</v>
      </c>
      <c r="G28" s="418">
        <v>2261796.5</v>
      </c>
      <c r="H28" s="418">
        <v>8471740.6699999999</v>
      </c>
      <c r="I28" s="418">
        <v>0</v>
      </c>
      <c r="J28" s="413">
        <v>0</v>
      </c>
      <c r="L28" s="418" t="str">
        <f t="shared" si="3"/>
        <v>Capacity Electric</v>
      </c>
      <c r="M28" s="418" t="str">
        <f t="shared" si="4"/>
        <v>E3640 DST Poles/Towers/Fixtures</v>
      </c>
      <c r="N28" s="418" t="str">
        <f t="shared" si="0"/>
        <v>Programmatic</v>
      </c>
      <c r="O28" s="418" t="str">
        <f t="shared" si="5"/>
        <v>101-E364</v>
      </c>
      <c r="P28" s="418">
        <f t="shared" si="6"/>
        <v>0</v>
      </c>
      <c r="Q28" s="418">
        <f t="shared" si="7"/>
        <v>260811.89</v>
      </c>
      <c r="R28" s="418">
        <f t="shared" si="8"/>
        <v>2261796.5</v>
      </c>
      <c r="S28" s="418">
        <f t="shared" si="9"/>
        <v>8471740.6699999999</v>
      </c>
      <c r="T28" s="418">
        <f t="shared" si="10"/>
        <v>0</v>
      </c>
      <c r="V28" s="418" t="str">
        <f t="shared" si="11"/>
        <v>Capacity Electric</v>
      </c>
      <c r="W28" s="418" t="str">
        <f t="shared" si="12"/>
        <v>E3640 DST Poles/Towers/Fixtures</v>
      </c>
      <c r="X28" s="418" t="str">
        <f t="shared" si="1"/>
        <v>Programmatic</v>
      </c>
      <c r="Y28" s="418" t="str">
        <f t="shared" si="13"/>
        <v>101-E364</v>
      </c>
      <c r="Z28" s="418">
        <f t="shared" si="14"/>
        <v>0</v>
      </c>
      <c r="AA28" s="418">
        <f t="shared" si="15"/>
        <v>0</v>
      </c>
      <c r="AB28" s="418">
        <f t="shared" si="16"/>
        <v>0</v>
      </c>
      <c r="AC28" s="418">
        <f t="shared" si="17"/>
        <v>0</v>
      </c>
      <c r="AD28" s="418">
        <f t="shared" si="18"/>
        <v>0</v>
      </c>
      <c r="AE28" s="413">
        <f t="shared" si="19"/>
        <v>0</v>
      </c>
    </row>
    <row r="29" spans="1:31" x14ac:dyDescent="0.3">
      <c r="A29" s="418" t="s">
        <v>2</v>
      </c>
      <c r="B29" s="418" t="s">
        <v>1720</v>
      </c>
      <c r="C29" s="418" t="s">
        <v>1168</v>
      </c>
      <c r="D29" s="418" t="str">
        <f t="shared" si="2"/>
        <v>101-E365</v>
      </c>
      <c r="E29" s="418">
        <v>0</v>
      </c>
      <c r="F29" s="418">
        <v>1179107.5</v>
      </c>
      <c r="G29" s="418">
        <v>1272465.9199999999</v>
      </c>
      <c r="H29" s="418">
        <v>5223203.62</v>
      </c>
      <c r="I29" s="418">
        <v>0</v>
      </c>
      <c r="J29" s="413">
        <v>0</v>
      </c>
      <c r="L29" s="418" t="str">
        <f t="shared" si="3"/>
        <v>Capacity Electric</v>
      </c>
      <c r="M29" s="418" t="str">
        <f t="shared" si="4"/>
        <v>E3650 DST O/H Conductor/Devices</v>
      </c>
      <c r="N29" s="418" t="str">
        <f t="shared" si="0"/>
        <v>Programmatic</v>
      </c>
      <c r="O29" s="418" t="str">
        <f t="shared" si="5"/>
        <v>101-E365</v>
      </c>
      <c r="P29" s="418">
        <f t="shared" si="6"/>
        <v>0</v>
      </c>
      <c r="Q29" s="418">
        <f t="shared" si="7"/>
        <v>1179107.5</v>
      </c>
      <c r="R29" s="418">
        <f t="shared" si="8"/>
        <v>1272465.9199999999</v>
      </c>
      <c r="S29" s="418">
        <f t="shared" si="9"/>
        <v>5223203.62</v>
      </c>
      <c r="T29" s="418">
        <f t="shared" si="10"/>
        <v>0</v>
      </c>
      <c r="V29" s="418" t="str">
        <f t="shared" si="11"/>
        <v>Capacity Electric</v>
      </c>
      <c r="W29" s="418" t="str">
        <f t="shared" si="12"/>
        <v>E3650 DST O/H Conductor/Devices</v>
      </c>
      <c r="X29" s="418" t="str">
        <f t="shared" si="1"/>
        <v>Programmatic</v>
      </c>
      <c r="Y29" s="418" t="str">
        <f t="shared" si="13"/>
        <v>101-E365</v>
      </c>
      <c r="Z29" s="418">
        <f t="shared" si="14"/>
        <v>0</v>
      </c>
      <c r="AA29" s="418">
        <f t="shared" si="15"/>
        <v>0</v>
      </c>
      <c r="AB29" s="418">
        <f t="shared" si="16"/>
        <v>0</v>
      </c>
      <c r="AC29" s="418">
        <f t="shared" si="17"/>
        <v>0</v>
      </c>
      <c r="AD29" s="418">
        <f t="shared" si="18"/>
        <v>0</v>
      </c>
      <c r="AE29" s="413">
        <f t="shared" si="19"/>
        <v>0</v>
      </c>
    </row>
    <row r="30" spans="1:31" x14ac:dyDescent="0.3">
      <c r="A30" s="418" t="s">
        <v>2</v>
      </c>
      <c r="B30" s="418" t="s">
        <v>1710</v>
      </c>
      <c r="C30" s="418" t="s">
        <v>1168</v>
      </c>
      <c r="D30" s="418" t="str">
        <f t="shared" si="2"/>
        <v>101-E366</v>
      </c>
      <c r="E30" s="418">
        <v>0</v>
      </c>
      <c r="F30" s="418">
        <v>591306.80000000005</v>
      </c>
      <c r="G30" s="418">
        <v>3214432.18</v>
      </c>
      <c r="H30" s="418">
        <v>10644645.09</v>
      </c>
      <c r="I30" s="418">
        <v>0</v>
      </c>
      <c r="J30" s="413">
        <v>0</v>
      </c>
      <c r="L30" s="418" t="str">
        <f t="shared" si="3"/>
        <v>Capacity Electric</v>
      </c>
      <c r="M30" s="418" t="str">
        <f t="shared" si="4"/>
        <v>E3660 DST U/G Conduit</v>
      </c>
      <c r="N30" s="418" t="str">
        <f t="shared" si="0"/>
        <v>Programmatic</v>
      </c>
      <c r="O30" s="418" t="str">
        <f t="shared" si="5"/>
        <v>101-E366</v>
      </c>
      <c r="P30" s="418">
        <f t="shared" si="6"/>
        <v>0</v>
      </c>
      <c r="Q30" s="418">
        <f t="shared" si="7"/>
        <v>591306.80000000005</v>
      </c>
      <c r="R30" s="418">
        <f t="shared" si="8"/>
        <v>3214432.18</v>
      </c>
      <c r="S30" s="418">
        <f t="shared" si="9"/>
        <v>10644645.09</v>
      </c>
      <c r="T30" s="418">
        <f t="shared" si="10"/>
        <v>0</v>
      </c>
      <c r="V30" s="418" t="str">
        <f t="shared" si="11"/>
        <v>Capacity Electric</v>
      </c>
      <c r="W30" s="418" t="str">
        <f t="shared" si="12"/>
        <v>E3660 DST U/G Conduit</v>
      </c>
      <c r="X30" s="418" t="str">
        <f t="shared" si="1"/>
        <v>Programmatic</v>
      </c>
      <c r="Y30" s="418" t="str">
        <f t="shared" si="13"/>
        <v>101-E366</v>
      </c>
      <c r="Z30" s="418">
        <f t="shared" si="14"/>
        <v>0</v>
      </c>
      <c r="AA30" s="418">
        <f t="shared" si="15"/>
        <v>0</v>
      </c>
      <c r="AB30" s="418">
        <f t="shared" si="16"/>
        <v>0</v>
      </c>
      <c r="AC30" s="418">
        <f t="shared" si="17"/>
        <v>0</v>
      </c>
      <c r="AD30" s="418">
        <f t="shared" si="18"/>
        <v>0</v>
      </c>
      <c r="AE30" s="413">
        <f t="shared" si="19"/>
        <v>0</v>
      </c>
    </row>
    <row r="31" spans="1:31" x14ac:dyDescent="0.3">
      <c r="A31" s="418" t="s">
        <v>2</v>
      </c>
      <c r="B31" s="418" t="s">
        <v>1709</v>
      </c>
      <c r="C31" s="418" t="s">
        <v>1168</v>
      </c>
      <c r="D31" s="418" t="str">
        <f t="shared" si="2"/>
        <v>101-E367</v>
      </c>
      <c r="E31" s="418">
        <v>0</v>
      </c>
      <c r="F31" s="418">
        <v>437077.84</v>
      </c>
      <c r="G31" s="418">
        <v>3247094.89</v>
      </c>
      <c r="H31" s="418">
        <v>10615257.529999999</v>
      </c>
      <c r="I31" s="418">
        <v>0</v>
      </c>
      <c r="J31" s="413">
        <v>0</v>
      </c>
      <c r="L31" s="418" t="str">
        <f t="shared" si="3"/>
        <v>Capacity Electric</v>
      </c>
      <c r="M31" s="418" t="str">
        <f t="shared" si="4"/>
        <v>E3670 DST U/G Conductor/Devices</v>
      </c>
      <c r="N31" s="418" t="str">
        <f t="shared" si="0"/>
        <v>Programmatic</v>
      </c>
      <c r="O31" s="418" t="str">
        <f t="shared" si="5"/>
        <v>101-E367</v>
      </c>
      <c r="P31" s="418">
        <f t="shared" si="6"/>
        <v>0</v>
      </c>
      <c r="Q31" s="418">
        <f t="shared" si="7"/>
        <v>437077.84</v>
      </c>
      <c r="R31" s="418">
        <f t="shared" si="8"/>
        <v>3247094.89</v>
      </c>
      <c r="S31" s="418">
        <f t="shared" si="9"/>
        <v>10615257.529999999</v>
      </c>
      <c r="T31" s="418">
        <f t="shared" si="10"/>
        <v>0</v>
      </c>
      <c r="V31" s="418" t="str">
        <f t="shared" si="11"/>
        <v>Capacity Electric</v>
      </c>
      <c r="W31" s="418" t="str">
        <f t="shared" si="12"/>
        <v>E3670 DST U/G Conductor/Devices</v>
      </c>
      <c r="X31" s="418" t="str">
        <f t="shared" si="1"/>
        <v>Programmatic</v>
      </c>
      <c r="Y31" s="418" t="str">
        <f t="shared" si="13"/>
        <v>101-E367</v>
      </c>
      <c r="Z31" s="418">
        <f t="shared" si="14"/>
        <v>0</v>
      </c>
      <c r="AA31" s="418">
        <f t="shared" si="15"/>
        <v>0</v>
      </c>
      <c r="AB31" s="418">
        <f t="shared" si="16"/>
        <v>0</v>
      </c>
      <c r="AC31" s="418">
        <f t="shared" si="17"/>
        <v>0</v>
      </c>
      <c r="AD31" s="418">
        <f t="shared" si="18"/>
        <v>0</v>
      </c>
      <c r="AE31" s="413">
        <f t="shared" si="19"/>
        <v>0</v>
      </c>
    </row>
    <row r="32" spans="1:31" x14ac:dyDescent="0.3">
      <c r="A32" s="418" t="s">
        <v>2</v>
      </c>
      <c r="B32" s="418" t="s">
        <v>1780</v>
      </c>
      <c r="C32" s="418" t="s">
        <v>1168</v>
      </c>
      <c r="D32" s="418" t="str">
        <f t="shared" si="2"/>
        <v>101-E368</v>
      </c>
      <c r="E32" s="418">
        <v>0</v>
      </c>
      <c r="F32" s="418">
        <v>19958.66</v>
      </c>
      <c r="G32" s="418">
        <v>755919.38</v>
      </c>
      <c r="H32" s="418">
        <v>2795904.57</v>
      </c>
      <c r="I32" s="418">
        <v>0</v>
      </c>
      <c r="J32" s="413">
        <v>0</v>
      </c>
      <c r="L32" s="418" t="str">
        <f t="shared" si="3"/>
        <v>Capacity Electric</v>
      </c>
      <c r="M32" s="418" t="str">
        <f t="shared" si="4"/>
        <v>E368 DST Line Transformers</v>
      </c>
      <c r="N32" s="418" t="str">
        <f t="shared" si="0"/>
        <v>Programmatic</v>
      </c>
      <c r="O32" s="418" t="str">
        <f t="shared" si="5"/>
        <v>101-E368</v>
      </c>
      <c r="P32" s="418">
        <f t="shared" si="6"/>
        <v>0</v>
      </c>
      <c r="Q32" s="418">
        <f t="shared" si="7"/>
        <v>19958.66</v>
      </c>
      <c r="R32" s="418">
        <f t="shared" si="8"/>
        <v>755919.38</v>
      </c>
      <c r="S32" s="418">
        <f t="shared" si="9"/>
        <v>2795904.57</v>
      </c>
      <c r="T32" s="418">
        <f t="shared" si="10"/>
        <v>0</v>
      </c>
      <c r="V32" s="418" t="str">
        <f t="shared" si="11"/>
        <v>Capacity Electric</v>
      </c>
      <c r="W32" s="418" t="str">
        <f t="shared" si="12"/>
        <v>E368 DST Line Transformers</v>
      </c>
      <c r="X32" s="418" t="str">
        <f t="shared" si="1"/>
        <v>Programmatic</v>
      </c>
      <c r="Y32" s="418" t="str">
        <f t="shared" si="13"/>
        <v>101-E368</v>
      </c>
      <c r="Z32" s="418">
        <f t="shared" si="14"/>
        <v>0</v>
      </c>
      <c r="AA32" s="418">
        <f t="shared" si="15"/>
        <v>0</v>
      </c>
      <c r="AB32" s="418">
        <f t="shared" si="16"/>
        <v>0</v>
      </c>
      <c r="AC32" s="418">
        <f t="shared" si="17"/>
        <v>0</v>
      </c>
      <c r="AD32" s="418">
        <f t="shared" si="18"/>
        <v>0</v>
      </c>
      <c r="AE32" s="413">
        <f t="shared" si="19"/>
        <v>0</v>
      </c>
    </row>
    <row r="33" spans="1:31" x14ac:dyDescent="0.3">
      <c r="A33" s="418" t="s">
        <v>2</v>
      </c>
      <c r="B33" s="418" t="s">
        <v>1779</v>
      </c>
      <c r="C33" s="418" t="s">
        <v>1168</v>
      </c>
      <c r="D33" s="418" t="str">
        <f t="shared" si="2"/>
        <v>101-E369</v>
      </c>
      <c r="E33" s="418">
        <v>0</v>
      </c>
      <c r="F33" s="418">
        <v>0</v>
      </c>
      <c r="G33" s="418">
        <v>1614.9</v>
      </c>
      <c r="H33" s="418">
        <v>5948.94</v>
      </c>
      <c r="I33" s="418">
        <v>0</v>
      </c>
      <c r="J33" s="413">
        <v>0</v>
      </c>
      <c r="L33" s="418" t="str">
        <f t="shared" si="3"/>
        <v>Capacity Electric</v>
      </c>
      <c r="M33" s="418" t="str">
        <f t="shared" si="4"/>
        <v>E369 DST Services</v>
      </c>
      <c r="N33" s="418" t="str">
        <f t="shared" si="0"/>
        <v>Programmatic</v>
      </c>
      <c r="O33" s="418" t="str">
        <f t="shared" si="5"/>
        <v>101-E369</v>
      </c>
      <c r="P33" s="418">
        <f t="shared" si="6"/>
        <v>0</v>
      </c>
      <c r="Q33" s="418">
        <f t="shared" si="7"/>
        <v>0</v>
      </c>
      <c r="R33" s="418">
        <f t="shared" si="8"/>
        <v>1614.9</v>
      </c>
      <c r="S33" s="418">
        <f t="shared" si="9"/>
        <v>5948.94</v>
      </c>
      <c r="T33" s="418">
        <f t="shared" si="10"/>
        <v>0</v>
      </c>
      <c r="V33" s="418" t="str">
        <f t="shared" si="11"/>
        <v>Capacity Electric</v>
      </c>
      <c r="W33" s="418" t="str">
        <f t="shared" si="12"/>
        <v>E369 DST Services</v>
      </c>
      <c r="X33" s="418" t="str">
        <f t="shared" si="1"/>
        <v>Programmatic</v>
      </c>
      <c r="Y33" s="418" t="str">
        <f t="shared" si="13"/>
        <v>101-E369</v>
      </c>
      <c r="Z33" s="418">
        <f t="shared" si="14"/>
        <v>0</v>
      </c>
      <c r="AA33" s="418">
        <f t="shared" si="15"/>
        <v>0</v>
      </c>
      <c r="AB33" s="418">
        <f t="shared" si="16"/>
        <v>0</v>
      </c>
      <c r="AC33" s="418">
        <f t="shared" si="17"/>
        <v>0</v>
      </c>
      <c r="AD33" s="418">
        <f t="shared" si="18"/>
        <v>0</v>
      </c>
      <c r="AE33" s="413">
        <f t="shared" si="19"/>
        <v>0</v>
      </c>
    </row>
    <row r="34" spans="1:31" x14ac:dyDescent="0.3">
      <c r="A34" s="418" t="s">
        <v>2</v>
      </c>
      <c r="B34" s="418" t="s">
        <v>1765</v>
      </c>
      <c r="C34" s="418" t="s">
        <v>1168</v>
      </c>
      <c r="D34" s="418" t="str">
        <f t="shared" si="2"/>
        <v>101-E397</v>
      </c>
      <c r="E34" s="418">
        <v>0</v>
      </c>
      <c r="F34" s="418">
        <v>5912.28</v>
      </c>
      <c r="G34" s="418">
        <v>5912.28</v>
      </c>
      <c r="H34" s="418">
        <v>25125.15</v>
      </c>
      <c r="I34" s="418">
        <v>0</v>
      </c>
      <c r="J34" s="413">
        <v>0</v>
      </c>
      <c r="L34" s="418" t="str">
        <f t="shared" si="3"/>
        <v>Capacity Electric</v>
      </c>
      <c r="M34" s="418" t="str">
        <f t="shared" si="4"/>
        <v>E3970 GEN Comm Equip, new</v>
      </c>
      <c r="N34" s="418" t="str">
        <f t="shared" si="0"/>
        <v>Programmatic</v>
      </c>
      <c r="O34" s="418" t="str">
        <f t="shared" si="5"/>
        <v>101-E397</v>
      </c>
      <c r="P34" s="418">
        <f t="shared" si="6"/>
        <v>0</v>
      </c>
      <c r="Q34" s="418">
        <f t="shared" si="7"/>
        <v>5912.28</v>
      </c>
      <c r="R34" s="418">
        <f t="shared" si="8"/>
        <v>5912.28</v>
      </c>
      <c r="S34" s="418">
        <f t="shared" si="9"/>
        <v>25125.15</v>
      </c>
      <c r="T34" s="418">
        <f t="shared" si="10"/>
        <v>0</v>
      </c>
      <c r="V34" s="418" t="str">
        <f t="shared" si="11"/>
        <v>Capacity Electric</v>
      </c>
      <c r="W34" s="418" t="str">
        <f t="shared" si="12"/>
        <v>E3970 GEN Comm Equip, new</v>
      </c>
      <c r="X34" s="418" t="str">
        <f t="shared" si="1"/>
        <v>Programmatic</v>
      </c>
      <c r="Y34" s="418" t="str">
        <f t="shared" si="13"/>
        <v>101-E397</v>
      </c>
      <c r="Z34" s="418">
        <f t="shared" si="14"/>
        <v>0</v>
      </c>
      <c r="AA34" s="418">
        <f t="shared" si="15"/>
        <v>0</v>
      </c>
      <c r="AB34" s="418">
        <f t="shared" si="16"/>
        <v>0</v>
      </c>
      <c r="AC34" s="418">
        <f t="shared" si="17"/>
        <v>0</v>
      </c>
      <c r="AD34" s="418">
        <f t="shared" si="18"/>
        <v>0</v>
      </c>
      <c r="AE34" s="413">
        <f t="shared" si="19"/>
        <v>0</v>
      </c>
    </row>
    <row r="35" spans="1:31" x14ac:dyDescent="0.3">
      <c r="A35" s="418" t="s">
        <v>3</v>
      </c>
      <c r="B35" s="418" t="s">
        <v>1744</v>
      </c>
      <c r="C35" s="418" t="s">
        <v>1168</v>
      </c>
      <c r="D35" s="418" t="str">
        <f t="shared" si="2"/>
        <v>101-G376</v>
      </c>
      <c r="E35" s="418">
        <v>0</v>
      </c>
      <c r="F35" s="418">
        <v>4183192.05</v>
      </c>
      <c r="G35" s="418">
        <v>6475806.5599999996</v>
      </c>
      <c r="H35" s="418">
        <v>22286106.800000001</v>
      </c>
      <c r="I35" s="418">
        <v>0</v>
      </c>
      <c r="J35" s="413">
        <v>0</v>
      </c>
      <c r="L35" s="418" t="str">
        <f t="shared" si="3"/>
        <v>Capacity Gas</v>
      </c>
      <c r="M35" s="418" t="str">
        <f t="shared" si="4"/>
        <v>G3762 DST Mains, Plastic</v>
      </c>
      <c r="N35" s="418" t="str">
        <f t="shared" si="0"/>
        <v>Programmatic</v>
      </c>
      <c r="O35" s="418" t="str">
        <f t="shared" si="5"/>
        <v>101-G376</v>
      </c>
      <c r="P35" s="418">
        <f t="shared" si="6"/>
        <v>0</v>
      </c>
      <c r="Q35" s="418">
        <f t="shared" si="7"/>
        <v>0</v>
      </c>
      <c r="R35" s="418">
        <f t="shared" si="8"/>
        <v>0</v>
      </c>
      <c r="S35" s="418">
        <f t="shared" si="9"/>
        <v>0</v>
      </c>
      <c r="T35" s="418">
        <f t="shared" si="10"/>
        <v>0</v>
      </c>
      <c r="V35" s="418" t="str">
        <f t="shared" si="11"/>
        <v>Capacity Gas</v>
      </c>
      <c r="W35" s="418" t="str">
        <f t="shared" si="12"/>
        <v>G3762 DST Mains, Plastic</v>
      </c>
      <c r="X35" s="418" t="str">
        <f t="shared" si="1"/>
        <v>Programmatic</v>
      </c>
      <c r="Y35" s="418" t="str">
        <f t="shared" si="13"/>
        <v>101-G376</v>
      </c>
      <c r="Z35" s="418">
        <f t="shared" si="14"/>
        <v>0</v>
      </c>
      <c r="AA35" s="418">
        <f t="shared" si="15"/>
        <v>4183192.05</v>
      </c>
      <c r="AB35" s="418">
        <f t="shared" si="16"/>
        <v>6475806.5599999996</v>
      </c>
      <c r="AC35" s="418">
        <f t="shared" si="17"/>
        <v>22286106.800000001</v>
      </c>
      <c r="AD35" s="418">
        <f t="shared" si="18"/>
        <v>0</v>
      </c>
      <c r="AE35" s="413">
        <f t="shared" si="19"/>
        <v>0</v>
      </c>
    </row>
    <row r="36" spans="1:31" x14ac:dyDescent="0.3">
      <c r="A36" s="418" t="s">
        <v>3</v>
      </c>
      <c r="B36" s="418" t="s">
        <v>1743</v>
      </c>
      <c r="C36" s="418" t="s">
        <v>1168</v>
      </c>
      <c r="D36" s="418" t="str">
        <f t="shared" si="2"/>
        <v>101-G376</v>
      </c>
      <c r="E36" s="418">
        <v>0</v>
      </c>
      <c r="F36" s="418">
        <v>2334.6</v>
      </c>
      <c r="G36" s="418">
        <v>3614.1</v>
      </c>
      <c r="H36" s="418">
        <v>12437.88</v>
      </c>
      <c r="I36" s="418">
        <v>0</v>
      </c>
      <c r="J36" s="413">
        <v>0</v>
      </c>
      <c r="L36" s="418" t="str">
        <f t="shared" si="3"/>
        <v>Capacity Gas</v>
      </c>
      <c r="M36" s="418" t="str">
        <f t="shared" si="4"/>
        <v>G3764 DST Mains, Wrapped Steel</v>
      </c>
      <c r="N36" s="418" t="str">
        <f t="shared" si="0"/>
        <v>Programmatic</v>
      </c>
      <c r="O36" s="418" t="str">
        <f t="shared" si="5"/>
        <v>101-G376</v>
      </c>
      <c r="P36" s="418">
        <f t="shared" si="6"/>
        <v>0</v>
      </c>
      <c r="Q36" s="418">
        <f t="shared" si="7"/>
        <v>0</v>
      </c>
      <c r="R36" s="418">
        <f t="shared" si="8"/>
        <v>0</v>
      </c>
      <c r="S36" s="418">
        <f t="shared" si="9"/>
        <v>0</v>
      </c>
      <c r="T36" s="418">
        <f t="shared" si="10"/>
        <v>0</v>
      </c>
      <c r="V36" s="418" t="str">
        <f t="shared" si="11"/>
        <v>Capacity Gas</v>
      </c>
      <c r="W36" s="418" t="str">
        <f t="shared" si="12"/>
        <v>G3764 DST Mains, Wrapped Steel</v>
      </c>
      <c r="X36" s="418" t="str">
        <f t="shared" si="1"/>
        <v>Programmatic</v>
      </c>
      <c r="Y36" s="418" t="str">
        <f t="shared" si="13"/>
        <v>101-G376</v>
      </c>
      <c r="Z36" s="418">
        <f t="shared" si="14"/>
        <v>0</v>
      </c>
      <c r="AA36" s="418">
        <f t="shared" si="15"/>
        <v>2334.6</v>
      </c>
      <c r="AB36" s="418">
        <f t="shared" si="16"/>
        <v>3614.1</v>
      </c>
      <c r="AC36" s="418">
        <f t="shared" si="17"/>
        <v>12437.88</v>
      </c>
      <c r="AD36" s="418">
        <f t="shared" si="18"/>
        <v>0</v>
      </c>
      <c r="AE36" s="413">
        <f t="shared" si="19"/>
        <v>0</v>
      </c>
    </row>
    <row r="37" spans="1:31" x14ac:dyDescent="0.3">
      <c r="A37" s="418" t="s">
        <v>3</v>
      </c>
      <c r="B37" s="418" t="s">
        <v>1742</v>
      </c>
      <c r="C37" s="418" t="s">
        <v>1168</v>
      </c>
      <c r="D37" s="418" t="str">
        <f t="shared" si="2"/>
        <v>101-G376</v>
      </c>
      <c r="E37" s="418">
        <v>0</v>
      </c>
      <c r="F37" s="418">
        <v>28888.68</v>
      </c>
      <c r="G37" s="418">
        <v>43333.01</v>
      </c>
      <c r="H37" s="418">
        <v>72221.69</v>
      </c>
      <c r="I37" s="418">
        <v>0</v>
      </c>
      <c r="J37" s="413">
        <v>0</v>
      </c>
      <c r="L37" s="418" t="str">
        <f t="shared" si="3"/>
        <v>Capacity Gas</v>
      </c>
      <c r="M37" s="418" t="str">
        <f t="shared" si="4"/>
        <v>G3765 DST Mains, Cathodic Protectio</v>
      </c>
      <c r="N37" s="418" t="str">
        <f t="shared" si="0"/>
        <v>Programmatic</v>
      </c>
      <c r="O37" s="418" t="str">
        <f t="shared" si="5"/>
        <v>101-G376</v>
      </c>
      <c r="P37" s="418">
        <f t="shared" si="6"/>
        <v>0</v>
      </c>
      <c r="Q37" s="418">
        <f t="shared" si="7"/>
        <v>0</v>
      </c>
      <c r="R37" s="418">
        <f t="shared" si="8"/>
        <v>0</v>
      </c>
      <c r="S37" s="418">
        <f t="shared" si="9"/>
        <v>0</v>
      </c>
      <c r="T37" s="418">
        <f t="shared" si="10"/>
        <v>0</v>
      </c>
      <c r="V37" s="418" t="str">
        <f t="shared" si="11"/>
        <v>Capacity Gas</v>
      </c>
      <c r="W37" s="418" t="str">
        <f t="shared" si="12"/>
        <v>G3765 DST Mains, Cathodic Protectio</v>
      </c>
      <c r="X37" s="418" t="str">
        <f t="shared" si="1"/>
        <v>Programmatic</v>
      </c>
      <c r="Y37" s="418" t="str">
        <f t="shared" si="13"/>
        <v>101-G376</v>
      </c>
      <c r="Z37" s="418">
        <f t="shared" si="14"/>
        <v>0</v>
      </c>
      <c r="AA37" s="418">
        <f t="shared" si="15"/>
        <v>28888.68</v>
      </c>
      <c r="AB37" s="418">
        <f t="shared" si="16"/>
        <v>43333.01</v>
      </c>
      <c r="AC37" s="418">
        <f t="shared" si="17"/>
        <v>72221.69</v>
      </c>
      <c r="AD37" s="418">
        <f t="shared" si="18"/>
        <v>0</v>
      </c>
      <c r="AE37" s="413">
        <f t="shared" si="19"/>
        <v>0</v>
      </c>
    </row>
    <row r="38" spans="1:31" x14ac:dyDescent="0.3">
      <c r="A38" s="418" t="s">
        <v>3</v>
      </c>
      <c r="B38" s="418" t="s">
        <v>1741</v>
      </c>
      <c r="C38" s="418" t="s">
        <v>1168</v>
      </c>
      <c r="D38" s="418" t="str">
        <f t="shared" si="2"/>
        <v>101-G378</v>
      </c>
      <c r="E38" s="418">
        <v>0</v>
      </c>
      <c r="F38" s="418">
        <v>698766.02</v>
      </c>
      <c r="G38" s="418">
        <v>1209670.8600000001</v>
      </c>
      <c r="H38" s="418">
        <v>12097280.060000001</v>
      </c>
      <c r="I38" s="418">
        <v>0</v>
      </c>
      <c r="J38" s="413">
        <v>0</v>
      </c>
      <c r="L38" s="418" t="str">
        <f t="shared" si="3"/>
        <v>Capacity Gas</v>
      </c>
      <c r="M38" s="418" t="str">
        <f t="shared" si="4"/>
        <v>G3780 DST Measuring &amp; Reg Station</v>
      </c>
      <c r="N38" s="418" t="str">
        <f t="shared" si="0"/>
        <v>Programmatic</v>
      </c>
      <c r="O38" s="418" t="str">
        <f t="shared" si="5"/>
        <v>101-G378</v>
      </c>
      <c r="P38" s="418">
        <f t="shared" si="6"/>
        <v>0</v>
      </c>
      <c r="Q38" s="418">
        <f t="shared" si="7"/>
        <v>0</v>
      </c>
      <c r="R38" s="418">
        <f t="shared" si="8"/>
        <v>0</v>
      </c>
      <c r="S38" s="418">
        <f t="shared" si="9"/>
        <v>0</v>
      </c>
      <c r="T38" s="418">
        <f t="shared" si="10"/>
        <v>0</v>
      </c>
      <c r="V38" s="418" t="str">
        <f t="shared" si="11"/>
        <v>Capacity Gas</v>
      </c>
      <c r="W38" s="418" t="str">
        <f t="shared" si="12"/>
        <v>G3780 DST Measuring &amp; Reg Station</v>
      </c>
      <c r="X38" s="418" t="str">
        <f t="shared" si="1"/>
        <v>Programmatic</v>
      </c>
      <c r="Y38" s="418" t="str">
        <f t="shared" si="13"/>
        <v>101-G378</v>
      </c>
      <c r="Z38" s="418">
        <f t="shared" si="14"/>
        <v>0</v>
      </c>
      <c r="AA38" s="418">
        <f t="shared" si="15"/>
        <v>698766.02</v>
      </c>
      <c r="AB38" s="418">
        <f t="shared" si="16"/>
        <v>1209670.8600000001</v>
      </c>
      <c r="AC38" s="418">
        <f t="shared" si="17"/>
        <v>12097280.060000001</v>
      </c>
      <c r="AD38" s="418">
        <f t="shared" si="18"/>
        <v>0</v>
      </c>
      <c r="AE38" s="413">
        <f t="shared" si="19"/>
        <v>0</v>
      </c>
    </row>
    <row r="39" spans="1:31" x14ac:dyDescent="0.3">
      <c r="A39" s="418" t="s">
        <v>3</v>
      </c>
      <c r="B39" s="418" t="s">
        <v>1739</v>
      </c>
      <c r="C39" s="418" t="s">
        <v>1168</v>
      </c>
      <c r="D39" s="418" t="str">
        <f t="shared" si="2"/>
        <v>101-G380</v>
      </c>
      <c r="E39" s="418">
        <v>0</v>
      </c>
      <c r="F39" s="418">
        <v>-201.27</v>
      </c>
      <c r="G39" s="418">
        <v>-306.26</v>
      </c>
      <c r="H39" s="418">
        <v>-615.72</v>
      </c>
      <c r="I39" s="418">
        <v>0</v>
      </c>
      <c r="J39" s="413">
        <v>0</v>
      </c>
      <c r="L39" s="418" t="str">
        <f t="shared" si="3"/>
        <v>Capacity Gas</v>
      </c>
      <c r="M39" s="418" t="str">
        <f t="shared" si="4"/>
        <v>G3802 DST Services, Plastic</v>
      </c>
      <c r="N39" s="418" t="str">
        <f t="shared" si="0"/>
        <v>Programmatic</v>
      </c>
      <c r="O39" s="418" t="str">
        <f t="shared" si="5"/>
        <v>101-G380</v>
      </c>
      <c r="P39" s="418">
        <f t="shared" si="6"/>
        <v>0</v>
      </c>
      <c r="Q39" s="418">
        <f t="shared" si="7"/>
        <v>0</v>
      </c>
      <c r="R39" s="418">
        <f t="shared" si="8"/>
        <v>0</v>
      </c>
      <c r="S39" s="418">
        <f t="shared" si="9"/>
        <v>0</v>
      </c>
      <c r="T39" s="418">
        <f t="shared" si="10"/>
        <v>0</v>
      </c>
      <c r="V39" s="418" t="str">
        <f t="shared" si="11"/>
        <v>Capacity Gas</v>
      </c>
      <c r="W39" s="418" t="str">
        <f t="shared" si="12"/>
        <v>G3802 DST Services, Plastic</v>
      </c>
      <c r="X39" s="418" t="str">
        <f t="shared" si="1"/>
        <v>Programmatic</v>
      </c>
      <c r="Y39" s="418" t="str">
        <f t="shared" si="13"/>
        <v>101-G380</v>
      </c>
      <c r="Z39" s="418">
        <f t="shared" si="14"/>
        <v>0</v>
      </c>
      <c r="AA39" s="418">
        <f t="shared" si="15"/>
        <v>-201.27</v>
      </c>
      <c r="AB39" s="418">
        <f t="shared" si="16"/>
        <v>-306.26</v>
      </c>
      <c r="AC39" s="418">
        <f t="shared" si="17"/>
        <v>-615.72</v>
      </c>
      <c r="AD39" s="418">
        <f t="shared" si="18"/>
        <v>0</v>
      </c>
      <c r="AE39" s="413">
        <f t="shared" si="19"/>
        <v>0</v>
      </c>
    </row>
    <row r="40" spans="1:31" x14ac:dyDescent="0.3">
      <c r="A40" s="418" t="s">
        <v>3</v>
      </c>
      <c r="B40" s="418" t="s">
        <v>1738</v>
      </c>
      <c r="C40" s="418" t="s">
        <v>1168</v>
      </c>
      <c r="D40" s="418" t="str">
        <f t="shared" si="2"/>
        <v>101-G380</v>
      </c>
      <c r="E40" s="418">
        <v>0</v>
      </c>
      <c r="F40" s="418">
        <v>19244.75</v>
      </c>
      <c r="G40" s="418">
        <v>29791.95</v>
      </c>
      <c r="H40" s="418">
        <v>102529.22</v>
      </c>
      <c r="I40" s="418">
        <v>0</v>
      </c>
      <c r="J40" s="413">
        <v>0</v>
      </c>
      <c r="L40" s="418" t="str">
        <f t="shared" si="3"/>
        <v>Capacity Gas</v>
      </c>
      <c r="M40" s="418" t="str">
        <f t="shared" si="4"/>
        <v>G3803 DST Services, Steel Wrapped</v>
      </c>
      <c r="N40" s="418" t="str">
        <f t="shared" si="0"/>
        <v>Programmatic</v>
      </c>
      <c r="O40" s="418" t="str">
        <f t="shared" si="5"/>
        <v>101-G380</v>
      </c>
      <c r="P40" s="418">
        <f t="shared" si="6"/>
        <v>0</v>
      </c>
      <c r="Q40" s="418">
        <f t="shared" si="7"/>
        <v>0</v>
      </c>
      <c r="R40" s="418">
        <f t="shared" si="8"/>
        <v>0</v>
      </c>
      <c r="S40" s="418">
        <f t="shared" si="9"/>
        <v>0</v>
      </c>
      <c r="T40" s="418">
        <f t="shared" si="10"/>
        <v>0</v>
      </c>
      <c r="V40" s="418" t="str">
        <f t="shared" si="11"/>
        <v>Capacity Gas</v>
      </c>
      <c r="W40" s="418" t="str">
        <f t="shared" si="12"/>
        <v>G3803 DST Services, Steel Wrapped</v>
      </c>
      <c r="X40" s="418" t="str">
        <f t="shared" si="1"/>
        <v>Programmatic</v>
      </c>
      <c r="Y40" s="418" t="str">
        <f t="shared" si="13"/>
        <v>101-G380</v>
      </c>
      <c r="Z40" s="418">
        <f t="shared" si="14"/>
        <v>0</v>
      </c>
      <c r="AA40" s="418">
        <f t="shared" si="15"/>
        <v>19244.75</v>
      </c>
      <c r="AB40" s="418">
        <f t="shared" si="16"/>
        <v>29791.95</v>
      </c>
      <c r="AC40" s="418">
        <f t="shared" si="17"/>
        <v>102529.22</v>
      </c>
      <c r="AD40" s="418">
        <f t="shared" si="18"/>
        <v>0</v>
      </c>
      <c r="AE40" s="413">
        <f t="shared" si="19"/>
        <v>0</v>
      </c>
    </row>
    <row r="41" spans="1:31" x14ac:dyDescent="0.3">
      <c r="A41" s="418" t="s">
        <v>3</v>
      </c>
      <c r="B41" s="418" t="s">
        <v>1728</v>
      </c>
      <c r="C41" s="418" t="s">
        <v>1168</v>
      </c>
      <c r="D41" s="418" t="str">
        <f t="shared" si="2"/>
        <v>101-G391</v>
      </c>
      <c r="E41" s="418">
        <v>0</v>
      </c>
      <c r="F41" s="418">
        <v>6529.7</v>
      </c>
      <c r="G41" s="418">
        <v>10108.33</v>
      </c>
      <c r="H41" s="418">
        <v>34787.980000000003</v>
      </c>
      <c r="I41" s="418">
        <v>0</v>
      </c>
      <c r="J41" s="413">
        <v>0</v>
      </c>
      <c r="L41" s="418" t="str">
        <f t="shared" si="3"/>
        <v>Capacity Gas</v>
      </c>
      <c r="M41" s="418" t="str">
        <f t="shared" si="4"/>
        <v>G3912 GEN Computer Eq, new</v>
      </c>
      <c r="N41" s="418" t="str">
        <f t="shared" si="0"/>
        <v>Programmatic</v>
      </c>
      <c r="O41" s="418" t="str">
        <f t="shared" si="5"/>
        <v>101-G391</v>
      </c>
      <c r="P41" s="418">
        <f t="shared" si="6"/>
        <v>0</v>
      </c>
      <c r="Q41" s="418">
        <f t="shared" si="7"/>
        <v>0</v>
      </c>
      <c r="R41" s="418">
        <f t="shared" si="8"/>
        <v>0</v>
      </c>
      <c r="S41" s="418">
        <f t="shared" si="9"/>
        <v>0</v>
      </c>
      <c r="T41" s="418">
        <f t="shared" si="10"/>
        <v>0</v>
      </c>
      <c r="V41" s="418" t="str">
        <f t="shared" si="11"/>
        <v>Capacity Gas</v>
      </c>
      <c r="W41" s="418" t="str">
        <f t="shared" si="12"/>
        <v>G3912 GEN Computer Eq, new</v>
      </c>
      <c r="X41" s="418" t="str">
        <f t="shared" si="1"/>
        <v>Programmatic</v>
      </c>
      <c r="Y41" s="418" t="str">
        <f t="shared" si="13"/>
        <v>101-G391</v>
      </c>
      <c r="Z41" s="418">
        <f t="shared" si="14"/>
        <v>0</v>
      </c>
      <c r="AA41" s="418">
        <f t="shared" si="15"/>
        <v>6529.7</v>
      </c>
      <c r="AB41" s="418">
        <f t="shared" si="16"/>
        <v>10108.33</v>
      </c>
      <c r="AC41" s="418">
        <f t="shared" si="17"/>
        <v>34787.980000000003</v>
      </c>
      <c r="AD41" s="418">
        <f t="shared" si="18"/>
        <v>0</v>
      </c>
      <c r="AE41" s="413">
        <f t="shared" si="19"/>
        <v>0</v>
      </c>
    </row>
    <row r="42" spans="1:31" x14ac:dyDescent="0.3">
      <c r="A42" s="418" t="s">
        <v>4</v>
      </c>
      <c r="B42" s="418" t="s">
        <v>1717</v>
      </c>
      <c r="C42" s="418" t="s">
        <v>1180</v>
      </c>
      <c r="D42" s="418" t="str">
        <f t="shared" si="2"/>
        <v>101-E355</v>
      </c>
      <c r="E42" s="418">
        <v>0</v>
      </c>
      <c r="F42" s="418">
        <v>-1651.92</v>
      </c>
      <c r="G42" s="418">
        <v>-1955.1</v>
      </c>
      <c r="H42" s="418">
        <v>-2561.46</v>
      </c>
      <c r="I42" s="418">
        <v>0</v>
      </c>
      <c r="J42" s="413">
        <v>0</v>
      </c>
      <c r="L42" s="418" t="str">
        <f t="shared" si="3"/>
        <v>CIAC - Electric</v>
      </c>
      <c r="M42" s="418" t="str">
        <f t="shared" si="4"/>
        <v>E3556 TSM Poles</v>
      </c>
      <c r="N42" s="418" t="str">
        <f t="shared" si="0"/>
        <v>Programmatic Customer Drive</v>
      </c>
      <c r="O42" s="418" t="str">
        <f t="shared" si="5"/>
        <v>101-E355</v>
      </c>
      <c r="P42" s="418">
        <f t="shared" si="6"/>
        <v>0</v>
      </c>
      <c r="Q42" s="418">
        <f t="shared" si="7"/>
        <v>-1651.92</v>
      </c>
      <c r="R42" s="418">
        <f t="shared" si="8"/>
        <v>-1955.1</v>
      </c>
      <c r="S42" s="418">
        <f t="shared" si="9"/>
        <v>-2561.46</v>
      </c>
      <c r="T42" s="418">
        <f t="shared" si="10"/>
        <v>0</v>
      </c>
      <c r="V42" s="418" t="str">
        <f t="shared" si="11"/>
        <v>CIAC - Electric</v>
      </c>
      <c r="W42" s="418" t="str">
        <f t="shared" si="12"/>
        <v>E3556 TSM Poles</v>
      </c>
      <c r="X42" s="418" t="str">
        <f t="shared" si="1"/>
        <v>Programmatic Customer Drive</v>
      </c>
      <c r="Y42" s="418" t="str">
        <f t="shared" si="13"/>
        <v>101-E355</v>
      </c>
      <c r="Z42" s="418">
        <f t="shared" si="14"/>
        <v>0</v>
      </c>
      <c r="AA42" s="418">
        <f t="shared" si="15"/>
        <v>0</v>
      </c>
      <c r="AB42" s="418">
        <f t="shared" si="16"/>
        <v>0</v>
      </c>
      <c r="AC42" s="418">
        <f t="shared" si="17"/>
        <v>0</v>
      </c>
      <c r="AD42" s="418">
        <f t="shared" si="18"/>
        <v>0</v>
      </c>
      <c r="AE42" s="413">
        <f t="shared" si="19"/>
        <v>0</v>
      </c>
    </row>
    <row r="43" spans="1:31" x14ac:dyDescent="0.3">
      <c r="A43" s="418" t="s">
        <v>4</v>
      </c>
      <c r="B43" s="418" t="s">
        <v>1711</v>
      </c>
      <c r="C43" s="418" t="s">
        <v>1180</v>
      </c>
      <c r="D43" s="418" t="str">
        <f t="shared" si="2"/>
        <v>101-E364</v>
      </c>
      <c r="E43" s="418">
        <v>0</v>
      </c>
      <c r="F43" s="418">
        <v>-360554.64</v>
      </c>
      <c r="G43" s="418">
        <v>-426724.2</v>
      </c>
      <c r="H43" s="418">
        <v>-559063.31999999995</v>
      </c>
      <c r="I43" s="418">
        <v>0</v>
      </c>
      <c r="J43" s="413">
        <v>0</v>
      </c>
      <c r="L43" s="418" t="str">
        <f t="shared" si="3"/>
        <v>CIAC - Electric</v>
      </c>
      <c r="M43" s="418" t="str">
        <f t="shared" si="4"/>
        <v>E3640 DST Poles/Towers/Fixtures</v>
      </c>
      <c r="N43" s="418" t="str">
        <f t="shared" si="0"/>
        <v>Programmatic Customer Drive</v>
      </c>
      <c r="O43" s="418" t="str">
        <f t="shared" si="5"/>
        <v>101-E364</v>
      </c>
      <c r="P43" s="418">
        <f t="shared" si="6"/>
        <v>0</v>
      </c>
      <c r="Q43" s="418">
        <f t="shared" si="7"/>
        <v>-360554.64</v>
      </c>
      <c r="R43" s="418">
        <f t="shared" si="8"/>
        <v>-426724.2</v>
      </c>
      <c r="S43" s="418">
        <f t="shared" si="9"/>
        <v>-559063.31999999995</v>
      </c>
      <c r="T43" s="418">
        <f t="shared" si="10"/>
        <v>0</v>
      </c>
      <c r="V43" s="418" t="str">
        <f t="shared" si="11"/>
        <v>CIAC - Electric</v>
      </c>
      <c r="W43" s="418" t="str">
        <f t="shared" si="12"/>
        <v>E3640 DST Poles/Towers/Fixtures</v>
      </c>
      <c r="X43" s="418" t="str">
        <f t="shared" si="1"/>
        <v>Programmatic Customer Drive</v>
      </c>
      <c r="Y43" s="418" t="str">
        <f t="shared" si="13"/>
        <v>101-E364</v>
      </c>
      <c r="Z43" s="418">
        <f t="shared" si="14"/>
        <v>0</v>
      </c>
      <c r="AA43" s="418">
        <f t="shared" si="15"/>
        <v>0</v>
      </c>
      <c r="AB43" s="418">
        <f t="shared" si="16"/>
        <v>0</v>
      </c>
      <c r="AC43" s="418">
        <f t="shared" si="17"/>
        <v>0</v>
      </c>
      <c r="AD43" s="418">
        <f t="shared" si="18"/>
        <v>0</v>
      </c>
      <c r="AE43" s="413">
        <f t="shared" si="19"/>
        <v>0</v>
      </c>
    </row>
    <row r="44" spans="1:31" x14ac:dyDescent="0.3">
      <c r="A44" s="418" t="s">
        <v>4</v>
      </c>
      <c r="B44" s="418" t="s">
        <v>1720</v>
      </c>
      <c r="C44" s="418" t="s">
        <v>1180</v>
      </c>
      <c r="D44" s="418" t="str">
        <f t="shared" si="2"/>
        <v>101-E365</v>
      </c>
      <c r="E44" s="418">
        <v>0</v>
      </c>
      <c r="F44" s="418">
        <v>-2052510</v>
      </c>
      <c r="G44" s="418">
        <v>-2429189.7000000002</v>
      </c>
      <c r="H44" s="418">
        <v>-3182549.1</v>
      </c>
      <c r="I44" s="418">
        <v>0</v>
      </c>
      <c r="J44" s="413">
        <v>0</v>
      </c>
      <c r="L44" s="418" t="str">
        <f t="shared" si="3"/>
        <v>CIAC - Electric</v>
      </c>
      <c r="M44" s="418" t="str">
        <f t="shared" si="4"/>
        <v>E3650 DST O/H Conductor/Devices</v>
      </c>
      <c r="N44" s="418" t="str">
        <f t="shared" si="0"/>
        <v>Programmatic Customer Drive</v>
      </c>
      <c r="O44" s="418" t="str">
        <f t="shared" si="5"/>
        <v>101-E365</v>
      </c>
      <c r="P44" s="418">
        <f t="shared" si="6"/>
        <v>0</v>
      </c>
      <c r="Q44" s="418">
        <f t="shared" si="7"/>
        <v>-2052510</v>
      </c>
      <c r="R44" s="418">
        <f t="shared" si="8"/>
        <v>-2429189.7000000002</v>
      </c>
      <c r="S44" s="418">
        <f t="shared" si="9"/>
        <v>-3182549.1</v>
      </c>
      <c r="T44" s="418">
        <f t="shared" si="10"/>
        <v>0</v>
      </c>
      <c r="V44" s="418" t="str">
        <f t="shared" si="11"/>
        <v>CIAC - Electric</v>
      </c>
      <c r="W44" s="418" t="str">
        <f t="shared" si="12"/>
        <v>E3650 DST O/H Conductor/Devices</v>
      </c>
      <c r="X44" s="418" t="str">
        <f t="shared" si="1"/>
        <v>Programmatic Customer Drive</v>
      </c>
      <c r="Y44" s="418" t="str">
        <f t="shared" si="13"/>
        <v>101-E365</v>
      </c>
      <c r="Z44" s="418">
        <f t="shared" si="14"/>
        <v>0</v>
      </c>
      <c r="AA44" s="418">
        <f t="shared" si="15"/>
        <v>0</v>
      </c>
      <c r="AB44" s="418">
        <f t="shared" si="16"/>
        <v>0</v>
      </c>
      <c r="AC44" s="418">
        <f t="shared" si="17"/>
        <v>0</v>
      </c>
      <c r="AD44" s="418">
        <f t="shared" si="18"/>
        <v>0</v>
      </c>
      <c r="AE44" s="413">
        <f t="shared" si="19"/>
        <v>0</v>
      </c>
    </row>
    <row r="45" spans="1:31" x14ac:dyDescent="0.3">
      <c r="A45" s="418" t="s">
        <v>4</v>
      </c>
      <c r="B45" s="418" t="s">
        <v>1710</v>
      </c>
      <c r="C45" s="418" t="s">
        <v>1180</v>
      </c>
      <c r="D45" s="418" t="str">
        <f t="shared" si="2"/>
        <v>101-E366</v>
      </c>
      <c r="E45" s="418">
        <v>0</v>
      </c>
      <c r="F45" s="418">
        <v>-5716187.2800000003</v>
      </c>
      <c r="G45" s="418">
        <v>-6765230.46</v>
      </c>
      <c r="H45" s="418">
        <v>-8863316.8200000003</v>
      </c>
      <c r="I45" s="418">
        <v>0</v>
      </c>
      <c r="J45" s="413">
        <v>0</v>
      </c>
      <c r="L45" s="418" t="str">
        <f t="shared" si="3"/>
        <v>CIAC - Electric</v>
      </c>
      <c r="M45" s="418" t="str">
        <f t="shared" si="4"/>
        <v>E3660 DST U/G Conduit</v>
      </c>
      <c r="N45" s="418" t="str">
        <f t="shared" si="0"/>
        <v>Programmatic Customer Drive</v>
      </c>
      <c r="O45" s="418" t="str">
        <f t="shared" si="5"/>
        <v>101-E366</v>
      </c>
      <c r="P45" s="418">
        <f t="shared" si="6"/>
        <v>0</v>
      </c>
      <c r="Q45" s="418">
        <f t="shared" si="7"/>
        <v>-5716187.2800000003</v>
      </c>
      <c r="R45" s="418">
        <f t="shared" si="8"/>
        <v>-6765230.46</v>
      </c>
      <c r="S45" s="418">
        <f t="shared" si="9"/>
        <v>-8863316.8200000003</v>
      </c>
      <c r="T45" s="418">
        <f t="shared" si="10"/>
        <v>0</v>
      </c>
      <c r="V45" s="418" t="str">
        <f t="shared" si="11"/>
        <v>CIAC - Electric</v>
      </c>
      <c r="W45" s="418" t="str">
        <f t="shared" si="12"/>
        <v>E3660 DST U/G Conduit</v>
      </c>
      <c r="X45" s="418" t="str">
        <f t="shared" si="1"/>
        <v>Programmatic Customer Drive</v>
      </c>
      <c r="Y45" s="418" t="str">
        <f t="shared" si="13"/>
        <v>101-E366</v>
      </c>
      <c r="Z45" s="418">
        <f t="shared" si="14"/>
        <v>0</v>
      </c>
      <c r="AA45" s="418">
        <f t="shared" si="15"/>
        <v>0</v>
      </c>
      <c r="AB45" s="418">
        <f t="shared" si="16"/>
        <v>0</v>
      </c>
      <c r="AC45" s="418">
        <f t="shared" si="17"/>
        <v>0</v>
      </c>
      <c r="AD45" s="418">
        <f t="shared" si="18"/>
        <v>0</v>
      </c>
      <c r="AE45" s="413">
        <f t="shared" si="19"/>
        <v>0</v>
      </c>
    </row>
    <row r="46" spans="1:31" x14ac:dyDescent="0.3">
      <c r="A46" s="418" t="s">
        <v>4</v>
      </c>
      <c r="B46" s="418" t="s">
        <v>1709</v>
      </c>
      <c r="C46" s="418" t="s">
        <v>1180</v>
      </c>
      <c r="D46" s="418" t="str">
        <f t="shared" si="2"/>
        <v>101-E367</v>
      </c>
      <c r="E46" s="418">
        <v>0</v>
      </c>
      <c r="F46" s="418">
        <v>-7518526.0800000001</v>
      </c>
      <c r="G46" s="418">
        <v>-8898337.1400000006</v>
      </c>
      <c r="H46" s="418">
        <v>-11657959.26</v>
      </c>
      <c r="I46" s="418">
        <v>0</v>
      </c>
      <c r="J46" s="413">
        <v>0</v>
      </c>
      <c r="L46" s="418" t="str">
        <f t="shared" si="3"/>
        <v>CIAC - Electric</v>
      </c>
      <c r="M46" s="418" t="str">
        <f t="shared" si="4"/>
        <v>E3670 DST U/G Conductor/Devices</v>
      </c>
      <c r="N46" s="418" t="str">
        <f t="shared" si="0"/>
        <v>Programmatic Customer Drive</v>
      </c>
      <c r="O46" s="418" t="str">
        <f t="shared" si="5"/>
        <v>101-E367</v>
      </c>
      <c r="P46" s="418">
        <f t="shared" si="6"/>
        <v>0</v>
      </c>
      <c r="Q46" s="418">
        <f t="shared" si="7"/>
        <v>-7518526.0800000001</v>
      </c>
      <c r="R46" s="418">
        <f t="shared" si="8"/>
        <v>-8898337.1400000006</v>
      </c>
      <c r="S46" s="418">
        <f t="shared" si="9"/>
        <v>-11657959.26</v>
      </c>
      <c r="T46" s="418">
        <f t="shared" si="10"/>
        <v>0</v>
      </c>
      <c r="V46" s="418" t="str">
        <f t="shared" si="11"/>
        <v>CIAC - Electric</v>
      </c>
      <c r="W46" s="418" t="str">
        <f t="shared" si="12"/>
        <v>E3670 DST U/G Conductor/Devices</v>
      </c>
      <c r="X46" s="418" t="str">
        <f t="shared" si="1"/>
        <v>Programmatic Customer Drive</v>
      </c>
      <c r="Y46" s="418" t="str">
        <f t="shared" si="13"/>
        <v>101-E367</v>
      </c>
      <c r="Z46" s="418">
        <f t="shared" si="14"/>
        <v>0</v>
      </c>
      <c r="AA46" s="418">
        <f t="shared" si="15"/>
        <v>0</v>
      </c>
      <c r="AB46" s="418">
        <f t="shared" si="16"/>
        <v>0</v>
      </c>
      <c r="AC46" s="418">
        <f t="shared" si="17"/>
        <v>0</v>
      </c>
      <c r="AD46" s="418">
        <f t="shared" si="18"/>
        <v>0</v>
      </c>
      <c r="AE46" s="413">
        <f t="shared" si="19"/>
        <v>0</v>
      </c>
    </row>
    <row r="47" spans="1:31" x14ac:dyDescent="0.3">
      <c r="A47" s="418" t="s">
        <v>4</v>
      </c>
      <c r="B47" s="418" t="s">
        <v>1780</v>
      </c>
      <c r="C47" s="418" t="s">
        <v>1180</v>
      </c>
      <c r="D47" s="418" t="str">
        <f t="shared" si="2"/>
        <v>101-E368</v>
      </c>
      <c r="E47" s="418">
        <v>0</v>
      </c>
      <c r="F47" s="418">
        <v>-1691172.84</v>
      </c>
      <c r="G47" s="418">
        <v>-2001539.4</v>
      </c>
      <c r="H47" s="418">
        <v>-2622272.52</v>
      </c>
      <c r="I47" s="418">
        <v>0</v>
      </c>
      <c r="J47" s="413">
        <v>0</v>
      </c>
      <c r="L47" s="418" t="str">
        <f t="shared" si="3"/>
        <v>CIAC - Electric</v>
      </c>
      <c r="M47" s="418" t="str">
        <f t="shared" si="4"/>
        <v>E368 DST Line Transformers</v>
      </c>
      <c r="N47" s="418" t="str">
        <f t="shared" si="0"/>
        <v>Programmatic Customer Drive</v>
      </c>
      <c r="O47" s="418" t="str">
        <f t="shared" si="5"/>
        <v>101-E368</v>
      </c>
      <c r="P47" s="418">
        <f t="shared" si="6"/>
        <v>0</v>
      </c>
      <c r="Q47" s="418">
        <f t="shared" si="7"/>
        <v>-1691172.84</v>
      </c>
      <c r="R47" s="418">
        <f t="shared" si="8"/>
        <v>-2001539.4</v>
      </c>
      <c r="S47" s="418">
        <f t="shared" si="9"/>
        <v>-2622272.52</v>
      </c>
      <c r="T47" s="418">
        <f t="shared" si="10"/>
        <v>0</v>
      </c>
      <c r="V47" s="418" t="str">
        <f t="shared" si="11"/>
        <v>CIAC - Electric</v>
      </c>
      <c r="W47" s="418" t="str">
        <f t="shared" si="12"/>
        <v>E368 DST Line Transformers</v>
      </c>
      <c r="X47" s="418" t="str">
        <f t="shared" si="1"/>
        <v>Programmatic Customer Drive</v>
      </c>
      <c r="Y47" s="418" t="str">
        <f t="shared" si="13"/>
        <v>101-E368</v>
      </c>
      <c r="Z47" s="418">
        <f t="shared" si="14"/>
        <v>0</v>
      </c>
      <c r="AA47" s="418">
        <f t="shared" si="15"/>
        <v>0</v>
      </c>
      <c r="AB47" s="418">
        <f t="shared" si="16"/>
        <v>0</v>
      </c>
      <c r="AC47" s="418">
        <f t="shared" si="17"/>
        <v>0</v>
      </c>
      <c r="AD47" s="418">
        <f t="shared" si="18"/>
        <v>0</v>
      </c>
      <c r="AE47" s="413">
        <f t="shared" si="19"/>
        <v>0</v>
      </c>
    </row>
    <row r="48" spans="1:31" x14ac:dyDescent="0.3">
      <c r="A48" s="418" t="s">
        <v>4</v>
      </c>
      <c r="B48" s="418" t="s">
        <v>1778</v>
      </c>
      <c r="C48" s="418" t="s">
        <v>1180</v>
      </c>
      <c r="D48" s="418" t="str">
        <f t="shared" si="2"/>
        <v>101-E370</v>
      </c>
      <c r="E48" s="418">
        <v>0</v>
      </c>
      <c r="F48" s="418">
        <v>-47036.4</v>
      </c>
      <c r="G48" s="418">
        <v>-55668.6</v>
      </c>
      <c r="H48" s="418">
        <v>-72933</v>
      </c>
      <c r="I48" s="418">
        <v>0</v>
      </c>
      <c r="J48" s="413">
        <v>0</v>
      </c>
      <c r="L48" s="418" t="str">
        <f t="shared" si="3"/>
        <v>CIAC - Electric</v>
      </c>
      <c r="M48" s="418" t="str">
        <f t="shared" si="4"/>
        <v>E3701 DST Meters AMI</v>
      </c>
      <c r="N48" s="418" t="str">
        <f t="shared" si="0"/>
        <v>Programmatic Customer Drive</v>
      </c>
      <c r="O48" s="418" t="str">
        <f t="shared" si="5"/>
        <v>101-E370</v>
      </c>
      <c r="P48" s="418">
        <f t="shared" si="6"/>
        <v>0</v>
      </c>
      <c r="Q48" s="418">
        <f t="shared" si="7"/>
        <v>-47036.4</v>
      </c>
      <c r="R48" s="418">
        <f t="shared" si="8"/>
        <v>-55668.6</v>
      </c>
      <c r="S48" s="418">
        <f t="shared" si="9"/>
        <v>-72933</v>
      </c>
      <c r="T48" s="418">
        <f t="shared" si="10"/>
        <v>0</v>
      </c>
      <c r="V48" s="418" t="str">
        <f t="shared" si="11"/>
        <v>CIAC - Electric</v>
      </c>
      <c r="W48" s="418" t="str">
        <f t="shared" si="12"/>
        <v>E3701 DST Meters AMI</v>
      </c>
      <c r="X48" s="418" t="str">
        <f t="shared" si="1"/>
        <v>Programmatic Customer Drive</v>
      </c>
      <c r="Y48" s="418" t="str">
        <f t="shared" si="13"/>
        <v>101-E370</v>
      </c>
      <c r="Z48" s="418">
        <f t="shared" si="14"/>
        <v>0</v>
      </c>
      <c r="AA48" s="418">
        <f t="shared" si="15"/>
        <v>0</v>
      </c>
      <c r="AB48" s="418">
        <f t="shared" si="16"/>
        <v>0</v>
      </c>
      <c r="AC48" s="418">
        <f t="shared" si="17"/>
        <v>0</v>
      </c>
      <c r="AD48" s="418">
        <f t="shared" si="18"/>
        <v>0</v>
      </c>
      <c r="AE48" s="413">
        <f t="shared" si="19"/>
        <v>0</v>
      </c>
    </row>
    <row r="49" spans="1:31" x14ac:dyDescent="0.3">
      <c r="A49" s="418" t="s">
        <v>4</v>
      </c>
      <c r="B49" s="418" t="s">
        <v>1776</v>
      </c>
      <c r="C49" s="418" t="s">
        <v>1180</v>
      </c>
      <c r="D49" s="418" t="str">
        <f t="shared" si="2"/>
        <v>101-E373</v>
      </c>
      <c r="E49" s="418">
        <v>0</v>
      </c>
      <c r="F49" s="418">
        <v>-1060.68</v>
      </c>
      <c r="G49" s="418">
        <v>-1255.31</v>
      </c>
      <c r="H49" s="418">
        <v>-1644.59</v>
      </c>
      <c r="I49" s="418">
        <v>0</v>
      </c>
      <c r="J49" s="413">
        <v>0</v>
      </c>
      <c r="L49" s="418" t="str">
        <f t="shared" si="3"/>
        <v>CIAC - Electric</v>
      </c>
      <c r="M49" s="418" t="str">
        <f t="shared" si="4"/>
        <v>E373 DST Street Lighting &amp; Signal</v>
      </c>
      <c r="N49" s="418" t="str">
        <f t="shared" si="0"/>
        <v>Programmatic Customer Drive</v>
      </c>
      <c r="O49" s="418" t="str">
        <f t="shared" si="5"/>
        <v>101-E373</v>
      </c>
      <c r="P49" s="418">
        <f t="shared" si="6"/>
        <v>0</v>
      </c>
      <c r="Q49" s="418">
        <f t="shared" si="7"/>
        <v>-1060.68</v>
      </c>
      <c r="R49" s="418">
        <f t="shared" si="8"/>
        <v>-1255.31</v>
      </c>
      <c r="S49" s="418">
        <f t="shared" si="9"/>
        <v>-1644.59</v>
      </c>
      <c r="T49" s="418">
        <f t="shared" si="10"/>
        <v>0</v>
      </c>
      <c r="V49" s="418" t="str">
        <f t="shared" si="11"/>
        <v>CIAC - Electric</v>
      </c>
      <c r="W49" s="418" t="str">
        <f t="shared" si="12"/>
        <v>E373 DST Street Lighting &amp; Signal</v>
      </c>
      <c r="X49" s="418" t="str">
        <f t="shared" si="1"/>
        <v>Programmatic Customer Drive</v>
      </c>
      <c r="Y49" s="418" t="str">
        <f t="shared" si="13"/>
        <v>101-E373</v>
      </c>
      <c r="Z49" s="418">
        <f t="shared" si="14"/>
        <v>0</v>
      </c>
      <c r="AA49" s="418">
        <f t="shared" si="15"/>
        <v>0</v>
      </c>
      <c r="AB49" s="418">
        <f t="shared" si="16"/>
        <v>0</v>
      </c>
      <c r="AC49" s="418">
        <f t="shared" si="17"/>
        <v>0</v>
      </c>
      <c r="AD49" s="418">
        <f t="shared" si="18"/>
        <v>0</v>
      </c>
      <c r="AE49" s="413">
        <f t="shared" si="19"/>
        <v>0</v>
      </c>
    </row>
    <row r="50" spans="1:31" x14ac:dyDescent="0.3">
      <c r="A50" s="418" t="s">
        <v>5</v>
      </c>
      <c r="B50" s="418" t="s">
        <v>1744</v>
      </c>
      <c r="C50" s="418" t="s">
        <v>1180</v>
      </c>
      <c r="D50" s="418" t="str">
        <f t="shared" si="2"/>
        <v>101-G376</v>
      </c>
      <c r="E50" s="418">
        <v>0</v>
      </c>
      <c r="F50" s="418">
        <v>-1392404.88</v>
      </c>
      <c r="G50" s="418">
        <v>-2743578.96</v>
      </c>
      <c r="H50" s="418">
        <v>-5445927.1200000001</v>
      </c>
      <c r="I50" s="418">
        <v>0</v>
      </c>
      <c r="J50" s="413">
        <v>0</v>
      </c>
      <c r="L50" s="418" t="str">
        <f t="shared" si="3"/>
        <v>CIAC - Gas</v>
      </c>
      <c r="M50" s="418" t="str">
        <f t="shared" si="4"/>
        <v>G3762 DST Mains, Plastic</v>
      </c>
      <c r="N50" s="418" t="str">
        <f t="shared" si="0"/>
        <v>Programmatic Customer Drive</v>
      </c>
      <c r="O50" s="418" t="str">
        <f t="shared" si="5"/>
        <v>101-G376</v>
      </c>
      <c r="P50" s="418">
        <f t="shared" si="6"/>
        <v>0</v>
      </c>
      <c r="Q50" s="418">
        <f t="shared" si="7"/>
        <v>0</v>
      </c>
      <c r="R50" s="418">
        <f t="shared" si="8"/>
        <v>0</v>
      </c>
      <c r="S50" s="418">
        <f t="shared" si="9"/>
        <v>0</v>
      </c>
      <c r="T50" s="418">
        <f t="shared" si="10"/>
        <v>0</v>
      </c>
      <c r="V50" s="418" t="str">
        <f t="shared" si="11"/>
        <v>CIAC - Gas</v>
      </c>
      <c r="W50" s="418" t="str">
        <f t="shared" si="12"/>
        <v>G3762 DST Mains, Plastic</v>
      </c>
      <c r="X50" s="418" t="str">
        <f t="shared" si="1"/>
        <v>Programmatic Customer Drive</v>
      </c>
      <c r="Y50" s="418" t="str">
        <f t="shared" si="13"/>
        <v>101-G376</v>
      </c>
      <c r="Z50" s="418">
        <f t="shared" si="14"/>
        <v>0</v>
      </c>
      <c r="AA50" s="418">
        <f t="shared" si="15"/>
        <v>-1392404.88</v>
      </c>
      <c r="AB50" s="418">
        <f t="shared" si="16"/>
        <v>-2743578.96</v>
      </c>
      <c r="AC50" s="418">
        <f t="shared" si="17"/>
        <v>-5445927.1200000001</v>
      </c>
      <c r="AD50" s="418">
        <f t="shared" si="18"/>
        <v>0</v>
      </c>
      <c r="AE50" s="413">
        <f t="shared" si="19"/>
        <v>0</v>
      </c>
    </row>
    <row r="51" spans="1:31" x14ac:dyDescent="0.3">
      <c r="A51" s="418" t="s">
        <v>5</v>
      </c>
      <c r="B51" s="418" t="s">
        <v>1743</v>
      </c>
      <c r="C51" s="418" t="s">
        <v>1180</v>
      </c>
      <c r="D51" s="418" t="str">
        <f t="shared" si="2"/>
        <v>101-G376</v>
      </c>
      <c r="E51" s="418">
        <v>0</v>
      </c>
      <c r="F51" s="418">
        <v>-118796.4</v>
      </c>
      <c r="G51" s="418">
        <v>-234075.06</v>
      </c>
      <c r="H51" s="418">
        <v>-464632.38</v>
      </c>
      <c r="I51" s="418">
        <v>0</v>
      </c>
      <c r="J51" s="413">
        <v>0</v>
      </c>
      <c r="L51" s="418" t="str">
        <f t="shared" si="3"/>
        <v>CIAC - Gas</v>
      </c>
      <c r="M51" s="418" t="str">
        <f t="shared" si="4"/>
        <v>G3764 DST Mains, Wrapped Steel</v>
      </c>
      <c r="N51" s="418" t="str">
        <f t="shared" si="0"/>
        <v>Programmatic Customer Drive</v>
      </c>
      <c r="O51" s="418" t="str">
        <f t="shared" si="5"/>
        <v>101-G376</v>
      </c>
      <c r="P51" s="418">
        <f t="shared" si="6"/>
        <v>0</v>
      </c>
      <c r="Q51" s="418">
        <f t="shared" si="7"/>
        <v>0</v>
      </c>
      <c r="R51" s="418">
        <f t="shared" si="8"/>
        <v>0</v>
      </c>
      <c r="S51" s="418">
        <f t="shared" si="9"/>
        <v>0</v>
      </c>
      <c r="T51" s="418">
        <f t="shared" si="10"/>
        <v>0</v>
      </c>
      <c r="V51" s="418" t="str">
        <f t="shared" si="11"/>
        <v>CIAC - Gas</v>
      </c>
      <c r="W51" s="418" t="str">
        <f t="shared" si="12"/>
        <v>G3764 DST Mains, Wrapped Steel</v>
      </c>
      <c r="X51" s="418" t="str">
        <f t="shared" si="1"/>
        <v>Programmatic Customer Drive</v>
      </c>
      <c r="Y51" s="418" t="str">
        <f t="shared" si="13"/>
        <v>101-G376</v>
      </c>
      <c r="Z51" s="418">
        <f t="shared" si="14"/>
        <v>0</v>
      </c>
      <c r="AA51" s="418">
        <f t="shared" si="15"/>
        <v>-118796.4</v>
      </c>
      <c r="AB51" s="418">
        <f t="shared" si="16"/>
        <v>-234075.06</v>
      </c>
      <c r="AC51" s="418">
        <f t="shared" si="17"/>
        <v>-464632.38</v>
      </c>
      <c r="AD51" s="418">
        <f t="shared" si="18"/>
        <v>0</v>
      </c>
      <c r="AE51" s="413">
        <f t="shared" si="19"/>
        <v>0</v>
      </c>
    </row>
    <row r="52" spans="1:31" x14ac:dyDescent="0.3">
      <c r="A52" s="418" t="s">
        <v>5</v>
      </c>
      <c r="B52" s="418" t="s">
        <v>1741</v>
      </c>
      <c r="C52" s="418" t="s">
        <v>1180</v>
      </c>
      <c r="D52" s="418" t="str">
        <f t="shared" si="2"/>
        <v>101-G378</v>
      </c>
      <c r="E52" s="418">
        <v>0</v>
      </c>
      <c r="F52" s="418">
        <v>-22727.4</v>
      </c>
      <c r="G52" s="418">
        <v>-44781.84</v>
      </c>
      <c r="H52" s="418">
        <v>-88890.72</v>
      </c>
      <c r="I52" s="418">
        <v>0</v>
      </c>
      <c r="J52" s="413">
        <v>0</v>
      </c>
      <c r="L52" s="418" t="str">
        <f t="shared" si="3"/>
        <v>CIAC - Gas</v>
      </c>
      <c r="M52" s="418" t="str">
        <f t="shared" si="4"/>
        <v>G3780 DST Measuring &amp; Reg Station</v>
      </c>
      <c r="N52" s="418" t="str">
        <f t="shared" si="0"/>
        <v>Programmatic Customer Drive</v>
      </c>
      <c r="O52" s="418" t="str">
        <f t="shared" si="5"/>
        <v>101-G378</v>
      </c>
      <c r="P52" s="418">
        <f t="shared" si="6"/>
        <v>0</v>
      </c>
      <c r="Q52" s="418">
        <f t="shared" si="7"/>
        <v>0</v>
      </c>
      <c r="R52" s="418">
        <f t="shared" si="8"/>
        <v>0</v>
      </c>
      <c r="S52" s="418">
        <f t="shared" si="9"/>
        <v>0</v>
      </c>
      <c r="T52" s="418">
        <f t="shared" si="10"/>
        <v>0</v>
      </c>
      <c r="V52" s="418" t="str">
        <f t="shared" si="11"/>
        <v>CIAC - Gas</v>
      </c>
      <c r="W52" s="418" t="str">
        <f t="shared" si="12"/>
        <v>G3780 DST Measuring &amp; Reg Station</v>
      </c>
      <c r="X52" s="418" t="str">
        <f t="shared" si="1"/>
        <v>Programmatic Customer Drive</v>
      </c>
      <c r="Y52" s="418" t="str">
        <f t="shared" si="13"/>
        <v>101-G378</v>
      </c>
      <c r="Z52" s="418">
        <f t="shared" si="14"/>
        <v>0</v>
      </c>
      <c r="AA52" s="418">
        <f t="shared" si="15"/>
        <v>-22727.4</v>
      </c>
      <c r="AB52" s="418">
        <f t="shared" si="16"/>
        <v>-44781.84</v>
      </c>
      <c r="AC52" s="418">
        <f t="shared" si="17"/>
        <v>-88890.72</v>
      </c>
      <c r="AD52" s="418">
        <f t="shared" si="18"/>
        <v>0</v>
      </c>
      <c r="AE52" s="413">
        <f t="shared" si="19"/>
        <v>0</v>
      </c>
    </row>
    <row r="53" spans="1:31" x14ac:dyDescent="0.3">
      <c r="A53" s="418" t="s">
        <v>5</v>
      </c>
      <c r="B53" s="418" t="s">
        <v>1739</v>
      </c>
      <c r="C53" s="418" t="s">
        <v>1180</v>
      </c>
      <c r="D53" s="418" t="str">
        <f t="shared" si="2"/>
        <v>101-G380</v>
      </c>
      <c r="E53" s="418">
        <v>0</v>
      </c>
      <c r="F53" s="418">
        <v>-9357</v>
      </c>
      <c r="G53" s="418">
        <v>-18436.91</v>
      </c>
      <c r="H53" s="418">
        <v>-36596.75</v>
      </c>
      <c r="I53" s="418">
        <v>0</v>
      </c>
      <c r="J53" s="413">
        <v>0</v>
      </c>
      <c r="L53" s="418" t="str">
        <f t="shared" si="3"/>
        <v>CIAC - Gas</v>
      </c>
      <c r="M53" s="418" t="str">
        <f t="shared" si="4"/>
        <v>G3802 DST Services, Plastic</v>
      </c>
      <c r="N53" s="418" t="str">
        <f t="shared" si="0"/>
        <v>Programmatic Customer Drive</v>
      </c>
      <c r="O53" s="418" t="str">
        <f t="shared" si="5"/>
        <v>101-G380</v>
      </c>
      <c r="P53" s="418">
        <f t="shared" si="6"/>
        <v>0</v>
      </c>
      <c r="Q53" s="418">
        <f t="shared" si="7"/>
        <v>0</v>
      </c>
      <c r="R53" s="418">
        <f t="shared" si="8"/>
        <v>0</v>
      </c>
      <c r="S53" s="418">
        <f t="shared" si="9"/>
        <v>0</v>
      </c>
      <c r="T53" s="418">
        <f t="shared" si="10"/>
        <v>0</v>
      </c>
      <c r="V53" s="418" t="str">
        <f t="shared" si="11"/>
        <v>CIAC - Gas</v>
      </c>
      <c r="W53" s="418" t="str">
        <f t="shared" si="12"/>
        <v>G3802 DST Services, Plastic</v>
      </c>
      <c r="X53" s="418" t="str">
        <f t="shared" si="1"/>
        <v>Programmatic Customer Drive</v>
      </c>
      <c r="Y53" s="418" t="str">
        <f t="shared" si="13"/>
        <v>101-G380</v>
      </c>
      <c r="Z53" s="418">
        <f t="shared" si="14"/>
        <v>0</v>
      </c>
      <c r="AA53" s="418">
        <f t="shared" si="15"/>
        <v>-9357</v>
      </c>
      <c r="AB53" s="418">
        <f t="shared" si="16"/>
        <v>-18436.91</v>
      </c>
      <c r="AC53" s="418">
        <f t="shared" si="17"/>
        <v>-36596.75</v>
      </c>
      <c r="AD53" s="418">
        <f t="shared" si="18"/>
        <v>0</v>
      </c>
      <c r="AE53" s="413">
        <f t="shared" si="19"/>
        <v>0</v>
      </c>
    </row>
    <row r="54" spans="1:31" x14ac:dyDescent="0.3">
      <c r="A54" s="418" t="s">
        <v>5</v>
      </c>
      <c r="B54" s="418" t="s">
        <v>1731</v>
      </c>
      <c r="C54" s="418" t="s">
        <v>1180</v>
      </c>
      <c r="D54" s="418" t="str">
        <f t="shared" si="2"/>
        <v>101-G385</v>
      </c>
      <c r="E54" s="418">
        <v>0</v>
      </c>
      <c r="F54" s="418">
        <v>-5114.3999999999996</v>
      </c>
      <c r="G54" s="418">
        <v>-10077.290000000001</v>
      </c>
      <c r="H54" s="418">
        <v>-20003.09</v>
      </c>
      <c r="I54" s="418">
        <v>0</v>
      </c>
      <c r="J54" s="413">
        <v>0</v>
      </c>
      <c r="L54" s="418" t="str">
        <f t="shared" si="3"/>
        <v>CIAC - Gas</v>
      </c>
      <c r="M54" s="418" t="str">
        <f t="shared" si="4"/>
        <v>G385 DST Industrial M&amp;R Sta Eq</v>
      </c>
      <c r="N54" s="418" t="str">
        <f t="shared" si="0"/>
        <v>Programmatic Customer Drive</v>
      </c>
      <c r="O54" s="418" t="str">
        <f t="shared" si="5"/>
        <v>101-G385</v>
      </c>
      <c r="P54" s="418">
        <f t="shared" si="6"/>
        <v>0</v>
      </c>
      <c r="Q54" s="418">
        <f t="shared" si="7"/>
        <v>0</v>
      </c>
      <c r="R54" s="418">
        <f t="shared" si="8"/>
        <v>0</v>
      </c>
      <c r="S54" s="418">
        <f t="shared" si="9"/>
        <v>0</v>
      </c>
      <c r="T54" s="418">
        <f t="shared" si="10"/>
        <v>0</v>
      </c>
      <c r="V54" s="418" t="str">
        <f t="shared" si="11"/>
        <v>CIAC - Gas</v>
      </c>
      <c r="W54" s="418" t="str">
        <f t="shared" si="12"/>
        <v>G385 DST Industrial M&amp;R Sta Eq</v>
      </c>
      <c r="X54" s="418" t="str">
        <f t="shared" si="1"/>
        <v>Programmatic Customer Drive</v>
      </c>
      <c r="Y54" s="418" t="str">
        <f t="shared" si="13"/>
        <v>101-G385</v>
      </c>
      <c r="Z54" s="418">
        <f t="shared" si="14"/>
        <v>0</v>
      </c>
      <c r="AA54" s="418">
        <f t="shared" si="15"/>
        <v>-5114.3999999999996</v>
      </c>
      <c r="AB54" s="418">
        <f t="shared" si="16"/>
        <v>-10077.290000000001</v>
      </c>
      <c r="AC54" s="418">
        <f t="shared" si="17"/>
        <v>-20003.09</v>
      </c>
      <c r="AD54" s="418">
        <f t="shared" si="18"/>
        <v>0</v>
      </c>
      <c r="AE54" s="413">
        <f t="shared" si="19"/>
        <v>0</v>
      </c>
    </row>
    <row r="55" spans="1:31" x14ac:dyDescent="0.3">
      <c r="A55" s="418" t="s">
        <v>1610</v>
      </c>
      <c r="B55" s="418" t="s">
        <v>1938</v>
      </c>
      <c r="C55" s="418" t="s">
        <v>1168</v>
      </c>
      <c r="D55" s="418" t="str">
        <f t="shared" si="2"/>
        <v>101-E311</v>
      </c>
      <c r="E55" s="418">
        <v>0</v>
      </c>
      <c r="F55" s="418">
        <v>30045.119999999999</v>
      </c>
      <c r="G55" s="418">
        <v>99285.06</v>
      </c>
      <c r="H55" s="418">
        <v>487300.99</v>
      </c>
      <c r="I55" s="418">
        <v>0</v>
      </c>
      <c r="J55" s="413">
        <v>0</v>
      </c>
      <c r="L55" s="418" t="str">
        <f t="shared" si="3"/>
        <v>Colstrip 3&amp;4</v>
      </c>
      <c r="M55" s="418" t="str">
        <f t="shared" si="4"/>
        <v>E311 STM Str/Impv, Colstrip 3</v>
      </c>
      <c r="N55" s="418" t="str">
        <f t="shared" si="0"/>
        <v>Programmatic</v>
      </c>
      <c r="O55" s="418" t="str">
        <f t="shared" si="5"/>
        <v>101-E311</v>
      </c>
      <c r="P55" s="418">
        <f t="shared" si="6"/>
        <v>0</v>
      </c>
      <c r="Q55" s="418">
        <f t="shared" si="7"/>
        <v>30045.119999999999</v>
      </c>
      <c r="R55" s="418">
        <f t="shared" si="8"/>
        <v>99285.06</v>
      </c>
      <c r="S55" s="418">
        <f t="shared" si="9"/>
        <v>487300.99</v>
      </c>
      <c r="T55" s="418">
        <f t="shared" si="10"/>
        <v>0</v>
      </c>
      <c r="V55" s="418" t="str">
        <f t="shared" si="11"/>
        <v>Colstrip 3&amp;4</v>
      </c>
      <c r="W55" s="418" t="str">
        <f t="shared" si="12"/>
        <v>E311 STM Str/Impv, Colstrip 3</v>
      </c>
      <c r="X55" s="418" t="str">
        <f t="shared" si="1"/>
        <v>Programmatic</v>
      </c>
      <c r="Y55" s="418" t="str">
        <f t="shared" si="13"/>
        <v>101-E311</v>
      </c>
      <c r="Z55" s="418">
        <f t="shared" si="14"/>
        <v>0</v>
      </c>
      <c r="AA55" s="418">
        <f t="shared" si="15"/>
        <v>0</v>
      </c>
      <c r="AB55" s="418">
        <f t="shared" si="16"/>
        <v>0</v>
      </c>
      <c r="AC55" s="418">
        <f t="shared" si="17"/>
        <v>0</v>
      </c>
      <c r="AD55" s="418">
        <f t="shared" si="18"/>
        <v>0</v>
      </c>
      <c r="AE55" s="413">
        <f t="shared" si="19"/>
        <v>0</v>
      </c>
    </row>
    <row r="56" spans="1:31" x14ac:dyDescent="0.3">
      <c r="A56" s="418" t="s">
        <v>1610</v>
      </c>
      <c r="B56" s="418" t="s">
        <v>1937</v>
      </c>
      <c r="C56" s="418" t="s">
        <v>1168</v>
      </c>
      <c r="D56" s="418" t="str">
        <f t="shared" si="2"/>
        <v>101-E311</v>
      </c>
      <c r="E56" s="418">
        <v>0</v>
      </c>
      <c r="F56" s="418">
        <v>11201.88</v>
      </c>
      <c r="G56" s="418">
        <v>37016.879999999997</v>
      </c>
      <c r="H56" s="418">
        <v>181682.21</v>
      </c>
      <c r="I56" s="418">
        <v>0</v>
      </c>
      <c r="J56" s="413">
        <v>0</v>
      </c>
      <c r="L56" s="418" t="str">
        <f t="shared" si="3"/>
        <v>Colstrip 3&amp;4</v>
      </c>
      <c r="M56" s="418" t="str">
        <f t="shared" si="4"/>
        <v>E311 STM Str/Impv, Colstrip 3-4 Com</v>
      </c>
      <c r="N56" s="418" t="str">
        <f t="shared" si="0"/>
        <v>Programmatic</v>
      </c>
      <c r="O56" s="418" t="str">
        <f t="shared" si="5"/>
        <v>101-E311</v>
      </c>
      <c r="P56" s="418">
        <f t="shared" si="6"/>
        <v>0</v>
      </c>
      <c r="Q56" s="418">
        <f t="shared" si="7"/>
        <v>11201.88</v>
      </c>
      <c r="R56" s="418">
        <f t="shared" si="8"/>
        <v>37016.879999999997</v>
      </c>
      <c r="S56" s="418">
        <f t="shared" si="9"/>
        <v>181682.21</v>
      </c>
      <c r="T56" s="418">
        <f t="shared" si="10"/>
        <v>0</v>
      </c>
      <c r="V56" s="418" t="str">
        <f t="shared" si="11"/>
        <v>Colstrip 3&amp;4</v>
      </c>
      <c r="W56" s="418" t="str">
        <f t="shared" si="12"/>
        <v>E311 STM Str/Impv, Colstrip 3-4 Com</v>
      </c>
      <c r="X56" s="418" t="str">
        <f t="shared" si="1"/>
        <v>Programmatic</v>
      </c>
      <c r="Y56" s="418" t="str">
        <f t="shared" si="13"/>
        <v>101-E311</v>
      </c>
      <c r="Z56" s="418">
        <f t="shared" si="14"/>
        <v>0</v>
      </c>
      <c r="AA56" s="418">
        <f t="shared" si="15"/>
        <v>0</v>
      </c>
      <c r="AB56" s="418">
        <f t="shared" si="16"/>
        <v>0</v>
      </c>
      <c r="AC56" s="418">
        <f t="shared" si="17"/>
        <v>0</v>
      </c>
      <c r="AD56" s="418">
        <f t="shared" si="18"/>
        <v>0</v>
      </c>
      <c r="AE56" s="413">
        <f t="shared" si="19"/>
        <v>0</v>
      </c>
    </row>
    <row r="57" spans="1:31" x14ac:dyDescent="0.3">
      <c r="A57" s="418" t="s">
        <v>1610</v>
      </c>
      <c r="B57" s="418" t="s">
        <v>1936</v>
      </c>
      <c r="C57" s="418" t="s">
        <v>1168</v>
      </c>
      <c r="D57" s="418" t="str">
        <f t="shared" si="2"/>
        <v>101-E311</v>
      </c>
      <c r="E57" s="418">
        <v>0</v>
      </c>
      <c r="F57" s="418">
        <v>26976.6</v>
      </c>
      <c r="G57" s="418">
        <v>89145.12</v>
      </c>
      <c r="H57" s="418">
        <v>437533.13</v>
      </c>
      <c r="I57" s="418">
        <v>0</v>
      </c>
      <c r="J57" s="413">
        <v>0</v>
      </c>
      <c r="L57" s="418" t="str">
        <f t="shared" si="3"/>
        <v>Colstrip 3&amp;4</v>
      </c>
      <c r="M57" s="418" t="str">
        <f t="shared" si="4"/>
        <v>E311 STM Str/Impv, Colstrip 4</v>
      </c>
      <c r="N57" s="418" t="str">
        <f t="shared" si="0"/>
        <v>Programmatic</v>
      </c>
      <c r="O57" s="418" t="str">
        <f t="shared" si="5"/>
        <v>101-E311</v>
      </c>
      <c r="P57" s="418">
        <f t="shared" si="6"/>
        <v>0</v>
      </c>
      <c r="Q57" s="418">
        <f t="shared" si="7"/>
        <v>26976.6</v>
      </c>
      <c r="R57" s="418">
        <f t="shared" si="8"/>
        <v>89145.12</v>
      </c>
      <c r="S57" s="418">
        <f t="shared" si="9"/>
        <v>437533.13</v>
      </c>
      <c r="T57" s="418">
        <f t="shared" si="10"/>
        <v>0</v>
      </c>
      <c r="V57" s="418" t="str">
        <f t="shared" si="11"/>
        <v>Colstrip 3&amp;4</v>
      </c>
      <c r="W57" s="418" t="str">
        <f t="shared" si="12"/>
        <v>E311 STM Str/Impv, Colstrip 4</v>
      </c>
      <c r="X57" s="418" t="str">
        <f t="shared" si="1"/>
        <v>Programmatic</v>
      </c>
      <c r="Y57" s="418" t="str">
        <f t="shared" si="13"/>
        <v>101-E311</v>
      </c>
      <c r="Z57" s="418">
        <f t="shared" si="14"/>
        <v>0</v>
      </c>
      <c r="AA57" s="418">
        <f t="shared" si="15"/>
        <v>0</v>
      </c>
      <c r="AB57" s="418">
        <f t="shared" si="16"/>
        <v>0</v>
      </c>
      <c r="AC57" s="418">
        <f t="shared" si="17"/>
        <v>0</v>
      </c>
      <c r="AD57" s="418">
        <f t="shared" si="18"/>
        <v>0</v>
      </c>
      <c r="AE57" s="413">
        <f t="shared" si="19"/>
        <v>0</v>
      </c>
    </row>
    <row r="58" spans="1:31" x14ac:dyDescent="0.3">
      <c r="A58" s="418" t="s">
        <v>1610</v>
      </c>
      <c r="B58" s="418" t="s">
        <v>1935</v>
      </c>
      <c r="C58" s="418" t="s">
        <v>1168</v>
      </c>
      <c r="D58" s="418" t="str">
        <f t="shared" si="2"/>
        <v>101-E312</v>
      </c>
      <c r="E58" s="418">
        <v>0</v>
      </c>
      <c r="F58" s="418">
        <v>271479.24</v>
      </c>
      <c r="G58" s="418">
        <v>897111.77</v>
      </c>
      <c r="H58" s="418">
        <v>4403113.26</v>
      </c>
      <c r="I58" s="418">
        <v>0</v>
      </c>
      <c r="J58" s="413">
        <v>0</v>
      </c>
      <c r="L58" s="418" t="str">
        <f t="shared" si="3"/>
        <v>Colstrip 3&amp;4</v>
      </c>
      <c r="M58" s="418" t="str">
        <f t="shared" si="4"/>
        <v>E312 STM Boiler, Colstrip 3</v>
      </c>
      <c r="N58" s="418" t="str">
        <f t="shared" si="0"/>
        <v>Programmatic</v>
      </c>
      <c r="O58" s="418" t="str">
        <f t="shared" si="5"/>
        <v>101-E312</v>
      </c>
      <c r="P58" s="418">
        <f t="shared" si="6"/>
        <v>0</v>
      </c>
      <c r="Q58" s="418">
        <f t="shared" si="7"/>
        <v>271479.24</v>
      </c>
      <c r="R58" s="418">
        <f t="shared" si="8"/>
        <v>897111.77</v>
      </c>
      <c r="S58" s="418">
        <f t="shared" si="9"/>
        <v>4403113.26</v>
      </c>
      <c r="T58" s="418">
        <f t="shared" si="10"/>
        <v>0</v>
      </c>
      <c r="V58" s="418" t="str">
        <f t="shared" si="11"/>
        <v>Colstrip 3&amp;4</v>
      </c>
      <c r="W58" s="418" t="str">
        <f t="shared" si="12"/>
        <v>E312 STM Boiler, Colstrip 3</v>
      </c>
      <c r="X58" s="418" t="str">
        <f t="shared" si="1"/>
        <v>Programmatic</v>
      </c>
      <c r="Y58" s="418" t="str">
        <f t="shared" si="13"/>
        <v>101-E312</v>
      </c>
      <c r="Z58" s="418">
        <f t="shared" si="14"/>
        <v>0</v>
      </c>
      <c r="AA58" s="418">
        <f t="shared" si="15"/>
        <v>0</v>
      </c>
      <c r="AB58" s="418">
        <f t="shared" si="16"/>
        <v>0</v>
      </c>
      <c r="AC58" s="418">
        <f t="shared" si="17"/>
        <v>0</v>
      </c>
      <c r="AD58" s="418">
        <f t="shared" si="18"/>
        <v>0</v>
      </c>
      <c r="AE58" s="413">
        <f t="shared" si="19"/>
        <v>0</v>
      </c>
    </row>
    <row r="59" spans="1:31" x14ac:dyDescent="0.3">
      <c r="A59" s="418" t="s">
        <v>1610</v>
      </c>
      <c r="B59" s="418" t="s">
        <v>1934</v>
      </c>
      <c r="C59" s="418" t="s">
        <v>1168</v>
      </c>
      <c r="D59" s="418" t="str">
        <f t="shared" si="2"/>
        <v>101-E312</v>
      </c>
      <c r="E59" s="418">
        <v>0</v>
      </c>
      <c r="F59" s="418">
        <v>46347.839999999997</v>
      </c>
      <c r="G59" s="418">
        <v>153158.04</v>
      </c>
      <c r="H59" s="418">
        <v>751714.97</v>
      </c>
      <c r="I59" s="418">
        <v>0</v>
      </c>
      <c r="J59" s="413">
        <v>0</v>
      </c>
      <c r="L59" s="418" t="str">
        <f t="shared" si="3"/>
        <v>Colstrip 3&amp;4</v>
      </c>
      <c r="M59" s="418" t="str">
        <f t="shared" si="4"/>
        <v>E312 STM Boiler, Colstrip 3-4 Com</v>
      </c>
      <c r="N59" s="418" t="str">
        <f t="shared" si="0"/>
        <v>Programmatic</v>
      </c>
      <c r="O59" s="418" t="str">
        <f t="shared" si="5"/>
        <v>101-E312</v>
      </c>
      <c r="P59" s="418">
        <f t="shared" si="6"/>
        <v>0</v>
      </c>
      <c r="Q59" s="418">
        <f t="shared" si="7"/>
        <v>46347.839999999997</v>
      </c>
      <c r="R59" s="418">
        <f t="shared" si="8"/>
        <v>153158.04</v>
      </c>
      <c r="S59" s="418">
        <f t="shared" si="9"/>
        <v>751714.97</v>
      </c>
      <c r="T59" s="418">
        <f t="shared" si="10"/>
        <v>0</v>
      </c>
      <c r="V59" s="418" t="str">
        <f t="shared" si="11"/>
        <v>Colstrip 3&amp;4</v>
      </c>
      <c r="W59" s="418" t="str">
        <f t="shared" si="12"/>
        <v>E312 STM Boiler, Colstrip 3-4 Com</v>
      </c>
      <c r="X59" s="418" t="str">
        <f t="shared" si="1"/>
        <v>Programmatic</v>
      </c>
      <c r="Y59" s="418" t="str">
        <f t="shared" si="13"/>
        <v>101-E312</v>
      </c>
      <c r="Z59" s="418">
        <f t="shared" si="14"/>
        <v>0</v>
      </c>
      <c r="AA59" s="418">
        <f t="shared" si="15"/>
        <v>0</v>
      </c>
      <c r="AB59" s="418">
        <f t="shared" si="16"/>
        <v>0</v>
      </c>
      <c r="AC59" s="418">
        <f t="shared" si="17"/>
        <v>0</v>
      </c>
      <c r="AD59" s="418">
        <f t="shared" si="18"/>
        <v>0</v>
      </c>
      <c r="AE59" s="413">
        <f t="shared" si="19"/>
        <v>0</v>
      </c>
    </row>
    <row r="60" spans="1:31" x14ac:dyDescent="0.3">
      <c r="A60" s="418" t="s">
        <v>1610</v>
      </c>
      <c r="B60" s="418" t="s">
        <v>1933</v>
      </c>
      <c r="C60" s="418" t="s">
        <v>1168</v>
      </c>
      <c r="D60" s="418" t="str">
        <f t="shared" si="2"/>
        <v>101-E312</v>
      </c>
      <c r="E60" s="418">
        <v>0</v>
      </c>
      <c r="F60" s="418">
        <v>246489</v>
      </c>
      <c r="G60" s="418">
        <v>814530.72</v>
      </c>
      <c r="H60" s="418">
        <v>3997797.47</v>
      </c>
      <c r="I60" s="418">
        <v>0</v>
      </c>
      <c r="J60" s="413">
        <v>0</v>
      </c>
      <c r="L60" s="418" t="str">
        <f t="shared" si="3"/>
        <v>Colstrip 3&amp;4</v>
      </c>
      <c r="M60" s="418" t="str">
        <f t="shared" si="4"/>
        <v>E312 STM Boiler, Colstrip 4</v>
      </c>
      <c r="N60" s="418" t="str">
        <f t="shared" si="0"/>
        <v>Programmatic</v>
      </c>
      <c r="O60" s="418" t="str">
        <f t="shared" si="5"/>
        <v>101-E312</v>
      </c>
      <c r="P60" s="418">
        <f t="shared" si="6"/>
        <v>0</v>
      </c>
      <c r="Q60" s="418">
        <f t="shared" si="7"/>
        <v>246489</v>
      </c>
      <c r="R60" s="418">
        <f t="shared" si="8"/>
        <v>814530.72</v>
      </c>
      <c r="S60" s="418">
        <f t="shared" si="9"/>
        <v>3997797.47</v>
      </c>
      <c r="T60" s="418">
        <f t="shared" si="10"/>
        <v>0</v>
      </c>
      <c r="V60" s="418" t="str">
        <f t="shared" si="11"/>
        <v>Colstrip 3&amp;4</v>
      </c>
      <c r="W60" s="418" t="str">
        <f t="shared" si="12"/>
        <v>E312 STM Boiler, Colstrip 4</v>
      </c>
      <c r="X60" s="418" t="str">
        <f t="shared" si="1"/>
        <v>Programmatic</v>
      </c>
      <c r="Y60" s="418" t="str">
        <f t="shared" si="13"/>
        <v>101-E312</v>
      </c>
      <c r="Z60" s="418">
        <f t="shared" si="14"/>
        <v>0</v>
      </c>
      <c r="AA60" s="418">
        <f t="shared" si="15"/>
        <v>0</v>
      </c>
      <c r="AB60" s="418">
        <f t="shared" si="16"/>
        <v>0</v>
      </c>
      <c r="AC60" s="418">
        <f t="shared" si="17"/>
        <v>0</v>
      </c>
      <c r="AD60" s="418">
        <f t="shared" si="18"/>
        <v>0</v>
      </c>
      <c r="AE60" s="413">
        <f t="shared" si="19"/>
        <v>0</v>
      </c>
    </row>
    <row r="61" spans="1:31" x14ac:dyDescent="0.3">
      <c r="A61" s="418" t="s">
        <v>1610</v>
      </c>
      <c r="B61" s="418" t="s">
        <v>1932</v>
      </c>
      <c r="C61" s="418" t="s">
        <v>1168</v>
      </c>
      <c r="D61" s="418" t="str">
        <f t="shared" si="2"/>
        <v>101-E314</v>
      </c>
      <c r="E61" s="418">
        <v>0</v>
      </c>
      <c r="F61" s="418">
        <v>48955.199999999997</v>
      </c>
      <c r="G61" s="418">
        <v>161774.04</v>
      </c>
      <c r="H61" s="418">
        <v>794003.01</v>
      </c>
      <c r="I61" s="418">
        <v>0</v>
      </c>
      <c r="J61" s="413">
        <v>0</v>
      </c>
      <c r="L61" s="418" t="str">
        <f t="shared" si="3"/>
        <v>Colstrip 3&amp;4</v>
      </c>
      <c r="M61" s="418" t="str">
        <f t="shared" si="4"/>
        <v>E314 STM Turbogen, Colstrip 3</v>
      </c>
      <c r="N61" s="418" t="str">
        <f t="shared" si="0"/>
        <v>Programmatic</v>
      </c>
      <c r="O61" s="418" t="str">
        <f t="shared" si="5"/>
        <v>101-E314</v>
      </c>
      <c r="P61" s="418">
        <f t="shared" si="6"/>
        <v>0</v>
      </c>
      <c r="Q61" s="418">
        <f t="shared" si="7"/>
        <v>48955.199999999997</v>
      </c>
      <c r="R61" s="418">
        <f t="shared" si="8"/>
        <v>161774.04</v>
      </c>
      <c r="S61" s="418">
        <f t="shared" si="9"/>
        <v>794003.01</v>
      </c>
      <c r="T61" s="418">
        <f t="shared" si="10"/>
        <v>0</v>
      </c>
      <c r="V61" s="418" t="str">
        <f t="shared" si="11"/>
        <v>Colstrip 3&amp;4</v>
      </c>
      <c r="W61" s="418" t="str">
        <f t="shared" si="12"/>
        <v>E314 STM Turbogen, Colstrip 3</v>
      </c>
      <c r="X61" s="418" t="str">
        <f t="shared" si="1"/>
        <v>Programmatic</v>
      </c>
      <c r="Y61" s="418" t="str">
        <f t="shared" si="13"/>
        <v>101-E314</v>
      </c>
      <c r="Z61" s="418">
        <f t="shared" si="14"/>
        <v>0</v>
      </c>
      <c r="AA61" s="418">
        <f t="shared" si="15"/>
        <v>0</v>
      </c>
      <c r="AB61" s="418">
        <f t="shared" si="16"/>
        <v>0</v>
      </c>
      <c r="AC61" s="418">
        <f t="shared" si="17"/>
        <v>0</v>
      </c>
      <c r="AD61" s="418">
        <f t="shared" si="18"/>
        <v>0</v>
      </c>
      <c r="AE61" s="413">
        <f t="shared" si="19"/>
        <v>0</v>
      </c>
    </row>
    <row r="62" spans="1:31" x14ac:dyDescent="0.3">
      <c r="A62" s="418" t="s">
        <v>1610</v>
      </c>
      <c r="B62" s="418" t="s">
        <v>1931</v>
      </c>
      <c r="C62" s="418" t="s">
        <v>1168</v>
      </c>
      <c r="D62" s="418" t="str">
        <f t="shared" si="2"/>
        <v>101-E314</v>
      </c>
      <c r="E62" s="418">
        <v>0</v>
      </c>
      <c r="F62" s="418">
        <v>128604.48</v>
      </c>
      <c r="G62" s="418">
        <v>424977.54</v>
      </c>
      <c r="H62" s="418">
        <v>2085831.67</v>
      </c>
      <c r="I62" s="418">
        <v>0</v>
      </c>
      <c r="J62" s="413">
        <v>0</v>
      </c>
      <c r="L62" s="418" t="str">
        <f t="shared" si="3"/>
        <v>Colstrip 3&amp;4</v>
      </c>
      <c r="M62" s="418" t="str">
        <f t="shared" si="4"/>
        <v>E314 STM Turbogen, Colstrip 4</v>
      </c>
      <c r="N62" s="418" t="str">
        <f t="shared" si="0"/>
        <v>Programmatic</v>
      </c>
      <c r="O62" s="418" t="str">
        <f t="shared" si="5"/>
        <v>101-E314</v>
      </c>
      <c r="P62" s="418">
        <f t="shared" si="6"/>
        <v>0</v>
      </c>
      <c r="Q62" s="418">
        <f t="shared" si="7"/>
        <v>128604.48</v>
      </c>
      <c r="R62" s="418">
        <f t="shared" si="8"/>
        <v>424977.54</v>
      </c>
      <c r="S62" s="418">
        <f t="shared" si="9"/>
        <v>2085831.67</v>
      </c>
      <c r="T62" s="418">
        <f t="shared" si="10"/>
        <v>0</v>
      </c>
      <c r="V62" s="418" t="str">
        <f t="shared" si="11"/>
        <v>Colstrip 3&amp;4</v>
      </c>
      <c r="W62" s="418" t="str">
        <f t="shared" si="12"/>
        <v>E314 STM Turbogen, Colstrip 4</v>
      </c>
      <c r="X62" s="418" t="str">
        <f t="shared" si="1"/>
        <v>Programmatic</v>
      </c>
      <c r="Y62" s="418" t="str">
        <f t="shared" si="13"/>
        <v>101-E314</v>
      </c>
      <c r="Z62" s="418">
        <f t="shared" si="14"/>
        <v>0</v>
      </c>
      <c r="AA62" s="418">
        <f t="shared" si="15"/>
        <v>0</v>
      </c>
      <c r="AB62" s="418">
        <f t="shared" si="16"/>
        <v>0</v>
      </c>
      <c r="AC62" s="418">
        <f t="shared" si="17"/>
        <v>0</v>
      </c>
      <c r="AD62" s="418">
        <f t="shared" si="18"/>
        <v>0</v>
      </c>
      <c r="AE62" s="413">
        <f t="shared" si="19"/>
        <v>0</v>
      </c>
    </row>
    <row r="63" spans="1:31" x14ac:dyDescent="0.3">
      <c r="A63" s="418" t="s">
        <v>1610</v>
      </c>
      <c r="B63" s="418" t="s">
        <v>1930</v>
      </c>
      <c r="C63" s="418" t="s">
        <v>1168</v>
      </c>
      <c r="D63" s="418" t="str">
        <f t="shared" si="2"/>
        <v>101-E315</v>
      </c>
      <c r="E63" s="418">
        <v>0</v>
      </c>
      <c r="F63" s="418">
        <v>28378.2</v>
      </c>
      <c r="G63" s="418">
        <v>93776.7</v>
      </c>
      <c r="H63" s="418">
        <v>460265.34</v>
      </c>
      <c r="I63" s="418">
        <v>0</v>
      </c>
      <c r="J63" s="413">
        <v>0</v>
      </c>
      <c r="L63" s="418" t="str">
        <f t="shared" si="3"/>
        <v>Colstrip 3&amp;4</v>
      </c>
      <c r="M63" s="418" t="str">
        <f t="shared" si="4"/>
        <v>E315 STM Accessory, Colstrip 3</v>
      </c>
      <c r="N63" s="418" t="str">
        <f t="shared" si="0"/>
        <v>Programmatic</v>
      </c>
      <c r="O63" s="418" t="str">
        <f t="shared" si="5"/>
        <v>101-E315</v>
      </c>
      <c r="P63" s="418">
        <f t="shared" si="6"/>
        <v>0</v>
      </c>
      <c r="Q63" s="418">
        <f t="shared" si="7"/>
        <v>28378.2</v>
      </c>
      <c r="R63" s="418">
        <f t="shared" si="8"/>
        <v>93776.7</v>
      </c>
      <c r="S63" s="418">
        <f t="shared" si="9"/>
        <v>460265.34</v>
      </c>
      <c r="T63" s="418">
        <f t="shared" si="10"/>
        <v>0</v>
      </c>
      <c r="V63" s="418" t="str">
        <f t="shared" si="11"/>
        <v>Colstrip 3&amp;4</v>
      </c>
      <c r="W63" s="418" t="str">
        <f t="shared" si="12"/>
        <v>E315 STM Accessory, Colstrip 3</v>
      </c>
      <c r="X63" s="418" t="str">
        <f t="shared" si="1"/>
        <v>Programmatic</v>
      </c>
      <c r="Y63" s="418" t="str">
        <f t="shared" si="13"/>
        <v>101-E315</v>
      </c>
      <c r="Z63" s="418">
        <f t="shared" si="14"/>
        <v>0</v>
      </c>
      <c r="AA63" s="418">
        <f t="shared" si="15"/>
        <v>0</v>
      </c>
      <c r="AB63" s="418">
        <f t="shared" si="16"/>
        <v>0</v>
      </c>
      <c r="AC63" s="418">
        <f t="shared" si="17"/>
        <v>0</v>
      </c>
      <c r="AD63" s="418">
        <f t="shared" si="18"/>
        <v>0</v>
      </c>
      <c r="AE63" s="413">
        <f t="shared" si="19"/>
        <v>0</v>
      </c>
    </row>
    <row r="64" spans="1:31" x14ac:dyDescent="0.3">
      <c r="A64" s="418" t="s">
        <v>1610</v>
      </c>
      <c r="B64" s="418" t="s">
        <v>1929</v>
      </c>
      <c r="C64" s="418" t="s">
        <v>1168</v>
      </c>
      <c r="D64" s="418" t="str">
        <f t="shared" si="2"/>
        <v>101-E315</v>
      </c>
      <c r="E64" s="418">
        <v>0</v>
      </c>
      <c r="F64" s="418">
        <v>3717.36</v>
      </c>
      <c r="G64" s="418">
        <v>12284.21</v>
      </c>
      <c r="H64" s="418">
        <v>60292.32</v>
      </c>
      <c r="I64" s="418">
        <v>0</v>
      </c>
      <c r="J64" s="413">
        <v>0</v>
      </c>
      <c r="L64" s="418" t="str">
        <f t="shared" si="3"/>
        <v>Colstrip 3&amp;4</v>
      </c>
      <c r="M64" s="418" t="str">
        <f t="shared" si="4"/>
        <v>E315 STM Accessory, Colstrip 3-4 Cm</v>
      </c>
      <c r="N64" s="418" t="str">
        <f t="shared" si="0"/>
        <v>Programmatic</v>
      </c>
      <c r="O64" s="418" t="str">
        <f t="shared" si="5"/>
        <v>101-E315</v>
      </c>
      <c r="P64" s="418">
        <f t="shared" si="6"/>
        <v>0</v>
      </c>
      <c r="Q64" s="418">
        <f t="shared" si="7"/>
        <v>3717.36</v>
      </c>
      <c r="R64" s="418">
        <f t="shared" si="8"/>
        <v>12284.21</v>
      </c>
      <c r="S64" s="418">
        <f t="shared" si="9"/>
        <v>60292.32</v>
      </c>
      <c r="T64" s="418">
        <f t="shared" si="10"/>
        <v>0</v>
      </c>
      <c r="V64" s="418" t="str">
        <f t="shared" si="11"/>
        <v>Colstrip 3&amp;4</v>
      </c>
      <c r="W64" s="418" t="str">
        <f t="shared" si="12"/>
        <v>E315 STM Accessory, Colstrip 3-4 Cm</v>
      </c>
      <c r="X64" s="418" t="str">
        <f t="shared" si="1"/>
        <v>Programmatic</v>
      </c>
      <c r="Y64" s="418" t="str">
        <f t="shared" si="13"/>
        <v>101-E315</v>
      </c>
      <c r="Z64" s="418">
        <f t="shared" si="14"/>
        <v>0</v>
      </c>
      <c r="AA64" s="418">
        <f t="shared" si="15"/>
        <v>0</v>
      </c>
      <c r="AB64" s="418">
        <f t="shared" si="16"/>
        <v>0</v>
      </c>
      <c r="AC64" s="418">
        <f t="shared" si="17"/>
        <v>0</v>
      </c>
      <c r="AD64" s="418">
        <f t="shared" si="18"/>
        <v>0</v>
      </c>
      <c r="AE64" s="413">
        <f t="shared" si="19"/>
        <v>0</v>
      </c>
    </row>
    <row r="65" spans="1:31" x14ac:dyDescent="0.3">
      <c r="A65" s="418" t="s">
        <v>1610</v>
      </c>
      <c r="B65" s="418" t="s">
        <v>1928</v>
      </c>
      <c r="C65" s="418" t="s">
        <v>1168</v>
      </c>
      <c r="D65" s="418" t="str">
        <f t="shared" si="2"/>
        <v>101-E315</v>
      </c>
      <c r="E65" s="418">
        <v>0</v>
      </c>
      <c r="F65" s="418">
        <v>35316.6</v>
      </c>
      <c r="G65" s="418">
        <v>116704.92</v>
      </c>
      <c r="H65" s="418">
        <v>572799.36</v>
      </c>
      <c r="I65" s="418">
        <v>0</v>
      </c>
      <c r="J65" s="413">
        <v>0</v>
      </c>
      <c r="L65" s="418" t="str">
        <f t="shared" si="3"/>
        <v>Colstrip 3&amp;4</v>
      </c>
      <c r="M65" s="418" t="str">
        <f t="shared" si="4"/>
        <v>E315 STM Accessory, Colstrip 4</v>
      </c>
      <c r="N65" s="418" t="str">
        <f t="shared" si="0"/>
        <v>Programmatic</v>
      </c>
      <c r="O65" s="418" t="str">
        <f t="shared" si="5"/>
        <v>101-E315</v>
      </c>
      <c r="P65" s="418">
        <f t="shared" si="6"/>
        <v>0</v>
      </c>
      <c r="Q65" s="418">
        <f t="shared" si="7"/>
        <v>35316.6</v>
      </c>
      <c r="R65" s="418">
        <f t="shared" si="8"/>
        <v>116704.92</v>
      </c>
      <c r="S65" s="418">
        <f t="shared" si="9"/>
        <v>572799.36</v>
      </c>
      <c r="T65" s="418">
        <f t="shared" si="10"/>
        <v>0</v>
      </c>
      <c r="V65" s="418" t="str">
        <f t="shared" si="11"/>
        <v>Colstrip 3&amp;4</v>
      </c>
      <c r="W65" s="418" t="str">
        <f t="shared" si="12"/>
        <v>E315 STM Accessory, Colstrip 4</v>
      </c>
      <c r="X65" s="418" t="str">
        <f t="shared" si="1"/>
        <v>Programmatic</v>
      </c>
      <c r="Y65" s="418" t="str">
        <f t="shared" si="13"/>
        <v>101-E315</v>
      </c>
      <c r="Z65" s="418">
        <f t="shared" si="14"/>
        <v>0</v>
      </c>
      <c r="AA65" s="418">
        <f t="shared" si="15"/>
        <v>0</v>
      </c>
      <c r="AB65" s="418">
        <f t="shared" si="16"/>
        <v>0</v>
      </c>
      <c r="AC65" s="418">
        <f t="shared" si="17"/>
        <v>0</v>
      </c>
      <c r="AD65" s="418">
        <f t="shared" si="18"/>
        <v>0</v>
      </c>
      <c r="AE65" s="413">
        <f t="shared" si="19"/>
        <v>0</v>
      </c>
    </row>
    <row r="66" spans="1:31" x14ac:dyDescent="0.3">
      <c r="A66" s="418" t="s">
        <v>1610</v>
      </c>
      <c r="B66" s="418" t="s">
        <v>1927</v>
      </c>
      <c r="C66" s="418" t="s">
        <v>1168</v>
      </c>
      <c r="D66" s="418" t="str">
        <f t="shared" si="2"/>
        <v>101-E316</v>
      </c>
      <c r="E66" s="418">
        <v>0</v>
      </c>
      <c r="F66" s="418">
        <v>3520.68</v>
      </c>
      <c r="G66" s="418">
        <v>11634.12</v>
      </c>
      <c r="H66" s="418">
        <v>57101.34</v>
      </c>
      <c r="I66" s="418">
        <v>0</v>
      </c>
      <c r="J66" s="413">
        <v>0</v>
      </c>
      <c r="L66" s="418" t="str">
        <f t="shared" si="3"/>
        <v>Colstrip 3&amp;4</v>
      </c>
      <c r="M66" s="418" t="str">
        <f t="shared" si="4"/>
        <v>E316 STM Misc, Colstrip 3</v>
      </c>
      <c r="N66" s="418" t="str">
        <f t="shared" si="0"/>
        <v>Programmatic</v>
      </c>
      <c r="O66" s="418" t="str">
        <f t="shared" si="5"/>
        <v>101-E316</v>
      </c>
      <c r="P66" s="418">
        <f t="shared" si="6"/>
        <v>0</v>
      </c>
      <c r="Q66" s="418">
        <f t="shared" si="7"/>
        <v>3520.68</v>
      </c>
      <c r="R66" s="418">
        <f t="shared" si="8"/>
        <v>11634.12</v>
      </c>
      <c r="S66" s="418">
        <f t="shared" si="9"/>
        <v>57101.34</v>
      </c>
      <c r="T66" s="418">
        <f t="shared" si="10"/>
        <v>0</v>
      </c>
      <c r="V66" s="418" t="str">
        <f t="shared" si="11"/>
        <v>Colstrip 3&amp;4</v>
      </c>
      <c r="W66" s="418" t="str">
        <f t="shared" si="12"/>
        <v>E316 STM Misc, Colstrip 3</v>
      </c>
      <c r="X66" s="418" t="str">
        <f t="shared" si="1"/>
        <v>Programmatic</v>
      </c>
      <c r="Y66" s="418" t="str">
        <f t="shared" si="13"/>
        <v>101-E316</v>
      </c>
      <c r="Z66" s="418">
        <f t="shared" si="14"/>
        <v>0</v>
      </c>
      <c r="AA66" s="418">
        <f t="shared" si="15"/>
        <v>0</v>
      </c>
      <c r="AB66" s="418">
        <f t="shared" si="16"/>
        <v>0</v>
      </c>
      <c r="AC66" s="418">
        <f t="shared" si="17"/>
        <v>0</v>
      </c>
      <c r="AD66" s="418">
        <f t="shared" si="18"/>
        <v>0</v>
      </c>
      <c r="AE66" s="413">
        <f t="shared" si="19"/>
        <v>0</v>
      </c>
    </row>
    <row r="67" spans="1:31" x14ac:dyDescent="0.3">
      <c r="A67" s="418" t="s">
        <v>1610</v>
      </c>
      <c r="B67" s="418" t="s">
        <v>1926</v>
      </c>
      <c r="C67" s="418" t="s">
        <v>1168</v>
      </c>
      <c r="D67" s="418" t="str">
        <f t="shared" si="2"/>
        <v>101-E316</v>
      </c>
      <c r="E67" s="418">
        <v>0</v>
      </c>
      <c r="F67" s="418">
        <v>3500.76</v>
      </c>
      <c r="G67" s="418">
        <v>11568.48</v>
      </c>
      <c r="H67" s="418">
        <v>56779.34</v>
      </c>
      <c r="I67" s="418">
        <v>0</v>
      </c>
      <c r="J67" s="413">
        <v>0</v>
      </c>
      <c r="L67" s="418" t="str">
        <f t="shared" si="3"/>
        <v>Colstrip 3&amp;4</v>
      </c>
      <c r="M67" s="418" t="str">
        <f t="shared" si="4"/>
        <v>E316 STM Misc, Colstrip 4</v>
      </c>
      <c r="N67" s="418" t="str">
        <f t="shared" si="0"/>
        <v>Programmatic</v>
      </c>
      <c r="O67" s="418" t="str">
        <f t="shared" si="5"/>
        <v>101-E316</v>
      </c>
      <c r="P67" s="418">
        <f t="shared" si="6"/>
        <v>0</v>
      </c>
      <c r="Q67" s="418">
        <f t="shared" si="7"/>
        <v>3500.76</v>
      </c>
      <c r="R67" s="418">
        <f t="shared" si="8"/>
        <v>11568.48</v>
      </c>
      <c r="S67" s="418">
        <f t="shared" si="9"/>
        <v>56779.34</v>
      </c>
      <c r="T67" s="418">
        <f t="shared" si="10"/>
        <v>0</v>
      </c>
      <c r="V67" s="418" t="str">
        <f t="shared" si="11"/>
        <v>Colstrip 3&amp;4</v>
      </c>
      <c r="W67" s="418" t="str">
        <f t="shared" si="12"/>
        <v>E316 STM Misc, Colstrip 4</v>
      </c>
      <c r="X67" s="418" t="str">
        <f t="shared" si="1"/>
        <v>Programmatic</v>
      </c>
      <c r="Y67" s="418" t="str">
        <f t="shared" si="13"/>
        <v>101-E316</v>
      </c>
      <c r="Z67" s="418">
        <f t="shared" si="14"/>
        <v>0</v>
      </c>
      <c r="AA67" s="418">
        <f t="shared" si="15"/>
        <v>0</v>
      </c>
      <c r="AB67" s="418">
        <f t="shared" si="16"/>
        <v>0</v>
      </c>
      <c r="AC67" s="418">
        <f t="shared" si="17"/>
        <v>0</v>
      </c>
      <c r="AD67" s="418">
        <f t="shared" si="18"/>
        <v>0</v>
      </c>
      <c r="AE67" s="413">
        <f t="shared" si="19"/>
        <v>0</v>
      </c>
    </row>
    <row r="68" spans="1:31" x14ac:dyDescent="0.3">
      <c r="A68" s="418" t="s">
        <v>1610</v>
      </c>
      <c r="B68" s="418" t="s">
        <v>1925</v>
      </c>
      <c r="C68" s="418" t="s">
        <v>1168</v>
      </c>
      <c r="D68" s="418" t="str">
        <f t="shared" si="2"/>
        <v>101-E392</v>
      </c>
      <c r="E68" s="418">
        <v>0</v>
      </c>
      <c r="F68" s="418">
        <v>1992.72</v>
      </c>
      <c r="G68" s="418">
        <v>6585</v>
      </c>
      <c r="H68" s="418">
        <v>32319.84</v>
      </c>
      <c r="I68" s="418">
        <v>0</v>
      </c>
      <c r="J68" s="413">
        <v>0</v>
      </c>
      <c r="L68" s="418" t="str">
        <f t="shared" si="3"/>
        <v>Colstrip 3&amp;4</v>
      </c>
      <c r="M68" s="418" t="str">
        <f t="shared" si="4"/>
        <v>E392 GEN Trans Equip, Colstrip 3</v>
      </c>
      <c r="N68" s="418" t="str">
        <f t="shared" ref="N68:N131" si="20">C68</f>
        <v>Programmatic</v>
      </c>
      <c r="O68" s="418" t="str">
        <f t="shared" si="5"/>
        <v>101-E392</v>
      </c>
      <c r="P68" s="418">
        <f t="shared" si="6"/>
        <v>0</v>
      </c>
      <c r="Q68" s="418">
        <f t="shared" si="7"/>
        <v>1992.72</v>
      </c>
      <c r="R68" s="418">
        <f t="shared" si="8"/>
        <v>6585</v>
      </c>
      <c r="S68" s="418">
        <f t="shared" si="9"/>
        <v>32319.84</v>
      </c>
      <c r="T68" s="418">
        <f t="shared" si="10"/>
        <v>0</v>
      </c>
      <c r="V68" s="418" t="str">
        <f t="shared" si="11"/>
        <v>Colstrip 3&amp;4</v>
      </c>
      <c r="W68" s="418" t="str">
        <f t="shared" si="12"/>
        <v>E392 GEN Trans Equip, Colstrip 3</v>
      </c>
      <c r="X68" s="418" t="str">
        <f t="shared" ref="X68:X131" si="21">C68</f>
        <v>Programmatic</v>
      </c>
      <c r="Y68" s="418" t="str">
        <f t="shared" si="13"/>
        <v>101-E392</v>
      </c>
      <c r="Z68" s="418">
        <f t="shared" si="14"/>
        <v>0</v>
      </c>
      <c r="AA68" s="418">
        <f t="shared" si="15"/>
        <v>0</v>
      </c>
      <c r="AB68" s="418">
        <f t="shared" si="16"/>
        <v>0</v>
      </c>
      <c r="AC68" s="418">
        <f t="shared" si="17"/>
        <v>0</v>
      </c>
      <c r="AD68" s="418">
        <f t="shared" si="18"/>
        <v>0</v>
      </c>
      <c r="AE68" s="413">
        <f t="shared" si="19"/>
        <v>0</v>
      </c>
    </row>
    <row r="69" spans="1:31" x14ac:dyDescent="0.3">
      <c r="A69" s="418" t="s">
        <v>1610</v>
      </c>
      <c r="B69" s="418" t="s">
        <v>1924</v>
      </c>
      <c r="C69" s="418" t="s">
        <v>1168</v>
      </c>
      <c r="D69" s="418" t="str">
        <f t="shared" ref="D69:D132" si="22">"101-"&amp; LEFT(B69,4)</f>
        <v>101-E392</v>
      </c>
      <c r="E69" s="418">
        <v>0</v>
      </c>
      <c r="F69" s="418">
        <v>1992.72</v>
      </c>
      <c r="G69" s="418">
        <v>6585</v>
      </c>
      <c r="H69" s="418">
        <v>32319.84</v>
      </c>
      <c r="I69" s="418">
        <v>0</v>
      </c>
      <c r="J69" s="413">
        <v>0</v>
      </c>
      <c r="L69" s="418" t="str">
        <f t="shared" ref="L69:L132" si="23">A69</f>
        <v>Colstrip 3&amp;4</v>
      </c>
      <c r="M69" s="418" t="str">
        <f t="shared" ref="M69:M132" si="24">B69</f>
        <v>E392 GEN Trans Equip, Colstrip 4</v>
      </c>
      <c r="N69" s="418" t="str">
        <f t="shared" si="20"/>
        <v>Programmatic</v>
      </c>
      <c r="O69" s="418" t="str">
        <f t="shared" ref="O69:O132" si="25">D69</f>
        <v>101-E392</v>
      </c>
      <c r="P69" s="418">
        <f t="shared" ref="P69:P132" si="26">IF(MID($O69,5,1)="C",E69*$F$1,IF(MID($O69,5,1)="G",0,E69))</f>
        <v>0</v>
      </c>
      <c r="Q69" s="418">
        <f t="shared" ref="Q69:Q132" si="27">IF(MID($O69,5,1)="C",F69*$F$1,IF(MID($O69,5,1)="G",0,F69))</f>
        <v>1992.72</v>
      </c>
      <c r="R69" s="418">
        <f t="shared" ref="R69:R132" si="28">IF(MID($O69,5,1)="C",G69*$F$1,IF(MID($O69,5,1)="G",0,G69))</f>
        <v>6585</v>
      </c>
      <c r="S69" s="418">
        <f t="shared" ref="S69:S132" si="29">IF(MID($O69,5,1)="C",H69*$F$1,IF(MID($O69,5,1)="G",0,H69))</f>
        <v>32319.84</v>
      </c>
      <c r="T69" s="418">
        <f t="shared" ref="T69:T132" si="30">IF(MID($O69,5,1)="C",I69*$F$1,IF(MID($O69,5,1)="G",0,I69))</f>
        <v>0</v>
      </c>
      <c r="V69" s="418" t="str">
        <f t="shared" ref="V69:V132" si="31">A69</f>
        <v>Colstrip 3&amp;4</v>
      </c>
      <c r="W69" s="418" t="str">
        <f t="shared" ref="W69:W132" si="32">B69</f>
        <v>E392 GEN Trans Equip, Colstrip 4</v>
      </c>
      <c r="X69" s="418" t="str">
        <f t="shared" si="21"/>
        <v>Programmatic</v>
      </c>
      <c r="Y69" s="418" t="str">
        <f t="shared" ref="Y69:Y132" si="33">D69</f>
        <v>101-E392</v>
      </c>
      <c r="Z69" s="418">
        <f t="shared" ref="Z69:Z132" si="34">IF(MID($O69,5,1)="C",E69*$D$1,IF(MID($O69,5,1)="E",0,E69))</f>
        <v>0</v>
      </c>
      <c r="AA69" s="418">
        <f t="shared" ref="AA69:AA132" si="35">IF(MID($O69,5,1)="C",F69*$D$1,IF(MID($O69,5,1)="E",0,F69))</f>
        <v>0</v>
      </c>
      <c r="AB69" s="418">
        <f t="shared" ref="AB69:AB132" si="36">IF(MID($O69,5,1)="C",G69*$D$1,IF(MID($O69,5,1)="E",0,G69))</f>
        <v>0</v>
      </c>
      <c r="AC69" s="418">
        <f t="shared" ref="AC69:AC132" si="37">IF(MID($O69,5,1)="C",H69*$D$1,IF(MID($O69,5,1)="E",0,H69))</f>
        <v>0</v>
      </c>
      <c r="AD69" s="418">
        <f t="shared" ref="AD69:AD132" si="38">IF(MID($O69,5,1)="C",I69*$D$1,IF(MID($O69,5,1)="E",0,I69))</f>
        <v>0</v>
      </c>
      <c r="AE69" s="413">
        <f t="shared" ref="AE69:AE132" si="39">SUM(E69:I69)-SUM(P69:T69)-SUM(Z69:AD69)</f>
        <v>0</v>
      </c>
    </row>
    <row r="70" spans="1:31" x14ac:dyDescent="0.3">
      <c r="A70" s="418" t="s">
        <v>1610</v>
      </c>
      <c r="B70" s="418" t="s">
        <v>1771</v>
      </c>
      <c r="C70" s="418" t="s">
        <v>1168</v>
      </c>
      <c r="D70" s="418" t="str">
        <f t="shared" si="22"/>
        <v>101-E392</v>
      </c>
      <c r="E70" s="418">
        <v>0</v>
      </c>
      <c r="F70" s="418">
        <v>1770.72</v>
      </c>
      <c r="G70" s="418">
        <v>5851.38</v>
      </c>
      <c r="H70" s="418">
        <v>28719.06</v>
      </c>
      <c r="I70" s="418">
        <v>0</v>
      </c>
      <c r="J70" s="413">
        <v>0</v>
      </c>
      <c r="L70" s="418" t="str">
        <f t="shared" si="23"/>
        <v>Colstrip 3&amp;4</v>
      </c>
      <c r="M70" s="418" t="str">
        <f t="shared" si="24"/>
        <v>E392 GEN Trans Equip, new</v>
      </c>
      <c r="N70" s="418" t="str">
        <f t="shared" si="20"/>
        <v>Programmatic</v>
      </c>
      <c r="O70" s="418" t="str">
        <f t="shared" si="25"/>
        <v>101-E392</v>
      </c>
      <c r="P70" s="418">
        <f t="shared" si="26"/>
        <v>0</v>
      </c>
      <c r="Q70" s="418">
        <f t="shared" si="27"/>
        <v>1770.72</v>
      </c>
      <c r="R70" s="418">
        <f t="shared" si="28"/>
        <v>5851.38</v>
      </c>
      <c r="S70" s="418">
        <f t="shared" si="29"/>
        <v>28719.06</v>
      </c>
      <c r="T70" s="418">
        <f t="shared" si="30"/>
        <v>0</v>
      </c>
      <c r="V70" s="418" t="str">
        <f t="shared" si="31"/>
        <v>Colstrip 3&amp;4</v>
      </c>
      <c r="W70" s="418" t="str">
        <f t="shared" si="32"/>
        <v>E392 GEN Trans Equip, new</v>
      </c>
      <c r="X70" s="418" t="str">
        <f t="shared" si="21"/>
        <v>Programmatic</v>
      </c>
      <c r="Y70" s="418" t="str">
        <f t="shared" si="33"/>
        <v>101-E392</v>
      </c>
      <c r="Z70" s="418">
        <f t="shared" si="34"/>
        <v>0</v>
      </c>
      <c r="AA70" s="418">
        <f t="shared" si="35"/>
        <v>0</v>
      </c>
      <c r="AB70" s="418">
        <f t="shared" si="36"/>
        <v>0</v>
      </c>
      <c r="AC70" s="418">
        <f t="shared" si="37"/>
        <v>0</v>
      </c>
      <c r="AD70" s="418">
        <f t="shared" si="38"/>
        <v>0</v>
      </c>
      <c r="AE70" s="413">
        <f t="shared" si="39"/>
        <v>0</v>
      </c>
    </row>
    <row r="71" spans="1:31" x14ac:dyDescent="0.3">
      <c r="A71" s="418" t="s">
        <v>1610</v>
      </c>
      <c r="B71" s="418" t="s">
        <v>1923</v>
      </c>
      <c r="C71" s="418" t="s">
        <v>1168</v>
      </c>
      <c r="D71" s="418" t="str">
        <f t="shared" si="22"/>
        <v>101-E394</v>
      </c>
      <c r="E71" s="418">
        <v>0</v>
      </c>
      <c r="F71" s="418">
        <v>2890.68</v>
      </c>
      <c r="G71" s="418">
        <v>9552.41</v>
      </c>
      <c r="H71" s="418">
        <v>46884.29</v>
      </c>
      <c r="I71" s="418">
        <v>0</v>
      </c>
      <c r="J71" s="413">
        <v>0</v>
      </c>
      <c r="L71" s="418" t="str">
        <f t="shared" si="23"/>
        <v>Colstrip 3&amp;4</v>
      </c>
      <c r="M71" s="418" t="str">
        <f t="shared" si="24"/>
        <v>E3940 GEN Tools, Colstrip 3</v>
      </c>
      <c r="N71" s="418" t="str">
        <f t="shared" si="20"/>
        <v>Programmatic</v>
      </c>
      <c r="O71" s="418" t="str">
        <f t="shared" si="25"/>
        <v>101-E394</v>
      </c>
      <c r="P71" s="418">
        <f t="shared" si="26"/>
        <v>0</v>
      </c>
      <c r="Q71" s="418">
        <f t="shared" si="27"/>
        <v>2890.68</v>
      </c>
      <c r="R71" s="418">
        <f t="shared" si="28"/>
        <v>9552.41</v>
      </c>
      <c r="S71" s="418">
        <f t="shared" si="29"/>
        <v>46884.29</v>
      </c>
      <c r="T71" s="418">
        <f t="shared" si="30"/>
        <v>0</v>
      </c>
      <c r="V71" s="418" t="str">
        <f t="shared" si="31"/>
        <v>Colstrip 3&amp;4</v>
      </c>
      <c r="W71" s="418" t="str">
        <f t="shared" si="32"/>
        <v>E3940 GEN Tools, Colstrip 3</v>
      </c>
      <c r="X71" s="418" t="str">
        <f t="shared" si="21"/>
        <v>Programmatic</v>
      </c>
      <c r="Y71" s="418" t="str">
        <f t="shared" si="33"/>
        <v>101-E394</v>
      </c>
      <c r="Z71" s="418">
        <f t="shared" si="34"/>
        <v>0</v>
      </c>
      <c r="AA71" s="418">
        <f t="shared" si="35"/>
        <v>0</v>
      </c>
      <c r="AB71" s="418">
        <f t="shared" si="36"/>
        <v>0</v>
      </c>
      <c r="AC71" s="418">
        <f t="shared" si="37"/>
        <v>0</v>
      </c>
      <c r="AD71" s="418">
        <f t="shared" si="38"/>
        <v>0</v>
      </c>
      <c r="AE71" s="413">
        <f t="shared" si="39"/>
        <v>0</v>
      </c>
    </row>
    <row r="72" spans="1:31" x14ac:dyDescent="0.3">
      <c r="A72" s="418" t="s">
        <v>1610</v>
      </c>
      <c r="B72" s="418" t="s">
        <v>1922</v>
      </c>
      <c r="C72" s="418" t="s">
        <v>1168</v>
      </c>
      <c r="D72" s="418" t="str">
        <f t="shared" si="22"/>
        <v>101-E394</v>
      </c>
      <c r="E72" s="418">
        <v>0</v>
      </c>
      <c r="F72" s="418">
        <v>2916</v>
      </c>
      <c r="G72" s="418">
        <v>9635.94</v>
      </c>
      <c r="H72" s="418">
        <v>47294.1</v>
      </c>
      <c r="I72" s="418">
        <v>0</v>
      </c>
      <c r="J72" s="413">
        <v>0</v>
      </c>
      <c r="L72" s="418" t="str">
        <f t="shared" si="23"/>
        <v>Colstrip 3&amp;4</v>
      </c>
      <c r="M72" s="418" t="str">
        <f t="shared" si="24"/>
        <v>E3940 GEN Tools, Colstrip 4</v>
      </c>
      <c r="N72" s="418" t="str">
        <f t="shared" si="20"/>
        <v>Programmatic</v>
      </c>
      <c r="O72" s="418" t="str">
        <f t="shared" si="25"/>
        <v>101-E394</v>
      </c>
      <c r="P72" s="418">
        <f t="shared" si="26"/>
        <v>0</v>
      </c>
      <c r="Q72" s="418">
        <f t="shared" si="27"/>
        <v>2916</v>
      </c>
      <c r="R72" s="418">
        <f t="shared" si="28"/>
        <v>9635.94</v>
      </c>
      <c r="S72" s="418">
        <f t="shared" si="29"/>
        <v>47294.1</v>
      </c>
      <c r="T72" s="418">
        <f t="shared" si="30"/>
        <v>0</v>
      </c>
      <c r="V72" s="418" t="str">
        <f t="shared" si="31"/>
        <v>Colstrip 3&amp;4</v>
      </c>
      <c r="W72" s="418" t="str">
        <f t="shared" si="32"/>
        <v>E3940 GEN Tools, Colstrip 4</v>
      </c>
      <c r="X72" s="418" t="str">
        <f t="shared" si="21"/>
        <v>Programmatic</v>
      </c>
      <c r="Y72" s="418" t="str">
        <f t="shared" si="33"/>
        <v>101-E394</v>
      </c>
      <c r="Z72" s="418">
        <f t="shared" si="34"/>
        <v>0</v>
      </c>
      <c r="AA72" s="418">
        <f t="shared" si="35"/>
        <v>0</v>
      </c>
      <c r="AB72" s="418">
        <f t="shared" si="36"/>
        <v>0</v>
      </c>
      <c r="AC72" s="418">
        <f t="shared" si="37"/>
        <v>0</v>
      </c>
      <c r="AD72" s="418">
        <f t="shared" si="38"/>
        <v>0</v>
      </c>
      <c r="AE72" s="413">
        <f t="shared" si="39"/>
        <v>0</v>
      </c>
    </row>
    <row r="73" spans="1:31" x14ac:dyDescent="0.3">
      <c r="A73" s="418" t="s">
        <v>1610</v>
      </c>
      <c r="B73" s="418" t="s">
        <v>1768</v>
      </c>
      <c r="C73" s="418" t="s">
        <v>1168</v>
      </c>
      <c r="D73" s="418" t="str">
        <f t="shared" si="22"/>
        <v>101-E394</v>
      </c>
      <c r="E73" s="418">
        <v>0</v>
      </c>
      <c r="F73" s="418">
        <v>1278.8399999999999</v>
      </c>
      <c r="G73" s="418">
        <v>4225.9799999999996</v>
      </c>
      <c r="H73" s="418">
        <v>20741.53</v>
      </c>
      <c r="I73" s="418">
        <v>0</v>
      </c>
      <c r="J73" s="413">
        <v>0</v>
      </c>
      <c r="L73" s="418" t="str">
        <f t="shared" si="23"/>
        <v>Colstrip 3&amp;4</v>
      </c>
      <c r="M73" s="418" t="str">
        <f t="shared" si="24"/>
        <v>E3940 GEN Tools/Garage/Shop, new</v>
      </c>
      <c r="N73" s="418" t="str">
        <f t="shared" si="20"/>
        <v>Programmatic</v>
      </c>
      <c r="O73" s="418" t="str">
        <f t="shared" si="25"/>
        <v>101-E394</v>
      </c>
      <c r="P73" s="418">
        <f t="shared" si="26"/>
        <v>0</v>
      </c>
      <c r="Q73" s="418">
        <f t="shared" si="27"/>
        <v>1278.8399999999999</v>
      </c>
      <c r="R73" s="418">
        <f t="shared" si="28"/>
        <v>4225.9799999999996</v>
      </c>
      <c r="S73" s="418">
        <f t="shared" si="29"/>
        <v>20741.53</v>
      </c>
      <c r="T73" s="418">
        <f t="shared" si="30"/>
        <v>0</v>
      </c>
      <c r="V73" s="418" t="str">
        <f t="shared" si="31"/>
        <v>Colstrip 3&amp;4</v>
      </c>
      <c r="W73" s="418" t="str">
        <f t="shared" si="32"/>
        <v>E3940 GEN Tools/Garage/Shop, new</v>
      </c>
      <c r="X73" s="418" t="str">
        <f t="shared" si="21"/>
        <v>Programmatic</v>
      </c>
      <c r="Y73" s="418" t="str">
        <f t="shared" si="33"/>
        <v>101-E394</v>
      </c>
      <c r="Z73" s="418">
        <f t="shared" si="34"/>
        <v>0</v>
      </c>
      <c r="AA73" s="418">
        <f t="shared" si="35"/>
        <v>0</v>
      </c>
      <c r="AB73" s="418">
        <f t="shared" si="36"/>
        <v>0</v>
      </c>
      <c r="AC73" s="418">
        <f t="shared" si="37"/>
        <v>0</v>
      </c>
      <c r="AD73" s="418">
        <f t="shared" si="38"/>
        <v>0</v>
      </c>
      <c r="AE73" s="413">
        <f t="shared" si="39"/>
        <v>0</v>
      </c>
    </row>
    <row r="74" spans="1:31" x14ac:dyDescent="0.3">
      <c r="A74" s="418" t="s">
        <v>1610</v>
      </c>
      <c r="B74" s="418" t="s">
        <v>1921</v>
      </c>
      <c r="C74" s="418" t="s">
        <v>1168</v>
      </c>
      <c r="D74" s="418" t="str">
        <f t="shared" si="22"/>
        <v>101-E396</v>
      </c>
      <c r="E74" s="418">
        <v>0</v>
      </c>
      <c r="F74" s="418">
        <v>2194.92</v>
      </c>
      <c r="G74" s="418">
        <v>7253.1</v>
      </c>
      <c r="H74" s="418">
        <v>35598.78</v>
      </c>
      <c r="I74" s="418">
        <v>0</v>
      </c>
      <c r="J74" s="413">
        <v>0</v>
      </c>
      <c r="L74" s="418" t="str">
        <f t="shared" si="23"/>
        <v>Colstrip 3&amp;4</v>
      </c>
      <c r="M74" s="418" t="str">
        <f t="shared" si="24"/>
        <v>E396 GEN Power-Op Equip, Colstrip 3</v>
      </c>
      <c r="N74" s="418" t="str">
        <f t="shared" si="20"/>
        <v>Programmatic</v>
      </c>
      <c r="O74" s="418" t="str">
        <f t="shared" si="25"/>
        <v>101-E396</v>
      </c>
      <c r="P74" s="418">
        <f t="shared" si="26"/>
        <v>0</v>
      </c>
      <c r="Q74" s="418">
        <f t="shared" si="27"/>
        <v>2194.92</v>
      </c>
      <c r="R74" s="418">
        <f t="shared" si="28"/>
        <v>7253.1</v>
      </c>
      <c r="S74" s="418">
        <f t="shared" si="29"/>
        <v>35598.78</v>
      </c>
      <c r="T74" s="418">
        <f t="shared" si="30"/>
        <v>0</v>
      </c>
      <c r="V74" s="418" t="str">
        <f t="shared" si="31"/>
        <v>Colstrip 3&amp;4</v>
      </c>
      <c r="W74" s="418" t="str">
        <f t="shared" si="32"/>
        <v>E396 GEN Power-Op Equip, Colstrip 3</v>
      </c>
      <c r="X74" s="418" t="str">
        <f t="shared" si="21"/>
        <v>Programmatic</v>
      </c>
      <c r="Y74" s="418" t="str">
        <f t="shared" si="33"/>
        <v>101-E396</v>
      </c>
      <c r="Z74" s="418">
        <f t="shared" si="34"/>
        <v>0</v>
      </c>
      <c r="AA74" s="418">
        <f t="shared" si="35"/>
        <v>0</v>
      </c>
      <c r="AB74" s="418">
        <f t="shared" si="36"/>
        <v>0</v>
      </c>
      <c r="AC74" s="418">
        <f t="shared" si="37"/>
        <v>0</v>
      </c>
      <c r="AD74" s="418">
        <f t="shared" si="38"/>
        <v>0</v>
      </c>
      <c r="AE74" s="413">
        <f t="shared" si="39"/>
        <v>0</v>
      </c>
    </row>
    <row r="75" spans="1:31" x14ac:dyDescent="0.3">
      <c r="A75" s="418" t="s">
        <v>1610</v>
      </c>
      <c r="B75" s="418" t="s">
        <v>1920</v>
      </c>
      <c r="C75" s="418" t="s">
        <v>1168</v>
      </c>
      <c r="D75" s="418" t="str">
        <f t="shared" si="22"/>
        <v>101-E396</v>
      </c>
      <c r="E75" s="418">
        <v>0</v>
      </c>
      <c r="F75" s="418">
        <v>2488.1999999999998</v>
      </c>
      <c r="G75" s="418">
        <v>8222.35</v>
      </c>
      <c r="H75" s="418">
        <v>40355.93</v>
      </c>
      <c r="I75" s="418">
        <v>0</v>
      </c>
      <c r="J75" s="413">
        <v>0</v>
      </c>
      <c r="L75" s="418" t="str">
        <f t="shared" si="23"/>
        <v>Colstrip 3&amp;4</v>
      </c>
      <c r="M75" s="418" t="str">
        <f t="shared" si="24"/>
        <v>E396 GEN Power-Op Equip, Colstrip 4</v>
      </c>
      <c r="N75" s="418" t="str">
        <f t="shared" si="20"/>
        <v>Programmatic</v>
      </c>
      <c r="O75" s="418" t="str">
        <f t="shared" si="25"/>
        <v>101-E396</v>
      </c>
      <c r="P75" s="418">
        <f t="shared" si="26"/>
        <v>0</v>
      </c>
      <c r="Q75" s="418">
        <f t="shared" si="27"/>
        <v>2488.1999999999998</v>
      </c>
      <c r="R75" s="418">
        <f t="shared" si="28"/>
        <v>8222.35</v>
      </c>
      <c r="S75" s="418">
        <f t="shared" si="29"/>
        <v>40355.93</v>
      </c>
      <c r="T75" s="418">
        <f t="shared" si="30"/>
        <v>0</v>
      </c>
      <c r="V75" s="418" t="str">
        <f t="shared" si="31"/>
        <v>Colstrip 3&amp;4</v>
      </c>
      <c r="W75" s="418" t="str">
        <f t="shared" si="32"/>
        <v>E396 GEN Power-Op Equip, Colstrip 4</v>
      </c>
      <c r="X75" s="418" t="str">
        <f t="shared" si="21"/>
        <v>Programmatic</v>
      </c>
      <c r="Y75" s="418" t="str">
        <f t="shared" si="33"/>
        <v>101-E396</v>
      </c>
      <c r="Z75" s="418">
        <f t="shared" si="34"/>
        <v>0</v>
      </c>
      <c r="AA75" s="418">
        <f t="shared" si="35"/>
        <v>0</v>
      </c>
      <c r="AB75" s="418">
        <f t="shared" si="36"/>
        <v>0</v>
      </c>
      <c r="AC75" s="418">
        <f t="shared" si="37"/>
        <v>0</v>
      </c>
      <c r="AD75" s="418">
        <f t="shared" si="38"/>
        <v>0</v>
      </c>
      <c r="AE75" s="413">
        <f t="shared" si="39"/>
        <v>0</v>
      </c>
    </row>
    <row r="76" spans="1:31" x14ac:dyDescent="0.3">
      <c r="A76" s="418" t="s">
        <v>1610</v>
      </c>
      <c r="B76" s="418" t="s">
        <v>1766</v>
      </c>
      <c r="C76" s="418" t="s">
        <v>1168</v>
      </c>
      <c r="D76" s="418" t="str">
        <f t="shared" si="22"/>
        <v>101-E396</v>
      </c>
      <c r="E76" s="418">
        <v>0</v>
      </c>
      <c r="F76" s="418">
        <v>442.2</v>
      </c>
      <c r="G76" s="418">
        <v>1461.29</v>
      </c>
      <c r="H76" s="418">
        <v>7172.34</v>
      </c>
      <c r="I76" s="418">
        <v>0</v>
      </c>
      <c r="J76" s="413">
        <v>0</v>
      </c>
      <c r="L76" s="418" t="str">
        <f t="shared" si="23"/>
        <v>Colstrip 3&amp;4</v>
      </c>
      <c r="M76" s="418" t="str">
        <f t="shared" si="24"/>
        <v>E396 GEN Power-Op Equip, new</v>
      </c>
      <c r="N76" s="418" t="str">
        <f t="shared" si="20"/>
        <v>Programmatic</v>
      </c>
      <c r="O76" s="418" t="str">
        <f t="shared" si="25"/>
        <v>101-E396</v>
      </c>
      <c r="P76" s="418">
        <f t="shared" si="26"/>
        <v>0</v>
      </c>
      <c r="Q76" s="418">
        <f t="shared" si="27"/>
        <v>442.2</v>
      </c>
      <c r="R76" s="418">
        <f t="shared" si="28"/>
        <v>1461.29</v>
      </c>
      <c r="S76" s="418">
        <f t="shared" si="29"/>
        <v>7172.34</v>
      </c>
      <c r="T76" s="418">
        <f t="shared" si="30"/>
        <v>0</v>
      </c>
      <c r="V76" s="418" t="str">
        <f t="shared" si="31"/>
        <v>Colstrip 3&amp;4</v>
      </c>
      <c r="W76" s="418" t="str">
        <f t="shared" si="32"/>
        <v>E396 GEN Power-Op Equip, new</v>
      </c>
      <c r="X76" s="418" t="str">
        <f t="shared" si="21"/>
        <v>Programmatic</v>
      </c>
      <c r="Y76" s="418" t="str">
        <f t="shared" si="33"/>
        <v>101-E396</v>
      </c>
      <c r="Z76" s="418">
        <f t="shared" si="34"/>
        <v>0</v>
      </c>
      <c r="AA76" s="418">
        <f t="shared" si="35"/>
        <v>0</v>
      </c>
      <c r="AB76" s="418">
        <f t="shared" si="36"/>
        <v>0</v>
      </c>
      <c r="AC76" s="418">
        <f t="shared" si="37"/>
        <v>0</v>
      </c>
      <c r="AD76" s="418">
        <f t="shared" si="38"/>
        <v>0</v>
      </c>
      <c r="AE76" s="413">
        <f t="shared" si="39"/>
        <v>0</v>
      </c>
    </row>
    <row r="77" spans="1:31" x14ac:dyDescent="0.3">
      <c r="A77" s="418" t="s">
        <v>1609</v>
      </c>
      <c r="B77" s="418" t="s">
        <v>1905</v>
      </c>
      <c r="C77" s="418" t="s">
        <v>1181</v>
      </c>
      <c r="D77" s="418" t="str">
        <f t="shared" si="22"/>
        <v>101-C389</v>
      </c>
      <c r="E77" s="418">
        <v>0</v>
      </c>
      <c r="F77" s="418">
        <v>0</v>
      </c>
      <c r="G77" s="418">
        <v>0</v>
      </c>
      <c r="H77" s="418">
        <v>648599.62</v>
      </c>
      <c r="I77" s="418">
        <v>0</v>
      </c>
      <c r="J77" s="413">
        <v>0</v>
      </c>
      <c r="L77" s="418" t="str">
        <f t="shared" si="23"/>
        <v>Control Center</v>
      </c>
      <c r="M77" s="418" t="str">
        <f t="shared" si="24"/>
        <v>C389 CMN Land &amp; Land Rights</v>
      </c>
      <c r="N77" s="418" t="str">
        <f t="shared" si="20"/>
        <v>Specific</v>
      </c>
      <c r="O77" s="418" t="str">
        <f t="shared" si="25"/>
        <v>101-C389</v>
      </c>
      <c r="P77" s="418">
        <f t="shared" si="26"/>
        <v>0</v>
      </c>
      <c r="Q77" s="418">
        <f t="shared" si="27"/>
        <v>0</v>
      </c>
      <c r="R77" s="418">
        <f t="shared" si="28"/>
        <v>0</v>
      </c>
      <c r="S77" s="418">
        <f t="shared" si="29"/>
        <v>427686.58942799998</v>
      </c>
      <c r="T77" s="418">
        <f t="shared" si="30"/>
        <v>0</v>
      </c>
      <c r="V77" s="418" t="str">
        <f t="shared" si="31"/>
        <v>Control Center</v>
      </c>
      <c r="W77" s="418" t="str">
        <f t="shared" si="32"/>
        <v>C389 CMN Land &amp; Land Rights</v>
      </c>
      <c r="X77" s="418" t="str">
        <f t="shared" si="21"/>
        <v>Specific</v>
      </c>
      <c r="Y77" s="418" t="str">
        <f t="shared" si="33"/>
        <v>101-C389</v>
      </c>
      <c r="Z77" s="418">
        <f t="shared" si="34"/>
        <v>0</v>
      </c>
      <c r="AA77" s="418">
        <f t="shared" si="35"/>
        <v>0</v>
      </c>
      <c r="AB77" s="418">
        <f t="shared" si="36"/>
        <v>0</v>
      </c>
      <c r="AC77" s="418">
        <f t="shared" si="37"/>
        <v>220913.03057200002</v>
      </c>
      <c r="AD77" s="418">
        <f t="shared" si="38"/>
        <v>0</v>
      </c>
      <c r="AE77" s="413">
        <f t="shared" si="39"/>
        <v>0</v>
      </c>
    </row>
    <row r="78" spans="1:31" x14ac:dyDescent="0.3">
      <c r="A78" s="418" t="s">
        <v>6</v>
      </c>
      <c r="B78" s="418" t="s">
        <v>1717</v>
      </c>
      <c r="C78" s="418" t="s">
        <v>1180</v>
      </c>
      <c r="D78" s="418" t="str">
        <f t="shared" si="22"/>
        <v>101-E355</v>
      </c>
      <c r="E78" s="418">
        <v>0</v>
      </c>
      <c r="F78" s="418">
        <v>10436.65</v>
      </c>
      <c r="G78" s="418">
        <v>23524.61</v>
      </c>
      <c r="H78" s="418">
        <v>62907.34</v>
      </c>
      <c r="I78" s="418">
        <v>0</v>
      </c>
      <c r="J78" s="413">
        <v>0</v>
      </c>
      <c r="L78" s="418" t="str">
        <f t="shared" si="23"/>
        <v>Customer Construction Electric</v>
      </c>
      <c r="M78" s="418" t="str">
        <f t="shared" si="24"/>
        <v>E3556 TSM Poles</v>
      </c>
      <c r="N78" s="418" t="str">
        <f t="shared" si="20"/>
        <v>Programmatic Customer Drive</v>
      </c>
      <c r="O78" s="418" t="str">
        <f t="shared" si="25"/>
        <v>101-E355</v>
      </c>
      <c r="P78" s="418">
        <f t="shared" si="26"/>
        <v>0</v>
      </c>
      <c r="Q78" s="418">
        <f t="shared" si="27"/>
        <v>10436.65</v>
      </c>
      <c r="R78" s="418">
        <f t="shared" si="28"/>
        <v>23524.61</v>
      </c>
      <c r="S78" s="418">
        <f t="shared" si="29"/>
        <v>62907.34</v>
      </c>
      <c r="T78" s="418">
        <f t="shared" si="30"/>
        <v>0</v>
      </c>
      <c r="V78" s="418" t="str">
        <f t="shared" si="31"/>
        <v>Customer Construction Electric</v>
      </c>
      <c r="W78" s="418" t="str">
        <f t="shared" si="32"/>
        <v>E3556 TSM Poles</v>
      </c>
      <c r="X78" s="418" t="str">
        <f t="shared" si="21"/>
        <v>Programmatic Customer Drive</v>
      </c>
      <c r="Y78" s="418" t="str">
        <f t="shared" si="33"/>
        <v>101-E355</v>
      </c>
      <c r="Z78" s="418">
        <f t="shared" si="34"/>
        <v>0</v>
      </c>
      <c r="AA78" s="418">
        <f t="shared" si="35"/>
        <v>0</v>
      </c>
      <c r="AB78" s="418">
        <f t="shared" si="36"/>
        <v>0</v>
      </c>
      <c r="AC78" s="418">
        <f t="shared" si="37"/>
        <v>0</v>
      </c>
      <c r="AD78" s="418">
        <f t="shared" si="38"/>
        <v>0</v>
      </c>
      <c r="AE78" s="413">
        <f t="shared" si="39"/>
        <v>0</v>
      </c>
    </row>
    <row r="79" spans="1:31" x14ac:dyDescent="0.3">
      <c r="A79" s="418" t="s">
        <v>6</v>
      </c>
      <c r="B79" s="418" t="s">
        <v>1781</v>
      </c>
      <c r="C79" s="418" t="s">
        <v>1180</v>
      </c>
      <c r="D79" s="418" t="str">
        <f t="shared" si="22"/>
        <v>101-E362</v>
      </c>
      <c r="E79" s="418">
        <v>0</v>
      </c>
      <c r="F79" s="418">
        <v>813776.53</v>
      </c>
      <c r="G79" s="418">
        <v>1845301.21</v>
      </c>
      <c r="H79" s="418">
        <v>4956871.25</v>
      </c>
      <c r="I79" s="418">
        <v>0</v>
      </c>
      <c r="J79" s="413">
        <v>0</v>
      </c>
      <c r="L79" s="418" t="str">
        <f t="shared" si="23"/>
        <v>Customer Construction Electric</v>
      </c>
      <c r="M79" s="418" t="str">
        <f t="shared" si="24"/>
        <v>E3620 DST Substation Equipment</v>
      </c>
      <c r="N79" s="418" t="str">
        <f t="shared" si="20"/>
        <v>Programmatic Customer Drive</v>
      </c>
      <c r="O79" s="418" t="str">
        <f t="shared" si="25"/>
        <v>101-E362</v>
      </c>
      <c r="P79" s="418">
        <f t="shared" si="26"/>
        <v>0</v>
      </c>
      <c r="Q79" s="418">
        <f t="shared" si="27"/>
        <v>813776.53</v>
      </c>
      <c r="R79" s="418">
        <f t="shared" si="28"/>
        <v>1845301.21</v>
      </c>
      <c r="S79" s="418">
        <f t="shared" si="29"/>
        <v>4956871.25</v>
      </c>
      <c r="T79" s="418">
        <f t="shared" si="30"/>
        <v>0</v>
      </c>
      <c r="V79" s="418" t="str">
        <f t="shared" si="31"/>
        <v>Customer Construction Electric</v>
      </c>
      <c r="W79" s="418" t="str">
        <f t="shared" si="32"/>
        <v>E3620 DST Substation Equipment</v>
      </c>
      <c r="X79" s="418" t="str">
        <f t="shared" si="21"/>
        <v>Programmatic Customer Drive</v>
      </c>
      <c r="Y79" s="418" t="str">
        <f t="shared" si="33"/>
        <v>101-E362</v>
      </c>
      <c r="Z79" s="418">
        <f t="shared" si="34"/>
        <v>0</v>
      </c>
      <c r="AA79" s="418">
        <f t="shared" si="35"/>
        <v>0</v>
      </c>
      <c r="AB79" s="418">
        <f t="shared" si="36"/>
        <v>0</v>
      </c>
      <c r="AC79" s="418">
        <f t="shared" si="37"/>
        <v>0</v>
      </c>
      <c r="AD79" s="418">
        <f t="shared" si="38"/>
        <v>0</v>
      </c>
      <c r="AE79" s="413">
        <f t="shared" si="39"/>
        <v>0</v>
      </c>
    </row>
    <row r="80" spans="1:31" x14ac:dyDescent="0.3">
      <c r="A80" s="418" t="s">
        <v>6</v>
      </c>
      <c r="B80" s="418" t="s">
        <v>1711</v>
      </c>
      <c r="C80" s="418" t="s">
        <v>1180</v>
      </c>
      <c r="D80" s="418" t="str">
        <f t="shared" si="22"/>
        <v>101-E364</v>
      </c>
      <c r="E80" s="418">
        <v>0</v>
      </c>
      <c r="F80" s="418">
        <v>62099.82</v>
      </c>
      <c r="G80" s="418">
        <v>96736.42</v>
      </c>
      <c r="H80" s="418">
        <v>181611.91</v>
      </c>
      <c r="I80" s="418">
        <v>0</v>
      </c>
      <c r="J80" s="413">
        <v>0</v>
      </c>
      <c r="L80" s="418" t="str">
        <f t="shared" si="23"/>
        <v>Customer Construction Electric</v>
      </c>
      <c r="M80" s="418" t="str">
        <f t="shared" si="24"/>
        <v>E3640 DST Poles/Towers/Fixtures</v>
      </c>
      <c r="N80" s="418" t="str">
        <f t="shared" si="20"/>
        <v>Programmatic Customer Drive</v>
      </c>
      <c r="O80" s="418" t="str">
        <f t="shared" si="25"/>
        <v>101-E364</v>
      </c>
      <c r="P80" s="418">
        <f t="shared" si="26"/>
        <v>0</v>
      </c>
      <c r="Q80" s="418">
        <f t="shared" si="27"/>
        <v>62099.82</v>
      </c>
      <c r="R80" s="418">
        <f t="shared" si="28"/>
        <v>96736.42</v>
      </c>
      <c r="S80" s="418">
        <f t="shared" si="29"/>
        <v>181611.91</v>
      </c>
      <c r="T80" s="418">
        <f t="shared" si="30"/>
        <v>0</v>
      </c>
      <c r="V80" s="418" t="str">
        <f t="shared" si="31"/>
        <v>Customer Construction Electric</v>
      </c>
      <c r="W80" s="418" t="str">
        <f t="shared" si="32"/>
        <v>E3640 DST Poles/Towers/Fixtures</v>
      </c>
      <c r="X80" s="418" t="str">
        <f t="shared" si="21"/>
        <v>Programmatic Customer Drive</v>
      </c>
      <c r="Y80" s="418" t="str">
        <f t="shared" si="33"/>
        <v>101-E364</v>
      </c>
      <c r="Z80" s="418">
        <f t="shared" si="34"/>
        <v>0</v>
      </c>
      <c r="AA80" s="418">
        <f t="shared" si="35"/>
        <v>0</v>
      </c>
      <c r="AB80" s="418">
        <f t="shared" si="36"/>
        <v>0</v>
      </c>
      <c r="AC80" s="418">
        <f t="shared" si="37"/>
        <v>0</v>
      </c>
      <c r="AD80" s="418">
        <f t="shared" si="38"/>
        <v>0</v>
      </c>
      <c r="AE80" s="413">
        <f t="shared" si="39"/>
        <v>0</v>
      </c>
    </row>
    <row r="81" spans="1:31" x14ac:dyDescent="0.3">
      <c r="A81" s="418" t="s">
        <v>6</v>
      </c>
      <c r="B81" s="418" t="s">
        <v>1720</v>
      </c>
      <c r="C81" s="418" t="s">
        <v>1180</v>
      </c>
      <c r="D81" s="418" t="str">
        <f t="shared" si="22"/>
        <v>101-E365</v>
      </c>
      <c r="E81" s="418">
        <v>0</v>
      </c>
      <c r="F81" s="418">
        <v>982230.87</v>
      </c>
      <c r="G81" s="418">
        <v>1064101.77</v>
      </c>
      <c r="H81" s="418">
        <v>1148492.1499999999</v>
      </c>
      <c r="I81" s="418">
        <v>0</v>
      </c>
      <c r="J81" s="413">
        <v>0</v>
      </c>
      <c r="L81" s="418" t="str">
        <f t="shared" si="23"/>
        <v>Customer Construction Electric</v>
      </c>
      <c r="M81" s="418" t="str">
        <f t="shared" si="24"/>
        <v>E3650 DST O/H Conductor/Devices</v>
      </c>
      <c r="N81" s="418" t="str">
        <f t="shared" si="20"/>
        <v>Programmatic Customer Drive</v>
      </c>
      <c r="O81" s="418" t="str">
        <f t="shared" si="25"/>
        <v>101-E365</v>
      </c>
      <c r="P81" s="418">
        <f t="shared" si="26"/>
        <v>0</v>
      </c>
      <c r="Q81" s="418">
        <f t="shared" si="27"/>
        <v>982230.87</v>
      </c>
      <c r="R81" s="418">
        <f t="shared" si="28"/>
        <v>1064101.77</v>
      </c>
      <c r="S81" s="418">
        <f t="shared" si="29"/>
        <v>1148492.1499999999</v>
      </c>
      <c r="T81" s="418">
        <f t="shared" si="30"/>
        <v>0</v>
      </c>
      <c r="V81" s="418" t="str">
        <f t="shared" si="31"/>
        <v>Customer Construction Electric</v>
      </c>
      <c r="W81" s="418" t="str">
        <f t="shared" si="32"/>
        <v>E3650 DST O/H Conductor/Devices</v>
      </c>
      <c r="X81" s="418" t="str">
        <f t="shared" si="21"/>
        <v>Programmatic Customer Drive</v>
      </c>
      <c r="Y81" s="418" t="str">
        <f t="shared" si="33"/>
        <v>101-E365</v>
      </c>
      <c r="Z81" s="418">
        <f t="shared" si="34"/>
        <v>0</v>
      </c>
      <c r="AA81" s="418">
        <f t="shared" si="35"/>
        <v>0</v>
      </c>
      <c r="AB81" s="418">
        <f t="shared" si="36"/>
        <v>0</v>
      </c>
      <c r="AC81" s="418">
        <f t="shared" si="37"/>
        <v>0</v>
      </c>
      <c r="AD81" s="418">
        <f t="shared" si="38"/>
        <v>0</v>
      </c>
      <c r="AE81" s="413">
        <f t="shared" si="39"/>
        <v>0</v>
      </c>
    </row>
    <row r="82" spans="1:31" x14ac:dyDescent="0.3">
      <c r="A82" s="418" t="s">
        <v>6</v>
      </c>
      <c r="B82" s="418" t="s">
        <v>1710</v>
      </c>
      <c r="C82" s="418" t="s">
        <v>1180</v>
      </c>
      <c r="D82" s="418" t="str">
        <f t="shared" si="22"/>
        <v>101-E366</v>
      </c>
      <c r="E82" s="418">
        <v>0</v>
      </c>
      <c r="F82" s="418">
        <v>2413287.71</v>
      </c>
      <c r="G82" s="418">
        <v>2668552.98</v>
      </c>
      <c r="H82" s="418">
        <v>3010103.72</v>
      </c>
      <c r="I82" s="418">
        <v>0</v>
      </c>
      <c r="J82" s="413">
        <v>0</v>
      </c>
      <c r="L82" s="418" t="str">
        <f t="shared" si="23"/>
        <v>Customer Construction Electric</v>
      </c>
      <c r="M82" s="418" t="str">
        <f t="shared" si="24"/>
        <v>E3660 DST U/G Conduit</v>
      </c>
      <c r="N82" s="418" t="str">
        <f t="shared" si="20"/>
        <v>Programmatic Customer Drive</v>
      </c>
      <c r="O82" s="418" t="str">
        <f t="shared" si="25"/>
        <v>101-E366</v>
      </c>
      <c r="P82" s="418">
        <f t="shared" si="26"/>
        <v>0</v>
      </c>
      <c r="Q82" s="418">
        <f t="shared" si="27"/>
        <v>2413287.71</v>
      </c>
      <c r="R82" s="418">
        <f t="shared" si="28"/>
        <v>2668552.98</v>
      </c>
      <c r="S82" s="418">
        <f t="shared" si="29"/>
        <v>3010103.72</v>
      </c>
      <c r="T82" s="418">
        <f t="shared" si="30"/>
        <v>0</v>
      </c>
      <c r="V82" s="418" t="str">
        <f t="shared" si="31"/>
        <v>Customer Construction Electric</v>
      </c>
      <c r="W82" s="418" t="str">
        <f t="shared" si="32"/>
        <v>E3660 DST U/G Conduit</v>
      </c>
      <c r="X82" s="418" t="str">
        <f t="shared" si="21"/>
        <v>Programmatic Customer Drive</v>
      </c>
      <c r="Y82" s="418" t="str">
        <f t="shared" si="33"/>
        <v>101-E366</v>
      </c>
      <c r="Z82" s="418">
        <f t="shared" si="34"/>
        <v>0</v>
      </c>
      <c r="AA82" s="418">
        <f t="shared" si="35"/>
        <v>0</v>
      </c>
      <c r="AB82" s="418">
        <f t="shared" si="36"/>
        <v>0</v>
      </c>
      <c r="AC82" s="418">
        <f t="shared" si="37"/>
        <v>0</v>
      </c>
      <c r="AD82" s="418">
        <f t="shared" si="38"/>
        <v>0</v>
      </c>
      <c r="AE82" s="413">
        <f t="shared" si="39"/>
        <v>0</v>
      </c>
    </row>
    <row r="83" spans="1:31" x14ac:dyDescent="0.3">
      <c r="A83" s="418" t="s">
        <v>6</v>
      </c>
      <c r="B83" s="418" t="s">
        <v>1709</v>
      </c>
      <c r="C83" s="418" t="s">
        <v>1180</v>
      </c>
      <c r="D83" s="418" t="str">
        <f t="shared" si="22"/>
        <v>101-E367</v>
      </c>
      <c r="E83" s="418">
        <v>0</v>
      </c>
      <c r="F83" s="418">
        <v>2993898.79</v>
      </c>
      <c r="G83" s="418">
        <v>3278746.93</v>
      </c>
      <c r="H83" s="418">
        <v>3568270.01</v>
      </c>
      <c r="I83" s="418">
        <v>0</v>
      </c>
      <c r="J83" s="413">
        <v>0</v>
      </c>
      <c r="L83" s="418" t="str">
        <f t="shared" si="23"/>
        <v>Customer Construction Electric</v>
      </c>
      <c r="M83" s="418" t="str">
        <f t="shared" si="24"/>
        <v>E3670 DST U/G Conductor/Devices</v>
      </c>
      <c r="N83" s="418" t="str">
        <f t="shared" si="20"/>
        <v>Programmatic Customer Drive</v>
      </c>
      <c r="O83" s="418" t="str">
        <f t="shared" si="25"/>
        <v>101-E367</v>
      </c>
      <c r="P83" s="418">
        <f t="shared" si="26"/>
        <v>0</v>
      </c>
      <c r="Q83" s="418">
        <f t="shared" si="27"/>
        <v>2993898.79</v>
      </c>
      <c r="R83" s="418">
        <f t="shared" si="28"/>
        <v>3278746.93</v>
      </c>
      <c r="S83" s="418">
        <f t="shared" si="29"/>
        <v>3568270.01</v>
      </c>
      <c r="T83" s="418">
        <f t="shared" si="30"/>
        <v>0</v>
      </c>
      <c r="V83" s="418" t="str">
        <f t="shared" si="31"/>
        <v>Customer Construction Electric</v>
      </c>
      <c r="W83" s="418" t="str">
        <f t="shared" si="32"/>
        <v>E3670 DST U/G Conductor/Devices</v>
      </c>
      <c r="X83" s="418" t="str">
        <f t="shared" si="21"/>
        <v>Programmatic Customer Drive</v>
      </c>
      <c r="Y83" s="418" t="str">
        <f t="shared" si="33"/>
        <v>101-E367</v>
      </c>
      <c r="Z83" s="418">
        <f t="shared" si="34"/>
        <v>0</v>
      </c>
      <c r="AA83" s="418">
        <f t="shared" si="35"/>
        <v>0</v>
      </c>
      <c r="AB83" s="418">
        <f t="shared" si="36"/>
        <v>0</v>
      </c>
      <c r="AC83" s="418">
        <f t="shared" si="37"/>
        <v>0</v>
      </c>
      <c r="AD83" s="418">
        <f t="shared" si="38"/>
        <v>0</v>
      </c>
      <c r="AE83" s="413">
        <f t="shared" si="39"/>
        <v>0</v>
      </c>
    </row>
    <row r="84" spans="1:31" x14ac:dyDescent="0.3">
      <c r="A84" s="418" t="s">
        <v>6</v>
      </c>
      <c r="B84" s="418" t="s">
        <v>1780</v>
      </c>
      <c r="C84" s="418" t="s">
        <v>1180</v>
      </c>
      <c r="D84" s="418" t="str">
        <f t="shared" si="22"/>
        <v>101-E368</v>
      </c>
      <c r="E84" s="418">
        <v>0</v>
      </c>
      <c r="F84" s="418">
        <v>384386.41</v>
      </c>
      <c r="G84" s="418">
        <v>467130.32</v>
      </c>
      <c r="H84" s="418">
        <v>610359.73</v>
      </c>
      <c r="I84" s="418">
        <v>0</v>
      </c>
      <c r="J84" s="413">
        <v>0</v>
      </c>
      <c r="L84" s="418" t="str">
        <f t="shared" si="23"/>
        <v>Customer Construction Electric</v>
      </c>
      <c r="M84" s="418" t="str">
        <f t="shared" si="24"/>
        <v>E368 DST Line Transformers</v>
      </c>
      <c r="N84" s="418" t="str">
        <f t="shared" si="20"/>
        <v>Programmatic Customer Drive</v>
      </c>
      <c r="O84" s="418" t="str">
        <f t="shared" si="25"/>
        <v>101-E368</v>
      </c>
      <c r="P84" s="418">
        <f t="shared" si="26"/>
        <v>0</v>
      </c>
      <c r="Q84" s="418">
        <f t="shared" si="27"/>
        <v>384386.41</v>
      </c>
      <c r="R84" s="418">
        <f t="shared" si="28"/>
        <v>467130.32</v>
      </c>
      <c r="S84" s="418">
        <f t="shared" si="29"/>
        <v>610359.73</v>
      </c>
      <c r="T84" s="418">
        <f t="shared" si="30"/>
        <v>0</v>
      </c>
      <c r="V84" s="418" t="str">
        <f t="shared" si="31"/>
        <v>Customer Construction Electric</v>
      </c>
      <c r="W84" s="418" t="str">
        <f t="shared" si="32"/>
        <v>E368 DST Line Transformers</v>
      </c>
      <c r="X84" s="418" t="str">
        <f t="shared" si="21"/>
        <v>Programmatic Customer Drive</v>
      </c>
      <c r="Y84" s="418" t="str">
        <f t="shared" si="33"/>
        <v>101-E368</v>
      </c>
      <c r="Z84" s="418">
        <f t="shared" si="34"/>
        <v>0</v>
      </c>
      <c r="AA84" s="418">
        <f t="shared" si="35"/>
        <v>0</v>
      </c>
      <c r="AB84" s="418">
        <f t="shared" si="36"/>
        <v>0</v>
      </c>
      <c r="AC84" s="418">
        <f t="shared" si="37"/>
        <v>0</v>
      </c>
      <c r="AD84" s="418">
        <f t="shared" si="38"/>
        <v>0</v>
      </c>
      <c r="AE84" s="413">
        <f t="shared" si="39"/>
        <v>0</v>
      </c>
    </row>
    <row r="85" spans="1:31" x14ac:dyDescent="0.3">
      <c r="A85" s="418" t="s">
        <v>6</v>
      </c>
      <c r="B85" s="418" t="s">
        <v>1779</v>
      </c>
      <c r="C85" s="418" t="s">
        <v>1180</v>
      </c>
      <c r="D85" s="418" t="str">
        <f t="shared" si="22"/>
        <v>101-E369</v>
      </c>
      <c r="E85" s="418">
        <v>0</v>
      </c>
      <c r="F85" s="418">
        <v>6412.49</v>
      </c>
      <c r="G85" s="418">
        <v>9593.06</v>
      </c>
      <c r="H85" s="418">
        <v>15950.29</v>
      </c>
      <c r="I85" s="418">
        <v>0</v>
      </c>
      <c r="J85" s="413">
        <v>0</v>
      </c>
      <c r="L85" s="418" t="str">
        <f t="shared" si="23"/>
        <v>Customer Construction Electric</v>
      </c>
      <c r="M85" s="418" t="str">
        <f t="shared" si="24"/>
        <v>E369 DST Services</v>
      </c>
      <c r="N85" s="418" t="str">
        <f t="shared" si="20"/>
        <v>Programmatic Customer Drive</v>
      </c>
      <c r="O85" s="418" t="str">
        <f t="shared" si="25"/>
        <v>101-E369</v>
      </c>
      <c r="P85" s="418">
        <f t="shared" si="26"/>
        <v>0</v>
      </c>
      <c r="Q85" s="418">
        <f t="shared" si="27"/>
        <v>6412.49</v>
      </c>
      <c r="R85" s="418">
        <f t="shared" si="28"/>
        <v>9593.06</v>
      </c>
      <c r="S85" s="418">
        <f t="shared" si="29"/>
        <v>15950.29</v>
      </c>
      <c r="T85" s="418">
        <f t="shared" si="30"/>
        <v>0</v>
      </c>
      <c r="V85" s="418" t="str">
        <f t="shared" si="31"/>
        <v>Customer Construction Electric</v>
      </c>
      <c r="W85" s="418" t="str">
        <f t="shared" si="32"/>
        <v>E369 DST Services</v>
      </c>
      <c r="X85" s="418" t="str">
        <f t="shared" si="21"/>
        <v>Programmatic Customer Drive</v>
      </c>
      <c r="Y85" s="418" t="str">
        <f t="shared" si="33"/>
        <v>101-E369</v>
      </c>
      <c r="Z85" s="418">
        <f t="shared" si="34"/>
        <v>0</v>
      </c>
      <c r="AA85" s="418">
        <f t="shared" si="35"/>
        <v>0</v>
      </c>
      <c r="AB85" s="418">
        <f t="shared" si="36"/>
        <v>0</v>
      </c>
      <c r="AC85" s="418">
        <f t="shared" si="37"/>
        <v>0</v>
      </c>
      <c r="AD85" s="418">
        <f t="shared" si="38"/>
        <v>0</v>
      </c>
      <c r="AE85" s="413">
        <f t="shared" si="39"/>
        <v>0</v>
      </c>
    </row>
    <row r="86" spans="1:31" x14ac:dyDescent="0.3">
      <c r="A86" s="418" t="s">
        <v>6</v>
      </c>
      <c r="B86" s="418" t="s">
        <v>1778</v>
      </c>
      <c r="C86" s="418" t="s">
        <v>1180</v>
      </c>
      <c r="D86" s="418" t="str">
        <f t="shared" si="22"/>
        <v>101-E370</v>
      </c>
      <c r="E86" s="418">
        <v>0</v>
      </c>
      <c r="F86" s="418">
        <v>61009.02</v>
      </c>
      <c r="G86" s="418">
        <v>66655.7</v>
      </c>
      <c r="H86" s="418">
        <v>74794.490000000005</v>
      </c>
      <c r="I86" s="418">
        <v>0</v>
      </c>
      <c r="J86" s="413">
        <v>0</v>
      </c>
      <c r="L86" s="418" t="str">
        <f t="shared" si="23"/>
        <v>Customer Construction Electric</v>
      </c>
      <c r="M86" s="418" t="str">
        <f t="shared" si="24"/>
        <v>E3701 DST Meters AMI</v>
      </c>
      <c r="N86" s="418" t="str">
        <f t="shared" si="20"/>
        <v>Programmatic Customer Drive</v>
      </c>
      <c r="O86" s="418" t="str">
        <f t="shared" si="25"/>
        <v>101-E370</v>
      </c>
      <c r="P86" s="418">
        <f t="shared" si="26"/>
        <v>0</v>
      </c>
      <c r="Q86" s="418">
        <f t="shared" si="27"/>
        <v>61009.02</v>
      </c>
      <c r="R86" s="418">
        <f t="shared" si="28"/>
        <v>66655.7</v>
      </c>
      <c r="S86" s="418">
        <f t="shared" si="29"/>
        <v>74794.490000000005</v>
      </c>
      <c r="T86" s="418">
        <f t="shared" si="30"/>
        <v>0</v>
      </c>
      <c r="V86" s="418" t="str">
        <f t="shared" si="31"/>
        <v>Customer Construction Electric</v>
      </c>
      <c r="W86" s="418" t="str">
        <f t="shared" si="32"/>
        <v>E3701 DST Meters AMI</v>
      </c>
      <c r="X86" s="418" t="str">
        <f t="shared" si="21"/>
        <v>Programmatic Customer Drive</v>
      </c>
      <c r="Y86" s="418" t="str">
        <f t="shared" si="33"/>
        <v>101-E370</v>
      </c>
      <c r="Z86" s="418">
        <f t="shared" si="34"/>
        <v>0</v>
      </c>
      <c r="AA86" s="418">
        <f t="shared" si="35"/>
        <v>0</v>
      </c>
      <c r="AB86" s="418">
        <f t="shared" si="36"/>
        <v>0</v>
      </c>
      <c r="AC86" s="418">
        <f t="shared" si="37"/>
        <v>0</v>
      </c>
      <c r="AD86" s="418">
        <f t="shared" si="38"/>
        <v>0</v>
      </c>
      <c r="AE86" s="413">
        <f t="shared" si="39"/>
        <v>0</v>
      </c>
    </row>
    <row r="87" spans="1:31" x14ac:dyDescent="0.3">
      <c r="A87" s="418" t="s">
        <v>6</v>
      </c>
      <c r="B87" s="418" t="s">
        <v>1776</v>
      </c>
      <c r="C87" s="418" t="s">
        <v>1180</v>
      </c>
      <c r="D87" s="418" t="str">
        <f t="shared" si="22"/>
        <v>101-E373</v>
      </c>
      <c r="E87" s="418">
        <v>0</v>
      </c>
      <c r="F87" s="418">
        <v>288.31</v>
      </c>
      <c r="G87" s="418">
        <v>582.66999999999996</v>
      </c>
      <c r="H87" s="418">
        <v>1436.07</v>
      </c>
      <c r="I87" s="418">
        <v>0</v>
      </c>
      <c r="J87" s="413">
        <v>0</v>
      </c>
      <c r="L87" s="418" t="str">
        <f t="shared" si="23"/>
        <v>Customer Construction Electric</v>
      </c>
      <c r="M87" s="418" t="str">
        <f t="shared" si="24"/>
        <v>E373 DST Street Lighting &amp; Signal</v>
      </c>
      <c r="N87" s="418" t="str">
        <f t="shared" si="20"/>
        <v>Programmatic Customer Drive</v>
      </c>
      <c r="O87" s="418" t="str">
        <f t="shared" si="25"/>
        <v>101-E373</v>
      </c>
      <c r="P87" s="418">
        <f t="shared" si="26"/>
        <v>0</v>
      </c>
      <c r="Q87" s="418">
        <f t="shared" si="27"/>
        <v>288.31</v>
      </c>
      <c r="R87" s="418">
        <f t="shared" si="28"/>
        <v>582.66999999999996</v>
      </c>
      <c r="S87" s="418">
        <f t="shared" si="29"/>
        <v>1436.07</v>
      </c>
      <c r="T87" s="418">
        <f t="shared" si="30"/>
        <v>0</v>
      </c>
      <c r="V87" s="418" t="str">
        <f t="shared" si="31"/>
        <v>Customer Construction Electric</v>
      </c>
      <c r="W87" s="418" t="str">
        <f t="shared" si="32"/>
        <v>E373 DST Street Lighting &amp; Signal</v>
      </c>
      <c r="X87" s="418" t="str">
        <f t="shared" si="21"/>
        <v>Programmatic Customer Drive</v>
      </c>
      <c r="Y87" s="418" t="str">
        <f t="shared" si="33"/>
        <v>101-E373</v>
      </c>
      <c r="Z87" s="418">
        <f t="shared" si="34"/>
        <v>0</v>
      </c>
      <c r="AA87" s="418">
        <f t="shared" si="35"/>
        <v>0</v>
      </c>
      <c r="AB87" s="418">
        <f t="shared" si="36"/>
        <v>0</v>
      </c>
      <c r="AC87" s="418">
        <f t="shared" si="37"/>
        <v>0</v>
      </c>
      <c r="AD87" s="418">
        <f t="shared" si="38"/>
        <v>0</v>
      </c>
      <c r="AE87" s="413">
        <f t="shared" si="39"/>
        <v>0</v>
      </c>
    </row>
    <row r="88" spans="1:31" x14ac:dyDescent="0.3">
      <c r="A88" s="418" t="s">
        <v>6</v>
      </c>
      <c r="B88" s="418" t="s">
        <v>1765</v>
      </c>
      <c r="C88" s="418" t="s">
        <v>1180</v>
      </c>
      <c r="D88" s="418" t="str">
        <f t="shared" si="22"/>
        <v>101-E397</v>
      </c>
      <c r="E88" s="418">
        <v>0</v>
      </c>
      <c r="F88" s="418">
        <v>298462.17</v>
      </c>
      <c r="G88" s="418">
        <v>676946.38</v>
      </c>
      <c r="H88" s="418">
        <v>1818647.74</v>
      </c>
      <c r="I88" s="418">
        <v>0</v>
      </c>
      <c r="J88" s="413">
        <v>0</v>
      </c>
      <c r="L88" s="418" t="str">
        <f t="shared" si="23"/>
        <v>Customer Construction Electric</v>
      </c>
      <c r="M88" s="418" t="str">
        <f t="shared" si="24"/>
        <v>E3970 GEN Comm Equip, new</v>
      </c>
      <c r="N88" s="418" t="str">
        <f t="shared" si="20"/>
        <v>Programmatic Customer Drive</v>
      </c>
      <c r="O88" s="418" t="str">
        <f t="shared" si="25"/>
        <v>101-E397</v>
      </c>
      <c r="P88" s="418">
        <f t="shared" si="26"/>
        <v>0</v>
      </c>
      <c r="Q88" s="418">
        <f t="shared" si="27"/>
        <v>298462.17</v>
      </c>
      <c r="R88" s="418">
        <f t="shared" si="28"/>
        <v>676946.38</v>
      </c>
      <c r="S88" s="418">
        <f t="shared" si="29"/>
        <v>1818647.74</v>
      </c>
      <c r="T88" s="418">
        <f t="shared" si="30"/>
        <v>0</v>
      </c>
      <c r="V88" s="418" t="str">
        <f t="shared" si="31"/>
        <v>Customer Construction Electric</v>
      </c>
      <c r="W88" s="418" t="str">
        <f t="shared" si="32"/>
        <v>E3970 GEN Comm Equip, new</v>
      </c>
      <c r="X88" s="418" t="str">
        <f t="shared" si="21"/>
        <v>Programmatic Customer Drive</v>
      </c>
      <c r="Y88" s="418" t="str">
        <f t="shared" si="33"/>
        <v>101-E397</v>
      </c>
      <c r="Z88" s="418">
        <f t="shared" si="34"/>
        <v>0</v>
      </c>
      <c r="AA88" s="418">
        <f t="shared" si="35"/>
        <v>0</v>
      </c>
      <c r="AB88" s="418">
        <f t="shared" si="36"/>
        <v>0</v>
      </c>
      <c r="AC88" s="418">
        <f t="shared" si="37"/>
        <v>0</v>
      </c>
      <c r="AD88" s="418">
        <f t="shared" si="38"/>
        <v>0</v>
      </c>
      <c r="AE88" s="413">
        <f t="shared" si="39"/>
        <v>0</v>
      </c>
    </row>
    <row r="89" spans="1:31" x14ac:dyDescent="0.3">
      <c r="A89" s="418" t="s">
        <v>7</v>
      </c>
      <c r="B89" s="418" t="s">
        <v>1919</v>
      </c>
      <c r="C89" s="418" t="s">
        <v>1180</v>
      </c>
      <c r="D89" s="418" t="str">
        <f t="shared" si="22"/>
        <v>101-G374</v>
      </c>
      <c r="E89" s="418">
        <v>0</v>
      </c>
      <c r="F89" s="418">
        <v>2.4</v>
      </c>
      <c r="G89" s="418">
        <v>3.59</v>
      </c>
      <c r="H89" s="418">
        <v>5.99</v>
      </c>
      <c r="I89" s="418">
        <v>0</v>
      </c>
      <c r="J89" s="413">
        <v>0</v>
      </c>
      <c r="L89" s="418" t="str">
        <f t="shared" si="23"/>
        <v>Customer Construction Gas</v>
      </c>
      <c r="M89" s="418" t="str">
        <f t="shared" si="24"/>
        <v>G3742 DST Easements</v>
      </c>
      <c r="N89" s="418" t="str">
        <f t="shared" si="20"/>
        <v>Programmatic Customer Drive</v>
      </c>
      <c r="O89" s="418" t="str">
        <f t="shared" si="25"/>
        <v>101-G374</v>
      </c>
      <c r="P89" s="418">
        <f t="shared" si="26"/>
        <v>0</v>
      </c>
      <c r="Q89" s="418">
        <f t="shared" si="27"/>
        <v>0</v>
      </c>
      <c r="R89" s="418">
        <f t="shared" si="28"/>
        <v>0</v>
      </c>
      <c r="S89" s="418">
        <f t="shared" si="29"/>
        <v>0</v>
      </c>
      <c r="T89" s="418">
        <f t="shared" si="30"/>
        <v>0</v>
      </c>
      <c r="V89" s="418" t="str">
        <f t="shared" si="31"/>
        <v>Customer Construction Gas</v>
      </c>
      <c r="W89" s="418" t="str">
        <f t="shared" si="32"/>
        <v>G3742 DST Easements</v>
      </c>
      <c r="X89" s="418" t="str">
        <f t="shared" si="21"/>
        <v>Programmatic Customer Drive</v>
      </c>
      <c r="Y89" s="418" t="str">
        <f t="shared" si="33"/>
        <v>101-G374</v>
      </c>
      <c r="Z89" s="418">
        <f t="shared" si="34"/>
        <v>0</v>
      </c>
      <c r="AA89" s="418">
        <f t="shared" si="35"/>
        <v>2.4</v>
      </c>
      <c r="AB89" s="418">
        <f t="shared" si="36"/>
        <v>3.59</v>
      </c>
      <c r="AC89" s="418">
        <f t="shared" si="37"/>
        <v>5.99</v>
      </c>
      <c r="AD89" s="418">
        <f t="shared" si="38"/>
        <v>0</v>
      </c>
      <c r="AE89" s="413">
        <f t="shared" si="39"/>
        <v>0</v>
      </c>
    </row>
    <row r="90" spans="1:31" x14ac:dyDescent="0.3">
      <c r="A90" s="418" t="s">
        <v>7</v>
      </c>
      <c r="B90" s="418" t="s">
        <v>1744</v>
      </c>
      <c r="C90" s="418" t="s">
        <v>1180</v>
      </c>
      <c r="D90" s="418" t="str">
        <f t="shared" si="22"/>
        <v>101-G376</v>
      </c>
      <c r="E90" s="418">
        <v>0</v>
      </c>
      <c r="F90" s="418">
        <v>97931244.560000002</v>
      </c>
      <c r="G90" s="418">
        <v>104952152.01000001</v>
      </c>
      <c r="H90" s="418">
        <v>182540526.40000001</v>
      </c>
      <c r="I90" s="418">
        <v>0</v>
      </c>
      <c r="J90" s="413">
        <v>0</v>
      </c>
      <c r="L90" s="418" t="str">
        <f t="shared" si="23"/>
        <v>Customer Construction Gas</v>
      </c>
      <c r="M90" s="418" t="str">
        <f t="shared" si="24"/>
        <v>G3762 DST Mains, Plastic</v>
      </c>
      <c r="N90" s="418" t="str">
        <f t="shared" si="20"/>
        <v>Programmatic Customer Drive</v>
      </c>
      <c r="O90" s="418" t="str">
        <f t="shared" si="25"/>
        <v>101-G376</v>
      </c>
      <c r="P90" s="418">
        <f t="shared" si="26"/>
        <v>0</v>
      </c>
      <c r="Q90" s="418">
        <f t="shared" si="27"/>
        <v>0</v>
      </c>
      <c r="R90" s="418">
        <f t="shared" si="28"/>
        <v>0</v>
      </c>
      <c r="S90" s="418">
        <f t="shared" si="29"/>
        <v>0</v>
      </c>
      <c r="T90" s="418">
        <f t="shared" si="30"/>
        <v>0</v>
      </c>
      <c r="V90" s="418" t="str">
        <f t="shared" si="31"/>
        <v>Customer Construction Gas</v>
      </c>
      <c r="W90" s="418" t="str">
        <f t="shared" si="32"/>
        <v>G3762 DST Mains, Plastic</v>
      </c>
      <c r="X90" s="418" t="str">
        <f t="shared" si="21"/>
        <v>Programmatic Customer Drive</v>
      </c>
      <c r="Y90" s="418" t="str">
        <f t="shared" si="33"/>
        <v>101-G376</v>
      </c>
      <c r="Z90" s="418">
        <f t="shared" si="34"/>
        <v>0</v>
      </c>
      <c r="AA90" s="418">
        <f t="shared" si="35"/>
        <v>97931244.560000002</v>
      </c>
      <c r="AB90" s="418">
        <f t="shared" si="36"/>
        <v>104952152.01000001</v>
      </c>
      <c r="AC90" s="418">
        <f t="shared" si="37"/>
        <v>182540526.40000001</v>
      </c>
      <c r="AD90" s="418">
        <f t="shared" si="38"/>
        <v>0</v>
      </c>
      <c r="AE90" s="413">
        <f t="shared" si="39"/>
        <v>0</v>
      </c>
    </row>
    <row r="91" spans="1:31" x14ac:dyDescent="0.3">
      <c r="A91" s="418" t="s">
        <v>7</v>
      </c>
      <c r="B91" s="418" t="s">
        <v>1743</v>
      </c>
      <c r="C91" s="418" t="s">
        <v>1180</v>
      </c>
      <c r="D91" s="418" t="str">
        <f t="shared" si="22"/>
        <v>101-G376</v>
      </c>
      <c r="E91" s="418">
        <v>0</v>
      </c>
      <c r="F91" s="418">
        <v>13082360.710000001</v>
      </c>
      <c r="G91" s="418">
        <v>14202180.970000001</v>
      </c>
      <c r="H91" s="418">
        <v>24536550.59</v>
      </c>
      <c r="I91" s="418">
        <v>0</v>
      </c>
      <c r="J91" s="413">
        <v>0</v>
      </c>
      <c r="L91" s="418" t="str">
        <f t="shared" si="23"/>
        <v>Customer Construction Gas</v>
      </c>
      <c r="M91" s="418" t="str">
        <f t="shared" si="24"/>
        <v>G3764 DST Mains, Wrapped Steel</v>
      </c>
      <c r="N91" s="418" t="str">
        <f t="shared" si="20"/>
        <v>Programmatic Customer Drive</v>
      </c>
      <c r="O91" s="418" t="str">
        <f t="shared" si="25"/>
        <v>101-G376</v>
      </c>
      <c r="P91" s="418">
        <f t="shared" si="26"/>
        <v>0</v>
      </c>
      <c r="Q91" s="418">
        <f t="shared" si="27"/>
        <v>0</v>
      </c>
      <c r="R91" s="418">
        <f t="shared" si="28"/>
        <v>0</v>
      </c>
      <c r="S91" s="418">
        <f t="shared" si="29"/>
        <v>0</v>
      </c>
      <c r="T91" s="418">
        <f t="shared" si="30"/>
        <v>0</v>
      </c>
      <c r="V91" s="418" t="str">
        <f t="shared" si="31"/>
        <v>Customer Construction Gas</v>
      </c>
      <c r="W91" s="418" t="str">
        <f t="shared" si="32"/>
        <v>G3764 DST Mains, Wrapped Steel</v>
      </c>
      <c r="X91" s="418" t="str">
        <f t="shared" si="21"/>
        <v>Programmatic Customer Drive</v>
      </c>
      <c r="Y91" s="418" t="str">
        <f t="shared" si="33"/>
        <v>101-G376</v>
      </c>
      <c r="Z91" s="418">
        <f t="shared" si="34"/>
        <v>0</v>
      </c>
      <c r="AA91" s="418">
        <f t="shared" si="35"/>
        <v>13082360.710000001</v>
      </c>
      <c r="AB91" s="418">
        <f t="shared" si="36"/>
        <v>14202180.970000001</v>
      </c>
      <c r="AC91" s="418">
        <f t="shared" si="37"/>
        <v>24536550.59</v>
      </c>
      <c r="AD91" s="418">
        <f t="shared" si="38"/>
        <v>0</v>
      </c>
      <c r="AE91" s="413">
        <f t="shared" si="39"/>
        <v>0</v>
      </c>
    </row>
    <row r="92" spans="1:31" x14ac:dyDescent="0.3">
      <c r="A92" s="418" t="s">
        <v>7</v>
      </c>
      <c r="B92" s="418" t="s">
        <v>1741</v>
      </c>
      <c r="C92" s="418" t="s">
        <v>1180</v>
      </c>
      <c r="D92" s="418" t="str">
        <f t="shared" si="22"/>
        <v>101-G378</v>
      </c>
      <c r="E92" s="418">
        <v>0</v>
      </c>
      <c r="F92" s="418">
        <v>174425.67</v>
      </c>
      <c r="G92" s="418">
        <v>179578.91</v>
      </c>
      <c r="H92" s="418">
        <v>228117.36</v>
      </c>
      <c r="I92" s="418">
        <v>0</v>
      </c>
      <c r="J92" s="413">
        <v>0</v>
      </c>
      <c r="L92" s="418" t="str">
        <f t="shared" si="23"/>
        <v>Customer Construction Gas</v>
      </c>
      <c r="M92" s="418" t="str">
        <f t="shared" si="24"/>
        <v>G3780 DST Measuring &amp; Reg Station</v>
      </c>
      <c r="N92" s="418" t="str">
        <f t="shared" si="20"/>
        <v>Programmatic Customer Drive</v>
      </c>
      <c r="O92" s="418" t="str">
        <f t="shared" si="25"/>
        <v>101-G378</v>
      </c>
      <c r="P92" s="418">
        <f t="shared" si="26"/>
        <v>0</v>
      </c>
      <c r="Q92" s="418">
        <f t="shared" si="27"/>
        <v>0</v>
      </c>
      <c r="R92" s="418">
        <f t="shared" si="28"/>
        <v>0</v>
      </c>
      <c r="S92" s="418">
        <f t="shared" si="29"/>
        <v>0</v>
      </c>
      <c r="T92" s="418">
        <f t="shared" si="30"/>
        <v>0</v>
      </c>
      <c r="V92" s="418" t="str">
        <f t="shared" si="31"/>
        <v>Customer Construction Gas</v>
      </c>
      <c r="W92" s="418" t="str">
        <f t="shared" si="32"/>
        <v>G3780 DST Measuring &amp; Reg Station</v>
      </c>
      <c r="X92" s="418" t="str">
        <f t="shared" si="21"/>
        <v>Programmatic Customer Drive</v>
      </c>
      <c r="Y92" s="418" t="str">
        <f t="shared" si="33"/>
        <v>101-G378</v>
      </c>
      <c r="Z92" s="418">
        <f t="shared" si="34"/>
        <v>0</v>
      </c>
      <c r="AA92" s="418">
        <f t="shared" si="35"/>
        <v>174425.67</v>
      </c>
      <c r="AB92" s="418">
        <f t="shared" si="36"/>
        <v>179578.91</v>
      </c>
      <c r="AC92" s="418">
        <f t="shared" si="37"/>
        <v>228117.36</v>
      </c>
      <c r="AD92" s="418">
        <f t="shared" si="38"/>
        <v>0</v>
      </c>
      <c r="AE92" s="413">
        <f t="shared" si="39"/>
        <v>0</v>
      </c>
    </row>
    <row r="93" spans="1:31" x14ac:dyDescent="0.3">
      <c r="A93" s="418" t="s">
        <v>7</v>
      </c>
      <c r="B93" s="418" t="s">
        <v>1740</v>
      </c>
      <c r="C93" s="418" t="s">
        <v>1180</v>
      </c>
      <c r="D93" s="418" t="str">
        <f t="shared" si="22"/>
        <v>101-G380</v>
      </c>
      <c r="E93" s="418">
        <v>0</v>
      </c>
      <c r="F93" s="418">
        <v>277.69</v>
      </c>
      <c r="G93" s="418">
        <v>325.82</v>
      </c>
      <c r="H93" s="418">
        <v>562.17999999999995</v>
      </c>
      <c r="I93" s="418">
        <v>0</v>
      </c>
      <c r="J93" s="413">
        <v>0</v>
      </c>
      <c r="L93" s="418" t="str">
        <f t="shared" si="23"/>
        <v>Customer Construction Gas</v>
      </c>
      <c r="M93" s="418" t="str">
        <f t="shared" si="24"/>
        <v>G3801 DST Services, Cathodic Protec</v>
      </c>
      <c r="N93" s="418" t="str">
        <f t="shared" si="20"/>
        <v>Programmatic Customer Drive</v>
      </c>
      <c r="O93" s="418" t="str">
        <f t="shared" si="25"/>
        <v>101-G380</v>
      </c>
      <c r="P93" s="418">
        <f t="shared" si="26"/>
        <v>0</v>
      </c>
      <c r="Q93" s="418">
        <f t="shared" si="27"/>
        <v>0</v>
      </c>
      <c r="R93" s="418">
        <f t="shared" si="28"/>
        <v>0</v>
      </c>
      <c r="S93" s="418">
        <f t="shared" si="29"/>
        <v>0</v>
      </c>
      <c r="T93" s="418">
        <f t="shared" si="30"/>
        <v>0</v>
      </c>
      <c r="V93" s="418" t="str">
        <f t="shared" si="31"/>
        <v>Customer Construction Gas</v>
      </c>
      <c r="W93" s="418" t="str">
        <f t="shared" si="32"/>
        <v>G3801 DST Services, Cathodic Protec</v>
      </c>
      <c r="X93" s="418" t="str">
        <f t="shared" si="21"/>
        <v>Programmatic Customer Drive</v>
      </c>
      <c r="Y93" s="418" t="str">
        <f t="shared" si="33"/>
        <v>101-G380</v>
      </c>
      <c r="Z93" s="418">
        <f t="shared" si="34"/>
        <v>0</v>
      </c>
      <c r="AA93" s="418">
        <f t="shared" si="35"/>
        <v>277.69</v>
      </c>
      <c r="AB93" s="418">
        <f t="shared" si="36"/>
        <v>325.82</v>
      </c>
      <c r="AC93" s="418">
        <f t="shared" si="37"/>
        <v>562.17999999999995</v>
      </c>
      <c r="AD93" s="418">
        <f t="shared" si="38"/>
        <v>0</v>
      </c>
      <c r="AE93" s="413">
        <f t="shared" si="39"/>
        <v>0</v>
      </c>
    </row>
    <row r="94" spans="1:31" x14ac:dyDescent="0.3">
      <c r="A94" s="418" t="s">
        <v>7</v>
      </c>
      <c r="B94" s="418" t="s">
        <v>1739</v>
      </c>
      <c r="C94" s="418" t="s">
        <v>1180</v>
      </c>
      <c r="D94" s="418" t="str">
        <f t="shared" si="22"/>
        <v>101-G380</v>
      </c>
      <c r="E94" s="418">
        <v>0</v>
      </c>
      <c r="F94" s="418">
        <v>79466.899999999994</v>
      </c>
      <c r="G94" s="418">
        <v>96268.95</v>
      </c>
      <c r="H94" s="418">
        <v>130109.21</v>
      </c>
      <c r="I94" s="418">
        <v>0</v>
      </c>
      <c r="J94" s="413">
        <v>0</v>
      </c>
      <c r="L94" s="418" t="str">
        <f t="shared" si="23"/>
        <v>Customer Construction Gas</v>
      </c>
      <c r="M94" s="418" t="str">
        <f t="shared" si="24"/>
        <v>G3802 DST Services, Plastic</v>
      </c>
      <c r="N94" s="418" t="str">
        <f t="shared" si="20"/>
        <v>Programmatic Customer Drive</v>
      </c>
      <c r="O94" s="418" t="str">
        <f t="shared" si="25"/>
        <v>101-G380</v>
      </c>
      <c r="P94" s="418">
        <f t="shared" si="26"/>
        <v>0</v>
      </c>
      <c r="Q94" s="418">
        <f t="shared" si="27"/>
        <v>0</v>
      </c>
      <c r="R94" s="418">
        <f t="shared" si="28"/>
        <v>0</v>
      </c>
      <c r="S94" s="418">
        <f t="shared" si="29"/>
        <v>0</v>
      </c>
      <c r="T94" s="418">
        <f t="shared" si="30"/>
        <v>0</v>
      </c>
      <c r="V94" s="418" t="str">
        <f t="shared" si="31"/>
        <v>Customer Construction Gas</v>
      </c>
      <c r="W94" s="418" t="str">
        <f t="shared" si="32"/>
        <v>G3802 DST Services, Plastic</v>
      </c>
      <c r="X94" s="418" t="str">
        <f t="shared" si="21"/>
        <v>Programmatic Customer Drive</v>
      </c>
      <c r="Y94" s="418" t="str">
        <f t="shared" si="33"/>
        <v>101-G380</v>
      </c>
      <c r="Z94" s="418">
        <f t="shared" si="34"/>
        <v>0</v>
      </c>
      <c r="AA94" s="418">
        <f t="shared" si="35"/>
        <v>79466.899999999994</v>
      </c>
      <c r="AB94" s="418">
        <f t="shared" si="36"/>
        <v>96268.95</v>
      </c>
      <c r="AC94" s="418">
        <f t="shared" si="37"/>
        <v>130109.21</v>
      </c>
      <c r="AD94" s="418">
        <f t="shared" si="38"/>
        <v>0</v>
      </c>
      <c r="AE94" s="413">
        <f t="shared" si="39"/>
        <v>0</v>
      </c>
    </row>
    <row r="95" spans="1:31" x14ac:dyDescent="0.3">
      <c r="A95" s="418" t="s">
        <v>7</v>
      </c>
      <c r="B95" s="418" t="s">
        <v>1738</v>
      </c>
      <c r="C95" s="418" t="s">
        <v>1180</v>
      </c>
      <c r="D95" s="418" t="str">
        <f t="shared" si="22"/>
        <v>101-G380</v>
      </c>
      <c r="E95" s="418">
        <v>0</v>
      </c>
      <c r="F95" s="418">
        <v>18807.599999999999</v>
      </c>
      <c r="G95" s="418">
        <v>20273.23</v>
      </c>
      <c r="H95" s="418">
        <v>35463.64</v>
      </c>
      <c r="I95" s="418">
        <v>0</v>
      </c>
      <c r="J95" s="413">
        <v>0</v>
      </c>
      <c r="L95" s="418" t="str">
        <f t="shared" si="23"/>
        <v>Customer Construction Gas</v>
      </c>
      <c r="M95" s="418" t="str">
        <f t="shared" si="24"/>
        <v>G3803 DST Services, Steel Wrapped</v>
      </c>
      <c r="N95" s="418" t="str">
        <f t="shared" si="20"/>
        <v>Programmatic Customer Drive</v>
      </c>
      <c r="O95" s="418" t="str">
        <f t="shared" si="25"/>
        <v>101-G380</v>
      </c>
      <c r="P95" s="418">
        <f t="shared" si="26"/>
        <v>0</v>
      </c>
      <c r="Q95" s="418">
        <f t="shared" si="27"/>
        <v>0</v>
      </c>
      <c r="R95" s="418">
        <f t="shared" si="28"/>
        <v>0</v>
      </c>
      <c r="S95" s="418">
        <f t="shared" si="29"/>
        <v>0</v>
      </c>
      <c r="T95" s="418">
        <f t="shared" si="30"/>
        <v>0</v>
      </c>
      <c r="V95" s="418" t="str">
        <f t="shared" si="31"/>
        <v>Customer Construction Gas</v>
      </c>
      <c r="W95" s="418" t="str">
        <f t="shared" si="32"/>
        <v>G3803 DST Services, Steel Wrapped</v>
      </c>
      <c r="X95" s="418" t="str">
        <f t="shared" si="21"/>
        <v>Programmatic Customer Drive</v>
      </c>
      <c r="Y95" s="418" t="str">
        <f t="shared" si="33"/>
        <v>101-G380</v>
      </c>
      <c r="Z95" s="418">
        <f t="shared" si="34"/>
        <v>0</v>
      </c>
      <c r="AA95" s="418">
        <f t="shared" si="35"/>
        <v>18807.599999999999</v>
      </c>
      <c r="AB95" s="418">
        <f t="shared" si="36"/>
        <v>20273.23</v>
      </c>
      <c r="AC95" s="418">
        <f t="shared" si="37"/>
        <v>35463.64</v>
      </c>
      <c r="AD95" s="418">
        <f t="shared" si="38"/>
        <v>0</v>
      </c>
      <c r="AE95" s="413">
        <f t="shared" si="39"/>
        <v>0</v>
      </c>
    </row>
    <row r="96" spans="1:31" x14ac:dyDescent="0.3">
      <c r="A96" s="418" t="s">
        <v>7</v>
      </c>
      <c r="B96" s="418" t="s">
        <v>1737</v>
      </c>
      <c r="C96" s="418" t="s">
        <v>1180</v>
      </c>
      <c r="D96" s="418" t="str">
        <f t="shared" si="22"/>
        <v>101-G381</v>
      </c>
      <c r="E96" s="418">
        <v>0</v>
      </c>
      <c r="F96" s="418">
        <v>111</v>
      </c>
      <c r="G96" s="418">
        <v>166.51</v>
      </c>
      <c r="H96" s="418">
        <v>277.51</v>
      </c>
      <c r="I96" s="418">
        <v>0</v>
      </c>
      <c r="J96" s="413">
        <v>0</v>
      </c>
      <c r="L96" s="418" t="str">
        <f t="shared" si="23"/>
        <v>Customer Construction Gas</v>
      </c>
      <c r="M96" s="418" t="str">
        <f t="shared" si="24"/>
        <v>G3810 DST Meters (AMR)</v>
      </c>
      <c r="N96" s="418" t="str">
        <f t="shared" si="20"/>
        <v>Programmatic Customer Drive</v>
      </c>
      <c r="O96" s="418" t="str">
        <f t="shared" si="25"/>
        <v>101-G381</v>
      </c>
      <c r="P96" s="418">
        <f t="shared" si="26"/>
        <v>0</v>
      </c>
      <c r="Q96" s="418">
        <f t="shared" si="27"/>
        <v>0</v>
      </c>
      <c r="R96" s="418">
        <f t="shared" si="28"/>
        <v>0</v>
      </c>
      <c r="S96" s="418">
        <f t="shared" si="29"/>
        <v>0</v>
      </c>
      <c r="T96" s="418">
        <f t="shared" si="30"/>
        <v>0</v>
      </c>
      <c r="V96" s="418" t="str">
        <f t="shared" si="31"/>
        <v>Customer Construction Gas</v>
      </c>
      <c r="W96" s="418" t="str">
        <f t="shared" si="32"/>
        <v>G3810 DST Meters (AMR)</v>
      </c>
      <c r="X96" s="418" t="str">
        <f t="shared" si="21"/>
        <v>Programmatic Customer Drive</v>
      </c>
      <c r="Y96" s="418" t="str">
        <f t="shared" si="33"/>
        <v>101-G381</v>
      </c>
      <c r="Z96" s="418">
        <f t="shared" si="34"/>
        <v>0</v>
      </c>
      <c r="AA96" s="418">
        <f t="shared" si="35"/>
        <v>111</v>
      </c>
      <c r="AB96" s="418">
        <f t="shared" si="36"/>
        <v>166.51</v>
      </c>
      <c r="AC96" s="418">
        <f t="shared" si="37"/>
        <v>277.51</v>
      </c>
      <c r="AD96" s="418">
        <f t="shared" si="38"/>
        <v>0</v>
      </c>
      <c r="AE96" s="413">
        <f t="shared" si="39"/>
        <v>0</v>
      </c>
    </row>
    <row r="97" spans="1:31" x14ac:dyDescent="0.3">
      <c r="A97" s="418" t="s">
        <v>7</v>
      </c>
      <c r="B97" s="418" t="s">
        <v>1736</v>
      </c>
      <c r="C97" s="418" t="s">
        <v>1180</v>
      </c>
      <c r="D97" s="418" t="str">
        <f t="shared" si="22"/>
        <v>101-G381</v>
      </c>
      <c r="E97" s="418">
        <v>0</v>
      </c>
      <c r="F97" s="418">
        <v>223.56</v>
      </c>
      <c r="G97" s="418">
        <v>335.34</v>
      </c>
      <c r="H97" s="418">
        <v>558.9</v>
      </c>
      <c r="I97" s="418">
        <v>0</v>
      </c>
      <c r="J97" s="413">
        <v>0</v>
      </c>
      <c r="L97" s="418" t="str">
        <f t="shared" si="23"/>
        <v>Customer Construction Gas</v>
      </c>
      <c r="M97" s="418" t="str">
        <f t="shared" si="24"/>
        <v>G3812 DST Modules, AMI</v>
      </c>
      <c r="N97" s="418" t="str">
        <f t="shared" si="20"/>
        <v>Programmatic Customer Drive</v>
      </c>
      <c r="O97" s="418" t="str">
        <f t="shared" si="25"/>
        <v>101-G381</v>
      </c>
      <c r="P97" s="418">
        <f t="shared" si="26"/>
        <v>0</v>
      </c>
      <c r="Q97" s="418">
        <f t="shared" si="27"/>
        <v>0</v>
      </c>
      <c r="R97" s="418">
        <f t="shared" si="28"/>
        <v>0</v>
      </c>
      <c r="S97" s="418">
        <f t="shared" si="29"/>
        <v>0</v>
      </c>
      <c r="T97" s="418">
        <f t="shared" si="30"/>
        <v>0</v>
      </c>
      <c r="V97" s="418" t="str">
        <f t="shared" si="31"/>
        <v>Customer Construction Gas</v>
      </c>
      <c r="W97" s="418" t="str">
        <f t="shared" si="32"/>
        <v>G3812 DST Modules, AMI</v>
      </c>
      <c r="X97" s="418" t="str">
        <f t="shared" si="21"/>
        <v>Programmatic Customer Drive</v>
      </c>
      <c r="Y97" s="418" t="str">
        <f t="shared" si="33"/>
        <v>101-G381</v>
      </c>
      <c r="Z97" s="418">
        <f t="shared" si="34"/>
        <v>0</v>
      </c>
      <c r="AA97" s="418">
        <f t="shared" si="35"/>
        <v>223.56</v>
      </c>
      <c r="AB97" s="418">
        <f t="shared" si="36"/>
        <v>335.34</v>
      </c>
      <c r="AC97" s="418">
        <f t="shared" si="37"/>
        <v>558.9</v>
      </c>
      <c r="AD97" s="418">
        <f t="shared" si="38"/>
        <v>0</v>
      </c>
      <c r="AE97" s="413">
        <f t="shared" si="39"/>
        <v>0</v>
      </c>
    </row>
    <row r="98" spans="1:31" x14ac:dyDescent="0.3">
      <c r="A98" s="418" t="s">
        <v>7</v>
      </c>
      <c r="B98" s="418" t="s">
        <v>1735</v>
      </c>
      <c r="C98" s="418" t="s">
        <v>1180</v>
      </c>
      <c r="D98" s="418" t="str">
        <f t="shared" si="22"/>
        <v>101-G382</v>
      </c>
      <c r="E98" s="418">
        <v>0</v>
      </c>
      <c r="F98" s="418">
        <v>24004.36</v>
      </c>
      <c r="G98" s="418">
        <v>25887.03</v>
      </c>
      <c r="H98" s="418">
        <v>45273.57</v>
      </c>
      <c r="I98" s="418">
        <v>0</v>
      </c>
      <c r="J98" s="413">
        <v>0</v>
      </c>
      <c r="L98" s="418" t="str">
        <f t="shared" si="23"/>
        <v>Customer Construction Gas</v>
      </c>
      <c r="M98" s="418" t="str">
        <f t="shared" si="24"/>
        <v>G3820 DST Meter Installations (AMR)</v>
      </c>
      <c r="N98" s="418" t="str">
        <f t="shared" si="20"/>
        <v>Programmatic Customer Drive</v>
      </c>
      <c r="O98" s="418" t="str">
        <f t="shared" si="25"/>
        <v>101-G382</v>
      </c>
      <c r="P98" s="418">
        <f t="shared" si="26"/>
        <v>0</v>
      </c>
      <c r="Q98" s="418">
        <f t="shared" si="27"/>
        <v>0</v>
      </c>
      <c r="R98" s="418">
        <f t="shared" si="28"/>
        <v>0</v>
      </c>
      <c r="S98" s="418">
        <f t="shared" si="29"/>
        <v>0</v>
      </c>
      <c r="T98" s="418">
        <f t="shared" si="30"/>
        <v>0</v>
      </c>
      <c r="V98" s="418" t="str">
        <f t="shared" si="31"/>
        <v>Customer Construction Gas</v>
      </c>
      <c r="W98" s="418" t="str">
        <f t="shared" si="32"/>
        <v>G3820 DST Meter Installations (AMR)</v>
      </c>
      <c r="X98" s="418" t="str">
        <f t="shared" si="21"/>
        <v>Programmatic Customer Drive</v>
      </c>
      <c r="Y98" s="418" t="str">
        <f t="shared" si="33"/>
        <v>101-G382</v>
      </c>
      <c r="Z98" s="418">
        <f t="shared" si="34"/>
        <v>0</v>
      </c>
      <c r="AA98" s="418">
        <f t="shared" si="35"/>
        <v>24004.36</v>
      </c>
      <c r="AB98" s="418">
        <f t="shared" si="36"/>
        <v>25887.03</v>
      </c>
      <c r="AC98" s="418">
        <f t="shared" si="37"/>
        <v>45273.57</v>
      </c>
      <c r="AD98" s="418">
        <f t="shared" si="38"/>
        <v>0</v>
      </c>
      <c r="AE98" s="413">
        <f t="shared" si="39"/>
        <v>0</v>
      </c>
    </row>
    <row r="99" spans="1:31" x14ac:dyDescent="0.3">
      <c r="A99" s="418" t="s">
        <v>7</v>
      </c>
      <c r="B99" s="418" t="s">
        <v>1734</v>
      </c>
      <c r="C99" s="418" t="s">
        <v>1180</v>
      </c>
      <c r="D99" s="418" t="str">
        <f t="shared" si="22"/>
        <v>101-G382</v>
      </c>
      <c r="E99" s="418">
        <v>0</v>
      </c>
      <c r="F99" s="418">
        <v>303</v>
      </c>
      <c r="G99" s="418">
        <v>454.5</v>
      </c>
      <c r="H99" s="418">
        <v>757.5</v>
      </c>
      <c r="I99" s="418">
        <v>0</v>
      </c>
      <c r="J99" s="413">
        <v>0</v>
      </c>
      <c r="L99" s="418" t="str">
        <f t="shared" si="23"/>
        <v>Customer Construction Gas</v>
      </c>
      <c r="M99" s="418" t="str">
        <f t="shared" si="24"/>
        <v>G3822 DST Module Installations, AMI</v>
      </c>
      <c r="N99" s="418" t="str">
        <f t="shared" si="20"/>
        <v>Programmatic Customer Drive</v>
      </c>
      <c r="O99" s="418" t="str">
        <f t="shared" si="25"/>
        <v>101-G382</v>
      </c>
      <c r="P99" s="418">
        <f t="shared" si="26"/>
        <v>0</v>
      </c>
      <c r="Q99" s="418">
        <f t="shared" si="27"/>
        <v>0</v>
      </c>
      <c r="R99" s="418">
        <f t="shared" si="28"/>
        <v>0</v>
      </c>
      <c r="S99" s="418">
        <f t="shared" si="29"/>
        <v>0</v>
      </c>
      <c r="T99" s="418">
        <f t="shared" si="30"/>
        <v>0</v>
      </c>
      <c r="V99" s="418" t="str">
        <f t="shared" si="31"/>
        <v>Customer Construction Gas</v>
      </c>
      <c r="W99" s="418" t="str">
        <f t="shared" si="32"/>
        <v>G3822 DST Module Installations, AMI</v>
      </c>
      <c r="X99" s="418" t="str">
        <f t="shared" si="21"/>
        <v>Programmatic Customer Drive</v>
      </c>
      <c r="Y99" s="418" t="str">
        <f t="shared" si="33"/>
        <v>101-G382</v>
      </c>
      <c r="Z99" s="418">
        <f t="shared" si="34"/>
        <v>0</v>
      </c>
      <c r="AA99" s="418">
        <f t="shared" si="35"/>
        <v>303</v>
      </c>
      <c r="AB99" s="418">
        <f t="shared" si="36"/>
        <v>454.5</v>
      </c>
      <c r="AC99" s="418">
        <f t="shared" si="37"/>
        <v>757.5</v>
      </c>
      <c r="AD99" s="418">
        <f t="shared" si="38"/>
        <v>0</v>
      </c>
      <c r="AE99" s="413">
        <f t="shared" si="39"/>
        <v>0</v>
      </c>
    </row>
    <row r="100" spans="1:31" x14ac:dyDescent="0.3">
      <c r="A100" s="418" t="s">
        <v>7</v>
      </c>
      <c r="B100" s="418" t="s">
        <v>1733</v>
      </c>
      <c r="C100" s="418" t="s">
        <v>1180</v>
      </c>
      <c r="D100" s="418" t="str">
        <f t="shared" si="22"/>
        <v>101-G383</v>
      </c>
      <c r="E100" s="418">
        <v>0</v>
      </c>
      <c r="F100" s="418">
        <v>111.72</v>
      </c>
      <c r="G100" s="418">
        <v>167.57</v>
      </c>
      <c r="H100" s="418">
        <v>279.29000000000002</v>
      </c>
      <c r="I100" s="418">
        <v>0</v>
      </c>
      <c r="J100" s="413">
        <v>0</v>
      </c>
      <c r="L100" s="418" t="str">
        <f t="shared" si="23"/>
        <v>Customer Construction Gas</v>
      </c>
      <c r="M100" s="418" t="str">
        <f t="shared" si="24"/>
        <v>G383 DST House Regulators</v>
      </c>
      <c r="N100" s="418" t="str">
        <f t="shared" si="20"/>
        <v>Programmatic Customer Drive</v>
      </c>
      <c r="O100" s="418" t="str">
        <f t="shared" si="25"/>
        <v>101-G383</v>
      </c>
      <c r="P100" s="418">
        <f t="shared" si="26"/>
        <v>0</v>
      </c>
      <c r="Q100" s="418">
        <f t="shared" si="27"/>
        <v>0</v>
      </c>
      <c r="R100" s="418">
        <f t="shared" si="28"/>
        <v>0</v>
      </c>
      <c r="S100" s="418">
        <f t="shared" si="29"/>
        <v>0</v>
      </c>
      <c r="T100" s="418">
        <f t="shared" si="30"/>
        <v>0</v>
      </c>
      <c r="V100" s="418" t="str">
        <f t="shared" si="31"/>
        <v>Customer Construction Gas</v>
      </c>
      <c r="W100" s="418" t="str">
        <f t="shared" si="32"/>
        <v>G383 DST House Regulators</v>
      </c>
      <c r="X100" s="418" t="str">
        <f t="shared" si="21"/>
        <v>Programmatic Customer Drive</v>
      </c>
      <c r="Y100" s="418" t="str">
        <f t="shared" si="33"/>
        <v>101-G383</v>
      </c>
      <c r="Z100" s="418">
        <f t="shared" si="34"/>
        <v>0</v>
      </c>
      <c r="AA100" s="418">
        <f t="shared" si="35"/>
        <v>111.72</v>
      </c>
      <c r="AB100" s="418">
        <f t="shared" si="36"/>
        <v>167.57</v>
      </c>
      <c r="AC100" s="418">
        <f t="shared" si="37"/>
        <v>279.29000000000002</v>
      </c>
      <c r="AD100" s="418">
        <f t="shared" si="38"/>
        <v>0</v>
      </c>
      <c r="AE100" s="413">
        <f t="shared" si="39"/>
        <v>0</v>
      </c>
    </row>
    <row r="101" spans="1:31" x14ac:dyDescent="0.3">
      <c r="A101" s="418" t="s">
        <v>7</v>
      </c>
      <c r="B101" s="418" t="s">
        <v>1732</v>
      </c>
      <c r="C101" s="418" t="s">
        <v>1180</v>
      </c>
      <c r="D101" s="418" t="str">
        <f t="shared" si="22"/>
        <v>101-G384</v>
      </c>
      <c r="E101" s="418">
        <v>0</v>
      </c>
      <c r="F101" s="418">
        <v>111.72</v>
      </c>
      <c r="G101" s="418">
        <v>167.57</v>
      </c>
      <c r="H101" s="418">
        <v>279.29000000000002</v>
      </c>
      <c r="I101" s="418">
        <v>0</v>
      </c>
      <c r="J101" s="413">
        <v>0</v>
      </c>
      <c r="L101" s="418" t="str">
        <f t="shared" si="23"/>
        <v>Customer Construction Gas</v>
      </c>
      <c r="M101" s="418" t="str">
        <f t="shared" si="24"/>
        <v>G384 DST House Regulator Installs</v>
      </c>
      <c r="N101" s="418" t="str">
        <f t="shared" si="20"/>
        <v>Programmatic Customer Drive</v>
      </c>
      <c r="O101" s="418" t="str">
        <f t="shared" si="25"/>
        <v>101-G384</v>
      </c>
      <c r="P101" s="418">
        <f t="shared" si="26"/>
        <v>0</v>
      </c>
      <c r="Q101" s="418">
        <f t="shared" si="27"/>
        <v>0</v>
      </c>
      <c r="R101" s="418">
        <f t="shared" si="28"/>
        <v>0</v>
      </c>
      <c r="S101" s="418">
        <f t="shared" si="29"/>
        <v>0</v>
      </c>
      <c r="T101" s="418">
        <f t="shared" si="30"/>
        <v>0</v>
      </c>
      <c r="V101" s="418" t="str">
        <f t="shared" si="31"/>
        <v>Customer Construction Gas</v>
      </c>
      <c r="W101" s="418" t="str">
        <f t="shared" si="32"/>
        <v>G384 DST House Regulator Installs</v>
      </c>
      <c r="X101" s="418" t="str">
        <f t="shared" si="21"/>
        <v>Programmatic Customer Drive</v>
      </c>
      <c r="Y101" s="418" t="str">
        <f t="shared" si="33"/>
        <v>101-G384</v>
      </c>
      <c r="Z101" s="418">
        <f t="shared" si="34"/>
        <v>0</v>
      </c>
      <c r="AA101" s="418">
        <f t="shared" si="35"/>
        <v>111.72</v>
      </c>
      <c r="AB101" s="418">
        <f t="shared" si="36"/>
        <v>167.57</v>
      </c>
      <c r="AC101" s="418">
        <f t="shared" si="37"/>
        <v>279.29000000000002</v>
      </c>
      <c r="AD101" s="418">
        <f t="shared" si="38"/>
        <v>0</v>
      </c>
      <c r="AE101" s="413">
        <f t="shared" si="39"/>
        <v>0</v>
      </c>
    </row>
    <row r="102" spans="1:31" x14ac:dyDescent="0.3">
      <c r="A102" s="418" t="s">
        <v>7</v>
      </c>
      <c r="B102" s="418" t="s">
        <v>1731</v>
      </c>
      <c r="C102" s="418" t="s">
        <v>1180</v>
      </c>
      <c r="D102" s="418" t="str">
        <f t="shared" si="22"/>
        <v>101-G385</v>
      </c>
      <c r="E102" s="418">
        <v>0</v>
      </c>
      <c r="F102" s="418">
        <v>764773.21</v>
      </c>
      <c r="G102" s="418">
        <v>769903.59</v>
      </c>
      <c r="H102" s="418">
        <v>1343425.41</v>
      </c>
      <c r="I102" s="418">
        <v>0</v>
      </c>
      <c r="J102" s="413">
        <v>0</v>
      </c>
      <c r="L102" s="418" t="str">
        <f t="shared" si="23"/>
        <v>Customer Construction Gas</v>
      </c>
      <c r="M102" s="418" t="str">
        <f t="shared" si="24"/>
        <v>G385 DST Industrial M&amp;R Sta Eq</v>
      </c>
      <c r="N102" s="418" t="str">
        <f t="shared" si="20"/>
        <v>Programmatic Customer Drive</v>
      </c>
      <c r="O102" s="418" t="str">
        <f t="shared" si="25"/>
        <v>101-G385</v>
      </c>
      <c r="P102" s="418">
        <f t="shared" si="26"/>
        <v>0</v>
      </c>
      <c r="Q102" s="418">
        <f t="shared" si="27"/>
        <v>0</v>
      </c>
      <c r="R102" s="418">
        <f t="shared" si="28"/>
        <v>0</v>
      </c>
      <c r="S102" s="418">
        <f t="shared" si="29"/>
        <v>0</v>
      </c>
      <c r="T102" s="418">
        <f t="shared" si="30"/>
        <v>0</v>
      </c>
      <c r="V102" s="418" t="str">
        <f t="shared" si="31"/>
        <v>Customer Construction Gas</v>
      </c>
      <c r="W102" s="418" t="str">
        <f t="shared" si="32"/>
        <v>G385 DST Industrial M&amp;R Sta Eq</v>
      </c>
      <c r="X102" s="418" t="str">
        <f t="shared" si="21"/>
        <v>Programmatic Customer Drive</v>
      </c>
      <c r="Y102" s="418" t="str">
        <f t="shared" si="33"/>
        <v>101-G385</v>
      </c>
      <c r="Z102" s="418">
        <f t="shared" si="34"/>
        <v>0</v>
      </c>
      <c r="AA102" s="418">
        <f t="shared" si="35"/>
        <v>764773.21</v>
      </c>
      <c r="AB102" s="418">
        <f t="shared" si="36"/>
        <v>769903.59</v>
      </c>
      <c r="AC102" s="418">
        <f t="shared" si="37"/>
        <v>1343425.41</v>
      </c>
      <c r="AD102" s="418">
        <f t="shared" si="38"/>
        <v>0</v>
      </c>
      <c r="AE102" s="413">
        <f t="shared" si="39"/>
        <v>0</v>
      </c>
    </row>
    <row r="103" spans="1:31" x14ac:dyDescent="0.3">
      <c r="A103" s="418" t="s">
        <v>8</v>
      </c>
      <c r="B103" s="418" t="s">
        <v>1918</v>
      </c>
      <c r="C103" s="418" t="s">
        <v>1168</v>
      </c>
      <c r="D103" s="418" t="str">
        <f t="shared" si="22"/>
        <v>101-E363</v>
      </c>
      <c r="E103" s="418">
        <v>0</v>
      </c>
      <c r="F103" s="418">
        <v>0</v>
      </c>
      <c r="G103" s="418">
        <v>0</v>
      </c>
      <c r="H103" s="418">
        <v>42003.07</v>
      </c>
      <c r="I103" s="418">
        <v>0</v>
      </c>
      <c r="J103" s="413">
        <v>0</v>
      </c>
      <c r="L103" s="418" t="str">
        <f t="shared" si="23"/>
        <v>Customer Sited Energy Storage</v>
      </c>
      <c r="M103" s="418" t="str">
        <f t="shared" si="24"/>
        <v>E3631 DST Battery, Customer Site</v>
      </c>
      <c r="N103" s="418" t="str">
        <f t="shared" si="20"/>
        <v>Programmatic</v>
      </c>
      <c r="O103" s="418" t="str">
        <f t="shared" si="25"/>
        <v>101-E363</v>
      </c>
      <c r="P103" s="418">
        <f t="shared" si="26"/>
        <v>0</v>
      </c>
      <c r="Q103" s="418">
        <f t="shared" si="27"/>
        <v>0</v>
      </c>
      <c r="R103" s="418">
        <f t="shared" si="28"/>
        <v>0</v>
      </c>
      <c r="S103" s="418">
        <f t="shared" si="29"/>
        <v>42003.07</v>
      </c>
      <c r="T103" s="418">
        <f t="shared" si="30"/>
        <v>0</v>
      </c>
      <c r="V103" s="418" t="str">
        <f t="shared" si="31"/>
        <v>Customer Sited Energy Storage</v>
      </c>
      <c r="W103" s="418" t="str">
        <f t="shared" si="32"/>
        <v>E3631 DST Battery, Customer Site</v>
      </c>
      <c r="X103" s="418" t="str">
        <f t="shared" si="21"/>
        <v>Programmatic</v>
      </c>
      <c r="Y103" s="418" t="str">
        <f t="shared" si="33"/>
        <v>101-E363</v>
      </c>
      <c r="Z103" s="418">
        <f t="shared" si="34"/>
        <v>0</v>
      </c>
      <c r="AA103" s="418">
        <f t="shared" si="35"/>
        <v>0</v>
      </c>
      <c r="AB103" s="418">
        <f t="shared" si="36"/>
        <v>0</v>
      </c>
      <c r="AC103" s="418">
        <f t="shared" si="37"/>
        <v>0</v>
      </c>
      <c r="AD103" s="418">
        <f t="shared" si="38"/>
        <v>0</v>
      </c>
      <c r="AE103" s="413">
        <f t="shared" si="39"/>
        <v>0</v>
      </c>
    </row>
    <row r="104" spans="1:31" x14ac:dyDescent="0.3">
      <c r="A104" s="418" t="s">
        <v>8</v>
      </c>
      <c r="B104" s="418" t="s">
        <v>1768</v>
      </c>
      <c r="C104" s="418" t="s">
        <v>1168</v>
      </c>
      <c r="D104" s="418" t="str">
        <f t="shared" si="22"/>
        <v>101-E394</v>
      </c>
      <c r="E104" s="418">
        <v>0</v>
      </c>
      <c r="F104" s="418">
        <v>1128673.25</v>
      </c>
      <c r="G104" s="418">
        <v>1648673.27</v>
      </c>
      <c r="H104" s="418">
        <v>4132816.49</v>
      </c>
      <c r="I104" s="418">
        <v>0</v>
      </c>
      <c r="J104" s="413">
        <v>0</v>
      </c>
      <c r="L104" s="418" t="str">
        <f t="shared" si="23"/>
        <v>Customer Sited Energy Storage</v>
      </c>
      <c r="M104" s="418" t="str">
        <f t="shared" si="24"/>
        <v>E3940 GEN Tools/Garage/Shop, new</v>
      </c>
      <c r="N104" s="418" t="str">
        <f t="shared" si="20"/>
        <v>Programmatic</v>
      </c>
      <c r="O104" s="418" t="str">
        <f t="shared" si="25"/>
        <v>101-E394</v>
      </c>
      <c r="P104" s="418">
        <f t="shared" si="26"/>
        <v>0</v>
      </c>
      <c r="Q104" s="418">
        <f t="shared" si="27"/>
        <v>1128673.25</v>
      </c>
      <c r="R104" s="418">
        <f t="shared" si="28"/>
        <v>1648673.27</v>
      </c>
      <c r="S104" s="418">
        <f t="shared" si="29"/>
        <v>4132816.49</v>
      </c>
      <c r="T104" s="418">
        <f t="shared" si="30"/>
        <v>0</v>
      </c>
      <c r="V104" s="418" t="str">
        <f t="shared" si="31"/>
        <v>Customer Sited Energy Storage</v>
      </c>
      <c r="W104" s="418" t="str">
        <f t="shared" si="32"/>
        <v>E3940 GEN Tools/Garage/Shop, new</v>
      </c>
      <c r="X104" s="418" t="str">
        <f t="shared" si="21"/>
        <v>Programmatic</v>
      </c>
      <c r="Y104" s="418" t="str">
        <f t="shared" si="33"/>
        <v>101-E394</v>
      </c>
      <c r="Z104" s="418">
        <f t="shared" si="34"/>
        <v>0</v>
      </c>
      <c r="AA104" s="418">
        <f t="shared" si="35"/>
        <v>0</v>
      </c>
      <c r="AB104" s="418">
        <f t="shared" si="36"/>
        <v>0</v>
      </c>
      <c r="AC104" s="418">
        <f t="shared" si="37"/>
        <v>0</v>
      </c>
      <c r="AD104" s="418">
        <f t="shared" si="38"/>
        <v>0</v>
      </c>
      <c r="AE104" s="413">
        <f t="shared" si="39"/>
        <v>0</v>
      </c>
    </row>
    <row r="105" spans="1:31" x14ac:dyDescent="0.3">
      <c r="A105" s="418" t="s">
        <v>8</v>
      </c>
      <c r="B105" s="418" t="s">
        <v>1767</v>
      </c>
      <c r="C105" s="418" t="s">
        <v>1168</v>
      </c>
      <c r="D105" s="418" t="str">
        <f t="shared" si="22"/>
        <v>101-E395</v>
      </c>
      <c r="E105" s="418">
        <v>0</v>
      </c>
      <c r="F105" s="418">
        <v>0</v>
      </c>
      <c r="G105" s="418">
        <v>0</v>
      </c>
      <c r="H105" s="418">
        <v>308221.74</v>
      </c>
      <c r="I105" s="418">
        <v>0</v>
      </c>
      <c r="J105" s="413">
        <v>0</v>
      </c>
      <c r="L105" s="418" t="str">
        <f t="shared" si="23"/>
        <v>Customer Sited Energy Storage</v>
      </c>
      <c r="M105" s="418" t="str">
        <f t="shared" si="24"/>
        <v>E3950 GEN Laboratory Equip, new</v>
      </c>
      <c r="N105" s="418" t="str">
        <f t="shared" si="20"/>
        <v>Programmatic</v>
      </c>
      <c r="O105" s="418" t="str">
        <f t="shared" si="25"/>
        <v>101-E395</v>
      </c>
      <c r="P105" s="418">
        <f t="shared" si="26"/>
        <v>0</v>
      </c>
      <c r="Q105" s="418">
        <f t="shared" si="27"/>
        <v>0</v>
      </c>
      <c r="R105" s="418">
        <f t="shared" si="28"/>
        <v>0</v>
      </c>
      <c r="S105" s="418">
        <f t="shared" si="29"/>
        <v>308221.74</v>
      </c>
      <c r="T105" s="418">
        <f t="shared" si="30"/>
        <v>0</v>
      </c>
      <c r="V105" s="418" t="str">
        <f t="shared" si="31"/>
        <v>Customer Sited Energy Storage</v>
      </c>
      <c r="W105" s="418" t="str">
        <f t="shared" si="32"/>
        <v>E3950 GEN Laboratory Equip, new</v>
      </c>
      <c r="X105" s="418" t="str">
        <f t="shared" si="21"/>
        <v>Programmatic</v>
      </c>
      <c r="Y105" s="418" t="str">
        <f t="shared" si="33"/>
        <v>101-E395</v>
      </c>
      <c r="Z105" s="418">
        <f t="shared" si="34"/>
        <v>0</v>
      </c>
      <c r="AA105" s="418">
        <f t="shared" si="35"/>
        <v>0</v>
      </c>
      <c r="AB105" s="418">
        <f t="shared" si="36"/>
        <v>0</v>
      </c>
      <c r="AC105" s="418">
        <f t="shared" si="37"/>
        <v>0</v>
      </c>
      <c r="AD105" s="418">
        <f t="shared" si="38"/>
        <v>0</v>
      </c>
      <c r="AE105" s="413">
        <f t="shared" si="39"/>
        <v>0</v>
      </c>
    </row>
    <row r="106" spans="1:31" x14ac:dyDescent="0.3">
      <c r="A106" s="418" t="s">
        <v>9</v>
      </c>
      <c r="B106" s="418" t="s">
        <v>1908</v>
      </c>
      <c r="C106" s="418" t="s">
        <v>1168</v>
      </c>
      <c r="D106" s="418" t="str">
        <f t="shared" si="22"/>
        <v>101-C303</v>
      </c>
      <c r="E106" s="418">
        <v>0</v>
      </c>
      <c r="F106" s="418">
        <v>0</v>
      </c>
      <c r="G106" s="418">
        <v>8291.15</v>
      </c>
      <c r="H106" s="418">
        <v>198987.47</v>
      </c>
      <c r="I106" s="418">
        <v>0</v>
      </c>
      <c r="J106" s="413">
        <v>0</v>
      </c>
      <c r="L106" s="418" t="str">
        <f t="shared" si="23"/>
        <v>Data Center Hardware Refresh</v>
      </c>
      <c r="M106" s="418" t="str">
        <f t="shared" si="24"/>
        <v>C303.5 INT Misc Intangible Plant</v>
      </c>
      <c r="N106" s="418" t="str">
        <f t="shared" si="20"/>
        <v>Programmatic</v>
      </c>
      <c r="O106" s="418" t="str">
        <f t="shared" si="25"/>
        <v>101-C303</v>
      </c>
      <c r="P106" s="418">
        <f t="shared" si="26"/>
        <v>0</v>
      </c>
      <c r="Q106" s="418">
        <f t="shared" si="27"/>
        <v>0</v>
      </c>
      <c r="R106" s="418">
        <f t="shared" si="28"/>
        <v>5467.1843099999996</v>
      </c>
      <c r="S106" s="418">
        <f t="shared" si="29"/>
        <v>131212.337718</v>
      </c>
      <c r="T106" s="418">
        <f t="shared" si="30"/>
        <v>0</v>
      </c>
      <c r="V106" s="418" t="str">
        <f t="shared" si="31"/>
        <v>Data Center Hardware Refresh</v>
      </c>
      <c r="W106" s="418" t="str">
        <f t="shared" si="32"/>
        <v>C303.5 INT Misc Intangible Plant</v>
      </c>
      <c r="X106" s="418" t="str">
        <f t="shared" si="21"/>
        <v>Programmatic</v>
      </c>
      <c r="Y106" s="418" t="str">
        <f t="shared" si="33"/>
        <v>101-C303</v>
      </c>
      <c r="Z106" s="418">
        <f t="shared" si="34"/>
        <v>0</v>
      </c>
      <c r="AA106" s="418">
        <f t="shared" si="35"/>
        <v>0</v>
      </c>
      <c r="AB106" s="418">
        <f t="shared" si="36"/>
        <v>2823.96569</v>
      </c>
      <c r="AC106" s="418">
        <f t="shared" si="37"/>
        <v>67775.132282000006</v>
      </c>
      <c r="AD106" s="418">
        <f t="shared" si="38"/>
        <v>0</v>
      </c>
      <c r="AE106" s="413">
        <f t="shared" si="39"/>
        <v>0</v>
      </c>
    </row>
    <row r="107" spans="1:31" x14ac:dyDescent="0.3">
      <c r="A107" s="418" t="s">
        <v>9</v>
      </c>
      <c r="B107" s="418" t="s">
        <v>1713</v>
      </c>
      <c r="C107" s="418" t="s">
        <v>1168</v>
      </c>
      <c r="D107" s="418" t="str">
        <f t="shared" si="22"/>
        <v>101-C391</v>
      </c>
      <c r="E107" s="418">
        <v>0</v>
      </c>
      <c r="F107" s="418">
        <v>0</v>
      </c>
      <c r="G107" s="418">
        <v>820823.33</v>
      </c>
      <c r="H107" s="418">
        <v>19699760</v>
      </c>
      <c r="I107" s="418">
        <v>0</v>
      </c>
      <c r="J107" s="413">
        <v>0</v>
      </c>
      <c r="L107" s="418" t="str">
        <f t="shared" si="23"/>
        <v>Data Center Hardware Refresh</v>
      </c>
      <c r="M107" s="418" t="str">
        <f t="shared" si="24"/>
        <v>C3912 CMN Computer Eq, new</v>
      </c>
      <c r="N107" s="418" t="str">
        <f t="shared" si="20"/>
        <v>Programmatic</v>
      </c>
      <c r="O107" s="418" t="str">
        <f t="shared" si="25"/>
        <v>101-C391</v>
      </c>
      <c r="P107" s="418">
        <f t="shared" si="26"/>
        <v>0</v>
      </c>
      <c r="Q107" s="418">
        <f t="shared" si="27"/>
        <v>0</v>
      </c>
      <c r="R107" s="418">
        <f t="shared" si="28"/>
        <v>541250.90380199999</v>
      </c>
      <c r="S107" s="418">
        <f t="shared" si="29"/>
        <v>12990021.743999999</v>
      </c>
      <c r="T107" s="418">
        <f t="shared" si="30"/>
        <v>0</v>
      </c>
      <c r="V107" s="418" t="str">
        <f t="shared" si="31"/>
        <v>Data Center Hardware Refresh</v>
      </c>
      <c r="W107" s="418" t="str">
        <f t="shared" si="32"/>
        <v>C3912 CMN Computer Eq, new</v>
      </c>
      <c r="X107" s="418" t="str">
        <f t="shared" si="21"/>
        <v>Programmatic</v>
      </c>
      <c r="Y107" s="418" t="str">
        <f t="shared" si="33"/>
        <v>101-C391</v>
      </c>
      <c r="Z107" s="418">
        <f t="shared" si="34"/>
        <v>0</v>
      </c>
      <c r="AA107" s="418">
        <f t="shared" si="35"/>
        <v>0</v>
      </c>
      <c r="AB107" s="418">
        <f t="shared" si="36"/>
        <v>279572.42619799997</v>
      </c>
      <c r="AC107" s="418">
        <f t="shared" si="37"/>
        <v>6709738.2560000001</v>
      </c>
      <c r="AD107" s="418">
        <f t="shared" si="38"/>
        <v>0</v>
      </c>
      <c r="AE107" s="413">
        <f t="shared" si="39"/>
        <v>0</v>
      </c>
    </row>
    <row r="108" spans="1:31" x14ac:dyDescent="0.3">
      <c r="A108" s="418" t="s">
        <v>10</v>
      </c>
      <c r="B108" s="418" t="s">
        <v>1804</v>
      </c>
      <c r="C108" s="418" t="s">
        <v>1168</v>
      </c>
      <c r="D108" s="418" t="str">
        <f t="shared" si="22"/>
        <v>101-E350</v>
      </c>
      <c r="E108" s="418">
        <v>0</v>
      </c>
      <c r="F108" s="418">
        <v>23969.52</v>
      </c>
      <c r="G108" s="418">
        <v>36305.46</v>
      </c>
      <c r="H108" s="418">
        <v>61339.1</v>
      </c>
      <c r="I108" s="418">
        <v>0</v>
      </c>
      <c r="J108" s="413">
        <v>0</v>
      </c>
      <c r="L108" s="418" t="str">
        <f t="shared" si="23"/>
        <v>Emergent Electric</v>
      </c>
      <c r="M108" s="418" t="str">
        <f t="shared" si="24"/>
        <v>E35010 TSM Easement</v>
      </c>
      <c r="N108" s="418" t="str">
        <f t="shared" si="20"/>
        <v>Programmatic</v>
      </c>
      <c r="O108" s="418" t="str">
        <f t="shared" si="25"/>
        <v>101-E350</v>
      </c>
      <c r="P108" s="418">
        <f t="shared" si="26"/>
        <v>0</v>
      </c>
      <c r="Q108" s="418">
        <f t="shared" si="27"/>
        <v>23969.52</v>
      </c>
      <c r="R108" s="418">
        <f t="shared" si="28"/>
        <v>36305.46</v>
      </c>
      <c r="S108" s="418">
        <f t="shared" si="29"/>
        <v>61339.1</v>
      </c>
      <c r="T108" s="418">
        <f t="shared" si="30"/>
        <v>0</v>
      </c>
      <c r="V108" s="418" t="str">
        <f t="shared" si="31"/>
        <v>Emergent Electric</v>
      </c>
      <c r="W108" s="418" t="str">
        <f t="shared" si="32"/>
        <v>E35010 TSM Easement</v>
      </c>
      <c r="X108" s="418" t="str">
        <f t="shared" si="21"/>
        <v>Programmatic</v>
      </c>
      <c r="Y108" s="418" t="str">
        <f t="shared" si="33"/>
        <v>101-E350</v>
      </c>
      <c r="Z108" s="418">
        <f t="shared" si="34"/>
        <v>0</v>
      </c>
      <c r="AA108" s="418">
        <f t="shared" si="35"/>
        <v>0</v>
      </c>
      <c r="AB108" s="418">
        <f t="shared" si="36"/>
        <v>0</v>
      </c>
      <c r="AC108" s="418">
        <f t="shared" si="37"/>
        <v>0</v>
      </c>
      <c r="AD108" s="418">
        <f t="shared" si="38"/>
        <v>0</v>
      </c>
      <c r="AE108" s="413">
        <f t="shared" si="39"/>
        <v>0</v>
      </c>
    </row>
    <row r="109" spans="1:31" x14ac:dyDescent="0.3">
      <c r="A109" s="418" t="s">
        <v>10</v>
      </c>
      <c r="B109" s="418" t="s">
        <v>1915</v>
      </c>
      <c r="C109" s="418" t="s">
        <v>1168</v>
      </c>
      <c r="D109" s="418" t="str">
        <f t="shared" si="22"/>
        <v>101-E353</v>
      </c>
      <c r="E109" s="418">
        <v>0</v>
      </c>
      <c r="F109" s="418">
        <v>320518.17</v>
      </c>
      <c r="G109" s="418">
        <v>454547.11</v>
      </c>
      <c r="H109" s="418">
        <v>713448.72</v>
      </c>
      <c r="I109" s="418">
        <v>0</v>
      </c>
      <c r="J109" s="413">
        <v>0</v>
      </c>
      <c r="L109" s="418" t="str">
        <f t="shared" si="23"/>
        <v>Emergent Electric</v>
      </c>
      <c r="M109" s="418" t="str">
        <f t="shared" si="24"/>
        <v>E353 TSM Sta Eq, Wind Ridge-NonProj</v>
      </c>
      <c r="N109" s="418" t="str">
        <f t="shared" si="20"/>
        <v>Programmatic</v>
      </c>
      <c r="O109" s="418" t="str">
        <f t="shared" si="25"/>
        <v>101-E353</v>
      </c>
      <c r="P109" s="418">
        <f t="shared" si="26"/>
        <v>0</v>
      </c>
      <c r="Q109" s="418">
        <f t="shared" si="27"/>
        <v>320518.17</v>
      </c>
      <c r="R109" s="418">
        <f t="shared" si="28"/>
        <v>454547.11</v>
      </c>
      <c r="S109" s="418">
        <f t="shared" si="29"/>
        <v>713448.72</v>
      </c>
      <c r="T109" s="418">
        <f t="shared" si="30"/>
        <v>0</v>
      </c>
      <c r="V109" s="418" t="str">
        <f t="shared" si="31"/>
        <v>Emergent Electric</v>
      </c>
      <c r="W109" s="418" t="str">
        <f t="shared" si="32"/>
        <v>E353 TSM Sta Eq, Wind Ridge-NonProj</v>
      </c>
      <c r="X109" s="418" t="str">
        <f t="shared" si="21"/>
        <v>Programmatic</v>
      </c>
      <c r="Y109" s="418" t="str">
        <f t="shared" si="33"/>
        <v>101-E353</v>
      </c>
      <c r="Z109" s="418">
        <f t="shared" si="34"/>
        <v>0</v>
      </c>
      <c r="AA109" s="418">
        <f t="shared" si="35"/>
        <v>0</v>
      </c>
      <c r="AB109" s="418">
        <f t="shared" si="36"/>
        <v>0</v>
      </c>
      <c r="AC109" s="418">
        <f t="shared" si="37"/>
        <v>0</v>
      </c>
      <c r="AD109" s="418">
        <f t="shared" si="38"/>
        <v>0</v>
      </c>
      <c r="AE109" s="413">
        <f t="shared" si="39"/>
        <v>0</v>
      </c>
    </row>
    <row r="110" spans="1:31" x14ac:dyDescent="0.3">
      <c r="A110" s="418" t="s">
        <v>10</v>
      </c>
      <c r="B110" s="418" t="s">
        <v>1798</v>
      </c>
      <c r="C110" s="418" t="s">
        <v>1168</v>
      </c>
      <c r="D110" s="418" t="str">
        <f t="shared" si="22"/>
        <v>101-E353</v>
      </c>
      <c r="E110" s="418">
        <v>0</v>
      </c>
      <c r="F110" s="418">
        <v>405936.86</v>
      </c>
      <c r="G110" s="418">
        <v>579080.39</v>
      </c>
      <c r="H110" s="418">
        <v>915194.89</v>
      </c>
      <c r="I110" s="418">
        <v>0</v>
      </c>
      <c r="J110" s="413">
        <v>0</v>
      </c>
      <c r="L110" s="418" t="str">
        <f t="shared" si="23"/>
        <v>Emergent Electric</v>
      </c>
      <c r="M110" s="418" t="str">
        <f t="shared" si="24"/>
        <v>E353 TSM Station Equipment</v>
      </c>
      <c r="N110" s="418" t="str">
        <f t="shared" si="20"/>
        <v>Programmatic</v>
      </c>
      <c r="O110" s="418" t="str">
        <f t="shared" si="25"/>
        <v>101-E353</v>
      </c>
      <c r="P110" s="418">
        <f t="shared" si="26"/>
        <v>0</v>
      </c>
      <c r="Q110" s="418">
        <f t="shared" si="27"/>
        <v>405936.86</v>
      </c>
      <c r="R110" s="418">
        <f t="shared" si="28"/>
        <v>579080.39</v>
      </c>
      <c r="S110" s="418">
        <f t="shared" si="29"/>
        <v>915194.89</v>
      </c>
      <c r="T110" s="418">
        <f t="shared" si="30"/>
        <v>0</v>
      </c>
      <c r="V110" s="418" t="str">
        <f t="shared" si="31"/>
        <v>Emergent Electric</v>
      </c>
      <c r="W110" s="418" t="str">
        <f t="shared" si="32"/>
        <v>E353 TSM Station Equipment</v>
      </c>
      <c r="X110" s="418" t="str">
        <f t="shared" si="21"/>
        <v>Programmatic</v>
      </c>
      <c r="Y110" s="418" t="str">
        <f t="shared" si="33"/>
        <v>101-E353</v>
      </c>
      <c r="Z110" s="418">
        <f t="shared" si="34"/>
        <v>0</v>
      </c>
      <c r="AA110" s="418">
        <f t="shared" si="35"/>
        <v>0</v>
      </c>
      <c r="AB110" s="418">
        <f t="shared" si="36"/>
        <v>0</v>
      </c>
      <c r="AC110" s="418">
        <f t="shared" si="37"/>
        <v>0</v>
      </c>
      <c r="AD110" s="418">
        <f t="shared" si="38"/>
        <v>0</v>
      </c>
      <c r="AE110" s="413">
        <f t="shared" si="39"/>
        <v>0</v>
      </c>
    </row>
    <row r="111" spans="1:31" x14ac:dyDescent="0.3">
      <c r="A111" s="418" t="s">
        <v>10</v>
      </c>
      <c r="B111" s="418" t="s">
        <v>1715</v>
      </c>
      <c r="C111" s="418" t="s">
        <v>1168</v>
      </c>
      <c r="D111" s="418" t="str">
        <f t="shared" si="22"/>
        <v>101-E353</v>
      </c>
      <c r="E111" s="418">
        <v>0</v>
      </c>
      <c r="F111" s="418">
        <v>1797321.1</v>
      </c>
      <c r="G111" s="418">
        <v>2571837.09</v>
      </c>
      <c r="H111" s="418">
        <v>4079167.42</v>
      </c>
      <c r="I111" s="418">
        <v>0</v>
      </c>
      <c r="J111" s="413">
        <v>0</v>
      </c>
      <c r="L111" s="418" t="str">
        <f t="shared" si="23"/>
        <v>Emergent Electric</v>
      </c>
      <c r="M111" s="418" t="str">
        <f t="shared" si="24"/>
        <v>E3536 TSM Substation Equipment</v>
      </c>
      <c r="N111" s="418" t="str">
        <f t="shared" si="20"/>
        <v>Programmatic</v>
      </c>
      <c r="O111" s="418" t="str">
        <f t="shared" si="25"/>
        <v>101-E353</v>
      </c>
      <c r="P111" s="418">
        <f t="shared" si="26"/>
        <v>0</v>
      </c>
      <c r="Q111" s="418">
        <f t="shared" si="27"/>
        <v>1797321.1</v>
      </c>
      <c r="R111" s="418">
        <f t="shared" si="28"/>
        <v>2571837.09</v>
      </c>
      <c r="S111" s="418">
        <f t="shared" si="29"/>
        <v>4079167.42</v>
      </c>
      <c r="T111" s="418">
        <f t="shared" si="30"/>
        <v>0</v>
      </c>
      <c r="V111" s="418" t="str">
        <f t="shared" si="31"/>
        <v>Emergent Electric</v>
      </c>
      <c r="W111" s="418" t="str">
        <f t="shared" si="32"/>
        <v>E3536 TSM Substation Equipment</v>
      </c>
      <c r="X111" s="418" t="str">
        <f t="shared" si="21"/>
        <v>Programmatic</v>
      </c>
      <c r="Y111" s="418" t="str">
        <f t="shared" si="33"/>
        <v>101-E353</v>
      </c>
      <c r="Z111" s="418">
        <f t="shared" si="34"/>
        <v>0</v>
      </c>
      <c r="AA111" s="418">
        <f t="shared" si="35"/>
        <v>0</v>
      </c>
      <c r="AB111" s="418">
        <f t="shared" si="36"/>
        <v>0</v>
      </c>
      <c r="AC111" s="418">
        <f t="shared" si="37"/>
        <v>0</v>
      </c>
      <c r="AD111" s="418">
        <f t="shared" si="38"/>
        <v>0</v>
      </c>
      <c r="AE111" s="413">
        <f t="shared" si="39"/>
        <v>0</v>
      </c>
    </row>
    <row r="112" spans="1:31" x14ac:dyDescent="0.3">
      <c r="A112" s="418" t="s">
        <v>10</v>
      </c>
      <c r="B112" s="418" t="s">
        <v>1917</v>
      </c>
      <c r="C112" s="418" t="s">
        <v>1168</v>
      </c>
      <c r="D112" s="418" t="str">
        <f t="shared" si="22"/>
        <v>101-E353</v>
      </c>
      <c r="E112" s="418">
        <v>0</v>
      </c>
      <c r="F112" s="418">
        <v>41030.89</v>
      </c>
      <c r="G112" s="418">
        <v>58188.5</v>
      </c>
      <c r="H112" s="418">
        <v>91331.58</v>
      </c>
      <c r="I112" s="418">
        <v>0</v>
      </c>
      <c r="J112" s="413">
        <v>0</v>
      </c>
      <c r="L112" s="418" t="str">
        <f t="shared" si="23"/>
        <v>Emergent Electric</v>
      </c>
      <c r="M112" s="418" t="str">
        <f t="shared" si="24"/>
        <v>E3539 (GIF) Sta Eq, Fredonia 1&amp;2</v>
      </c>
      <c r="N112" s="418" t="str">
        <f t="shared" si="20"/>
        <v>Programmatic</v>
      </c>
      <c r="O112" s="418" t="str">
        <f t="shared" si="25"/>
        <v>101-E353</v>
      </c>
      <c r="P112" s="418">
        <f t="shared" si="26"/>
        <v>0</v>
      </c>
      <c r="Q112" s="418">
        <f t="shared" si="27"/>
        <v>41030.89</v>
      </c>
      <c r="R112" s="418">
        <f t="shared" si="28"/>
        <v>58188.5</v>
      </c>
      <c r="S112" s="418">
        <f t="shared" si="29"/>
        <v>91331.58</v>
      </c>
      <c r="T112" s="418">
        <f t="shared" si="30"/>
        <v>0</v>
      </c>
      <c r="V112" s="418" t="str">
        <f t="shared" si="31"/>
        <v>Emergent Electric</v>
      </c>
      <c r="W112" s="418" t="str">
        <f t="shared" si="32"/>
        <v>E3539 (GIF) Sta Eq, Fredonia 1&amp;2</v>
      </c>
      <c r="X112" s="418" t="str">
        <f t="shared" si="21"/>
        <v>Programmatic</v>
      </c>
      <c r="Y112" s="418" t="str">
        <f t="shared" si="33"/>
        <v>101-E353</v>
      </c>
      <c r="Z112" s="418">
        <f t="shared" si="34"/>
        <v>0</v>
      </c>
      <c r="AA112" s="418">
        <f t="shared" si="35"/>
        <v>0</v>
      </c>
      <c r="AB112" s="418">
        <f t="shared" si="36"/>
        <v>0</v>
      </c>
      <c r="AC112" s="418">
        <f t="shared" si="37"/>
        <v>0</v>
      </c>
      <c r="AD112" s="418">
        <f t="shared" si="38"/>
        <v>0</v>
      </c>
      <c r="AE112" s="413">
        <f t="shared" si="39"/>
        <v>0</v>
      </c>
    </row>
    <row r="113" spans="1:31" x14ac:dyDescent="0.3">
      <c r="A113" s="418" t="s">
        <v>10</v>
      </c>
      <c r="B113" s="418" t="s">
        <v>1793</v>
      </c>
      <c r="C113" s="418" t="s">
        <v>1168</v>
      </c>
      <c r="D113" s="418" t="str">
        <f t="shared" si="22"/>
        <v>101-E355</v>
      </c>
      <c r="E113" s="418">
        <v>0</v>
      </c>
      <c r="F113" s="418">
        <v>441818.6</v>
      </c>
      <c r="G113" s="418">
        <v>664996.51</v>
      </c>
      <c r="H113" s="418">
        <v>1117955.52</v>
      </c>
      <c r="I113" s="418">
        <v>0</v>
      </c>
      <c r="J113" s="413">
        <v>0</v>
      </c>
      <c r="L113" s="418" t="str">
        <f t="shared" si="23"/>
        <v>Emergent Electric</v>
      </c>
      <c r="M113" s="418" t="str">
        <f t="shared" si="24"/>
        <v>E355 TSM Poles &amp; Fixtures</v>
      </c>
      <c r="N113" s="418" t="str">
        <f t="shared" si="20"/>
        <v>Programmatic</v>
      </c>
      <c r="O113" s="418" t="str">
        <f t="shared" si="25"/>
        <v>101-E355</v>
      </c>
      <c r="P113" s="418">
        <f t="shared" si="26"/>
        <v>0</v>
      </c>
      <c r="Q113" s="418">
        <f t="shared" si="27"/>
        <v>441818.6</v>
      </c>
      <c r="R113" s="418">
        <f t="shared" si="28"/>
        <v>664996.51</v>
      </c>
      <c r="S113" s="418">
        <f t="shared" si="29"/>
        <v>1117955.52</v>
      </c>
      <c r="T113" s="418">
        <f t="shared" si="30"/>
        <v>0</v>
      </c>
      <c r="V113" s="418" t="str">
        <f t="shared" si="31"/>
        <v>Emergent Electric</v>
      </c>
      <c r="W113" s="418" t="str">
        <f t="shared" si="32"/>
        <v>E355 TSM Poles &amp; Fixtures</v>
      </c>
      <c r="X113" s="418" t="str">
        <f t="shared" si="21"/>
        <v>Programmatic</v>
      </c>
      <c r="Y113" s="418" t="str">
        <f t="shared" si="33"/>
        <v>101-E355</v>
      </c>
      <c r="Z113" s="418">
        <f t="shared" si="34"/>
        <v>0</v>
      </c>
      <c r="AA113" s="418">
        <f t="shared" si="35"/>
        <v>0</v>
      </c>
      <c r="AB113" s="418">
        <f t="shared" si="36"/>
        <v>0</v>
      </c>
      <c r="AC113" s="418">
        <f t="shared" si="37"/>
        <v>0</v>
      </c>
      <c r="AD113" s="418">
        <f t="shared" si="38"/>
        <v>0</v>
      </c>
      <c r="AE113" s="413">
        <f t="shared" si="39"/>
        <v>0</v>
      </c>
    </row>
    <row r="114" spans="1:31" x14ac:dyDescent="0.3">
      <c r="A114" s="418" t="s">
        <v>10</v>
      </c>
      <c r="B114" s="418" t="s">
        <v>1914</v>
      </c>
      <c r="C114" s="418" t="s">
        <v>1168</v>
      </c>
      <c r="D114" s="418" t="str">
        <f t="shared" si="22"/>
        <v>101-E355</v>
      </c>
      <c r="E114" s="418">
        <v>0</v>
      </c>
      <c r="F114" s="418">
        <v>28758</v>
      </c>
      <c r="G114" s="418">
        <v>43558.32</v>
      </c>
      <c r="H114" s="418">
        <v>73592.94</v>
      </c>
      <c r="I114" s="418">
        <v>0</v>
      </c>
      <c r="J114" s="413">
        <v>0</v>
      </c>
      <c r="L114" s="418" t="str">
        <f t="shared" si="23"/>
        <v>Emergent Electric</v>
      </c>
      <c r="M114" s="418" t="str">
        <f t="shared" si="24"/>
        <v>E355 TSM Poles, Wild Horse-WindRidg</v>
      </c>
      <c r="N114" s="418" t="str">
        <f t="shared" si="20"/>
        <v>Programmatic</v>
      </c>
      <c r="O114" s="418" t="str">
        <f t="shared" si="25"/>
        <v>101-E355</v>
      </c>
      <c r="P114" s="418">
        <f t="shared" si="26"/>
        <v>0</v>
      </c>
      <c r="Q114" s="418">
        <f t="shared" si="27"/>
        <v>28758</v>
      </c>
      <c r="R114" s="418">
        <f t="shared" si="28"/>
        <v>43558.32</v>
      </c>
      <c r="S114" s="418">
        <f t="shared" si="29"/>
        <v>73592.94</v>
      </c>
      <c r="T114" s="418">
        <f t="shared" si="30"/>
        <v>0</v>
      </c>
      <c r="V114" s="418" t="str">
        <f t="shared" si="31"/>
        <v>Emergent Electric</v>
      </c>
      <c r="W114" s="418" t="str">
        <f t="shared" si="32"/>
        <v>E355 TSM Poles, Wild Horse-WindRidg</v>
      </c>
      <c r="X114" s="418" t="str">
        <f t="shared" si="21"/>
        <v>Programmatic</v>
      </c>
      <c r="Y114" s="418" t="str">
        <f t="shared" si="33"/>
        <v>101-E355</v>
      </c>
      <c r="Z114" s="418">
        <f t="shared" si="34"/>
        <v>0</v>
      </c>
      <c r="AA114" s="418">
        <f t="shared" si="35"/>
        <v>0</v>
      </c>
      <c r="AB114" s="418">
        <f t="shared" si="36"/>
        <v>0</v>
      </c>
      <c r="AC114" s="418">
        <f t="shared" si="37"/>
        <v>0</v>
      </c>
      <c r="AD114" s="418">
        <f t="shared" si="38"/>
        <v>0</v>
      </c>
      <c r="AE114" s="413">
        <f t="shared" si="39"/>
        <v>0</v>
      </c>
    </row>
    <row r="115" spans="1:31" x14ac:dyDescent="0.3">
      <c r="A115" s="418" t="s">
        <v>10</v>
      </c>
      <c r="B115" s="418" t="s">
        <v>1717</v>
      </c>
      <c r="C115" s="418" t="s">
        <v>1168</v>
      </c>
      <c r="D115" s="418" t="str">
        <f t="shared" si="22"/>
        <v>101-E355</v>
      </c>
      <c r="E115" s="418">
        <v>0</v>
      </c>
      <c r="F115" s="418">
        <v>2535462.7599999998</v>
      </c>
      <c r="G115" s="418">
        <v>3764341.6</v>
      </c>
      <c r="H115" s="418">
        <v>6246206.0800000001</v>
      </c>
      <c r="I115" s="418">
        <v>0</v>
      </c>
      <c r="J115" s="413">
        <v>0</v>
      </c>
      <c r="L115" s="418" t="str">
        <f t="shared" si="23"/>
        <v>Emergent Electric</v>
      </c>
      <c r="M115" s="418" t="str">
        <f t="shared" si="24"/>
        <v>E3556 TSM Poles</v>
      </c>
      <c r="N115" s="418" t="str">
        <f t="shared" si="20"/>
        <v>Programmatic</v>
      </c>
      <c r="O115" s="418" t="str">
        <f t="shared" si="25"/>
        <v>101-E355</v>
      </c>
      <c r="P115" s="418">
        <f t="shared" si="26"/>
        <v>0</v>
      </c>
      <c r="Q115" s="418">
        <f t="shared" si="27"/>
        <v>2535462.7599999998</v>
      </c>
      <c r="R115" s="418">
        <f t="shared" si="28"/>
        <v>3764341.6</v>
      </c>
      <c r="S115" s="418">
        <f t="shared" si="29"/>
        <v>6246206.0800000001</v>
      </c>
      <c r="T115" s="418">
        <f t="shared" si="30"/>
        <v>0</v>
      </c>
      <c r="V115" s="418" t="str">
        <f t="shared" si="31"/>
        <v>Emergent Electric</v>
      </c>
      <c r="W115" s="418" t="str">
        <f t="shared" si="32"/>
        <v>E3556 TSM Poles</v>
      </c>
      <c r="X115" s="418" t="str">
        <f t="shared" si="21"/>
        <v>Programmatic</v>
      </c>
      <c r="Y115" s="418" t="str">
        <f t="shared" si="33"/>
        <v>101-E355</v>
      </c>
      <c r="Z115" s="418">
        <f t="shared" si="34"/>
        <v>0</v>
      </c>
      <c r="AA115" s="418">
        <f t="shared" si="35"/>
        <v>0</v>
      </c>
      <c r="AB115" s="418">
        <f t="shared" si="36"/>
        <v>0</v>
      </c>
      <c r="AC115" s="418">
        <f t="shared" si="37"/>
        <v>0</v>
      </c>
      <c r="AD115" s="418">
        <f t="shared" si="38"/>
        <v>0</v>
      </c>
      <c r="AE115" s="413">
        <f t="shared" si="39"/>
        <v>0</v>
      </c>
    </row>
    <row r="116" spans="1:31" x14ac:dyDescent="0.3">
      <c r="A116" s="418" t="s">
        <v>10</v>
      </c>
      <c r="B116" s="418" t="s">
        <v>1792</v>
      </c>
      <c r="C116" s="418" t="s">
        <v>1168</v>
      </c>
      <c r="D116" s="418" t="str">
        <f t="shared" si="22"/>
        <v>101-E355</v>
      </c>
      <c r="E116" s="418">
        <v>0</v>
      </c>
      <c r="F116" s="418">
        <v>4782.24</v>
      </c>
      <c r="G116" s="418">
        <v>7244.34</v>
      </c>
      <c r="H116" s="418">
        <v>12241.62</v>
      </c>
      <c r="I116" s="418">
        <v>0</v>
      </c>
      <c r="J116" s="413">
        <v>0</v>
      </c>
      <c r="L116" s="418" t="str">
        <f t="shared" si="23"/>
        <v>Emergent Electric</v>
      </c>
      <c r="M116" s="418" t="str">
        <f t="shared" si="24"/>
        <v>E3557 TSM Poles</v>
      </c>
      <c r="N116" s="418" t="str">
        <f t="shared" si="20"/>
        <v>Programmatic</v>
      </c>
      <c r="O116" s="418" t="str">
        <f t="shared" si="25"/>
        <v>101-E355</v>
      </c>
      <c r="P116" s="418">
        <f t="shared" si="26"/>
        <v>0</v>
      </c>
      <c r="Q116" s="418">
        <f t="shared" si="27"/>
        <v>4782.24</v>
      </c>
      <c r="R116" s="418">
        <f t="shared" si="28"/>
        <v>7244.34</v>
      </c>
      <c r="S116" s="418">
        <f t="shared" si="29"/>
        <v>12241.62</v>
      </c>
      <c r="T116" s="418">
        <f t="shared" si="30"/>
        <v>0</v>
      </c>
      <c r="V116" s="418" t="str">
        <f t="shared" si="31"/>
        <v>Emergent Electric</v>
      </c>
      <c r="W116" s="418" t="str">
        <f t="shared" si="32"/>
        <v>E3557 TSM Poles</v>
      </c>
      <c r="X116" s="418" t="str">
        <f t="shared" si="21"/>
        <v>Programmatic</v>
      </c>
      <c r="Y116" s="418" t="str">
        <f t="shared" si="33"/>
        <v>101-E355</v>
      </c>
      <c r="Z116" s="418">
        <f t="shared" si="34"/>
        <v>0</v>
      </c>
      <c r="AA116" s="418">
        <f t="shared" si="35"/>
        <v>0</v>
      </c>
      <c r="AB116" s="418">
        <f t="shared" si="36"/>
        <v>0</v>
      </c>
      <c r="AC116" s="418">
        <f t="shared" si="37"/>
        <v>0</v>
      </c>
      <c r="AD116" s="418">
        <f t="shared" si="38"/>
        <v>0</v>
      </c>
      <c r="AE116" s="413">
        <f t="shared" si="39"/>
        <v>0</v>
      </c>
    </row>
    <row r="117" spans="1:31" x14ac:dyDescent="0.3">
      <c r="A117" s="418" t="s">
        <v>10</v>
      </c>
      <c r="B117" s="418" t="s">
        <v>1789</v>
      </c>
      <c r="C117" s="418" t="s">
        <v>1168</v>
      </c>
      <c r="D117" s="418" t="str">
        <f t="shared" si="22"/>
        <v>101-E356</v>
      </c>
      <c r="E117" s="418">
        <v>0</v>
      </c>
      <c r="F117" s="418">
        <v>63668.28</v>
      </c>
      <c r="G117" s="418">
        <v>96440.960000000006</v>
      </c>
      <c r="H117" s="418">
        <v>162952.79999999999</v>
      </c>
      <c r="I117" s="418">
        <v>0</v>
      </c>
      <c r="J117" s="413">
        <v>0</v>
      </c>
      <c r="L117" s="418" t="str">
        <f t="shared" si="23"/>
        <v>Emergent Electric</v>
      </c>
      <c r="M117" s="418" t="str">
        <f t="shared" si="24"/>
        <v>E356 TSM O/H Conductor &amp; Devices</v>
      </c>
      <c r="N117" s="418" t="str">
        <f t="shared" si="20"/>
        <v>Programmatic</v>
      </c>
      <c r="O117" s="418" t="str">
        <f t="shared" si="25"/>
        <v>101-E356</v>
      </c>
      <c r="P117" s="418">
        <f t="shared" si="26"/>
        <v>0</v>
      </c>
      <c r="Q117" s="418">
        <f t="shared" si="27"/>
        <v>63668.28</v>
      </c>
      <c r="R117" s="418">
        <f t="shared" si="28"/>
        <v>96440.960000000006</v>
      </c>
      <c r="S117" s="418">
        <f t="shared" si="29"/>
        <v>162952.79999999999</v>
      </c>
      <c r="T117" s="418">
        <f t="shared" si="30"/>
        <v>0</v>
      </c>
      <c r="V117" s="418" t="str">
        <f t="shared" si="31"/>
        <v>Emergent Electric</v>
      </c>
      <c r="W117" s="418" t="str">
        <f t="shared" si="32"/>
        <v>E356 TSM O/H Conductor &amp; Devices</v>
      </c>
      <c r="X117" s="418" t="str">
        <f t="shared" si="21"/>
        <v>Programmatic</v>
      </c>
      <c r="Y117" s="418" t="str">
        <f t="shared" si="33"/>
        <v>101-E356</v>
      </c>
      <c r="Z117" s="418">
        <f t="shared" si="34"/>
        <v>0</v>
      </c>
      <c r="AA117" s="418">
        <f t="shared" si="35"/>
        <v>0</v>
      </c>
      <c r="AB117" s="418">
        <f t="shared" si="36"/>
        <v>0</v>
      </c>
      <c r="AC117" s="418">
        <f t="shared" si="37"/>
        <v>0</v>
      </c>
      <c r="AD117" s="418">
        <f t="shared" si="38"/>
        <v>0</v>
      </c>
      <c r="AE117" s="413">
        <f t="shared" si="39"/>
        <v>0</v>
      </c>
    </row>
    <row r="118" spans="1:31" x14ac:dyDescent="0.3">
      <c r="A118" s="418" t="s">
        <v>10</v>
      </c>
      <c r="B118" s="418" t="s">
        <v>1788</v>
      </c>
      <c r="C118" s="418" t="s">
        <v>1168</v>
      </c>
      <c r="D118" s="418" t="str">
        <f t="shared" si="22"/>
        <v>101-E356</v>
      </c>
      <c r="E118" s="418">
        <v>0</v>
      </c>
      <c r="F118" s="418">
        <v>182780.55</v>
      </c>
      <c r="G118" s="418">
        <v>276162.74</v>
      </c>
      <c r="H118" s="418">
        <v>465387.51</v>
      </c>
      <c r="I118" s="418">
        <v>0</v>
      </c>
      <c r="J118" s="413">
        <v>0</v>
      </c>
      <c r="L118" s="418" t="str">
        <f t="shared" si="23"/>
        <v>Emergent Electric</v>
      </c>
      <c r="M118" s="418" t="str">
        <f t="shared" si="24"/>
        <v>E3566 TSM O/H Conductor/Devices</v>
      </c>
      <c r="N118" s="418" t="str">
        <f t="shared" si="20"/>
        <v>Programmatic</v>
      </c>
      <c r="O118" s="418" t="str">
        <f t="shared" si="25"/>
        <v>101-E356</v>
      </c>
      <c r="P118" s="418">
        <f t="shared" si="26"/>
        <v>0</v>
      </c>
      <c r="Q118" s="418">
        <f t="shared" si="27"/>
        <v>182780.55</v>
      </c>
      <c r="R118" s="418">
        <f t="shared" si="28"/>
        <v>276162.74</v>
      </c>
      <c r="S118" s="418">
        <f t="shared" si="29"/>
        <v>465387.51</v>
      </c>
      <c r="T118" s="418">
        <f t="shared" si="30"/>
        <v>0</v>
      </c>
      <c r="V118" s="418" t="str">
        <f t="shared" si="31"/>
        <v>Emergent Electric</v>
      </c>
      <c r="W118" s="418" t="str">
        <f t="shared" si="32"/>
        <v>E3566 TSM O/H Conductor/Devices</v>
      </c>
      <c r="X118" s="418" t="str">
        <f t="shared" si="21"/>
        <v>Programmatic</v>
      </c>
      <c r="Y118" s="418" t="str">
        <f t="shared" si="33"/>
        <v>101-E356</v>
      </c>
      <c r="Z118" s="418">
        <f t="shared" si="34"/>
        <v>0</v>
      </c>
      <c r="AA118" s="418">
        <f t="shared" si="35"/>
        <v>0</v>
      </c>
      <c r="AB118" s="418">
        <f t="shared" si="36"/>
        <v>0</v>
      </c>
      <c r="AC118" s="418">
        <f t="shared" si="37"/>
        <v>0</v>
      </c>
      <c r="AD118" s="418">
        <f t="shared" si="38"/>
        <v>0</v>
      </c>
      <c r="AE118" s="413">
        <f t="shared" si="39"/>
        <v>0</v>
      </c>
    </row>
    <row r="119" spans="1:31" x14ac:dyDescent="0.3">
      <c r="A119" s="418" t="s">
        <v>10</v>
      </c>
      <c r="B119" s="418" t="s">
        <v>1781</v>
      </c>
      <c r="C119" s="418" t="s">
        <v>1168</v>
      </c>
      <c r="D119" s="418" t="str">
        <f t="shared" si="22"/>
        <v>101-E362</v>
      </c>
      <c r="E119" s="418">
        <v>0</v>
      </c>
      <c r="F119" s="418">
        <v>6645057.0800000001</v>
      </c>
      <c r="G119" s="418">
        <v>9967301.0600000005</v>
      </c>
      <c r="H119" s="418">
        <v>16650170.33</v>
      </c>
      <c r="I119" s="418">
        <v>0</v>
      </c>
      <c r="J119" s="413">
        <v>0</v>
      </c>
      <c r="L119" s="418" t="str">
        <f t="shared" si="23"/>
        <v>Emergent Electric</v>
      </c>
      <c r="M119" s="418" t="str">
        <f t="shared" si="24"/>
        <v>E3620 DST Substation Equipment</v>
      </c>
      <c r="N119" s="418" t="str">
        <f t="shared" si="20"/>
        <v>Programmatic</v>
      </c>
      <c r="O119" s="418" t="str">
        <f t="shared" si="25"/>
        <v>101-E362</v>
      </c>
      <c r="P119" s="418">
        <f t="shared" si="26"/>
        <v>0</v>
      </c>
      <c r="Q119" s="418">
        <f t="shared" si="27"/>
        <v>6645057.0800000001</v>
      </c>
      <c r="R119" s="418">
        <f t="shared" si="28"/>
        <v>9967301.0600000005</v>
      </c>
      <c r="S119" s="418">
        <f t="shared" si="29"/>
        <v>16650170.33</v>
      </c>
      <c r="T119" s="418">
        <f t="shared" si="30"/>
        <v>0</v>
      </c>
      <c r="V119" s="418" t="str">
        <f t="shared" si="31"/>
        <v>Emergent Electric</v>
      </c>
      <c r="W119" s="418" t="str">
        <f t="shared" si="32"/>
        <v>E3620 DST Substation Equipment</v>
      </c>
      <c r="X119" s="418" t="str">
        <f t="shared" si="21"/>
        <v>Programmatic</v>
      </c>
      <c r="Y119" s="418" t="str">
        <f t="shared" si="33"/>
        <v>101-E362</v>
      </c>
      <c r="Z119" s="418">
        <f t="shared" si="34"/>
        <v>0</v>
      </c>
      <c r="AA119" s="418">
        <f t="shared" si="35"/>
        <v>0</v>
      </c>
      <c r="AB119" s="418">
        <f t="shared" si="36"/>
        <v>0</v>
      </c>
      <c r="AC119" s="418">
        <f t="shared" si="37"/>
        <v>0</v>
      </c>
      <c r="AD119" s="418">
        <f t="shared" si="38"/>
        <v>0</v>
      </c>
      <c r="AE119" s="413">
        <f t="shared" si="39"/>
        <v>0</v>
      </c>
    </row>
    <row r="120" spans="1:31" x14ac:dyDescent="0.3">
      <c r="A120" s="418" t="s">
        <v>10</v>
      </c>
      <c r="B120" s="418" t="s">
        <v>1711</v>
      </c>
      <c r="C120" s="418" t="s">
        <v>1168</v>
      </c>
      <c r="D120" s="418" t="str">
        <f t="shared" si="22"/>
        <v>101-E364</v>
      </c>
      <c r="E120" s="418">
        <v>0</v>
      </c>
      <c r="F120" s="418">
        <v>11354620.550000001</v>
      </c>
      <c r="G120" s="418">
        <v>17105045.52</v>
      </c>
      <c r="H120" s="418">
        <v>28566923.559999999</v>
      </c>
      <c r="I120" s="418">
        <v>0</v>
      </c>
      <c r="J120" s="413">
        <v>0</v>
      </c>
      <c r="L120" s="418" t="str">
        <f t="shared" si="23"/>
        <v>Emergent Electric</v>
      </c>
      <c r="M120" s="418" t="str">
        <f t="shared" si="24"/>
        <v>E3640 DST Poles/Towers/Fixtures</v>
      </c>
      <c r="N120" s="418" t="str">
        <f t="shared" si="20"/>
        <v>Programmatic</v>
      </c>
      <c r="O120" s="418" t="str">
        <f t="shared" si="25"/>
        <v>101-E364</v>
      </c>
      <c r="P120" s="418">
        <f t="shared" si="26"/>
        <v>0</v>
      </c>
      <c r="Q120" s="418">
        <f t="shared" si="27"/>
        <v>11354620.550000001</v>
      </c>
      <c r="R120" s="418">
        <f t="shared" si="28"/>
        <v>17105045.52</v>
      </c>
      <c r="S120" s="418">
        <f t="shared" si="29"/>
        <v>28566923.559999999</v>
      </c>
      <c r="T120" s="418">
        <f t="shared" si="30"/>
        <v>0</v>
      </c>
      <c r="V120" s="418" t="str">
        <f t="shared" si="31"/>
        <v>Emergent Electric</v>
      </c>
      <c r="W120" s="418" t="str">
        <f t="shared" si="32"/>
        <v>E3640 DST Poles/Towers/Fixtures</v>
      </c>
      <c r="X120" s="418" t="str">
        <f t="shared" si="21"/>
        <v>Programmatic</v>
      </c>
      <c r="Y120" s="418" t="str">
        <f t="shared" si="33"/>
        <v>101-E364</v>
      </c>
      <c r="Z120" s="418">
        <f t="shared" si="34"/>
        <v>0</v>
      </c>
      <c r="AA120" s="418">
        <f t="shared" si="35"/>
        <v>0</v>
      </c>
      <c r="AB120" s="418">
        <f t="shared" si="36"/>
        <v>0</v>
      </c>
      <c r="AC120" s="418">
        <f t="shared" si="37"/>
        <v>0</v>
      </c>
      <c r="AD120" s="418">
        <f t="shared" si="38"/>
        <v>0</v>
      </c>
      <c r="AE120" s="413">
        <f t="shared" si="39"/>
        <v>0</v>
      </c>
    </row>
    <row r="121" spans="1:31" x14ac:dyDescent="0.3">
      <c r="A121" s="418" t="s">
        <v>10</v>
      </c>
      <c r="B121" s="418" t="s">
        <v>1720</v>
      </c>
      <c r="C121" s="418" t="s">
        <v>1168</v>
      </c>
      <c r="D121" s="418" t="str">
        <f t="shared" si="22"/>
        <v>101-E365</v>
      </c>
      <c r="E121" s="418">
        <v>0</v>
      </c>
      <c r="F121" s="418">
        <v>12199455.189999999</v>
      </c>
      <c r="G121" s="418">
        <v>18510095.16</v>
      </c>
      <c r="H121" s="418">
        <v>29973495.550000001</v>
      </c>
      <c r="I121" s="418">
        <v>0</v>
      </c>
      <c r="J121" s="413">
        <v>0</v>
      </c>
      <c r="L121" s="418" t="str">
        <f t="shared" si="23"/>
        <v>Emergent Electric</v>
      </c>
      <c r="M121" s="418" t="str">
        <f t="shared" si="24"/>
        <v>E3650 DST O/H Conductor/Devices</v>
      </c>
      <c r="N121" s="418" t="str">
        <f t="shared" si="20"/>
        <v>Programmatic</v>
      </c>
      <c r="O121" s="418" t="str">
        <f t="shared" si="25"/>
        <v>101-E365</v>
      </c>
      <c r="P121" s="418">
        <f t="shared" si="26"/>
        <v>0</v>
      </c>
      <c r="Q121" s="418">
        <f t="shared" si="27"/>
        <v>12199455.189999999</v>
      </c>
      <c r="R121" s="418">
        <f t="shared" si="28"/>
        <v>18510095.16</v>
      </c>
      <c r="S121" s="418">
        <f t="shared" si="29"/>
        <v>29973495.550000001</v>
      </c>
      <c r="T121" s="418">
        <f t="shared" si="30"/>
        <v>0</v>
      </c>
      <c r="V121" s="418" t="str">
        <f t="shared" si="31"/>
        <v>Emergent Electric</v>
      </c>
      <c r="W121" s="418" t="str">
        <f t="shared" si="32"/>
        <v>E3650 DST O/H Conductor/Devices</v>
      </c>
      <c r="X121" s="418" t="str">
        <f t="shared" si="21"/>
        <v>Programmatic</v>
      </c>
      <c r="Y121" s="418" t="str">
        <f t="shared" si="33"/>
        <v>101-E365</v>
      </c>
      <c r="Z121" s="418">
        <f t="shared" si="34"/>
        <v>0</v>
      </c>
      <c r="AA121" s="418">
        <f t="shared" si="35"/>
        <v>0</v>
      </c>
      <c r="AB121" s="418">
        <f t="shared" si="36"/>
        <v>0</v>
      </c>
      <c r="AC121" s="418">
        <f t="shared" si="37"/>
        <v>0</v>
      </c>
      <c r="AD121" s="418">
        <f t="shared" si="38"/>
        <v>0</v>
      </c>
      <c r="AE121" s="413">
        <f t="shared" si="39"/>
        <v>0</v>
      </c>
    </row>
    <row r="122" spans="1:31" x14ac:dyDescent="0.3">
      <c r="A122" s="418" t="s">
        <v>10</v>
      </c>
      <c r="B122" s="418" t="s">
        <v>1710</v>
      </c>
      <c r="C122" s="418" t="s">
        <v>1168</v>
      </c>
      <c r="D122" s="418" t="str">
        <f t="shared" si="22"/>
        <v>101-E366</v>
      </c>
      <c r="E122" s="418">
        <v>0</v>
      </c>
      <c r="F122" s="418">
        <v>6765809.1399999997</v>
      </c>
      <c r="G122" s="418">
        <v>10300129.09</v>
      </c>
      <c r="H122" s="418">
        <v>17463638.350000001</v>
      </c>
      <c r="I122" s="418">
        <v>0</v>
      </c>
      <c r="J122" s="413">
        <v>0</v>
      </c>
      <c r="L122" s="418" t="str">
        <f t="shared" si="23"/>
        <v>Emergent Electric</v>
      </c>
      <c r="M122" s="418" t="str">
        <f t="shared" si="24"/>
        <v>E3660 DST U/G Conduit</v>
      </c>
      <c r="N122" s="418" t="str">
        <f t="shared" si="20"/>
        <v>Programmatic</v>
      </c>
      <c r="O122" s="418" t="str">
        <f t="shared" si="25"/>
        <v>101-E366</v>
      </c>
      <c r="P122" s="418">
        <f t="shared" si="26"/>
        <v>0</v>
      </c>
      <c r="Q122" s="418">
        <f t="shared" si="27"/>
        <v>6765809.1399999997</v>
      </c>
      <c r="R122" s="418">
        <f t="shared" si="28"/>
        <v>10300129.09</v>
      </c>
      <c r="S122" s="418">
        <f t="shared" si="29"/>
        <v>17463638.350000001</v>
      </c>
      <c r="T122" s="418">
        <f t="shared" si="30"/>
        <v>0</v>
      </c>
      <c r="V122" s="418" t="str">
        <f t="shared" si="31"/>
        <v>Emergent Electric</v>
      </c>
      <c r="W122" s="418" t="str">
        <f t="shared" si="32"/>
        <v>E3660 DST U/G Conduit</v>
      </c>
      <c r="X122" s="418" t="str">
        <f t="shared" si="21"/>
        <v>Programmatic</v>
      </c>
      <c r="Y122" s="418" t="str">
        <f t="shared" si="33"/>
        <v>101-E366</v>
      </c>
      <c r="Z122" s="418">
        <f t="shared" si="34"/>
        <v>0</v>
      </c>
      <c r="AA122" s="418">
        <f t="shared" si="35"/>
        <v>0</v>
      </c>
      <c r="AB122" s="418">
        <f t="shared" si="36"/>
        <v>0</v>
      </c>
      <c r="AC122" s="418">
        <f t="shared" si="37"/>
        <v>0</v>
      </c>
      <c r="AD122" s="418">
        <f t="shared" si="38"/>
        <v>0</v>
      </c>
      <c r="AE122" s="413">
        <f t="shared" si="39"/>
        <v>0</v>
      </c>
    </row>
    <row r="123" spans="1:31" x14ac:dyDescent="0.3">
      <c r="A123" s="418" t="s">
        <v>10</v>
      </c>
      <c r="B123" s="418" t="s">
        <v>1709</v>
      </c>
      <c r="C123" s="418" t="s">
        <v>1168</v>
      </c>
      <c r="D123" s="418" t="str">
        <f t="shared" si="22"/>
        <v>101-E367</v>
      </c>
      <c r="E123" s="418">
        <v>0</v>
      </c>
      <c r="F123" s="418">
        <v>8332902.4199999999</v>
      </c>
      <c r="G123" s="418">
        <v>12686412.689999999</v>
      </c>
      <c r="H123" s="418">
        <v>21506180.91</v>
      </c>
      <c r="I123" s="418">
        <v>0</v>
      </c>
      <c r="J123" s="413">
        <v>0</v>
      </c>
      <c r="L123" s="418" t="str">
        <f t="shared" si="23"/>
        <v>Emergent Electric</v>
      </c>
      <c r="M123" s="418" t="str">
        <f t="shared" si="24"/>
        <v>E3670 DST U/G Conductor/Devices</v>
      </c>
      <c r="N123" s="418" t="str">
        <f t="shared" si="20"/>
        <v>Programmatic</v>
      </c>
      <c r="O123" s="418" t="str">
        <f t="shared" si="25"/>
        <v>101-E367</v>
      </c>
      <c r="P123" s="418">
        <f t="shared" si="26"/>
        <v>0</v>
      </c>
      <c r="Q123" s="418">
        <f t="shared" si="27"/>
        <v>8332902.4199999999</v>
      </c>
      <c r="R123" s="418">
        <f t="shared" si="28"/>
        <v>12686412.689999999</v>
      </c>
      <c r="S123" s="418">
        <f t="shared" si="29"/>
        <v>21506180.91</v>
      </c>
      <c r="T123" s="418">
        <f t="shared" si="30"/>
        <v>0</v>
      </c>
      <c r="V123" s="418" t="str">
        <f t="shared" si="31"/>
        <v>Emergent Electric</v>
      </c>
      <c r="W123" s="418" t="str">
        <f t="shared" si="32"/>
        <v>E3670 DST U/G Conductor/Devices</v>
      </c>
      <c r="X123" s="418" t="str">
        <f t="shared" si="21"/>
        <v>Programmatic</v>
      </c>
      <c r="Y123" s="418" t="str">
        <f t="shared" si="33"/>
        <v>101-E367</v>
      </c>
      <c r="Z123" s="418">
        <f t="shared" si="34"/>
        <v>0</v>
      </c>
      <c r="AA123" s="418">
        <f t="shared" si="35"/>
        <v>0</v>
      </c>
      <c r="AB123" s="418">
        <f t="shared" si="36"/>
        <v>0</v>
      </c>
      <c r="AC123" s="418">
        <f t="shared" si="37"/>
        <v>0</v>
      </c>
      <c r="AD123" s="418">
        <f t="shared" si="38"/>
        <v>0</v>
      </c>
      <c r="AE123" s="413">
        <f t="shared" si="39"/>
        <v>0</v>
      </c>
    </row>
    <row r="124" spans="1:31" x14ac:dyDescent="0.3">
      <c r="A124" s="418" t="s">
        <v>10</v>
      </c>
      <c r="B124" s="418" t="s">
        <v>1780</v>
      </c>
      <c r="C124" s="418" t="s">
        <v>1168</v>
      </c>
      <c r="D124" s="418" t="str">
        <f t="shared" si="22"/>
        <v>101-E368</v>
      </c>
      <c r="E124" s="418">
        <v>0</v>
      </c>
      <c r="F124" s="418">
        <v>5850182.4400000004</v>
      </c>
      <c r="G124" s="418">
        <v>8839943.4000000004</v>
      </c>
      <c r="H124" s="418">
        <v>14909921.380000001</v>
      </c>
      <c r="I124" s="418">
        <v>0</v>
      </c>
      <c r="J124" s="413">
        <v>0</v>
      </c>
      <c r="L124" s="418" t="str">
        <f t="shared" si="23"/>
        <v>Emergent Electric</v>
      </c>
      <c r="M124" s="418" t="str">
        <f t="shared" si="24"/>
        <v>E368 DST Line Transformers</v>
      </c>
      <c r="N124" s="418" t="str">
        <f t="shared" si="20"/>
        <v>Programmatic</v>
      </c>
      <c r="O124" s="418" t="str">
        <f t="shared" si="25"/>
        <v>101-E368</v>
      </c>
      <c r="P124" s="418">
        <f t="shared" si="26"/>
        <v>0</v>
      </c>
      <c r="Q124" s="418">
        <f t="shared" si="27"/>
        <v>5850182.4400000004</v>
      </c>
      <c r="R124" s="418">
        <f t="shared" si="28"/>
        <v>8839943.4000000004</v>
      </c>
      <c r="S124" s="418">
        <f t="shared" si="29"/>
        <v>14909921.380000001</v>
      </c>
      <c r="T124" s="418">
        <f t="shared" si="30"/>
        <v>0</v>
      </c>
      <c r="V124" s="418" t="str">
        <f t="shared" si="31"/>
        <v>Emergent Electric</v>
      </c>
      <c r="W124" s="418" t="str">
        <f t="shared" si="32"/>
        <v>E368 DST Line Transformers</v>
      </c>
      <c r="X124" s="418" t="str">
        <f t="shared" si="21"/>
        <v>Programmatic</v>
      </c>
      <c r="Y124" s="418" t="str">
        <f t="shared" si="33"/>
        <v>101-E368</v>
      </c>
      <c r="Z124" s="418">
        <f t="shared" si="34"/>
        <v>0</v>
      </c>
      <c r="AA124" s="418">
        <f t="shared" si="35"/>
        <v>0</v>
      </c>
      <c r="AB124" s="418">
        <f t="shared" si="36"/>
        <v>0</v>
      </c>
      <c r="AC124" s="418">
        <f t="shared" si="37"/>
        <v>0</v>
      </c>
      <c r="AD124" s="418">
        <f t="shared" si="38"/>
        <v>0</v>
      </c>
      <c r="AE124" s="413">
        <f t="shared" si="39"/>
        <v>0</v>
      </c>
    </row>
    <row r="125" spans="1:31" x14ac:dyDescent="0.3">
      <c r="A125" s="418" t="s">
        <v>10</v>
      </c>
      <c r="B125" s="418" t="s">
        <v>1779</v>
      </c>
      <c r="C125" s="418" t="s">
        <v>1168</v>
      </c>
      <c r="D125" s="418" t="str">
        <f t="shared" si="22"/>
        <v>101-E369</v>
      </c>
      <c r="E125" s="418">
        <v>0</v>
      </c>
      <c r="F125" s="418">
        <v>289745.09000000003</v>
      </c>
      <c r="G125" s="418">
        <v>440699.35</v>
      </c>
      <c r="H125" s="418">
        <v>737892.35</v>
      </c>
      <c r="I125" s="418">
        <v>0</v>
      </c>
      <c r="J125" s="413">
        <v>0</v>
      </c>
      <c r="L125" s="418" t="str">
        <f t="shared" si="23"/>
        <v>Emergent Electric</v>
      </c>
      <c r="M125" s="418" t="str">
        <f t="shared" si="24"/>
        <v>E369 DST Services</v>
      </c>
      <c r="N125" s="418" t="str">
        <f t="shared" si="20"/>
        <v>Programmatic</v>
      </c>
      <c r="O125" s="418" t="str">
        <f t="shared" si="25"/>
        <v>101-E369</v>
      </c>
      <c r="P125" s="418">
        <f t="shared" si="26"/>
        <v>0</v>
      </c>
      <c r="Q125" s="418">
        <f t="shared" si="27"/>
        <v>289745.09000000003</v>
      </c>
      <c r="R125" s="418">
        <f t="shared" si="28"/>
        <v>440699.35</v>
      </c>
      <c r="S125" s="418">
        <f t="shared" si="29"/>
        <v>737892.35</v>
      </c>
      <c r="T125" s="418">
        <f t="shared" si="30"/>
        <v>0</v>
      </c>
      <c r="V125" s="418" t="str">
        <f t="shared" si="31"/>
        <v>Emergent Electric</v>
      </c>
      <c r="W125" s="418" t="str">
        <f t="shared" si="32"/>
        <v>E369 DST Services</v>
      </c>
      <c r="X125" s="418" t="str">
        <f t="shared" si="21"/>
        <v>Programmatic</v>
      </c>
      <c r="Y125" s="418" t="str">
        <f t="shared" si="33"/>
        <v>101-E369</v>
      </c>
      <c r="Z125" s="418">
        <f t="shared" si="34"/>
        <v>0</v>
      </c>
      <c r="AA125" s="418">
        <f t="shared" si="35"/>
        <v>0</v>
      </c>
      <c r="AB125" s="418">
        <f t="shared" si="36"/>
        <v>0</v>
      </c>
      <c r="AC125" s="418">
        <f t="shared" si="37"/>
        <v>0</v>
      </c>
      <c r="AD125" s="418">
        <f t="shared" si="38"/>
        <v>0</v>
      </c>
      <c r="AE125" s="413">
        <f t="shared" si="39"/>
        <v>0</v>
      </c>
    </row>
    <row r="126" spans="1:31" x14ac:dyDescent="0.3">
      <c r="A126" s="418" t="s">
        <v>10</v>
      </c>
      <c r="B126" s="418" t="s">
        <v>1778</v>
      </c>
      <c r="C126" s="418" t="s">
        <v>1168</v>
      </c>
      <c r="D126" s="418" t="str">
        <f t="shared" si="22"/>
        <v>101-E370</v>
      </c>
      <c r="E126" s="418">
        <v>0</v>
      </c>
      <c r="F126" s="418">
        <v>684989.4</v>
      </c>
      <c r="G126" s="418">
        <v>1037624.94</v>
      </c>
      <c r="H126" s="418">
        <v>1753341</v>
      </c>
      <c r="I126" s="418">
        <v>0</v>
      </c>
      <c r="J126" s="413">
        <v>0</v>
      </c>
      <c r="L126" s="418" t="str">
        <f t="shared" si="23"/>
        <v>Emergent Electric</v>
      </c>
      <c r="M126" s="418" t="str">
        <f t="shared" si="24"/>
        <v>E3701 DST Meters AMI</v>
      </c>
      <c r="N126" s="418" t="str">
        <f t="shared" si="20"/>
        <v>Programmatic</v>
      </c>
      <c r="O126" s="418" t="str">
        <f t="shared" si="25"/>
        <v>101-E370</v>
      </c>
      <c r="P126" s="418">
        <f t="shared" si="26"/>
        <v>0</v>
      </c>
      <c r="Q126" s="418">
        <f t="shared" si="27"/>
        <v>684989.4</v>
      </c>
      <c r="R126" s="418">
        <f t="shared" si="28"/>
        <v>1037624.94</v>
      </c>
      <c r="S126" s="418">
        <f t="shared" si="29"/>
        <v>1753341</v>
      </c>
      <c r="T126" s="418">
        <f t="shared" si="30"/>
        <v>0</v>
      </c>
      <c r="V126" s="418" t="str">
        <f t="shared" si="31"/>
        <v>Emergent Electric</v>
      </c>
      <c r="W126" s="418" t="str">
        <f t="shared" si="32"/>
        <v>E3701 DST Meters AMI</v>
      </c>
      <c r="X126" s="418" t="str">
        <f t="shared" si="21"/>
        <v>Programmatic</v>
      </c>
      <c r="Y126" s="418" t="str">
        <f t="shared" si="33"/>
        <v>101-E370</v>
      </c>
      <c r="Z126" s="418">
        <f t="shared" si="34"/>
        <v>0</v>
      </c>
      <c r="AA126" s="418">
        <f t="shared" si="35"/>
        <v>0</v>
      </c>
      <c r="AB126" s="418">
        <f t="shared" si="36"/>
        <v>0</v>
      </c>
      <c r="AC126" s="418">
        <f t="shared" si="37"/>
        <v>0</v>
      </c>
      <c r="AD126" s="418">
        <f t="shared" si="38"/>
        <v>0</v>
      </c>
      <c r="AE126" s="413">
        <f t="shared" si="39"/>
        <v>0</v>
      </c>
    </row>
    <row r="127" spans="1:31" x14ac:dyDescent="0.3">
      <c r="A127" s="418" t="s">
        <v>10</v>
      </c>
      <c r="B127" s="418" t="s">
        <v>1776</v>
      </c>
      <c r="C127" s="418" t="s">
        <v>1168</v>
      </c>
      <c r="D127" s="418" t="str">
        <f t="shared" si="22"/>
        <v>101-E373</v>
      </c>
      <c r="E127" s="418">
        <v>0</v>
      </c>
      <c r="F127" s="418">
        <v>91315.45</v>
      </c>
      <c r="G127" s="418">
        <v>136535.23000000001</v>
      </c>
      <c r="H127" s="418">
        <v>231149.63</v>
      </c>
      <c r="I127" s="418">
        <v>0</v>
      </c>
      <c r="J127" s="413">
        <v>0</v>
      </c>
      <c r="L127" s="418" t="str">
        <f t="shared" si="23"/>
        <v>Emergent Electric</v>
      </c>
      <c r="M127" s="418" t="str">
        <f t="shared" si="24"/>
        <v>E373 DST Street Lighting &amp; Signal</v>
      </c>
      <c r="N127" s="418" t="str">
        <f t="shared" si="20"/>
        <v>Programmatic</v>
      </c>
      <c r="O127" s="418" t="str">
        <f t="shared" si="25"/>
        <v>101-E373</v>
      </c>
      <c r="P127" s="418">
        <f t="shared" si="26"/>
        <v>0</v>
      </c>
      <c r="Q127" s="418">
        <f t="shared" si="27"/>
        <v>91315.45</v>
      </c>
      <c r="R127" s="418">
        <f t="shared" si="28"/>
        <v>136535.23000000001</v>
      </c>
      <c r="S127" s="418">
        <f t="shared" si="29"/>
        <v>231149.63</v>
      </c>
      <c r="T127" s="418">
        <f t="shared" si="30"/>
        <v>0</v>
      </c>
      <c r="V127" s="418" t="str">
        <f t="shared" si="31"/>
        <v>Emergent Electric</v>
      </c>
      <c r="W127" s="418" t="str">
        <f t="shared" si="32"/>
        <v>E373 DST Street Lighting &amp; Signal</v>
      </c>
      <c r="X127" s="418" t="str">
        <f t="shared" si="21"/>
        <v>Programmatic</v>
      </c>
      <c r="Y127" s="418" t="str">
        <f t="shared" si="33"/>
        <v>101-E373</v>
      </c>
      <c r="Z127" s="418">
        <f t="shared" si="34"/>
        <v>0</v>
      </c>
      <c r="AA127" s="418">
        <f t="shared" si="35"/>
        <v>0</v>
      </c>
      <c r="AB127" s="418">
        <f t="shared" si="36"/>
        <v>0</v>
      </c>
      <c r="AC127" s="418">
        <f t="shared" si="37"/>
        <v>0</v>
      </c>
      <c r="AD127" s="418">
        <f t="shared" si="38"/>
        <v>0</v>
      </c>
      <c r="AE127" s="413">
        <f t="shared" si="39"/>
        <v>0</v>
      </c>
    </row>
    <row r="128" spans="1:31" x14ac:dyDescent="0.3">
      <c r="A128" s="418" t="s">
        <v>10</v>
      </c>
      <c r="B128" s="418" t="s">
        <v>1772</v>
      </c>
      <c r="C128" s="418" t="s">
        <v>1168</v>
      </c>
      <c r="D128" s="418" t="str">
        <f t="shared" si="22"/>
        <v>101-E391</v>
      </c>
      <c r="E128" s="418">
        <v>0</v>
      </c>
      <c r="F128" s="418">
        <v>12519.2</v>
      </c>
      <c r="G128" s="418">
        <v>18345.46</v>
      </c>
      <c r="H128" s="418">
        <v>29888.240000000002</v>
      </c>
      <c r="I128" s="418">
        <v>0</v>
      </c>
      <c r="J128" s="413">
        <v>0</v>
      </c>
      <c r="L128" s="418" t="str">
        <f t="shared" si="23"/>
        <v>Emergent Electric</v>
      </c>
      <c r="M128" s="418" t="str">
        <f t="shared" si="24"/>
        <v>E3912 GEN Computer Eq, new</v>
      </c>
      <c r="N128" s="418" t="str">
        <f t="shared" si="20"/>
        <v>Programmatic</v>
      </c>
      <c r="O128" s="418" t="str">
        <f t="shared" si="25"/>
        <v>101-E391</v>
      </c>
      <c r="P128" s="418">
        <f t="shared" si="26"/>
        <v>0</v>
      </c>
      <c r="Q128" s="418">
        <f t="shared" si="27"/>
        <v>12519.2</v>
      </c>
      <c r="R128" s="418">
        <f t="shared" si="28"/>
        <v>18345.46</v>
      </c>
      <c r="S128" s="418">
        <f t="shared" si="29"/>
        <v>29888.240000000002</v>
      </c>
      <c r="T128" s="418">
        <f t="shared" si="30"/>
        <v>0</v>
      </c>
      <c r="V128" s="418" t="str">
        <f t="shared" si="31"/>
        <v>Emergent Electric</v>
      </c>
      <c r="W128" s="418" t="str">
        <f t="shared" si="32"/>
        <v>E3912 GEN Computer Eq, new</v>
      </c>
      <c r="X128" s="418" t="str">
        <f t="shared" si="21"/>
        <v>Programmatic</v>
      </c>
      <c r="Y128" s="418" t="str">
        <f t="shared" si="33"/>
        <v>101-E391</v>
      </c>
      <c r="Z128" s="418">
        <f t="shared" si="34"/>
        <v>0</v>
      </c>
      <c r="AA128" s="418">
        <f t="shared" si="35"/>
        <v>0</v>
      </c>
      <c r="AB128" s="418">
        <f t="shared" si="36"/>
        <v>0</v>
      </c>
      <c r="AC128" s="418">
        <f t="shared" si="37"/>
        <v>0</v>
      </c>
      <c r="AD128" s="418">
        <f t="shared" si="38"/>
        <v>0</v>
      </c>
      <c r="AE128" s="413">
        <f t="shared" si="39"/>
        <v>0</v>
      </c>
    </row>
    <row r="129" spans="1:31" x14ac:dyDescent="0.3">
      <c r="A129" s="418" t="s">
        <v>11</v>
      </c>
      <c r="B129" s="418" t="s">
        <v>1744</v>
      </c>
      <c r="C129" s="418" t="s">
        <v>1168</v>
      </c>
      <c r="D129" s="418" t="str">
        <f t="shared" si="22"/>
        <v>101-G376</v>
      </c>
      <c r="E129" s="418">
        <v>0</v>
      </c>
      <c r="F129" s="418">
        <v>722623.11</v>
      </c>
      <c r="G129" s="418">
        <v>1115247.58</v>
      </c>
      <c r="H129" s="418">
        <v>1940605.07</v>
      </c>
      <c r="I129" s="418">
        <v>0</v>
      </c>
      <c r="J129" s="413">
        <v>0</v>
      </c>
      <c r="L129" s="418" t="str">
        <f t="shared" si="23"/>
        <v>Emergent Gas</v>
      </c>
      <c r="M129" s="418" t="str">
        <f t="shared" si="24"/>
        <v>G3762 DST Mains, Plastic</v>
      </c>
      <c r="N129" s="418" t="str">
        <f t="shared" si="20"/>
        <v>Programmatic</v>
      </c>
      <c r="O129" s="418" t="str">
        <f t="shared" si="25"/>
        <v>101-G376</v>
      </c>
      <c r="P129" s="418">
        <f t="shared" si="26"/>
        <v>0</v>
      </c>
      <c r="Q129" s="418">
        <f t="shared" si="27"/>
        <v>0</v>
      </c>
      <c r="R129" s="418">
        <f t="shared" si="28"/>
        <v>0</v>
      </c>
      <c r="S129" s="418">
        <f t="shared" si="29"/>
        <v>0</v>
      </c>
      <c r="T129" s="418">
        <f t="shared" si="30"/>
        <v>0</v>
      </c>
      <c r="V129" s="418" t="str">
        <f t="shared" si="31"/>
        <v>Emergent Gas</v>
      </c>
      <c r="W129" s="418" t="str">
        <f t="shared" si="32"/>
        <v>G3762 DST Mains, Plastic</v>
      </c>
      <c r="X129" s="418" t="str">
        <f t="shared" si="21"/>
        <v>Programmatic</v>
      </c>
      <c r="Y129" s="418" t="str">
        <f t="shared" si="33"/>
        <v>101-G376</v>
      </c>
      <c r="Z129" s="418">
        <f t="shared" si="34"/>
        <v>0</v>
      </c>
      <c r="AA129" s="418">
        <f t="shared" si="35"/>
        <v>722623.11</v>
      </c>
      <c r="AB129" s="418">
        <f t="shared" si="36"/>
        <v>1115247.58</v>
      </c>
      <c r="AC129" s="418">
        <f t="shared" si="37"/>
        <v>1940605.07</v>
      </c>
      <c r="AD129" s="418">
        <f t="shared" si="38"/>
        <v>0</v>
      </c>
      <c r="AE129" s="413">
        <f t="shared" si="39"/>
        <v>0</v>
      </c>
    </row>
    <row r="130" spans="1:31" x14ac:dyDescent="0.3">
      <c r="A130" s="418" t="s">
        <v>11</v>
      </c>
      <c r="B130" s="418" t="s">
        <v>1743</v>
      </c>
      <c r="C130" s="418" t="s">
        <v>1168</v>
      </c>
      <c r="D130" s="418" t="str">
        <f t="shared" si="22"/>
        <v>101-G376</v>
      </c>
      <c r="E130" s="418">
        <v>0</v>
      </c>
      <c r="F130" s="418">
        <v>2329374.87</v>
      </c>
      <c r="G130" s="418">
        <v>3533276.52</v>
      </c>
      <c r="H130" s="418">
        <v>6016592.8300000001</v>
      </c>
      <c r="I130" s="418">
        <v>0</v>
      </c>
      <c r="J130" s="413">
        <v>0</v>
      </c>
      <c r="L130" s="418" t="str">
        <f t="shared" si="23"/>
        <v>Emergent Gas</v>
      </c>
      <c r="M130" s="418" t="str">
        <f t="shared" si="24"/>
        <v>G3764 DST Mains, Wrapped Steel</v>
      </c>
      <c r="N130" s="418" t="str">
        <f t="shared" si="20"/>
        <v>Programmatic</v>
      </c>
      <c r="O130" s="418" t="str">
        <f t="shared" si="25"/>
        <v>101-G376</v>
      </c>
      <c r="P130" s="418">
        <f t="shared" si="26"/>
        <v>0</v>
      </c>
      <c r="Q130" s="418">
        <f t="shared" si="27"/>
        <v>0</v>
      </c>
      <c r="R130" s="418">
        <f t="shared" si="28"/>
        <v>0</v>
      </c>
      <c r="S130" s="418">
        <f t="shared" si="29"/>
        <v>0</v>
      </c>
      <c r="T130" s="418">
        <f t="shared" si="30"/>
        <v>0</v>
      </c>
      <c r="V130" s="418" t="str">
        <f t="shared" si="31"/>
        <v>Emergent Gas</v>
      </c>
      <c r="W130" s="418" t="str">
        <f t="shared" si="32"/>
        <v>G3764 DST Mains, Wrapped Steel</v>
      </c>
      <c r="X130" s="418" t="str">
        <f t="shared" si="21"/>
        <v>Programmatic</v>
      </c>
      <c r="Y130" s="418" t="str">
        <f t="shared" si="33"/>
        <v>101-G376</v>
      </c>
      <c r="Z130" s="418">
        <f t="shared" si="34"/>
        <v>0</v>
      </c>
      <c r="AA130" s="418">
        <f t="shared" si="35"/>
        <v>2329374.87</v>
      </c>
      <c r="AB130" s="418">
        <f t="shared" si="36"/>
        <v>3533276.52</v>
      </c>
      <c r="AC130" s="418">
        <f t="shared" si="37"/>
        <v>6016592.8300000001</v>
      </c>
      <c r="AD130" s="418">
        <f t="shared" si="38"/>
        <v>0</v>
      </c>
      <c r="AE130" s="413">
        <f t="shared" si="39"/>
        <v>0</v>
      </c>
    </row>
    <row r="131" spans="1:31" x14ac:dyDescent="0.3">
      <c r="A131" s="418" t="s">
        <v>11</v>
      </c>
      <c r="B131" s="418" t="s">
        <v>1742</v>
      </c>
      <c r="C131" s="418" t="s">
        <v>1168</v>
      </c>
      <c r="D131" s="418" t="str">
        <f t="shared" si="22"/>
        <v>101-G376</v>
      </c>
      <c r="E131" s="418">
        <v>0</v>
      </c>
      <c r="F131" s="418">
        <v>1960175.47</v>
      </c>
      <c r="G131" s="418">
        <v>3021677.51</v>
      </c>
      <c r="H131" s="418">
        <v>5635144.0700000003</v>
      </c>
      <c r="I131" s="418">
        <v>0</v>
      </c>
      <c r="J131" s="413">
        <v>0</v>
      </c>
      <c r="L131" s="418" t="str">
        <f t="shared" si="23"/>
        <v>Emergent Gas</v>
      </c>
      <c r="M131" s="418" t="str">
        <f t="shared" si="24"/>
        <v>G3765 DST Mains, Cathodic Protectio</v>
      </c>
      <c r="N131" s="418" t="str">
        <f t="shared" si="20"/>
        <v>Programmatic</v>
      </c>
      <c r="O131" s="418" t="str">
        <f t="shared" si="25"/>
        <v>101-G376</v>
      </c>
      <c r="P131" s="418">
        <f t="shared" si="26"/>
        <v>0</v>
      </c>
      <c r="Q131" s="418">
        <f t="shared" si="27"/>
        <v>0</v>
      </c>
      <c r="R131" s="418">
        <f t="shared" si="28"/>
        <v>0</v>
      </c>
      <c r="S131" s="418">
        <f t="shared" si="29"/>
        <v>0</v>
      </c>
      <c r="T131" s="418">
        <f t="shared" si="30"/>
        <v>0</v>
      </c>
      <c r="V131" s="418" t="str">
        <f t="shared" si="31"/>
        <v>Emergent Gas</v>
      </c>
      <c r="W131" s="418" t="str">
        <f t="shared" si="32"/>
        <v>G3765 DST Mains, Cathodic Protectio</v>
      </c>
      <c r="X131" s="418" t="str">
        <f t="shared" si="21"/>
        <v>Programmatic</v>
      </c>
      <c r="Y131" s="418" t="str">
        <f t="shared" si="33"/>
        <v>101-G376</v>
      </c>
      <c r="Z131" s="418">
        <f t="shared" si="34"/>
        <v>0</v>
      </c>
      <c r="AA131" s="418">
        <f t="shared" si="35"/>
        <v>1960175.47</v>
      </c>
      <c r="AB131" s="418">
        <f t="shared" si="36"/>
        <v>3021677.51</v>
      </c>
      <c r="AC131" s="418">
        <f t="shared" si="37"/>
        <v>5635144.0700000003</v>
      </c>
      <c r="AD131" s="418">
        <f t="shared" si="38"/>
        <v>0</v>
      </c>
      <c r="AE131" s="413">
        <f t="shared" si="39"/>
        <v>0</v>
      </c>
    </row>
    <row r="132" spans="1:31" x14ac:dyDescent="0.3">
      <c r="A132" s="418" t="s">
        <v>11</v>
      </c>
      <c r="B132" s="418" t="s">
        <v>1740</v>
      </c>
      <c r="C132" s="418" t="s">
        <v>1168</v>
      </c>
      <c r="D132" s="418" t="str">
        <f t="shared" si="22"/>
        <v>101-G380</v>
      </c>
      <c r="E132" s="418">
        <v>0</v>
      </c>
      <c r="F132" s="418">
        <v>472857.45</v>
      </c>
      <c r="G132" s="418">
        <v>726766.47</v>
      </c>
      <c r="H132" s="418">
        <v>1292409.17</v>
      </c>
      <c r="I132" s="418">
        <v>0</v>
      </c>
      <c r="J132" s="413">
        <v>0</v>
      </c>
      <c r="L132" s="418" t="str">
        <f t="shared" si="23"/>
        <v>Emergent Gas</v>
      </c>
      <c r="M132" s="418" t="str">
        <f t="shared" si="24"/>
        <v>G3801 DST Services, Cathodic Protec</v>
      </c>
      <c r="N132" s="418" t="str">
        <f t="shared" ref="N132:N195" si="40">C132</f>
        <v>Programmatic</v>
      </c>
      <c r="O132" s="418" t="str">
        <f t="shared" si="25"/>
        <v>101-G380</v>
      </c>
      <c r="P132" s="418">
        <f t="shared" si="26"/>
        <v>0</v>
      </c>
      <c r="Q132" s="418">
        <f t="shared" si="27"/>
        <v>0</v>
      </c>
      <c r="R132" s="418">
        <f t="shared" si="28"/>
        <v>0</v>
      </c>
      <c r="S132" s="418">
        <f t="shared" si="29"/>
        <v>0</v>
      </c>
      <c r="T132" s="418">
        <f t="shared" si="30"/>
        <v>0</v>
      </c>
      <c r="V132" s="418" t="str">
        <f t="shared" si="31"/>
        <v>Emergent Gas</v>
      </c>
      <c r="W132" s="418" t="str">
        <f t="shared" si="32"/>
        <v>G3801 DST Services, Cathodic Protec</v>
      </c>
      <c r="X132" s="418" t="str">
        <f t="shared" ref="X132:X195" si="41">C132</f>
        <v>Programmatic</v>
      </c>
      <c r="Y132" s="418" t="str">
        <f t="shared" si="33"/>
        <v>101-G380</v>
      </c>
      <c r="Z132" s="418">
        <f t="shared" si="34"/>
        <v>0</v>
      </c>
      <c r="AA132" s="418">
        <f t="shared" si="35"/>
        <v>472857.45</v>
      </c>
      <c r="AB132" s="418">
        <f t="shared" si="36"/>
        <v>726766.47</v>
      </c>
      <c r="AC132" s="418">
        <f t="shared" si="37"/>
        <v>1292409.17</v>
      </c>
      <c r="AD132" s="418">
        <f t="shared" si="38"/>
        <v>0</v>
      </c>
      <c r="AE132" s="413">
        <f t="shared" si="39"/>
        <v>0</v>
      </c>
    </row>
    <row r="133" spans="1:31" x14ac:dyDescent="0.3">
      <c r="A133" s="418" t="s">
        <v>11</v>
      </c>
      <c r="B133" s="418" t="s">
        <v>1739</v>
      </c>
      <c r="C133" s="418" t="s">
        <v>1168</v>
      </c>
      <c r="D133" s="418" t="str">
        <f t="shared" ref="D133:D196" si="42">"101-"&amp; LEFT(B133,4)</f>
        <v>101-G380</v>
      </c>
      <c r="E133" s="418">
        <v>0</v>
      </c>
      <c r="F133" s="418">
        <v>10217977.4</v>
      </c>
      <c r="G133" s="418">
        <v>16365488.960000001</v>
      </c>
      <c r="H133" s="418">
        <v>29096741.210000001</v>
      </c>
      <c r="I133" s="418">
        <v>0</v>
      </c>
      <c r="J133" s="413">
        <v>0</v>
      </c>
      <c r="L133" s="418" t="str">
        <f t="shared" ref="L133:L196" si="43">A133</f>
        <v>Emergent Gas</v>
      </c>
      <c r="M133" s="418" t="str">
        <f t="shared" ref="M133:M196" si="44">B133</f>
        <v>G3802 DST Services, Plastic</v>
      </c>
      <c r="N133" s="418" t="str">
        <f t="shared" si="40"/>
        <v>Programmatic</v>
      </c>
      <c r="O133" s="418" t="str">
        <f t="shared" ref="O133:O196" si="45">D133</f>
        <v>101-G380</v>
      </c>
      <c r="P133" s="418">
        <f t="shared" ref="P133:P196" si="46">IF(MID($O133,5,1)="C",E133*$F$1,IF(MID($O133,5,1)="G",0,E133))</f>
        <v>0</v>
      </c>
      <c r="Q133" s="418">
        <f t="shared" ref="Q133:Q196" si="47">IF(MID($O133,5,1)="C",F133*$F$1,IF(MID($O133,5,1)="G",0,F133))</f>
        <v>0</v>
      </c>
      <c r="R133" s="418">
        <f t="shared" ref="R133:R196" si="48">IF(MID($O133,5,1)="C",G133*$F$1,IF(MID($O133,5,1)="G",0,G133))</f>
        <v>0</v>
      </c>
      <c r="S133" s="418">
        <f t="shared" ref="S133:S196" si="49">IF(MID($O133,5,1)="C",H133*$F$1,IF(MID($O133,5,1)="G",0,H133))</f>
        <v>0</v>
      </c>
      <c r="T133" s="418">
        <f t="shared" ref="T133:T196" si="50">IF(MID($O133,5,1)="C",I133*$F$1,IF(MID($O133,5,1)="G",0,I133))</f>
        <v>0</v>
      </c>
      <c r="V133" s="418" t="str">
        <f t="shared" ref="V133:V196" si="51">A133</f>
        <v>Emergent Gas</v>
      </c>
      <c r="W133" s="418" t="str">
        <f t="shared" ref="W133:W196" si="52">B133</f>
        <v>G3802 DST Services, Plastic</v>
      </c>
      <c r="X133" s="418" t="str">
        <f t="shared" si="41"/>
        <v>Programmatic</v>
      </c>
      <c r="Y133" s="418" t="str">
        <f t="shared" ref="Y133:Y196" si="53">D133</f>
        <v>101-G380</v>
      </c>
      <c r="Z133" s="418">
        <f t="shared" ref="Z133:Z196" si="54">IF(MID($O133,5,1)="C",E133*$D$1,IF(MID($O133,5,1)="E",0,E133))</f>
        <v>0</v>
      </c>
      <c r="AA133" s="418">
        <f t="shared" ref="AA133:AA196" si="55">IF(MID($O133,5,1)="C",F133*$D$1,IF(MID($O133,5,1)="E",0,F133))</f>
        <v>10217977.4</v>
      </c>
      <c r="AB133" s="418">
        <f t="shared" ref="AB133:AB196" si="56">IF(MID($O133,5,1)="C",G133*$D$1,IF(MID($O133,5,1)="E",0,G133))</f>
        <v>16365488.960000001</v>
      </c>
      <c r="AC133" s="418">
        <f t="shared" ref="AC133:AC196" si="57">IF(MID($O133,5,1)="C",H133*$D$1,IF(MID($O133,5,1)="E",0,H133))</f>
        <v>29096741.210000001</v>
      </c>
      <c r="AD133" s="418">
        <f t="shared" ref="AD133:AD196" si="58">IF(MID($O133,5,1)="C",I133*$D$1,IF(MID($O133,5,1)="E",0,I133))</f>
        <v>0</v>
      </c>
      <c r="AE133" s="413">
        <f t="shared" ref="AE133:AE196" si="59">SUM(E133:I133)-SUM(P133:T133)-SUM(Z133:AD133)</f>
        <v>0</v>
      </c>
    </row>
    <row r="134" spans="1:31" x14ac:dyDescent="0.3">
      <c r="A134" s="418" t="s">
        <v>11</v>
      </c>
      <c r="B134" s="418" t="s">
        <v>1738</v>
      </c>
      <c r="C134" s="418" t="s">
        <v>1168</v>
      </c>
      <c r="D134" s="418" t="str">
        <f t="shared" si="42"/>
        <v>101-G380</v>
      </c>
      <c r="E134" s="418">
        <v>0</v>
      </c>
      <c r="F134" s="418">
        <v>433552.35</v>
      </c>
      <c r="G134" s="418">
        <v>659564.38</v>
      </c>
      <c r="H134" s="418">
        <v>1120457.08</v>
      </c>
      <c r="I134" s="418">
        <v>0</v>
      </c>
      <c r="J134" s="413">
        <v>0</v>
      </c>
      <c r="L134" s="418" t="str">
        <f t="shared" si="43"/>
        <v>Emergent Gas</v>
      </c>
      <c r="M134" s="418" t="str">
        <f t="shared" si="44"/>
        <v>G3803 DST Services, Steel Wrapped</v>
      </c>
      <c r="N134" s="418" t="str">
        <f t="shared" si="40"/>
        <v>Programmatic</v>
      </c>
      <c r="O134" s="418" t="str">
        <f t="shared" si="45"/>
        <v>101-G380</v>
      </c>
      <c r="P134" s="418">
        <f t="shared" si="46"/>
        <v>0</v>
      </c>
      <c r="Q134" s="418">
        <f t="shared" si="47"/>
        <v>0</v>
      </c>
      <c r="R134" s="418">
        <f t="shared" si="48"/>
        <v>0</v>
      </c>
      <c r="S134" s="418">
        <f t="shared" si="49"/>
        <v>0</v>
      </c>
      <c r="T134" s="418">
        <f t="shared" si="50"/>
        <v>0</v>
      </c>
      <c r="V134" s="418" t="str">
        <f t="shared" si="51"/>
        <v>Emergent Gas</v>
      </c>
      <c r="W134" s="418" t="str">
        <f t="shared" si="52"/>
        <v>G3803 DST Services, Steel Wrapped</v>
      </c>
      <c r="X134" s="418" t="str">
        <f t="shared" si="41"/>
        <v>Programmatic</v>
      </c>
      <c r="Y134" s="418" t="str">
        <f t="shared" si="53"/>
        <v>101-G380</v>
      </c>
      <c r="Z134" s="418">
        <f t="shared" si="54"/>
        <v>0</v>
      </c>
      <c r="AA134" s="418">
        <f t="shared" si="55"/>
        <v>433552.35</v>
      </c>
      <c r="AB134" s="418">
        <f t="shared" si="56"/>
        <v>659564.38</v>
      </c>
      <c r="AC134" s="418">
        <f t="shared" si="57"/>
        <v>1120457.08</v>
      </c>
      <c r="AD134" s="418">
        <f t="shared" si="58"/>
        <v>0</v>
      </c>
      <c r="AE134" s="413">
        <f t="shared" si="59"/>
        <v>0</v>
      </c>
    </row>
    <row r="135" spans="1:31" x14ac:dyDescent="0.3">
      <c r="A135" s="418" t="s">
        <v>11</v>
      </c>
      <c r="B135" s="418" t="s">
        <v>1737</v>
      </c>
      <c r="C135" s="418" t="s">
        <v>1168</v>
      </c>
      <c r="D135" s="418" t="str">
        <f t="shared" si="42"/>
        <v>101-G381</v>
      </c>
      <c r="E135" s="418">
        <v>0</v>
      </c>
      <c r="F135" s="418">
        <v>125974.56</v>
      </c>
      <c r="G135" s="418">
        <v>190849.92000000001</v>
      </c>
      <c r="H135" s="418">
        <v>322549.56</v>
      </c>
      <c r="I135" s="418">
        <v>0</v>
      </c>
      <c r="J135" s="413">
        <v>0</v>
      </c>
      <c r="L135" s="418" t="str">
        <f t="shared" si="43"/>
        <v>Emergent Gas</v>
      </c>
      <c r="M135" s="418" t="str">
        <f t="shared" si="44"/>
        <v>G3810 DST Meters (AMR)</v>
      </c>
      <c r="N135" s="418" t="str">
        <f t="shared" si="40"/>
        <v>Programmatic</v>
      </c>
      <c r="O135" s="418" t="str">
        <f t="shared" si="45"/>
        <v>101-G381</v>
      </c>
      <c r="P135" s="418">
        <f t="shared" si="46"/>
        <v>0</v>
      </c>
      <c r="Q135" s="418">
        <f t="shared" si="47"/>
        <v>0</v>
      </c>
      <c r="R135" s="418">
        <f t="shared" si="48"/>
        <v>0</v>
      </c>
      <c r="S135" s="418">
        <f t="shared" si="49"/>
        <v>0</v>
      </c>
      <c r="T135" s="418">
        <f t="shared" si="50"/>
        <v>0</v>
      </c>
      <c r="V135" s="418" t="str">
        <f t="shared" si="51"/>
        <v>Emergent Gas</v>
      </c>
      <c r="W135" s="418" t="str">
        <f t="shared" si="52"/>
        <v>G3810 DST Meters (AMR)</v>
      </c>
      <c r="X135" s="418" t="str">
        <f t="shared" si="41"/>
        <v>Programmatic</v>
      </c>
      <c r="Y135" s="418" t="str">
        <f t="shared" si="53"/>
        <v>101-G381</v>
      </c>
      <c r="Z135" s="418">
        <f t="shared" si="54"/>
        <v>0</v>
      </c>
      <c r="AA135" s="418">
        <f t="shared" si="55"/>
        <v>125974.56</v>
      </c>
      <c r="AB135" s="418">
        <f t="shared" si="56"/>
        <v>190849.92000000001</v>
      </c>
      <c r="AC135" s="418">
        <f t="shared" si="57"/>
        <v>322549.56</v>
      </c>
      <c r="AD135" s="418">
        <f t="shared" si="58"/>
        <v>0</v>
      </c>
      <c r="AE135" s="413">
        <f t="shared" si="59"/>
        <v>0</v>
      </c>
    </row>
    <row r="136" spans="1:31" x14ac:dyDescent="0.3">
      <c r="A136" s="418" t="s">
        <v>11</v>
      </c>
      <c r="B136" s="418" t="s">
        <v>1736</v>
      </c>
      <c r="C136" s="418" t="s">
        <v>1168</v>
      </c>
      <c r="D136" s="418" t="str">
        <f t="shared" si="42"/>
        <v>101-G381</v>
      </c>
      <c r="E136" s="418">
        <v>0</v>
      </c>
      <c r="F136" s="418">
        <v>3748.08</v>
      </c>
      <c r="G136" s="418">
        <v>5678.28</v>
      </c>
      <c r="H136" s="418">
        <v>9596.52</v>
      </c>
      <c r="I136" s="418">
        <v>0</v>
      </c>
      <c r="J136" s="413">
        <v>0</v>
      </c>
      <c r="L136" s="418" t="str">
        <f t="shared" si="43"/>
        <v>Emergent Gas</v>
      </c>
      <c r="M136" s="418" t="str">
        <f t="shared" si="44"/>
        <v>G3812 DST Modules, AMI</v>
      </c>
      <c r="N136" s="418" t="str">
        <f t="shared" si="40"/>
        <v>Programmatic</v>
      </c>
      <c r="O136" s="418" t="str">
        <f t="shared" si="45"/>
        <v>101-G381</v>
      </c>
      <c r="P136" s="418">
        <f t="shared" si="46"/>
        <v>0</v>
      </c>
      <c r="Q136" s="418">
        <f t="shared" si="47"/>
        <v>0</v>
      </c>
      <c r="R136" s="418">
        <f t="shared" si="48"/>
        <v>0</v>
      </c>
      <c r="S136" s="418">
        <f t="shared" si="49"/>
        <v>0</v>
      </c>
      <c r="T136" s="418">
        <f t="shared" si="50"/>
        <v>0</v>
      </c>
      <c r="V136" s="418" t="str">
        <f t="shared" si="51"/>
        <v>Emergent Gas</v>
      </c>
      <c r="W136" s="418" t="str">
        <f t="shared" si="52"/>
        <v>G3812 DST Modules, AMI</v>
      </c>
      <c r="X136" s="418" t="str">
        <f t="shared" si="41"/>
        <v>Programmatic</v>
      </c>
      <c r="Y136" s="418" t="str">
        <f t="shared" si="53"/>
        <v>101-G381</v>
      </c>
      <c r="Z136" s="418">
        <f t="shared" si="54"/>
        <v>0</v>
      </c>
      <c r="AA136" s="418">
        <f t="shared" si="55"/>
        <v>3748.08</v>
      </c>
      <c r="AB136" s="418">
        <f t="shared" si="56"/>
        <v>5678.28</v>
      </c>
      <c r="AC136" s="418">
        <f t="shared" si="57"/>
        <v>9596.52</v>
      </c>
      <c r="AD136" s="418">
        <f t="shared" si="58"/>
        <v>0</v>
      </c>
      <c r="AE136" s="413">
        <f t="shared" si="59"/>
        <v>0</v>
      </c>
    </row>
    <row r="137" spans="1:31" x14ac:dyDescent="0.3">
      <c r="A137" s="418" t="s">
        <v>11</v>
      </c>
      <c r="B137" s="418" t="s">
        <v>1735</v>
      </c>
      <c r="C137" s="418" t="s">
        <v>1168</v>
      </c>
      <c r="D137" s="418" t="str">
        <f t="shared" si="42"/>
        <v>101-G382</v>
      </c>
      <c r="E137" s="418">
        <v>0</v>
      </c>
      <c r="F137" s="418">
        <v>1221051.24</v>
      </c>
      <c r="G137" s="418">
        <v>2054533.85</v>
      </c>
      <c r="H137" s="418">
        <v>3738891.01</v>
      </c>
      <c r="I137" s="418">
        <v>0</v>
      </c>
      <c r="J137" s="413">
        <v>0</v>
      </c>
      <c r="L137" s="418" t="str">
        <f t="shared" si="43"/>
        <v>Emergent Gas</v>
      </c>
      <c r="M137" s="418" t="str">
        <f t="shared" si="44"/>
        <v>G3820 DST Meter Installations (AMR)</v>
      </c>
      <c r="N137" s="418" t="str">
        <f t="shared" si="40"/>
        <v>Programmatic</v>
      </c>
      <c r="O137" s="418" t="str">
        <f t="shared" si="45"/>
        <v>101-G382</v>
      </c>
      <c r="P137" s="418">
        <f t="shared" si="46"/>
        <v>0</v>
      </c>
      <c r="Q137" s="418">
        <f t="shared" si="47"/>
        <v>0</v>
      </c>
      <c r="R137" s="418">
        <f t="shared" si="48"/>
        <v>0</v>
      </c>
      <c r="S137" s="418">
        <f t="shared" si="49"/>
        <v>0</v>
      </c>
      <c r="T137" s="418">
        <f t="shared" si="50"/>
        <v>0</v>
      </c>
      <c r="V137" s="418" t="str">
        <f t="shared" si="51"/>
        <v>Emergent Gas</v>
      </c>
      <c r="W137" s="418" t="str">
        <f t="shared" si="52"/>
        <v>G3820 DST Meter Installations (AMR)</v>
      </c>
      <c r="X137" s="418" t="str">
        <f t="shared" si="41"/>
        <v>Programmatic</v>
      </c>
      <c r="Y137" s="418" t="str">
        <f t="shared" si="53"/>
        <v>101-G382</v>
      </c>
      <c r="Z137" s="418">
        <f t="shared" si="54"/>
        <v>0</v>
      </c>
      <c r="AA137" s="418">
        <f t="shared" si="55"/>
        <v>1221051.24</v>
      </c>
      <c r="AB137" s="418">
        <f t="shared" si="56"/>
        <v>2054533.85</v>
      </c>
      <c r="AC137" s="418">
        <f t="shared" si="57"/>
        <v>3738891.01</v>
      </c>
      <c r="AD137" s="418">
        <f t="shared" si="58"/>
        <v>0</v>
      </c>
      <c r="AE137" s="413">
        <f t="shared" si="59"/>
        <v>0</v>
      </c>
    </row>
    <row r="138" spans="1:31" x14ac:dyDescent="0.3">
      <c r="A138" s="418" t="s">
        <v>11</v>
      </c>
      <c r="B138" s="418" t="s">
        <v>1734</v>
      </c>
      <c r="C138" s="418" t="s">
        <v>1168</v>
      </c>
      <c r="D138" s="418" t="str">
        <f t="shared" si="42"/>
        <v>101-G382</v>
      </c>
      <c r="E138" s="418">
        <v>0</v>
      </c>
      <c r="F138" s="418">
        <v>3748.08</v>
      </c>
      <c r="G138" s="418">
        <v>5678.28</v>
      </c>
      <c r="H138" s="418">
        <v>9596.52</v>
      </c>
      <c r="I138" s="418">
        <v>0</v>
      </c>
      <c r="J138" s="413">
        <v>0</v>
      </c>
      <c r="L138" s="418" t="str">
        <f t="shared" si="43"/>
        <v>Emergent Gas</v>
      </c>
      <c r="M138" s="418" t="str">
        <f t="shared" si="44"/>
        <v>G3822 DST Module Installations, AMI</v>
      </c>
      <c r="N138" s="418" t="str">
        <f t="shared" si="40"/>
        <v>Programmatic</v>
      </c>
      <c r="O138" s="418" t="str">
        <f t="shared" si="45"/>
        <v>101-G382</v>
      </c>
      <c r="P138" s="418">
        <f t="shared" si="46"/>
        <v>0</v>
      </c>
      <c r="Q138" s="418">
        <f t="shared" si="47"/>
        <v>0</v>
      </c>
      <c r="R138" s="418">
        <f t="shared" si="48"/>
        <v>0</v>
      </c>
      <c r="S138" s="418">
        <f t="shared" si="49"/>
        <v>0</v>
      </c>
      <c r="T138" s="418">
        <f t="shared" si="50"/>
        <v>0</v>
      </c>
      <c r="V138" s="418" t="str">
        <f t="shared" si="51"/>
        <v>Emergent Gas</v>
      </c>
      <c r="W138" s="418" t="str">
        <f t="shared" si="52"/>
        <v>G3822 DST Module Installations, AMI</v>
      </c>
      <c r="X138" s="418" t="str">
        <f t="shared" si="41"/>
        <v>Programmatic</v>
      </c>
      <c r="Y138" s="418" t="str">
        <f t="shared" si="53"/>
        <v>101-G382</v>
      </c>
      <c r="Z138" s="418">
        <f t="shared" si="54"/>
        <v>0</v>
      </c>
      <c r="AA138" s="418">
        <f t="shared" si="55"/>
        <v>3748.08</v>
      </c>
      <c r="AB138" s="418">
        <f t="shared" si="56"/>
        <v>5678.28</v>
      </c>
      <c r="AC138" s="418">
        <f t="shared" si="57"/>
        <v>9596.52</v>
      </c>
      <c r="AD138" s="418">
        <f t="shared" si="58"/>
        <v>0</v>
      </c>
      <c r="AE138" s="413">
        <f t="shared" si="59"/>
        <v>0</v>
      </c>
    </row>
    <row r="139" spans="1:31" x14ac:dyDescent="0.3">
      <c r="A139" s="418" t="s">
        <v>11</v>
      </c>
      <c r="B139" s="418" t="s">
        <v>1733</v>
      </c>
      <c r="C139" s="418" t="s">
        <v>1168</v>
      </c>
      <c r="D139" s="418" t="str">
        <f t="shared" si="42"/>
        <v>101-G383</v>
      </c>
      <c r="E139" s="418">
        <v>0</v>
      </c>
      <c r="F139" s="418">
        <v>1874.04</v>
      </c>
      <c r="G139" s="418">
        <v>2839.13</v>
      </c>
      <c r="H139" s="418">
        <v>4798.26</v>
      </c>
      <c r="I139" s="418">
        <v>0</v>
      </c>
      <c r="J139" s="413">
        <v>0</v>
      </c>
      <c r="L139" s="418" t="str">
        <f t="shared" si="43"/>
        <v>Emergent Gas</v>
      </c>
      <c r="M139" s="418" t="str">
        <f t="shared" si="44"/>
        <v>G383 DST House Regulators</v>
      </c>
      <c r="N139" s="418" t="str">
        <f t="shared" si="40"/>
        <v>Programmatic</v>
      </c>
      <c r="O139" s="418" t="str">
        <f t="shared" si="45"/>
        <v>101-G383</v>
      </c>
      <c r="P139" s="418">
        <f t="shared" si="46"/>
        <v>0</v>
      </c>
      <c r="Q139" s="418">
        <f t="shared" si="47"/>
        <v>0</v>
      </c>
      <c r="R139" s="418">
        <f t="shared" si="48"/>
        <v>0</v>
      </c>
      <c r="S139" s="418">
        <f t="shared" si="49"/>
        <v>0</v>
      </c>
      <c r="T139" s="418">
        <f t="shared" si="50"/>
        <v>0</v>
      </c>
      <c r="V139" s="418" t="str">
        <f t="shared" si="51"/>
        <v>Emergent Gas</v>
      </c>
      <c r="W139" s="418" t="str">
        <f t="shared" si="52"/>
        <v>G383 DST House Regulators</v>
      </c>
      <c r="X139" s="418" t="str">
        <f t="shared" si="41"/>
        <v>Programmatic</v>
      </c>
      <c r="Y139" s="418" t="str">
        <f t="shared" si="53"/>
        <v>101-G383</v>
      </c>
      <c r="Z139" s="418">
        <f t="shared" si="54"/>
        <v>0</v>
      </c>
      <c r="AA139" s="418">
        <f t="shared" si="55"/>
        <v>1874.04</v>
      </c>
      <c r="AB139" s="418">
        <f t="shared" si="56"/>
        <v>2839.13</v>
      </c>
      <c r="AC139" s="418">
        <f t="shared" si="57"/>
        <v>4798.26</v>
      </c>
      <c r="AD139" s="418">
        <f t="shared" si="58"/>
        <v>0</v>
      </c>
      <c r="AE139" s="413">
        <f t="shared" si="59"/>
        <v>0</v>
      </c>
    </row>
    <row r="140" spans="1:31" x14ac:dyDescent="0.3">
      <c r="A140" s="418" t="s">
        <v>11</v>
      </c>
      <c r="B140" s="418" t="s">
        <v>1732</v>
      </c>
      <c r="C140" s="418" t="s">
        <v>1168</v>
      </c>
      <c r="D140" s="418" t="str">
        <f t="shared" si="42"/>
        <v>101-G384</v>
      </c>
      <c r="E140" s="418">
        <v>0</v>
      </c>
      <c r="F140" s="418">
        <v>78163.44</v>
      </c>
      <c r="G140" s="418">
        <v>131233.19</v>
      </c>
      <c r="H140" s="418">
        <v>238488.06</v>
      </c>
      <c r="I140" s="418">
        <v>0</v>
      </c>
      <c r="J140" s="413">
        <v>0</v>
      </c>
      <c r="L140" s="418" t="str">
        <f t="shared" si="43"/>
        <v>Emergent Gas</v>
      </c>
      <c r="M140" s="418" t="str">
        <f t="shared" si="44"/>
        <v>G384 DST House Regulator Installs</v>
      </c>
      <c r="N140" s="418" t="str">
        <f t="shared" si="40"/>
        <v>Programmatic</v>
      </c>
      <c r="O140" s="418" t="str">
        <f t="shared" si="45"/>
        <v>101-G384</v>
      </c>
      <c r="P140" s="418">
        <f t="shared" si="46"/>
        <v>0</v>
      </c>
      <c r="Q140" s="418">
        <f t="shared" si="47"/>
        <v>0</v>
      </c>
      <c r="R140" s="418">
        <f t="shared" si="48"/>
        <v>0</v>
      </c>
      <c r="S140" s="418">
        <f t="shared" si="49"/>
        <v>0</v>
      </c>
      <c r="T140" s="418">
        <f t="shared" si="50"/>
        <v>0</v>
      </c>
      <c r="V140" s="418" t="str">
        <f t="shared" si="51"/>
        <v>Emergent Gas</v>
      </c>
      <c r="W140" s="418" t="str">
        <f t="shared" si="52"/>
        <v>G384 DST House Regulator Installs</v>
      </c>
      <c r="X140" s="418" t="str">
        <f t="shared" si="41"/>
        <v>Programmatic</v>
      </c>
      <c r="Y140" s="418" t="str">
        <f t="shared" si="53"/>
        <v>101-G384</v>
      </c>
      <c r="Z140" s="418">
        <f t="shared" si="54"/>
        <v>0</v>
      </c>
      <c r="AA140" s="418">
        <f t="shared" si="55"/>
        <v>78163.44</v>
      </c>
      <c r="AB140" s="418">
        <f t="shared" si="56"/>
        <v>131233.19</v>
      </c>
      <c r="AC140" s="418">
        <f t="shared" si="57"/>
        <v>238488.06</v>
      </c>
      <c r="AD140" s="418">
        <f t="shared" si="58"/>
        <v>0</v>
      </c>
      <c r="AE140" s="413">
        <f t="shared" si="59"/>
        <v>0</v>
      </c>
    </row>
    <row r="141" spans="1:31" x14ac:dyDescent="0.3">
      <c r="A141" s="418" t="s">
        <v>11</v>
      </c>
      <c r="B141" s="418" t="s">
        <v>1731</v>
      </c>
      <c r="C141" s="418" t="s">
        <v>1168</v>
      </c>
      <c r="D141" s="418" t="str">
        <f t="shared" si="42"/>
        <v>101-G385</v>
      </c>
      <c r="E141" s="418">
        <v>0</v>
      </c>
      <c r="F141" s="418">
        <v>450706.05</v>
      </c>
      <c r="G141" s="418">
        <v>702346.19</v>
      </c>
      <c r="H141" s="418">
        <v>1215943.46</v>
      </c>
      <c r="I141" s="418">
        <v>0</v>
      </c>
      <c r="J141" s="413">
        <v>0</v>
      </c>
      <c r="L141" s="418" t="str">
        <f t="shared" si="43"/>
        <v>Emergent Gas</v>
      </c>
      <c r="M141" s="418" t="str">
        <f t="shared" si="44"/>
        <v>G385 DST Industrial M&amp;R Sta Eq</v>
      </c>
      <c r="N141" s="418" t="str">
        <f t="shared" si="40"/>
        <v>Programmatic</v>
      </c>
      <c r="O141" s="418" t="str">
        <f t="shared" si="45"/>
        <v>101-G385</v>
      </c>
      <c r="P141" s="418">
        <f t="shared" si="46"/>
        <v>0</v>
      </c>
      <c r="Q141" s="418">
        <f t="shared" si="47"/>
        <v>0</v>
      </c>
      <c r="R141" s="418">
        <f t="shared" si="48"/>
        <v>0</v>
      </c>
      <c r="S141" s="418">
        <f t="shared" si="49"/>
        <v>0</v>
      </c>
      <c r="T141" s="418">
        <f t="shared" si="50"/>
        <v>0</v>
      </c>
      <c r="V141" s="418" t="str">
        <f t="shared" si="51"/>
        <v>Emergent Gas</v>
      </c>
      <c r="W141" s="418" t="str">
        <f t="shared" si="52"/>
        <v>G385 DST Industrial M&amp;R Sta Eq</v>
      </c>
      <c r="X141" s="418" t="str">
        <f t="shared" si="41"/>
        <v>Programmatic</v>
      </c>
      <c r="Y141" s="418" t="str">
        <f t="shared" si="53"/>
        <v>101-G385</v>
      </c>
      <c r="Z141" s="418">
        <f t="shared" si="54"/>
        <v>0</v>
      </c>
      <c r="AA141" s="418">
        <f t="shared" si="55"/>
        <v>450706.05</v>
      </c>
      <c r="AB141" s="418">
        <f t="shared" si="56"/>
        <v>702346.19</v>
      </c>
      <c r="AC141" s="418">
        <f t="shared" si="57"/>
        <v>1215943.46</v>
      </c>
      <c r="AD141" s="418">
        <f t="shared" si="58"/>
        <v>0</v>
      </c>
      <c r="AE141" s="413">
        <f t="shared" si="59"/>
        <v>0</v>
      </c>
    </row>
    <row r="142" spans="1:31" x14ac:dyDescent="0.3">
      <c r="A142" s="418" t="s">
        <v>1608</v>
      </c>
      <c r="B142" s="418" t="s">
        <v>1889</v>
      </c>
      <c r="C142" s="418" t="s">
        <v>1181</v>
      </c>
      <c r="D142" s="418" t="str">
        <f t="shared" si="42"/>
        <v>101-E303</v>
      </c>
      <c r="E142" s="418">
        <v>0</v>
      </c>
      <c r="F142" s="418">
        <v>0</v>
      </c>
      <c r="G142" s="418">
        <v>0</v>
      </c>
      <c r="H142" s="418">
        <v>0</v>
      </c>
      <c r="I142" s="418">
        <v>0</v>
      </c>
      <c r="J142" s="413">
        <v>0</v>
      </c>
      <c r="L142" s="418" t="str">
        <f t="shared" si="43"/>
        <v>EMS Upgrade</v>
      </c>
      <c r="M142" s="418" t="str">
        <f t="shared" si="44"/>
        <v>E303.10 INT Misc Intangible Plant</v>
      </c>
      <c r="N142" s="418" t="str">
        <f t="shared" si="40"/>
        <v>Specific</v>
      </c>
      <c r="O142" s="418" t="str">
        <f t="shared" si="45"/>
        <v>101-E303</v>
      </c>
      <c r="P142" s="418">
        <f t="shared" si="46"/>
        <v>0</v>
      </c>
      <c r="Q142" s="418">
        <f t="shared" si="47"/>
        <v>0</v>
      </c>
      <c r="R142" s="418">
        <f t="shared" si="48"/>
        <v>0</v>
      </c>
      <c r="S142" s="418">
        <f t="shared" si="49"/>
        <v>0</v>
      </c>
      <c r="T142" s="418">
        <f t="shared" si="50"/>
        <v>0</v>
      </c>
      <c r="V142" s="418" t="str">
        <f t="shared" si="51"/>
        <v>EMS Upgrade</v>
      </c>
      <c r="W142" s="418" t="str">
        <f t="shared" si="52"/>
        <v>E303.10 INT Misc Intangible Plant</v>
      </c>
      <c r="X142" s="418" t="str">
        <f t="shared" si="41"/>
        <v>Specific</v>
      </c>
      <c r="Y142" s="418" t="str">
        <f t="shared" si="53"/>
        <v>101-E303</v>
      </c>
      <c r="Z142" s="418">
        <f t="shared" si="54"/>
        <v>0</v>
      </c>
      <c r="AA142" s="418">
        <f t="shared" si="55"/>
        <v>0</v>
      </c>
      <c r="AB142" s="418">
        <f t="shared" si="56"/>
        <v>0</v>
      </c>
      <c r="AC142" s="418">
        <f t="shared" si="57"/>
        <v>0</v>
      </c>
      <c r="AD142" s="418">
        <f t="shared" si="58"/>
        <v>0</v>
      </c>
      <c r="AE142" s="413">
        <f t="shared" si="59"/>
        <v>0</v>
      </c>
    </row>
    <row r="143" spans="1:31" x14ac:dyDescent="0.3">
      <c r="A143" s="418" t="s">
        <v>12</v>
      </c>
      <c r="B143" s="418" t="s">
        <v>1715</v>
      </c>
      <c r="C143" s="418" t="s">
        <v>1181</v>
      </c>
      <c r="D143" s="418" t="str">
        <f t="shared" si="42"/>
        <v>101-E353</v>
      </c>
      <c r="E143" s="418">
        <v>0</v>
      </c>
      <c r="F143" s="418">
        <v>0</v>
      </c>
      <c r="G143" s="418">
        <v>4196963.8600000003</v>
      </c>
      <c r="H143" s="418">
        <v>20145426.510000002</v>
      </c>
      <c r="I143" s="418">
        <v>0</v>
      </c>
      <c r="J143" s="413">
        <v>0</v>
      </c>
      <c r="L143" s="418" t="str">
        <f t="shared" si="43"/>
        <v>Energize Eastside</v>
      </c>
      <c r="M143" s="418" t="str">
        <f t="shared" si="44"/>
        <v>E3536 TSM Substation Equipment</v>
      </c>
      <c r="N143" s="418" t="str">
        <f t="shared" si="40"/>
        <v>Specific</v>
      </c>
      <c r="O143" s="418" t="str">
        <f t="shared" si="45"/>
        <v>101-E353</v>
      </c>
      <c r="P143" s="418">
        <f t="shared" si="46"/>
        <v>0</v>
      </c>
      <c r="Q143" s="418">
        <f t="shared" si="47"/>
        <v>0</v>
      </c>
      <c r="R143" s="418">
        <f t="shared" si="48"/>
        <v>4196963.8600000003</v>
      </c>
      <c r="S143" s="418">
        <f t="shared" si="49"/>
        <v>20145426.510000002</v>
      </c>
      <c r="T143" s="418">
        <f t="shared" si="50"/>
        <v>0</v>
      </c>
      <c r="V143" s="418" t="str">
        <f t="shared" si="51"/>
        <v>Energize Eastside</v>
      </c>
      <c r="W143" s="418" t="str">
        <f t="shared" si="52"/>
        <v>E3536 TSM Substation Equipment</v>
      </c>
      <c r="X143" s="418" t="str">
        <f t="shared" si="41"/>
        <v>Specific</v>
      </c>
      <c r="Y143" s="418" t="str">
        <f t="shared" si="53"/>
        <v>101-E353</v>
      </c>
      <c r="Z143" s="418">
        <f t="shared" si="54"/>
        <v>0</v>
      </c>
      <c r="AA143" s="418">
        <f t="shared" si="55"/>
        <v>0</v>
      </c>
      <c r="AB143" s="418">
        <f t="shared" si="56"/>
        <v>0</v>
      </c>
      <c r="AC143" s="418">
        <f t="shared" si="57"/>
        <v>0</v>
      </c>
      <c r="AD143" s="418">
        <f t="shared" si="58"/>
        <v>0</v>
      </c>
      <c r="AE143" s="413">
        <f t="shared" si="59"/>
        <v>0</v>
      </c>
    </row>
    <row r="144" spans="1:31" x14ac:dyDescent="0.3">
      <c r="A144" s="418" t="s">
        <v>12</v>
      </c>
      <c r="B144" s="418" t="s">
        <v>1793</v>
      </c>
      <c r="C144" s="418" t="s">
        <v>1181</v>
      </c>
      <c r="D144" s="418" t="str">
        <f t="shared" si="42"/>
        <v>101-E355</v>
      </c>
      <c r="E144" s="418">
        <v>0</v>
      </c>
      <c r="F144" s="418">
        <v>0</v>
      </c>
      <c r="G144" s="418">
        <v>480518.93</v>
      </c>
      <c r="H144" s="418">
        <v>42509487.450000003</v>
      </c>
      <c r="I144" s="418">
        <v>0</v>
      </c>
      <c r="J144" s="413">
        <v>0</v>
      </c>
      <c r="L144" s="418" t="str">
        <f t="shared" si="43"/>
        <v>Energize Eastside</v>
      </c>
      <c r="M144" s="418" t="str">
        <f t="shared" si="44"/>
        <v>E355 TSM Poles &amp; Fixtures</v>
      </c>
      <c r="N144" s="418" t="str">
        <f t="shared" si="40"/>
        <v>Specific</v>
      </c>
      <c r="O144" s="418" t="str">
        <f t="shared" si="45"/>
        <v>101-E355</v>
      </c>
      <c r="P144" s="418">
        <f t="shared" si="46"/>
        <v>0</v>
      </c>
      <c r="Q144" s="418">
        <f t="shared" si="47"/>
        <v>0</v>
      </c>
      <c r="R144" s="418">
        <f t="shared" si="48"/>
        <v>480518.93</v>
      </c>
      <c r="S144" s="418">
        <f t="shared" si="49"/>
        <v>42509487.450000003</v>
      </c>
      <c r="T144" s="418">
        <f t="shared" si="50"/>
        <v>0</v>
      </c>
      <c r="V144" s="418" t="str">
        <f t="shared" si="51"/>
        <v>Energize Eastside</v>
      </c>
      <c r="W144" s="418" t="str">
        <f t="shared" si="52"/>
        <v>E355 TSM Poles &amp; Fixtures</v>
      </c>
      <c r="X144" s="418" t="str">
        <f t="shared" si="41"/>
        <v>Specific</v>
      </c>
      <c r="Y144" s="418" t="str">
        <f t="shared" si="53"/>
        <v>101-E355</v>
      </c>
      <c r="Z144" s="418">
        <f t="shared" si="54"/>
        <v>0</v>
      </c>
      <c r="AA144" s="418">
        <f t="shared" si="55"/>
        <v>0</v>
      </c>
      <c r="AB144" s="418">
        <f t="shared" si="56"/>
        <v>0</v>
      </c>
      <c r="AC144" s="418">
        <f t="shared" si="57"/>
        <v>0</v>
      </c>
      <c r="AD144" s="418">
        <f t="shared" si="58"/>
        <v>0</v>
      </c>
      <c r="AE144" s="413">
        <f t="shared" si="59"/>
        <v>0</v>
      </c>
    </row>
    <row r="145" spans="1:31" x14ac:dyDescent="0.3">
      <c r="A145" s="418" t="s">
        <v>12</v>
      </c>
      <c r="B145" s="418" t="s">
        <v>1717</v>
      </c>
      <c r="C145" s="418" t="s">
        <v>1181</v>
      </c>
      <c r="D145" s="418" t="str">
        <f t="shared" si="42"/>
        <v>101-E355</v>
      </c>
      <c r="E145" s="418">
        <v>0</v>
      </c>
      <c r="F145" s="418">
        <v>0</v>
      </c>
      <c r="G145" s="418">
        <v>55606.74</v>
      </c>
      <c r="H145" s="418">
        <v>4919294.24</v>
      </c>
      <c r="I145" s="418">
        <v>0</v>
      </c>
      <c r="J145" s="413">
        <v>0</v>
      </c>
      <c r="L145" s="418" t="str">
        <f t="shared" si="43"/>
        <v>Energize Eastside</v>
      </c>
      <c r="M145" s="418" t="str">
        <f t="shared" si="44"/>
        <v>E3556 TSM Poles</v>
      </c>
      <c r="N145" s="418" t="str">
        <f t="shared" si="40"/>
        <v>Specific</v>
      </c>
      <c r="O145" s="418" t="str">
        <f t="shared" si="45"/>
        <v>101-E355</v>
      </c>
      <c r="P145" s="418">
        <f t="shared" si="46"/>
        <v>0</v>
      </c>
      <c r="Q145" s="418">
        <f t="shared" si="47"/>
        <v>0</v>
      </c>
      <c r="R145" s="418">
        <f t="shared" si="48"/>
        <v>55606.74</v>
      </c>
      <c r="S145" s="418">
        <f t="shared" si="49"/>
        <v>4919294.24</v>
      </c>
      <c r="T145" s="418">
        <f t="shared" si="50"/>
        <v>0</v>
      </c>
      <c r="V145" s="418" t="str">
        <f t="shared" si="51"/>
        <v>Energize Eastside</v>
      </c>
      <c r="W145" s="418" t="str">
        <f t="shared" si="52"/>
        <v>E3556 TSM Poles</v>
      </c>
      <c r="X145" s="418" t="str">
        <f t="shared" si="41"/>
        <v>Specific</v>
      </c>
      <c r="Y145" s="418" t="str">
        <f t="shared" si="53"/>
        <v>101-E355</v>
      </c>
      <c r="Z145" s="418">
        <f t="shared" si="54"/>
        <v>0</v>
      </c>
      <c r="AA145" s="418">
        <f t="shared" si="55"/>
        <v>0</v>
      </c>
      <c r="AB145" s="418">
        <f t="shared" si="56"/>
        <v>0</v>
      </c>
      <c r="AC145" s="418">
        <f t="shared" si="57"/>
        <v>0</v>
      </c>
      <c r="AD145" s="418">
        <f t="shared" si="58"/>
        <v>0</v>
      </c>
      <c r="AE145" s="413">
        <f t="shared" si="59"/>
        <v>0</v>
      </c>
    </row>
    <row r="146" spans="1:31" x14ac:dyDescent="0.3">
      <c r="A146" s="418" t="s">
        <v>12</v>
      </c>
      <c r="B146" s="418" t="s">
        <v>1789</v>
      </c>
      <c r="C146" s="418" t="s">
        <v>1181</v>
      </c>
      <c r="D146" s="418" t="str">
        <f t="shared" si="42"/>
        <v>101-E356</v>
      </c>
      <c r="E146" s="418">
        <v>0</v>
      </c>
      <c r="F146" s="418">
        <v>0</v>
      </c>
      <c r="G146" s="418">
        <v>86861.56</v>
      </c>
      <c r="H146" s="418">
        <v>7684276.8600000003</v>
      </c>
      <c r="I146" s="418">
        <v>0</v>
      </c>
      <c r="J146" s="413">
        <v>0</v>
      </c>
      <c r="L146" s="418" t="str">
        <f t="shared" si="43"/>
        <v>Energize Eastside</v>
      </c>
      <c r="M146" s="418" t="str">
        <f t="shared" si="44"/>
        <v>E356 TSM O/H Conductor &amp; Devices</v>
      </c>
      <c r="N146" s="418" t="str">
        <f t="shared" si="40"/>
        <v>Specific</v>
      </c>
      <c r="O146" s="418" t="str">
        <f t="shared" si="45"/>
        <v>101-E356</v>
      </c>
      <c r="P146" s="418">
        <f t="shared" si="46"/>
        <v>0</v>
      </c>
      <c r="Q146" s="418">
        <f t="shared" si="47"/>
        <v>0</v>
      </c>
      <c r="R146" s="418">
        <f t="shared" si="48"/>
        <v>86861.56</v>
      </c>
      <c r="S146" s="418">
        <f t="shared" si="49"/>
        <v>7684276.8600000003</v>
      </c>
      <c r="T146" s="418">
        <f t="shared" si="50"/>
        <v>0</v>
      </c>
      <c r="V146" s="418" t="str">
        <f t="shared" si="51"/>
        <v>Energize Eastside</v>
      </c>
      <c r="W146" s="418" t="str">
        <f t="shared" si="52"/>
        <v>E356 TSM O/H Conductor &amp; Devices</v>
      </c>
      <c r="X146" s="418" t="str">
        <f t="shared" si="41"/>
        <v>Specific</v>
      </c>
      <c r="Y146" s="418" t="str">
        <f t="shared" si="53"/>
        <v>101-E356</v>
      </c>
      <c r="Z146" s="418">
        <f t="shared" si="54"/>
        <v>0</v>
      </c>
      <c r="AA146" s="418">
        <f t="shared" si="55"/>
        <v>0</v>
      </c>
      <c r="AB146" s="418">
        <f t="shared" si="56"/>
        <v>0</v>
      </c>
      <c r="AC146" s="418">
        <f t="shared" si="57"/>
        <v>0</v>
      </c>
      <c r="AD146" s="418">
        <f t="shared" si="58"/>
        <v>0</v>
      </c>
      <c r="AE146" s="413">
        <f t="shared" si="59"/>
        <v>0</v>
      </c>
    </row>
    <row r="147" spans="1:31" x14ac:dyDescent="0.3">
      <c r="A147" s="418" t="s">
        <v>12</v>
      </c>
      <c r="B147" s="418" t="s">
        <v>1788</v>
      </c>
      <c r="C147" s="418" t="s">
        <v>1181</v>
      </c>
      <c r="D147" s="418" t="str">
        <f t="shared" si="42"/>
        <v>101-E356</v>
      </c>
      <c r="E147" s="418">
        <v>0</v>
      </c>
      <c r="F147" s="418">
        <v>0</v>
      </c>
      <c r="G147" s="418">
        <v>10034.780000000001</v>
      </c>
      <c r="H147" s="418">
        <v>887734.71</v>
      </c>
      <c r="I147" s="418">
        <v>0</v>
      </c>
      <c r="J147" s="413">
        <v>0</v>
      </c>
      <c r="L147" s="418" t="str">
        <f t="shared" si="43"/>
        <v>Energize Eastside</v>
      </c>
      <c r="M147" s="418" t="str">
        <f t="shared" si="44"/>
        <v>E3566 TSM O/H Conductor/Devices</v>
      </c>
      <c r="N147" s="418" t="str">
        <f t="shared" si="40"/>
        <v>Specific</v>
      </c>
      <c r="O147" s="418" t="str">
        <f t="shared" si="45"/>
        <v>101-E356</v>
      </c>
      <c r="P147" s="418">
        <f t="shared" si="46"/>
        <v>0</v>
      </c>
      <c r="Q147" s="418">
        <f t="shared" si="47"/>
        <v>0</v>
      </c>
      <c r="R147" s="418">
        <f t="shared" si="48"/>
        <v>10034.780000000001</v>
      </c>
      <c r="S147" s="418">
        <f t="shared" si="49"/>
        <v>887734.71</v>
      </c>
      <c r="T147" s="418">
        <f t="shared" si="50"/>
        <v>0</v>
      </c>
      <c r="V147" s="418" t="str">
        <f t="shared" si="51"/>
        <v>Energize Eastside</v>
      </c>
      <c r="W147" s="418" t="str">
        <f t="shared" si="52"/>
        <v>E3566 TSM O/H Conductor/Devices</v>
      </c>
      <c r="X147" s="418" t="str">
        <f t="shared" si="41"/>
        <v>Specific</v>
      </c>
      <c r="Y147" s="418" t="str">
        <f t="shared" si="53"/>
        <v>101-E356</v>
      </c>
      <c r="Z147" s="418">
        <f t="shared" si="54"/>
        <v>0</v>
      </c>
      <c r="AA147" s="418">
        <f t="shared" si="55"/>
        <v>0</v>
      </c>
      <c r="AB147" s="418">
        <f t="shared" si="56"/>
        <v>0</v>
      </c>
      <c r="AC147" s="418">
        <f t="shared" si="57"/>
        <v>0</v>
      </c>
      <c r="AD147" s="418">
        <f t="shared" si="58"/>
        <v>0</v>
      </c>
      <c r="AE147" s="413">
        <f t="shared" si="59"/>
        <v>0</v>
      </c>
    </row>
    <row r="148" spans="1:31" x14ac:dyDescent="0.3">
      <c r="A148" s="418" t="s">
        <v>12</v>
      </c>
      <c r="B148" s="418" t="s">
        <v>1774</v>
      </c>
      <c r="C148" s="418" t="s">
        <v>1181</v>
      </c>
      <c r="D148" s="418" t="str">
        <f t="shared" si="42"/>
        <v>101-E390</v>
      </c>
      <c r="E148" s="418">
        <v>0</v>
      </c>
      <c r="F148" s="418">
        <v>0</v>
      </c>
      <c r="G148" s="418">
        <v>3522172.4</v>
      </c>
      <c r="H148" s="418">
        <v>16906427.530000001</v>
      </c>
      <c r="I148" s="418">
        <v>0</v>
      </c>
      <c r="J148" s="413">
        <v>0</v>
      </c>
      <c r="L148" s="418" t="str">
        <f t="shared" si="43"/>
        <v>Energize Eastside</v>
      </c>
      <c r="M148" s="418" t="str">
        <f t="shared" si="44"/>
        <v>E3900 GEN Structures &amp; Improvement</v>
      </c>
      <c r="N148" s="418" t="str">
        <f t="shared" si="40"/>
        <v>Specific</v>
      </c>
      <c r="O148" s="418" t="str">
        <f t="shared" si="45"/>
        <v>101-E390</v>
      </c>
      <c r="P148" s="418">
        <f t="shared" si="46"/>
        <v>0</v>
      </c>
      <c r="Q148" s="418">
        <f t="shared" si="47"/>
        <v>0</v>
      </c>
      <c r="R148" s="418">
        <f t="shared" si="48"/>
        <v>3522172.4</v>
      </c>
      <c r="S148" s="418">
        <f t="shared" si="49"/>
        <v>16906427.530000001</v>
      </c>
      <c r="T148" s="418">
        <f t="shared" si="50"/>
        <v>0</v>
      </c>
      <c r="V148" s="418" t="str">
        <f t="shared" si="51"/>
        <v>Energize Eastside</v>
      </c>
      <c r="W148" s="418" t="str">
        <f t="shared" si="52"/>
        <v>E3900 GEN Structures &amp; Improvement</v>
      </c>
      <c r="X148" s="418" t="str">
        <f t="shared" si="41"/>
        <v>Specific</v>
      </c>
      <c r="Y148" s="418" t="str">
        <f t="shared" si="53"/>
        <v>101-E390</v>
      </c>
      <c r="Z148" s="418">
        <f t="shared" si="54"/>
        <v>0</v>
      </c>
      <c r="AA148" s="418">
        <f t="shared" si="55"/>
        <v>0</v>
      </c>
      <c r="AB148" s="418">
        <f t="shared" si="56"/>
        <v>0</v>
      </c>
      <c r="AC148" s="418">
        <f t="shared" si="57"/>
        <v>0</v>
      </c>
      <c r="AD148" s="418">
        <f t="shared" si="58"/>
        <v>0</v>
      </c>
      <c r="AE148" s="413">
        <f t="shared" si="59"/>
        <v>0</v>
      </c>
    </row>
    <row r="149" spans="1:31" x14ac:dyDescent="0.3">
      <c r="A149" s="418" t="s">
        <v>12</v>
      </c>
      <c r="B149" s="418" t="s">
        <v>1765</v>
      </c>
      <c r="C149" s="418" t="s">
        <v>1181</v>
      </c>
      <c r="D149" s="418" t="str">
        <f t="shared" si="42"/>
        <v>101-E397</v>
      </c>
      <c r="E149" s="418">
        <v>0</v>
      </c>
      <c r="F149" s="418">
        <v>0</v>
      </c>
      <c r="G149" s="418">
        <v>6135.92</v>
      </c>
      <c r="H149" s="418">
        <v>542818.68000000005</v>
      </c>
      <c r="I149" s="418">
        <v>0</v>
      </c>
      <c r="J149" s="413">
        <v>0</v>
      </c>
      <c r="L149" s="418" t="str">
        <f t="shared" si="43"/>
        <v>Energize Eastside</v>
      </c>
      <c r="M149" s="418" t="str">
        <f t="shared" si="44"/>
        <v>E3970 GEN Comm Equip, new</v>
      </c>
      <c r="N149" s="418" t="str">
        <f t="shared" si="40"/>
        <v>Specific</v>
      </c>
      <c r="O149" s="418" t="str">
        <f t="shared" si="45"/>
        <v>101-E397</v>
      </c>
      <c r="P149" s="418">
        <f t="shared" si="46"/>
        <v>0</v>
      </c>
      <c r="Q149" s="418">
        <f t="shared" si="47"/>
        <v>0</v>
      </c>
      <c r="R149" s="418">
        <f t="shared" si="48"/>
        <v>6135.92</v>
      </c>
      <c r="S149" s="418">
        <f t="shared" si="49"/>
        <v>542818.68000000005</v>
      </c>
      <c r="T149" s="418">
        <f t="shared" si="50"/>
        <v>0</v>
      </c>
      <c r="V149" s="418" t="str">
        <f t="shared" si="51"/>
        <v>Energize Eastside</v>
      </c>
      <c r="W149" s="418" t="str">
        <f t="shared" si="52"/>
        <v>E3970 GEN Comm Equip, new</v>
      </c>
      <c r="X149" s="418" t="str">
        <f t="shared" si="41"/>
        <v>Specific</v>
      </c>
      <c r="Y149" s="418" t="str">
        <f t="shared" si="53"/>
        <v>101-E397</v>
      </c>
      <c r="Z149" s="418">
        <f t="shared" si="54"/>
        <v>0</v>
      </c>
      <c r="AA149" s="418">
        <f t="shared" si="55"/>
        <v>0</v>
      </c>
      <c r="AB149" s="418">
        <f t="shared" si="56"/>
        <v>0</v>
      </c>
      <c r="AC149" s="418">
        <f t="shared" si="57"/>
        <v>0</v>
      </c>
      <c r="AD149" s="418">
        <f t="shared" si="58"/>
        <v>0</v>
      </c>
      <c r="AE149" s="413">
        <f t="shared" si="59"/>
        <v>0</v>
      </c>
    </row>
    <row r="150" spans="1:31" x14ac:dyDescent="0.3">
      <c r="A150" s="418" t="s">
        <v>819</v>
      </c>
      <c r="B150" s="418" t="s">
        <v>1777</v>
      </c>
      <c r="C150" s="418" t="s">
        <v>1168</v>
      </c>
      <c r="D150" s="418" t="str">
        <f t="shared" si="42"/>
        <v>101-E371</v>
      </c>
      <c r="E150" s="418">
        <v>0</v>
      </c>
      <c r="F150" s="418">
        <v>3158695.8</v>
      </c>
      <c r="G150" s="418">
        <v>6741693.9500000002</v>
      </c>
      <c r="H150" s="418">
        <v>15982057.68</v>
      </c>
      <c r="I150" s="418">
        <v>0</v>
      </c>
      <c r="J150" s="413">
        <v>0</v>
      </c>
      <c r="L150" s="418" t="str">
        <f t="shared" si="43"/>
        <v>EV Circuit</v>
      </c>
      <c r="M150" s="418" t="str">
        <f t="shared" si="44"/>
        <v>E3711 DST EV Charger Cust Premises</v>
      </c>
      <c r="N150" s="418" t="str">
        <f t="shared" si="40"/>
        <v>Programmatic</v>
      </c>
      <c r="O150" s="418" t="str">
        <f t="shared" si="45"/>
        <v>101-E371</v>
      </c>
      <c r="P150" s="418">
        <f t="shared" si="46"/>
        <v>0</v>
      </c>
      <c r="Q150" s="418">
        <f t="shared" si="47"/>
        <v>3158695.8</v>
      </c>
      <c r="R150" s="418">
        <f t="shared" si="48"/>
        <v>6741693.9500000002</v>
      </c>
      <c r="S150" s="418">
        <f t="shared" si="49"/>
        <v>15982057.68</v>
      </c>
      <c r="T150" s="418">
        <f t="shared" si="50"/>
        <v>0</v>
      </c>
      <c r="V150" s="418" t="str">
        <f t="shared" si="51"/>
        <v>EV Circuit</v>
      </c>
      <c r="W150" s="418" t="str">
        <f t="shared" si="52"/>
        <v>E3711 DST EV Charger Cust Premises</v>
      </c>
      <c r="X150" s="418" t="str">
        <f t="shared" si="41"/>
        <v>Programmatic</v>
      </c>
      <c r="Y150" s="418" t="str">
        <f t="shared" si="53"/>
        <v>101-E371</v>
      </c>
      <c r="Z150" s="418">
        <f t="shared" si="54"/>
        <v>0</v>
      </c>
      <c r="AA150" s="418">
        <f t="shared" si="55"/>
        <v>0</v>
      </c>
      <c r="AB150" s="418">
        <f t="shared" si="56"/>
        <v>0</v>
      </c>
      <c r="AC150" s="418">
        <f t="shared" si="57"/>
        <v>0</v>
      </c>
      <c r="AD150" s="418">
        <f t="shared" si="58"/>
        <v>0</v>
      </c>
      <c r="AE150" s="413">
        <f t="shared" si="59"/>
        <v>0</v>
      </c>
    </row>
    <row r="151" spans="1:31" x14ac:dyDescent="0.3">
      <c r="A151" s="418" t="s">
        <v>1607</v>
      </c>
      <c r="B151" s="418" t="s">
        <v>1843</v>
      </c>
      <c r="C151" s="418" t="s">
        <v>1181</v>
      </c>
      <c r="D151" s="418" t="str">
        <f t="shared" si="42"/>
        <v>101-E344</v>
      </c>
      <c r="E151" s="418">
        <v>0</v>
      </c>
      <c r="F151" s="418">
        <v>1447.55</v>
      </c>
      <c r="G151" s="418">
        <v>1507.86</v>
      </c>
      <c r="H151" s="418">
        <v>288136.64</v>
      </c>
      <c r="I151" s="418">
        <v>0</v>
      </c>
      <c r="J151" s="413">
        <v>0</v>
      </c>
      <c r="L151" s="418" t="str">
        <f t="shared" si="43"/>
        <v>Freddy Hot Gas Path</v>
      </c>
      <c r="M151" s="418" t="str">
        <f t="shared" si="44"/>
        <v>E3440 PRD Gen, Fredonia</v>
      </c>
      <c r="N151" s="418" t="str">
        <f t="shared" si="40"/>
        <v>Specific</v>
      </c>
      <c r="O151" s="418" t="str">
        <f t="shared" si="45"/>
        <v>101-E344</v>
      </c>
      <c r="P151" s="418">
        <f t="shared" si="46"/>
        <v>0</v>
      </c>
      <c r="Q151" s="418">
        <f t="shared" si="47"/>
        <v>1447.55</v>
      </c>
      <c r="R151" s="418">
        <f t="shared" si="48"/>
        <v>1507.86</v>
      </c>
      <c r="S151" s="418">
        <f t="shared" si="49"/>
        <v>288136.64</v>
      </c>
      <c r="T151" s="418">
        <f t="shared" si="50"/>
        <v>0</v>
      </c>
      <c r="V151" s="418" t="str">
        <f t="shared" si="51"/>
        <v>Freddy Hot Gas Path</v>
      </c>
      <c r="W151" s="418" t="str">
        <f t="shared" si="52"/>
        <v>E3440 PRD Gen, Fredonia</v>
      </c>
      <c r="X151" s="418" t="str">
        <f t="shared" si="41"/>
        <v>Specific</v>
      </c>
      <c r="Y151" s="418" t="str">
        <f t="shared" si="53"/>
        <v>101-E344</v>
      </c>
      <c r="Z151" s="418">
        <f t="shared" si="54"/>
        <v>0</v>
      </c>
      <c r="AA151" s="418">
        <f t="shared" si="55"/>
        <v>0</v>
      </c>
      <c r="AB151" s="418">
        <f t="shared" si="56"/>
        <v>0</v>
      </c>
      <c r="AC151" s="418">
        <f t="shared" si="57"/>
        <v>0</v>
      </c>
      <c r="AD151" s="418">
        <f t="shared" si="58"/>
        <v>0</v>
      </c>
      <c r="AE151" s="413">
        <f t="shared" si="59"/>
        <v>0</v>
      </c>
    </row>
    <row r="152" spans="1:31" x14ac:dyDescent="0.3">
      <c r="A152" s="418" t="s">
        <v>13</v>
      </c>
      <c r="B152" s="418" t="s">
        <v>1756</v>
      </c>
      <c r="C152" s="418" t="s">
        <v>1168</v>
      </c>
      <c r="D152" s="418" t="str">
        <f t="shared" si="42"/>
        <v>101-G303</v>
      </c>
      <c r="E152" s="418">
        <v>0</v>
      </c>
      <c r="F152" s="418">
        <v>12953.28</v>
      </c>
      <c r="G152" s="418">
        <v>19620.84</v>
      </c>
      <c r="H152" s="418">
        <v>33152.639999999999</v>
      </c>
      <c r="I152" s="418">
        <v>0</v>
      </c>
      <c r="J152" s="413">
        <v>0</v>
      </c>
      <c r="L152" s="418" t="str">
        <f t="shared" si="43"/>
        <v>Gas Modernization</v>
      </c>
      <c r="M152" s="418" t="str">
        <f t="shared" si="44"/>
        <v>G303.5 INT Misc Intangible Plant</v>
      </c>
      <c r="N152" s="418" t="str">
        <f t="shared" si="40"/>
        <v>Programmatic</v>
      </c>
      <c r="O152" s="418" t="str">
        <f t="shared" si="45"/>
        <v>101-G303</v>
      </c>
      <c r="P152" s="418">
        <f t="shared" si="46"/>
        <v>0</v>
      </c>
      <c r="Q152" s="418">
        <f t="shared" si="47"/>
        <v>0</v>
      </c>
      <c r="R152" s="418">
        <f t="shared" si="48"/>
        <v>0</v>
      </c>
      <c r="S152" s="418">
        <f t="shared" si="49"/>
        <v>0</v>
      </c>
      <c r="T152" s="418">
        <f t="shared" si="50"/>
        <v>0</v>
      </c>
      <c r="V152" s="418" t="str">
        <f t="shared" si="51"/>
        <v>Gas Modernization</v>
      </c>
      <c r="W152" s="418" t="str">
        <f t="shared" si="52"/>
        <v>G303.5 INT Misc Intangible Plant</v>
      </c>
      <c r="X152" s="418" t="str">
        <f t="shared" si="41"/>
        <v>Programmatic</v>
      </c>
      <c r="Y152" s="418" t="str">
        <f t="shared" si="53"/>
        <v>101-G303</v>
      </c>
      <c r="Z152" s="418">
        <f t="shared" si="54"/>
        <v>0</v>
      </c>
      <c r="AA152" s="418">
        <f t="shared" si="55"/>
        <v>12953.28</v>
      </c>
      <c r="AB152" s="418">
        <f t="shared" si="56"/>
        <v>19620.84</v>
      </c>
      <c r="AC152" s="418">
        <f t="shared" si="57"/>
        <v>33152.639999999999</v>
      </c>
      <c r="AD152" s="418">
        <f t="shared" si="58"/>
        <v>0</v>
      </c>
      <c r="AE152" s="413">
        <f t="shared" si="59"/>
        <v>0</v>
      </c>
    </row>
    <row r="153" spans="1:31" x14ac:dyDescent="0.3">
      <c r="A153" s="418" t="s">
        <v>13</v>
      </c>
      <c r="B153" s="418" t="s">
        <v>1745</v>
      </c>
      <c r="C153" s="418" t="s">
        <v>1168</v>
      </c>
      <c r="D153" s="418" t="str">
        <f t="shared" si="42"/>
        <v>101-G375</v>
      </c>
      <c r="E153" s="418">
        <v>0</v>
      </c>
      <c r="F153" s="418">
        <v>64680.47</v>
      </c>
      <c r="G153" s="418">
        <v>102368.15</v>
      </c>
      <c r="H153" s="418">
        <v>181243.61</v>
      </c>
      <c r="I153" s="418">
        <v>0</v>
      </c>
      <c r="J153" s="413">
        <v>0</v>
      </c>
      <c r="L153" s="418" t="str">
        <f t="shared" si="43"/>
        <v>Gas Modernization</v>
      </c>
      <c r="M153" s="418" t="str">
        <f t="shared" si="44"/>
        <v>G3750 DST Structures &amp; Improvements</v>
      </c>
      <c r="N153" s="418" t="str">
        <f t="shared" si="40"/>
        <v>Programmatic</v>
      </c>
      <c r="O153" s="418" t="str">
        <f t="shared" si="45"/>
        <v>101-G375</v>
      </c>
      <c r="P153" s="418">
        <f t="shared" si="46"/>
        <v>0</v>
      </c>
      <c r="Q153" s="418">
        <f t="shared" si="47"/>
        <v>0</v>
      </c>
      <c r="R153" s="418">
        <f t="shared" si="48"/>
        <v>0</v>
      </c>
      <c r="S153" s="418">
        <f t="shared" si="49"/>
        <v>0</v>
      </c>
      <c r="T153" s="418">
        <f t="shared" si="50"/>
        <v>0</v>
      </c>
      <c r="V153" s="418" t="str">
        <f t="shared" si="51"/>
        <v>Gas Modernization</v>
      </c>
      <c r="W153" s="418" t="str">
        <f t="shared" si="52"/>
        <v>G3750 DST Structures &amp; Improvements</v>
      </c>
      <c r="X153" s="418" t="str">
        <f t="shared" si="41"/>
        <v>Programmatic</v>
      </c>
      <c r="Y153" s="418" t="str">
        <f t="shared" si="53"/>
        <v>101-G375</v>
      </c>
      <c r="Z153" s="418">
        <f t="shared" si="54"/>
        <v>0</v>
      </c>
      <c r="AA153" s="418">
        <f t="shared" si="55"/>
        <v>64680.47</v>
      </c>
      <c r="AB153" s="418">
        <f t="shared" si="56"/>
        <v>102368.15</v>
      </c>
      <c r="AC153" s="418">
        <f t="shared" si="57"/>
        <v>181243.61</v>
      </c>
      <c r="AD153" s="418">
        <f t="shared" si="58"/>
        <v>0</v>
      </c>
      <c r="AE153" s="413">
        <f t="shared" si="59"/>
        <v>0</v>
      </c>
    </row>
    <row r="154" spans="1:31" x14ac:dyDescent="0.3">
      <c r="A154" s="418" t="s">
        <v>13</v>
      </c>
      <c r="B154" s="418" t="s">
        <v>1744</v>
      </c>
      <c r="C154" s="418" t="s">
        <v>1168</v>
      </c>
      <c r="D154" s="418" t="str">
        <f t="shared" si="42"/>
        <v>101-G376</v>
      </c>
      <c r="E154" s="418">
        <v>0</v>
      </c>
      <c r="F154" s="418">
        <v>5547524.9299999997</v>
      </c>
      <c r="G154" s="418">
        <v>8671008.1199999992</v>
      </c>
      <c r="H154" s="418">
        <v>15170205.76</v>
      </c>
      <c r="I154" s="418">
        <v>0</v>
      </c>
      <c r="J154" s="413">
        <v>0</v>
      </c>
      <c r="L154" s="418" t="str">
        <f t="shared" si="43"/>
        <v>Gas Modernization</v>
      </c>
      <c r="M154" s="418" t="str">
        <f t="shared" si="44"/>
        <v>G3762 DST Mains, Plastic</v>
      </c>
      <c r="N154" s="418" t="str">
        <f t="shared" si="40"/>
        <v>Programmatic</v>
      </c>
      <c r="O154" s="418" t="str">
        <f t="shared" si="45"/>
        <v>101-G376</v>
      </c>
      <c r="P154" s="418">
        <f t="shared" si="46"/>
        <v>0</v>
      </c>
      <c r="Q154" s="418">
        <f t="shared" si="47"/>
        <v>0</v>
      </c>
      <c r="R154" s="418">
        <f t="shared" si="48"/>
        <v>0</v>
      </c>
      <c r="S154" s="418">
        <f t="shared" si="49"/>
        <v>0</v>
      </c>
      <c r="T154" s="418">
        <f t="shared" si="50"/>
        <v>0</v>
      </c>
      <c r="V154" s="418" t="str">
        <f t="shared" si="51"/>
        <v>Gas Modernization</v>
      </c>
      <c r="W154" s="418" t="str">
        <f t="shared" si="52"/>
        <v>G3762 DST Mains, Plastic</v>
      </c>
      <c r="X154" s="418" t="str">
        <f t="shared" si="41"/>
        <v>Programmatic</v>
      </c>
      <c r="Y154" s="418" t="str">
        <f t="shared" si="53"/>
        <v>101-G376</v>
      </c>
      <c r="Z154" s="418">
        <f t="shared" si="54"/>
        <v>0</v>
      </c>
      <c r="AA154" s="418">
        <f t="shared" si="55"/>
        <v>5547524.9299999997</v>
      </c>
      <c r="AB154" s="418">
        <f t="shared" si="56"/>
        <v>8671008.1199999992</v>
      </c>
      <c r="AC154" s="418">
        <f t="shared" si="57"/>
        <v>15170205.76</v>
      </c>
      <c r="AD154" s="418">
        <f t="shared" si="58"/>
        <v>0</v>
      </c>
      <c r="AE154" s="413">
        <f t="shared" si="59"/>
        <v>0</v>
      </c>
    </row>
    <row r="155" spans="1:31" x14ac:dyDescent="0.3">
      <c r="A155" s="418" t="s">
        <v>13</v>
      </c>
      <c r="B155" s="418" t="s">
        <v>1743</v>
      </c>
      <c r="C155" s="418" t="s">
        <v>1168</v>
      </c>
      <c r="D155" s="418" t="str">
        <f t="shared" si="42"/>
        <v>101-G376</v>
      </c>
      <c r="E155" s="418">
        <v>0</v>
      </c>
      <c r="F155" s="418">
        <v>1971337.31</v>
      </c>
      <c r="G155" s="418">
        <v>3572686.47</v>
      </c>
      <c r="H155" s="418">
        <v>6836284.7699999996</v>
      </c>
      <c r="I155" s="418">
        <v>0</v>
      </c>
      <c r="J155" s="413">
        <v>0</v>
      </c>
      <c r="L155" s="418" t="str">
        <f t="shared" si="43"/>
        <v>Gas Modernization</v>
      </c>
      <c r="M155" s="418" t="str">
        <f t="shared" si="44"/>
        <v>G3764 DST Mains, Wrapped Steel</v>
      </c>
      <c r="N155" s="418" t="str">
        <f t="shared" si="40"/>
        <v>Programmatic</v>
      </c>
      <c r="O155" s="418" t="str">
        <f t="shared" si="45"/>
        <v>101-G376</v>
      </c>
      <c r="P155" s="418">
        <f t="shared" si="46"/>
        <v>0</v>
      </c>
      <c r="Q155" s="418">
        <f t="shared" si="47"/>
        <v>0</v>
      </c>
      <c r="R155" s="418">
        <f t="shared" si="48"/>
        <v>0</v>
      </c>
      <c r="S155" s="418">
        <f t="shared" si="49"/>
        <v>0</v>
      </c>
      <c r="T155" s="418">
        <f t="shared" si="50"/>
        <v>0</v>
      </c>
      <c r="V155" s="418" t="str">
        <f t="shared" si="51"/>
        <v>Gas Modernization</v>
      </c>
      <c r="W155" s="418" t="str">
        <f t="shared" si="52"/>
        <v>G3764 DST Mains, Wrapped Steel</v>
      </c>
      <c r="X155" s="418" t="str">
        <f t="shared" si="41"/>
        <v>Programmatic</v>
      </c>
      <c r="Y155" s="418" t="str">
        <f t="shared" si="53"/>
        <v>101-G376</v>
      </c>
      <c r="Z155" s="418">
        <f t="shared" si="54"/>
        <v>0</v>
      </c>
      <c r="AA155" s="418">
        <f t="shared" si="55"/>
        <v>1971337.31</v>
      </c>
      <c r="AB155" s="418">
        <f t="shared" si="56"/>
        <v>3572686.47</v>
      </c>
      <c r="AC155" s="418">
        <f t="shared" si="57"/>
        <v>6836284.7699999996</v>
      </c>
      <c r="AD155" s="418">
        <f t="shared" si="58"/>
        <v>0</v>
      </c>
      <c r="AE155" s="413">
        <f t="shared" si="59"/>
        <v>0</v>
      </c>
    </row>
    <row r="156" spans="1:31" x14ac:dyDescent="0.3">
      <c r="A156" s="418" t="s">
        <v>13</v>
      </c>
      <c r="B156" s="418" t="s">
        <v>1742</v>
      </c>
      <c r="C156" s="418" t="s">
        <v>1168</v>
      </c>
      <c r="D156" s="418" t="str">
        <f t="shared" si="42"/>
        <v>101-G376</v>
      </c>
      <c r="E156" s="418">
        <v>0</v>
      </c>
      <c r="F156" s="418">
        <v>15347.15</v>
      </c>
      <c r="G156" s="418">
        <v>24289.57</v>
      </c>
      <c r="H156" s="418">
        <v>43004.88</v>
      </c>
      <c r="I156" s="418">
        <v>0</v>
      </c>
      <c r="J156" s="413">
        <v>0</v>
      </c>
      <c r="L156" s="418" t="str">
        <f t="shared" si="43"/>
        <v>Gas Modernization</v>
      </c>
      <c r="M156" s="418" t="str">
        <f t="shared" si="44"/>
        <v>G3765 DST Mains, Cathodic Protectio</v>
      </c>
      <c r="N156" s="418" t="str">
        <f t="shared" si="40"/>
        <v>Programmatic</v>
      </c>
      <c r="O156" s="418" t="str">
        <f t="shared" si="45"/>
        <v>101-G376</v>
      </c>
      <c r="P156" s="418">
        <f t="shared" si="46"/>
        <v>0</v>
      </c>
      <c r="Q156" s="418">
        <f t="shared" si="47"/>
        <v>0</v>
      </c>
      <c r="R156" s="418">
        <f t="shared" si="48"/>
        <v>0</v>
      </c>
      <c r="S156" s="418">
        <f t="shared" si="49"/>
        <v>0</v>
      </c>
      <c r="T156" s="418">
        <f t="shared" si="50"/>
        <v>0</v>
      </c>
      <c r="V156" s="418" t="str">
        <f t="shared" si="51"/>
        <v>Gas Modernization</v>
      </c>
      <c r="W156" s="418" t="str">
        <f t="shared" si="52"/>
        <v>G3765 DST Mains, Cathodic Protectio</v>
      </c>
      <c r="X156" s="418" t="str">
        <f t="shared" si="41"/>
        <v>Programmatic</v>
      </c>
      <c r="Y156" s="418" t="str">
        <f t="shared" si="53"/>
        <v>101-G376</v>
      </c>
      <c r="Z156" s="418">
        <f t="shared" si="54"/>
        <v>0</v>
      </c>
      <c r="AA156" s="418">
        <f t="shared" si="55"/>
        <v>15347.15</v>
      </c>
      <c r="AB156" s="418">
        <f t="shared" si="56"/>
        <v>24289.57</v>
      </c>
      <c r="AC156" s="418">
        <f t="shared" si="57"/>
        <v>43004.88</v>
      </c>
      <c r="AD156" s="418">
        <f t="shared" si="58"/>
        <v>0</v>
      </c>
      <c r="AE156" s="413">
        <f t="shared" si="59"/>
        <v>0</v>
      </c>
    </row>
    <row r="157" spans="1:31" x14ac:dyDescent="0.3">
      <c r="A157" s="418" t="s">
        <v>13</v>
      </c>
      <c r="B157" s="418" t="s">
        <v>1741</v>
      </c>
      <c r="C157" s="418" t="s">
        <v>1168</v>
      </c>
      <c r="D157" s="418" t="str">
        <f t="shared" si="42"/>
        <v>101-G378</v>
      </c>
      <c r="E157" s="418">
        <v>0</v>
      </c>
      <c r="F157" s="418">
        <v>4334934.3</v>
      </c>
      <c r="G157" s="418">
        <v>6560254.1299999999</v>
      </c>
      <c r="H157" s="418">
        <v>11518832.779999999</v>
      </c>
      <c r="I157" s="418">
        <v>0</v>
      </c>
      <c r="J157" s="413">
        <v>0</v>
      </c>
      <c r="L157" s="418" t="str">
        <f t="shared" si="43"/>
        <v>Gas Modernization</v>
      </c>
      <c r="M157" s="418" t="str">
        <f t="shared" si="44"/>
        <v>G3780 DST Measuring &amp; Reg Station</v>
      </c>
      <c r="N157" s="418" t="str">
        <f t="shared" si="40"/>
        <v>Programmatic</v>
      </c>
      <c r="O157" s="418" t="str">
        <f t="shared" si="45"/>
        <v>101-G378</v>
      </c>
      <c r="P157" s="418">
        <f t="shared" si="46"/>
        <v>0</v>
      </c>
      <c r="Q157" s="418">
        <f t="shared" si="47"/>
        <v>0</v>
      </c>
      <c r="R157" s="418">
        <f t="shared" si="48"/>
        <v>0</v>
      </c>
      <c r="S157" s="418">
        <f t="shared" si="49"/>
        <v>0</v>
      </c>
      <c r="T157" s="418">
        <f t="shared" si="50"/>
        <v>0</v>
      </c>
      <c r="V157" s="418" t="str">
        <f t="shared" si="51"/>
        <v>Gas Modernization</v>
      </c>
      <c r="W157" s="418" t="str">
        <f t="shared" si="52"/>
        <v>G3780 DST Measuring &amp; Reg Station</v>
      </c>
      <c r="X157" s="418" t="str">
        <f t="shared" si="41"/>
        <v>Programmatic</v>
      </c>
      <c r="Y157" s="418" t="str">
        <f t="shared" si="53"/>
        <v>101-G378</v>
      </c>
      <c r="Z157" s="418">
        <f t="shared" si="54"/>
        <v>0</v>
      </c>
      <c r="AA157" s="418">
        <f t="shared" si="55"/>
        <v>4334934.3</v>
      </c>
      <c r="AB157" s="418">
        <f t="shared" si="56"/>
        <v>6560254.1299999999</v>
      </c>
      <c r="AC157" s="418">
        <f t="shared" si="57"/>
        <v>11518832.779999999</v>
      </c>
      <c r="AD157" s="418">
        <f t="shared" si="58"/>
        <v>0</v>
      </c>
      <c r="AE157" s="413">
        <f t="shared" si="59"/>
        <v>0</v>
      </c>
    </row>
    <row r="158" spans="1:31" x14ac:dyDescent="0.3">
      <c r="A158" s="418" t="s">
        <v>13</v>
      </c>
      <c r="B158" s="418" t="s">
        <v>1740</v>
      </c>
      <c r="C158" s="418" t="s">
        <v>1168</v>
      </c>
      <c r="D158" s="418" t="str">
        <f t="shared" si="42"/>
        <v>101-G380</v>
      </c>
      <c r="E158" s="418">
        <v>0</v>
      </c>
      <c r="F158" s="418">
        <v>12154.44</v>
      </c>
      <c r="G158" s="418">
        <v>19991.96</v>
      </c>
      <c r="H158" s="418">
        <v>35913.71</v>
      </c>
      <c r="I158" s="418">
        <v>0</v>
      </c>
      <c r="J158" s="413">
        <v>0</v>
      </c>
      <c r="L158" s="418" t="str">
        <f t="shared" si="43"/>
        <v>Gas Modernization</v>
      </c>
      <c r="M158" s="418" t="str">
        <f t="shared" si="44"/>
        <v>G3801 DST Services, Cathodic Protec</v>
      </c>
      <c r="N158" s="418" t="str">
        <f t="shared" si="40"/>
        <v>Programmatic</v>
      </c>
      <c r="O158" s="418" t="str">
        <f t="shared" si="45"/>
        <v>101-G380</v>
      </c>
      <c r="P158" s="418">
        <f t="shared" si="46"/>
        <v>0</v>
      </c>
      <c r="Q158" s="418">
        <f t="shared" si="47"/>
        <v>0</v>
      </c>
      <c r="R158" s="418">
        <f t="shared" si="48"/>
        <v>0</v>
      </c>
      <c r="S158" s="418">
        <f t="shared" si="49"/>
        <v>0</v>
      </c>
      <c r="T158" s="418">
        <f t="shared" si="50"/>
        <v>0</v>
      </c>
      <c r="V158" s="418" t="str">
        <f t="shared" si="51"/>
        <v>Gas Modernization</v>
      </c>
      <c r="W158" s="418" t="str">
        <f t="shared" si="52"/>
        <v>G3801 DST Services, Cathodic Protec</v>
      </c>
      <c r="X158" s="418" t="str">
        <f t="shared" si="41"/>
        <v>Programmatic</v>
      </c>
      <c r="Y158" s="418" t="str">
        <f t="shared" si="53"/>
        <v>101-G380</v>
      </c>
      <c r="Z158" s="418">
        <f t="shared" si="54"/>
        <v>0</v>
      </c>
      <c r="AA158" s="418">
        <f t="shared" si="55"/>
        <v>12154.44</v>
      </c>
      <c r="AB158" s="418">
        <f t="shared" si="56"/>
        <v>19991.96</v>
      </c>
      <c r="AC158" s="418">
        <f t="shared" si="57"/>
        <v>35913.71</v>
      </c>
      <c r="AD158" s="418">
        <f t="shared" si="58"/>
        <v>0</v>
      </c>
      <c r="AE158" s="413">
        <f t="shared" si="59"/>
        <v>0</v>
      </c>
    </row>
    <row r="159" spans="1:31" x14ac:dyDescent="0.3">
      <c r="A159" s="418" t="s">
        <v>13</v>
      </c>
      <c r="B159" s="418" t="s">
        <v>1739</v>
      </c>
      <c r="C159" s="418" t="s">
        <v>1168</v>
      </c>
      <c r="D159" s="418" t="str">
        <f t="shared" si="42"/>
        <v>101-G380</v>
      </c>
      <c r="E159" s="418">
        <v>0</v>
      </c>
      <c r="F159" s="418">
        <v>5107851.3600000003</v>
      </c>
      <c r="G159" s="418">
        <v>8418191.75</v>
      </c>
      <c r="H159" s="418">
        <v>15320765.140000001</v>
      </c>
      <c r="I159" s="418">
        <v>0</v>
      </c>
      <c r="J159" s="413">
        <v>0</v>
      </c>
      <c r="L159" s="418" t="str">
        <f t="shared" si="43"/>
        <v>Gas Modernization</v>
      </c>
      <c r="M159" s="418" t="str">
        <f t="shared" si="44"/>
        <v>G3802 DST Services, Plastic</v>
      </c>
      <c r="N159" s="418" t="str">
        <f t="shared" si="40"/>
        <v>Programmatic</v>
      </c>
      <c r="O159" s="418" t="str">
        <f t="shared" si="45"/>
        <v>101-G380</v>
      </c>
      <c r="P159" s="418">
        <f t="shared" si="46"/>
        <v>0</v>
      </c>
      <c r="Q159" s="418">
        <f t="shared" si="47"/>
        <v>0</v>
      </c>
      <c r="R159" s="418">
        <f t="shared" si="48"/>
        <v>0</v>
      </c>
      <c r="S159" s="418">
        <f t="shared" si="49"/>
        <v>0</v>
      </c>
      <c r="T159" s="418">
        <f t="shared" si="50"/>
        <v>0</v>
      </c>
      <c r="V159" s="418" t="str">
        <f t="shared" si="51"/>
        <v>Gas Modernization</v>
      </c>
      <c r="W159" s="418" t="str">
        <f t="shared" si="52"/>
        <v>G3802 DST Services, Plastic</v>
      </c>
      <c r="X159" s="418" t="str">
        <f t="shared" si="41"/>
        <v>Programmatic</v>
      </c>
      <c r="Y159" s="418" t="str">
        <f t="shared" si="53"/>
        <v>101-G380</v>
      </c>
      <c r="Z159" s="418">
        <f t="shared" si="54"/>
        <v>0</v>
      </c>
      <c r="AA159" s="418">
        <f t="shared" si="55"/>
        <v>5107851.3600000003</v>
      </c>
      <c r="AB159" s="418">
        <f t="shared" si="56"/>
        <v>8418191.75</v>
      </c>
      <c r="AC159" s="418">
        <f t="shared" si="57"/>
        <v>15320765.140000001</v>
      </c>
      <c r="AD159" s="418">
        <f t="shared" si="58"/>
        <v>0</v>
      </c>
      <c r="AE159" s="413">
        <f t="shared" si="59"/>
        <v>0</v>
      </c>
    </row>
    <row r="160" spans="1:31" x14ac:dyDescent="0.3">
      <c r="A160" s="418" t="s">
        <v>13</v>
      </c>
      <c r="B160" s="418" t="s">
        <v>1738</v>
      </c>
      <c r="C160" s="418" t="s">
        <v>1168</v>
      </c>
      <c r="D160" s="418" t="str">
        <f t="shared" si="42"/>
        <v>101-G380</v>
      </c>
      <c r="E160" s="418">
        <v>0</v>
      </c>
      <c r="F160" s="418">
        <v>815890.48</v>
      </c>
      <c r="G160" s="418">
        <v>1416590.9</v>
      </c>
      <c r="H160" s="418">
        <v>2628649.88</v>
      </c>
      <c r="I160" s="418">
        <v>0</v>
      </c>
      <c r="J160" s="413">
        <v>0</v>
      </c>
      <c r="L160" s="418" t="str">
        <f t="shared" si="43"/>
        <v>Gas Modernization</v>
      </c>
      <c r="M160" s="418" t="str">
        <f t="shared" si="44"/>
        <v>G3803 DST Services, Steel Wrapped</v>
      </c>
      <c r="N160" s="418" t="str">
        <f t="shared" si="40"/>
        <v>Programmatic</v>
      </c>
      <c r="O160" s="418" t="str">
        <f t="shared" si="45"/>
        <v>101-G380</v>
      </c>
      <c r="P160" s="418">
        <f t="shared" si="46"/>
        <v>0</v>
      </c>
      <c r="Q160" s="418">
        <f t="shared" si="47"/>
        <v>0</v>
      </c>
      <c r="R160" s="418">
        <f t="shared" si="48"/>
        <v>0</v>
      </c>
      <c r="S160" s="418">
        <f t="shared" si="49"/>
        <v>0</v>
      </c>
      <c r="T160" s="418">
        <f t="shared" si="50"/>
        <v>0</v>
      </c>
      <c r="V160" s="418" t="str">
        <f t="shared" si="51"/>
        <v>Gas Modernization</v>
      </c>
      <c r="W160" s="418" t="str">
        <f t="shared" si="52"/>
        <v>G3803 DST Services, Steel Wrapped</v>
      </c>
      <c r="X160" s="418" t="str">
        <f t="shared" si="41"/>
        <v>Programmatic</v>
      </c>
      <c r="Y160" s="418" t="str">
        <f t="shared" si="53"/>
        <v>101-G380</v>
      </c>
      <c r="Z160" s="418">
        <f t="shared" si="54"/>
        <v>0</v>
      </c>
      <c r="AA160" s="418">
        <f t="shared" si="55"/>
        <v>815890.48</v>
      </c>
      <c r="AB160" s="418">
        <f t="shared" si="56"/>
        <v>1416590.9</v>
      </c>
      <c r="AC160" s="418">
        <f t="shared" si="57"/>
        <v>2628649.88</v>
      </c>
      <c r="AD160" s="418">
        <f t="shared" si="58"/>
        <v>0</v>
      </c>
      <c r="AE160" s="413">
        <f t="shared" si="59"/>
        <v>0</v>
      </c>
    </row>
    <row r="161" spans="1:31" x14ac:dyDescent="0.3">
      <c r="A161" s="418" t="s">
        <v>13</v>
      </c>
      <c r="B161" s="418" t="s">
        <v>1737</v>
      </c>
      <c r="C161" s="418" t="s">
        <v>1168</v>
      </c>
      <c r="D161" s="418" t="str">
        <f t="shared" si="42"/>
        <v>101-G381</v>
      </c>
      <c r="E161" s="418">
        <v>0</v>
      </c>
      <c r="F161" s="418">
        <v>5639.64</v>
      </c>
      <c r="G161" s="418">
        <v>8543.9</v>
      </c>
      <c r="H161" s="418">
        <v>14439.24</v>
      </c>
      <c r="I161" s="418">
        <v>0</v>
      </c>
      <c r="J161" s="413">
        <v>0</v>
      </c>
      <c r="L161" s="418" t="str">
        <f t="shared" si="43"/>
        <v>Gas Modernization</v>
      </c>
      <c r="M161" s="418" t="str">
        <f t="shared" si="44"/>
        <v>G3810 DST Meters (AMR)</v>
      </c>
      <c r="N161" s="418" t="str">
        <f t="shared" si="40"/>
        <v>Programmatic</v>
      </c>
      <c r="O161" s="418" t="str">
        <f t="shared" si="45"/>
        <v>101-G381</v>
      </c>
      <c r="P161" s="418">
        <f t="shared" si="46"/>
        <v>0</v>
      </c>
      <c r="Q161" s="418">
        <f t="shared" si="47"/>
        <v>0</v>
      </c>
      <c r="R161" s="418">
        <f t="shared" si="48"/>
        <v>0</v>
      </c>
      <c r="S161" s="418">
        <f t="shared" si="49"/>
        <v>0</v>
      </c>
      <c r="T161" s="418">
        <f t="shared" si="50"/>
        <v>0</v>
      </c>
      <c r="V161" s="418" t="str">
        <f t="shared" si="51"/>
        <v>Gas Modernization</v>
      </c>
      <c r="W161" s="418" t="str">
        <f t="shared" si="52"/>
        <v>G3810 DST Meters (AMR)</v>
      </c>
      <c r="X161" s="418" t="str">
        <f t="shared" si="41"/>
        <v>Programmatic</v>
      </c>
      <c r="Y161" s="418" t="str">
        <f t="shared" si="53"/>
        <v>101-G381</v>
      </c>
      <c r="Z161" s="418">
        <f t="shared" si="54"/>
        <v>0</v>
      </c>
      <c r="AA161" s="418">
        <f t="shared" si="55"/>
        <v>5639.64</v>
      </c>
      <c r="AB161" s="418">
        <f t="shared" si="56"/>
        <v>8543.9</v>
      </c>
      <c r="AC161" s="418">
        <f t="shared" si="57"/>
        <v>14439.24</v>
      </c>
      <c r="AD161" s="418">
        <f t="shared" si="58"/>
        <v>0</v>
      </c>
      <c r="AE161" s="413">
        <f t="shared" si="59"/>
        <v>0</v>
      </c>
    </row>
    <row r="162" spans="1:31" x14ac:dyDescent="0.3">
      <c r="A162" s="418" t="s">
        <v>13</v>
      </c>
      <c r="B162" s="418" t="s">
        <v>1736</v>
      </c>
      <c r="C162" s="418" t="s">
        <v>1168</v>
      </c>
      <c r="D162" s="418" t="str">
        <f t="shared" si="42"/>
        <v>101-G381</v>
      </c>
      <c r="E162" s="418">
        <v>0</v>
      </c>
      <c r="F162" s="418">
        <v>11275.56</v>
      </c>
      <c r="G162" s="418">
        <v>17082</v>
      </c>
      <c r="H162" s="418">
        <v>28868.639999999999</v>
      </c>
      <c r="I162" s="418">
        <v>0</v>
      </c>
      <c r="J162" s="413">
        <v>0</v>
      </c>
      <c r="L162" s="418" t="str">
        <f t="shared" si="43"/>
        <v>Gas Modernization</v>
      </c>
      <c r="M162" s="418" t="str">
        <f t="shared" si="44"/>
        <v>G3812 DST Modules, AMI</v>
      </c>
      <c r="N162" s="418" t="str">
        <f t="shared" si="40"/>
        <v>Programmatic</v>
      </c>
      <c r="O162" s="418" t="str">
        <f t="shared" si="45"/>
        <v>101-G381</v>
      </c>
      <c r="P162" s="418">
        <f t="shared" si="46"/>
        <v>0</v>
      </c>
      <c r="Q162" s="418">
        <f t="shared" si="47"/>
        <v>0</v>
      </c>
      <c r="R162" s="418">
        <f t="shared" si="48"/>
        <v>0</v>
      </c>
      <c r="S162" s="418">
        <f t="shared" si="49"/>
        <v>0</v>
      </c>
      <c r="T162" s="418">
        <f t="shared" si="50"/>
        <v>0</v>
      </c>
      <c r="V162" s="418" t="str">
        <f t="shared" si="51"/>
        <v>Gas Modernization</v>
      </c>
      <c r="W162" s="418" t="str">
        <f t="shared" si="52"/>
        <v>G3812 DST Modules, AMI</v>
      </c>
      <c r="X162" s="418" t="str">
        <f t="shared" si="41"/>
        <v>Programmatic</v>
      </c>
      <c r="Y162" s="418" t="str">
        <f t="shared" si="53"/>
        <v>101-G381</v>
      </c>
      <c r="Z162" s="418">
        <f t="shared" si="54"/>
        <v>0</v>
      </c>
      <c r="AA162" s="418">
        <f t="shared" si="55"/>
        <v>11275.56</v>
      </c>
      <c r="AB162" s="418">
        <f t="shared" si="56"/>
        <v>17082</v>
      </c>
      <c r="AC162" s="418">
        <f t="shared" si="57"/>
        <v>28868.639999999999</v>
      </c>
      <c r="AD162" s="418">
        <f t="shared" si="58"/>
        <v>0</v>
      </c>
      <c r="AE162" s="413">
        <f t="shared" si="59"/>
        <v>0</v>
      </c>
    </row>
    <row r="163" spans="1:31" x14ac:dyDescent="0.3">
      <c r="A163" s="418" t="s">
        <v>13</v>
      </c>
      <c r="B163" s="418" t="s">
        <v>1735</v>
      </c>
      <c r="C163" s="418" t="s">
        <v>1168</v>
      </c>
      <c r="D163" s="418" t="str">
        <f t="shared" si="42"/>
        <v>101-G382</v>
      </c>
      <c r="E163" s="418">
        <v>0</v>
      </c>
      <c r="F163" s="418">
        <v>6583.8</v>
      </c>
      <c r="G163" s="418">
        <v>9974.16</v>
      </c>
      <c r="H163" s="418">
        <v>16856.34</v>
      </c>
      <c r="I163" s="418">
        <v>0</v>
      </c>
      <c r="J163" s="413">
        <v>0</v>
      </c>
      <c r="L163" s="418" t="str">
        <f t="shared" si="43"/>
        <v>Gas Modernization</v>
      </c>
      <c r="M163" s="418" t="str">
        <f t="shared" si="44"/>
        <v>G3820 DST Meter Installations (AMR)</v>
      </c>
      <c r="N163" s="418" t="str">
        <f t="shared" si="40"/>
        <v>Programmatic</v>
      </c>
      <c r="O163" s="418" t="str">
        <f t="shared" si="45"/>
        <v>101-G382</v>
      </c>
      <c r="P163" s="418">
        <f t="shared" si="46"/>
        <v>0</v>
      </c>
      <c r="Q163" s="418">
        <f t="shared" si="47"/>
        <v>0</v>
      </c>
      <c r="R163" s="418">
        <f t="shared" si="48"/>
        <v>0</v>
      </c>
      <c r="S163" s="418">
        <f t="shared" si="49"/>
        <v>0</v>
      </c>
      <c r="T163" s="418">
        <f t="shared" si="50"/>
        <v>0</v>
      </c>
      <c r="V163" s="418" t="str">
        <f t="shared" si="51"/>
        <v>Gas Modernization</v>
      </c>
      <c r="W163" s="418" t="str">
        <f t="shared" si="52"/>
        <v>G3820 DST Meter Installations (AMR)</v>
      </c>
      <c r="X163" s="418" t="str">
        <f t="shared" si="41"/>
        <v>Programmatic</v>
      </c>
      <c r="Y163" s="418" t="str">
        <f t="shared" si="53"/>
        <v>101-G382</v>
      </c>
      <c r="Z163" s="418">
        <f t="shared" si="54"/>
        <v>0</v>
      </c>
      <c r="AA163" s="418">
        <f t="shared" si="55"/>
        <v>6583.8</v>
      </c>
      <c r="AB163" s="418">
        <f t="shared" si="56"/>
        <v>9974.16</v>
      </c>
      <c r="AC163" s="418">
        <f t="shared" si="57"/>
        <v>16856.34</v>
      </c>
      <c r="AD163" s="418">
        <f t="shared" si="58"/>
        <v>0</v>
      </c>
      <c r="AE163" s="413">
        <f t="shared" si="59"/>
        <v>0</v>
      </c>
    </row>
    <row r="164" spans="1:31" x14ac:dyDescent="0.3">
      <c r="A164" s="418" t="s">
        <v>13</v>
      </c>
      <c r="B164" s="418" t="s">
        <v>1734</v>
      </c>
      <c r="C164" s="418" t="s">
        <v>1168</v>
      </c>
      <c r="D164" s="418" t="str">
        <f t="shared" si="42"/>
        <v>101-G382</v>
      </c>
      <c r="E164" s="418">
        <v>0</v>
      </c>
      <c r="F164" s="418">
        <v>11275.56</v>
      </c>
      <c r="G164" s="418">
        <v>17082</v>
      </c>
      <c r="H164" s="418">
        <v>28868.639999999999</v>
      </c>
      <c r="I164" s="418">
        <v>0</v>
      </c>
      <c r="J164" s="413">
        <v>0</v>
      </c>
      <c r="L164" s="418" t="str">
        <f t="shared" si="43"/>
        <v>Gas Modernization</v>
      </c>
      <c r="M164" s="418" t="str">
        <f t="shared" si="44"/>
        <v>G3822 DST Module Installations, AMI</v>
      </c>
      <c r="N164" s="418" t="str">
        <f t="shared" si="40"/>
        <v>Programmatic</v>
      </c>
      <c r="O164" s="418" t="str">
        <f t="shared" si="45"/>
        <v>101-G382</v>
      </c>
      <c r="P164" s="418">
        <f t="shared" si="46"/>
        <v>0</v>
      </c>
      <c r="Q164" s="418">
        <f t="shared" si="47"/>
        <v>0</v>
      </c>
      <c r="R164" s="418">
        <f t="shared" si="48"/>
        <v>0</v>
      </c>
      <c r="S164" s="418">
        <f t="shared" si="49"/>
        <v>0</v>
      </c>
      <c r="T164" s="418">
        <f t="shared" si="50"/>
        <v>0</v>
      </c>
      <c r="V164" s="418" t="str">
        <f t="shared" si="51"/>
        <v>Gas Modernization</v>
      </c>
      <c r="W164" s="418" t="str">
        <f t="shared" si="52"/>
        <v>G3822 DST Module Installations, AMI</v>
      </c>
      <c r="X164" s="418" t="str">
        <f t="shared" si="41"/>
        <v>Programmatic</v>
      </c>
      <c r="Y164" s="418" t="str">
        <f t="shared" si="53"/>
        <v>101-G382</v>
      </c>
      <c r="Z164" s="418">
        <f t="shared" si="54"/>
        <v>0</v>
      </c>
      <c r="AA164" s="418">
        <f t="shared" si="55"/>
        <v>11275.56</v>
      </c>
      <c r="AB164" s="418">
        <f t="shared" si="56"/>
        <v>17082</v>
      </c>
      <c r="AC164" s="418">
        <f t="shared" si="57"/>
        <v>28868.639999999999</v>
      </c>
      <c r="AD164" s="418">
        <f t="shared" si="58"/>
        <v>0</v>
      </c>
      <c r="AE164" s="413">
        <f t="shared" si="59"/>
        <v>0</v>
      </c>
    </row>
    <row r="165" spans="1:31" x14ac:dyDescent="0.3">
      <c r="A165" s="418" t="s">
        <v>13</v>
      </c>
      <c r="B165" s="418" t="s">
        <v>1733</v>
      </c>
      <c r="C165" s="418" t="s">
        <v>1168</v>
      </c>
      <c r="D165" s="418" t="str">
        <f t="shared" si="42"/>
        <v>101-G383</v>
      </c>
      <c r="E165" s="418">
        <v>0</v>
      </c>
      <c r="F165" s="418">
        <v>5637.12</v>
      </c>
      <c r="G165" s="418">
        <v>8539.98</v>
      </c>
      <c r="H165" s="418">
        <v>14432.59</v>
      </c>
      <c r="I165" s="418">
        <v>0</v>
      </c>
      <c r="J165" s="413">
        <v>0</v>
      </c>
      <c r="L165" s="418" t="str">
        <f t="shared" si="43"/>
        <v>Gas Modernization</v>
      </c>
      <c r="M165" s="418" t="str">
        <f t="shared" si="44"/>
        <v>G383 DST House Regulators</v>
      </c>
      <c r="N165" s="418" t="str">
        <f t="shared" si="40"/>
        <v>Programmatic</v>
      </c>
      <c r="O165" s="418" t="str">
        <f t="shared" si="45"/>
        <v>101-G383</v>
      </c>
      <c r="P165" s="418">
        <f t="shared" si="46"/>
        <v>0</v>
      </c>
      <c r="Q165" s="418">
        <f t="shared" si="47"/>
        <v>0</v>
      </c>
      <c r="R165" s="418">
        <f t="shared" si="48"/>
        <v>0</v>
      </c>
      <c r="S165" s="418">
        <f t="shared" si="49"/>
        <v>0</v>
      </c>
      <c r="T165" s="418">
        <f t="shared" si="50"/>
        <v>0</v>
      </c>
      <c r="V165" s="418" t="str">
        <f t="shared" si="51"/>
        <v>Gas Modernization</v>
      </c>
      <c r="W165" s="418" t="str">
        <f t="shared" si="52"/>
        <v>G383 DST House Regulators</v>
      </c>
      <c r="X165" s="418" t="str">
        <f t="shared" si="41"/>
        <v>Programmatic</v>
      </c>
      <c r="Y165" s="418" t="str">
        <f t="shared" si="53"/>
        <v>101-G383</v>
      </c>
      <c r="Z165" s="418">
        <f t="shared" si="54"/>
        <v>0</v>
      </c>
      <c r="AA165" s="418">
        <f t="shared" si="55"/>
        <v>5637.12</v>
      </c>
      <c r="AB165" s="418">
        <f t="shared" si="56"/>
        <v>8539.98</v>
      </c>
      <c r="AC165" s="418">
        <f t="shared" si="57"/>
        <v>14432.59</v>
      </c>
      <c r="AD165" s="418">
        <f t="shared" si="58"/>
        <v>0</v>
      </c>
      <c r="AE165" s="413">
        <f t="shared" si="59"/>
        <v>0</v>
      </c>
    </row>
    <row r="166" spans="1:31" x14ac:dyDescent="0.3">
      <c r="A166" s="418" t="s">
        <v>13</v>
      </c>
      <c r="B166" s="418" t="s">
        <v>1732</v>
      </c>
      <c r="C166" s="418" t="s">
        <v>1168</v>
      </c>
      <c r="D166" s="418" t="str">
        <f t="shared" si="42"/>
        <v>101-G384</v>
      </c>
      <c r="E166" s="418">
        <v>0</v>
      </c>
      <c r="F166" s="418">
        <v>5637.12</v>
      </c>
      <c r="G166" s="418">
        <v>8539.98</v>
      </c>
      <c r="H166" s="418">
        <v>14432.59</v>
      </c>
      <c r="I166" s="418">
        <v>0</v>
      </c>
      <c r="J166" s="413">
        <v>0</v>
      </c>
      <c r="L166" s="418" t="str">
        <f t="shared" si="43"/>
        <v>Gas Modernization</v>
      </c>
      <c r="M166" s="418" t="str">
        <f t="shared" si="44"/>
        <v>G384 DST House Regulator Installs</v>
      </c>
      <c r="N166" s="418" t="str">
        <f t="shared" si="40"/>
        <v>Programmatic</v>
      </c>
      <c r="O166" s="418" t="str">
        <f t="shared" si="45"/>
        <v>101-G384</v>
      </c>
      <c r="P166" s="418">
        <f t="shared" si="46"/>
        <v>0</v>
      </c>
      <c r="Q166" s="418">
        <f t="shared" si="47"/>
        <v>0</v>
      </c>
      <c r="R166" s="418">
        <f t="shared" si="48"/>
        <v>0</v>
      </c>
      <c r="S166" s="418">
        <f t="shared" si="49"/>
        <v>0</v>
      </c>
      <c r="T166" s="418">
        <f t="shared" si="50"/>
        <v>0</v>
      </c>
      <c r="V166" s="418" t="str">
        <f t="shared" si="51"/>
        <v>Gas Modernization</v>
      </c>
      <c r="W166" s="418" t="str">
        <f t="shared" si="52"/>
        <v>G384 DST House Regulator Installs</v>
      </c>
      <c r="X166" s="418" t="str">
        <f t="shared" si="41"/>
        <v>Programmatic</v>
      </c>
      <c r="Y166" s="418" t="str">
        <f t="shared" si="53"/>
        <v>101-G384</v>
      </c>
      <c r="Z166" s="418">
        <f t="shared" si="54"/>
        <v>0</v>
      </c>
      <c r="AA166" s="418">
        <f t="shared" si="55"/>
        <v>5637.12</v>
      </c>
      <c r="AB166" s="418">
        <f t="shared" si="56"/>
        <v>8539.98</v>
      </c>
      <c r="AC166" s="418">
        <f t="shared" si="57"/>
        <v>14432.59</v>
      </c>
      <c r="AD166" s="418">
        <f t="shared" si="58"/>
        <v>0</v>
      </c>
      <c r="AE166" s="413">
        <f t="shared" si="59"/>
        <v>0</v>
      </c>
    </row>
    <row r="167" spans="1:31" x14ac:dyDescent="0.3">
      <c r="A167" s="418" t="s">
        <v>13</v>
      </c>
      <c r="B167" s="418" t="s">
        <v>1731</v>
      </c>
      <c r="C167" s="418" t="s">
        <v>1168</v>
      </c>
      <c r="D167" s="418" t="str">
        <f t="shared" si="42"/>
        <v>101-G385</v>
      </c>
      <c r="E167" s="418">
        <v>0</v>
      </c>
      <c r="F167" s="418">
        <v>1955753.22</v>
      </c>
      <c r="G167" s="418">
        <v>3008874.03</v>
      </c>
      <c r="H167" s="418">
        <v>5142916.1100000003</v>
      </c>
      <c r="I167" s="418">
        <v>0</v>
      </c>
      <c r="J167" s="413">
        <v>0</v>
      </c>
      <c r="L167" s="418" t="str">
        <f t="shared" si="43"/>
        <v>Gas Modernization</v>
      </c>
      <c r="M167" s="418" t="str">
        <f t="shared" si="44"/>
        <v>G385 DST Industrial M&amp;R Sta Eq</v>
      </c>
      <c r="N167" s="418" t="str">
        <f t="shared" si="40"/>
        <v>Programmatic</v>
      </c>
      <c r="O167" s="418" t="str">
        <f t="shared" si="45"/>
        <v>101-G385</v>
      </c>
      <c r="P167" s="418">
        <f t="shared" si="46"/>
        <v>0</v>
      </c>
      <c r="Q167" s="418">
        <f t="shared" si="47"/>
        <v>0</v>
      </c>
      <c r="R167" s="418">
        <f t="shared" si="48"/>
        <v>0</v>
      </c>
      <c r="S167" s="418">
        <f t="shared" si="49"/>
        <v>0</v>
      </c>
      <c r="T167" s="418">
        <f t="shared" si="50"/>
        <v>0</v>
      </c>
      <c r="V167" s="418" t="str">
        <f t="shared" si="51"/>
        <v>Gas Modernization</v>
      </c>
      <c r="W167" s="418" t="str">
        <f t="shared" si="52"/>
        <v>G385 DST Industrial M&amp;R Sta Eq</v>
      </c>
      <c r="X167" s="418" t="str">
        <f t="shared" si="41"/>
        <v>Programmatic</v>
      </c>
      <c r="Y167" s="418" t="str">
        <f t="shared" si="53"/>
        <v>101-G385</v>
      </c>
      <c r="Z167" s="418">
        <f t="shared" si="54"/>
        <v>0</v>
      </c>
      <c r="AA167" s="418">
        <f t="shared" si="55"/>
        <v>1955753.22</v>
      </c>
      <c r="AB167" s="418">
        <f t="shared" si="56"/>
        <v>3008874.03</v>
      </c>
      <c r="AC167" s="418">
        <f t="shared" si="57"/>
        <v>5142916.1100000003</v>
      </c>
      <c r="AD167" s="418">
        <f t="shared" si="58"/>
        <v>0</v>
      </c>
      <c r="AE167" s="413">
        <f t="shared" si="59"/>
        <v>0</v>
      </c>
    </row>
    <row r="168" spans="1:31" x14ac:dyDescent="0.3">
      <c r="A168" s="418" t="s">
        <v>13</v>
      </c>
      <c r="B168" s="418" t="s">
        <v>1916</v>
      </c>
      <c r="C168" s="418" t="s">
        <v>1168</v>
      </c>
      <c r="D168" s="418" t="str">
        <f t="shared" si="42"/>
        <v>101-G387</v>
      </c>
      <c r="E168" s="418">
        <v>0</v>
      </c>
      <c r="F168" s="418">
        <v>39612.6</v>
      </c>
      <c r="G168" s="418">
        <v>60002.7</v>
      </c>
      <c r="H168" s="418">
        <v>101384.47</v>
      </c>
      <c r="I168" s="418">
        <v>0</v>
      </c>
      <c r="J168" s="413">
        <v>0</v>
      </c>
      <c r="L168" s="418" t="str">
        <f t="shared" si="43"/>
        <v>Gas Modernization</v>
      </c>
      <c r="M168" s="418" t="str">
        <f t="shared" si="44"/>
        <v>G387 DST Other Equipment</v>
      </c>
      <c r="N168" s="418" t="str">
        <f t="shared" si="40"/>
        <v>Programmatic</v>
      </c>
      <c r="O168" s="418" t="str">
        <f t="shared" si="45"/>
        <v>101-G387</v>
      </c>
      <c r="P168" s="418">
        <f t="shared" si="46"/>
        <v>0</v>
      </c>
      <c r="Q168" s="418">
        <f t="shared" si="47"/>
        <v>0</v>
      </c>
      <c r="R168" s="418">
        <f t="shared" si="48"/>
        <v>0</v>
      </c>
      <c r="S168" s="418">
        <f t="shared" si="49"/>
        <v>0</v>
      </c>
      <c r="T168" s="418">
        <f t="shared" si="50"/>
        <v>0</v>
      </c>
      <c r="V168" s="418" t="str">
        <f t="shared" si="51"/>
        <v>Gas Modernization</v>
      </c>
      <c r="W168" s="418" t="str">
        <f t="shared" si="52"/>
        <v>G387 DST Other Equipment</v>
      </c>
      <c r="X168" s="418" t="str">
        <f t="shared" si="41"/>
        <v>Programmatic</v>
      </c>
      <c r="Y168" s="418" t="str">
        <f t="shared" si="53"/>
        <v>101-G387</v>
      </c>
      <c r="Z168" s="418">
        <f t="shared" si="54"/>
        <v>0</v>
      </c>
      <c r="AA168" s="418">
        <f t="shared" si="55"/>
        <v>39612.6</v>
      </c>
      <c r="AB168" s="418">
        <f t="shared" si="56"/>
        <v>60002.7</v>
      </c>
      <c r="AC168" s="418">
        <f t="shared" si="57"/>
        <v>101384.47</v>
      </c>
      <c r="AD168" s="418">
        <f t="shared" si="58"/>
        <v>0</v>
      </c>
      <c r="AE168" s="413">
        <f t="shared" si="59"/>
        <v>0</v>
      </c>
    </row>
    <row r="169" spans="1:31" x14ac:dyDescent="0.3">
      <c r="A169" s="418" t="s">
        <v>13</v>
      </c>
      <c r="B169" s="418" t="s">
        <v>1723</v>
      </c>
      <c r="C169" s="418" t="s">
        <v>1168</v>
      </c>
      <c r="D169" s="418" t="str">
        <f t="shared" si="42"/>
        <v>101-G397</v>
      </c>
      <c r="E169" s="418">
        <v>0</v>
      </c>
      <c r="F169" s="418">
        <v>40263.42</v>
      </c>
      <c r="G169" s="418">
        <v>62220.94</v>
      </c>
      <c r="H169" s="418">
        <v>107453.66</v>
      </c>
      <c r="I169" s="418">
        <v>0</v>
      </c>
      <c r="J169" s="413">
        <v>0</v>
      </c>
      <c r="L169" s="418" t="str">
        <f t="shared" si="43"/>
        <v>Gas Modernization</v>
      </c>
      <c r="M169" s="418" t="str">
        <f t="shared" si="44"/>
        <v>G3970 GEN Comm Equip, new</v>
      </c>
      <c r="N169" s="418" t="str">
        <f t="shared" si="40"/>
        <v>Programmatic</v>
      </c>
      <c r="O169" s="418" t="str">
        <f t="shared" si="45"/>
        <v>101-G397</v>
      </c>
      <c r="P169" s="418">
        <f t="shared" si="46"/>
        <v>0</v>
      </c>
      <c r="Q169" s="418">
        <f t="shared" si="47"/>
        <v>0</v>
      </c>
      <c r="R169" s="418">
        <f t="shared" si="48"/>
        <v>0</v>
      </c>
      <c r="S169" s="418">
        <f t="shared" si="49"/>
        <v>0</v>
      </c>
      <c r="T169" s="418">
        <f t="shared" si="50"/>
        <v>0</v>
      </c>
      <c r="V169" s="418" t="str">
        <f t="shared" si="51"/>
        <v>Gas Modernization</v>
      </c>
      <c r="W169" s="418" t="str">
        <f t="shared" si="52"/>
        <v>G3970 GEN Comm Equip, new</v>
      </c>
      <c r="X169" s="418" t="str">
        <f t="shared" si="41"/>
        <v>Programmatic</v>
      </c>
      <c r="Y169" s="418" t="str">
        <f t="shared" si="53"/>
        <v>101-G397</v>
      </c>
      <c r="Z169" s="418">
        <f t="shared" si="54"/>
        <v>0</v>
      </c>
      <c r="AA169" s="418">
        <f t="shared" si="55"/>
        <v>40263.42</v>
      </c>
      <c r="AB169" s="418">
        <f t="shared" si="56"/>
        <v>62220.94</v>
      </c>
      <c r="AC169" s="418">
        <f t="shared" si="57"/>
        <v>107453.66</v>
      </c>
      <c r="AD169" s="418">
        <f t="shared" si="58"/>
        <v>0</v>
      </c>
      <c r="AE169" s="413">
        <f t="shared" si="59"/>
        <v>0</v>
      </c>
    </row>
    <row r="170" spans="1:31" x14ac:dyDescent="0.3">
      <c r="A170" s="418" t="s">
        <v>14</v>
      </c>
      <c r="B170" s="418" t="s">
        <v>1832</v>
      </c>
      <c r="C170" s="418" t="s">
        <v>1181</v>
      </c>
      <c r="D170" s="418" t="str">
        <f t="shared" si="42"/>
        <v>101-E344</v>
      </c>
      <c r="E170" s="418">
        <v>0</v>
      </c>
      <c r="F170" s="418">
        <v>-9590572.3200000003</v>
      </c>
      <c r="G170" s="418">
        <v>-9590572.3200000003</v>
      </c>
      <c r="H170" s="418">
        <v>-9590572.3200000003</v>
      </c>
      <c r="I170" s="418">
        <v>0</v>
      </c>
      <c r="J170" s="413">
        <v>0</v>
      </c>
      <c r="L170" s="418" t="str">
        <f t="shared" si="43"/>
        <v>Goldendale MM</v>
      </c>
      <c r="M170" s="418" t="str">
        <f t="shared" si="44"/>
        <v>E34420 PRD Gen, Goldendale</v>
      </c>
      <c r="N170" s="418" t="str">
        <f t="shared" si="40"/>
        <v>Specific</v>
      </c>
      <c r="O170" s="418" t="str">
        <f t="shared" si="45"/>
        <v>101-E344</v>
      </c>
      <c r="P170" s="418">
        <f t="shared" si="46"/>
        <v>0</v>
      </c>
      <c r="Q170" s="418">
        <f t="shared" si="47"/>
        <v>-9590572.3200000003</v>
      </c>
      <c r="R170" s="418">
        <f t="shared" si="48"/>
        <v>-9590572.3200000003</v>
      </c>
      <c r="S170" s="418">
        <f t="shared" si="49"/>
        <v>-9590572.3200000003</v>
      </c>
      <c r="T170" s="418">
        <f t="shared" si="50"/>
        <v>0</v>
      </c>
      <c r="V170" s="418" t="str">
        <f t="shared" si="51"/>
        <v>Goldendale MM</v>
      </c>
      <c r="W170" s="418" t="str">
        <f t="shared" si="52"/>
        <v>E34420 PRD Gen, Goldendale</v>
      </c>
      <c r="X170" s="418" t="str">
        <f t="shared" si="41"/>
        <v>Specific</v>
      </c>
      <c r="Y170" s="418" t="str">
        <f t="shared" si="53"/>
        <v>101-E344</v>
      </c>
      <c r="Z170" s="418">
        <f t="shared" si="54"/>
        <v>0</v>
      </c>
      <c r="AA170" s="418">
        <f t="shared" si="55"/>
        <v>0</v>
      </c>
      <c r="AB170" s="418">
        <f t="shared" si="56"/>
        <v>0</v>
      </c>
      <c r="AC170" s="418">
        <f t="shared" si="57"/>
        <v>0</v>
      </c>
      <c r="AD170" s="418">
        <f t="shared" si="58"/>
        <v>0</v>
      </c>
      <c r="AE170" s="413">
        <f t="shared" si="59"/>
        <v>0</v>
      </c>
    </row>
    <row r="171" spans="1:31" x14ac:dyDescent="0.3">
      <c r="A171" s="418" t="s">
        <v>15</v>
      </c>
      <c r="B171" s="418" t="s">
        <v>1888</v>
      </c>
      <c r="C171" s="418" t="s">
        <v>1168</v>
      </c>
      <c r="D171" s="418" t="str">
        <f t="shared" si="42"/>
        <v>101-E303</v>
      </c>
      <c r="E171" s="418">
        <v>0</v>
      </c>
      <c r="F171" s="418">
        <v>350939.76</v>
      </c>
      <c r="G171" s="418">
        <v>350939.76</v>
      </c>
      <c r="H171" s="418">
        <v>350939.76</v>
      </c>
      <c r="I171" s="418">
        <v>0</v>
      </c>
      <c r="J171" s="413">
        <v>0</v>
      </c>
      <c r="L171" s="418" t="str">
        <f t="shared" si="43"/>
        <v>Grid Modernization</v>
      </c>
      <c r="M171" s="418" t="str">
        <f t="shared" si="44"/>
        <v>E303.3 INT Misc Intangible Plant</v>
      </c>
      <c r="N171" s="418" t="str">
        <f t="shared" si="40"/>
        <v>Programmatic</v>
      </c>
      <c r="O171" s="418" t="str">
        <f t="shared" si="45"/>
        <v>101-E303</v>
      </c>
      <c r="P171" s="418">
        <f t="shared" si="46"/>
        <v>0</v>
      </c>
      <c r="Q171" s="418">
        <f t="shared" si="47"/>
        <v>350939.76</v>
      </c>
      <c r="R171" s="418">
        <f t="shared" si="48"/>
        <v>350939.76</v>
      </c>
      <c r="S171" s="418">
        <f t="shared" si="49"/>
        <v>350939.76</v>
      </c>
      <c r="T171" s="418">
        <f t="shared" si="50"/>
        <v>0</v>
      </c>
      <c r="V171" s="418" t="str">
        <f t="shared" si="51"/>
        <v>Grid Modernization</v>
      </c>
      <c r="W171" s="418" t="str">
        <f t="shared" si="52"/>
        <v>E303.3 INT Misc Intangible Plant</v>
      </c>
      <c r="X171" s="418" t="str">
        <f t="shared" si="41"/>
        <v>Programmatic</v>
      </c>
      <c r="Y171" s="418" t="str">
        <f t="shared" si="53"/>
        <v>101-E303</v>
      </c>
      <c r="Z171" s="418">
        <f t="shared" si="54"/>
        <v>0</v>
      </c>
      <c r="AA171" s="418">
        <f t="shared" si="55"/>
        <v>0</v>
      </c>
      <c r="AB171" s="418">
        <f t="shared" si="56"/>
        <v>0</v>
      </c>
      <c r="AC171" s="418">
        <f t="shared" si="57"/>
        <v>0</v>
      </c>
      <c r="AD171" s="418">
        <f t="shared" si="58"/>
        <v>0</v>
      </c>
      <c r="AE171" s="413">
        <f t="shared" si="59"/>
        <v>0</v>
      </c>
    </row>
    <row r="172" spans="1:31" x14ac:dyDescent="0.3">
      <c r="A172" s="418" t="s">
        <v>15</v>
      </c>
      <c r="B172" s="418" t="s">
        <v>1886</v>
      </c>
      <c r="C172" s="418" t="s">
        <v>1168</v>
      </c>
      <c r="D172" s="418" t="str">
        <f t="shared" si="42"/>
        <v>101-E303</v>
      </c>
      <c r="E172" s="418">
        <v>0</v>
      </c>
      <c r="F172" s="418">
        <v>1568953.98</v>
      </c>
      <c r="G172" s="418">
        <v>3307973.53</v>
      </c>
      <c r="H172" s="418">
        <v>14158396.01</v>
      </c>
      <c r="I172" s="418">
        <v>0</v>
      </c>
      <c r="J172" s="413">
        <v>0</v>
      </c>
      <c r="L172" s="418" t="str">
        <f t="shared" si="43"/>
        <v>Grid Modernization</v>
      </c>
      <c r="M172" s="418" t="str">
        <f t="shared" si="44"/>
        <v>E303.5 INT Misc Intangible Plant</v>
      </c>
      <c r="N172" s="418" t="str">
        <f t="shared" si="40"/>
        <v>Programmatic</v>
      </c>
      <c r="O172" s="418" t="str">
        <f t="shared" si="45"/>
        <v>101-E303</v>
      </c>
      <c r="P172" s="418">
        <f t="shared" si="46"/>
        <v>0</v>
      </c>
      <c r="Q172" s="418">
        <f t="shared" si="47"/>
        <v>1568953.98</v>
      </c>
      <c r="R172" s="418">
        <f t="shared" si="48"/>
        <v>3307973.53</v>
      </c>
      <c r="S172" s="418">
        <f t="shared" si="49"/>
        <v>14158396.01</v>
      </c>
      <c r="T172" s="418">
        <f t="shared" si="50"/>
        <v>0</v>
      </c>
      <c r="V172" s="418" t="str">
        <f t="shared" si="51"/>
        <v>Grid Modernization</v>
      </c>
      <c r="W172" s="418" t="str">
        <f t="shared" si="52"/>
        <v>E303.5 INT Misc Intangible Plant</v>
      </c>
      <c r="X172" s="418" t="str">
        <f t="shared" si="41"/>
        <v>Programmatic</v>
      </c>
      <c r="Y172" s="418" t="str">
        <f t="shared" si="53"/>
        <v>101-E303</v>
      </c>
      <c r="Z172" s="418">
        <f t="shared" si="54"/>
        <v>0</v>
      </c>
      <c r="AA172" s="418">
        <f t="shared" si="55"/>
        <v>0</v>
      </c>
      <c r="AB172" s="418">
        <f t="shared" si="56"/>
        <v>0</v>
      </c>
      <c r="AC172" s="418">
        <f t="shared" si="57"/>
        <v>0</v>
      </c>
      <c r="AD172" s="418">
        <f t="shared" si="58"/>
        <v>0</v>
      </c>
      <c r="AE172" s="413">
        <f t="shared" si="59"/>
        <v>0</v>
      </c>
    </row>
    <row r="173" spans="1:31" x14ac:dyDescent="0.3">
      <c r="A173" s="418" t="s">
        <v>15</v>
      </c>
      <c r="B173" s="418" t="s">
        <v>1915</v>
      </c>
      <c r="C173" s="418" t="s">
        <v>1168</v>
      </c>
      <c r="D173" s="418" t="str">
        <f t="shared" si="42"/>
        <v>101-E353</v>
      </c>
      <c r="E173" s="418">
        <v>0</v>
      </c>
      <c r="F173" s="418">
        <v>138545.16</v>
      </c>
      <c r="G173" s="418">
        <v>255169.5</v>
      </c>
      <c r="H173" s="418">
        <v>716982.18</v>
      </c>
      <c r="I173" s="418">
        <v>0</v>
      </c>
      <c r="J173" s="413">
        <v>0</v>
      </c>
      <c r="L173" s="418" t="str">
        <f t="shared" si="43"/>
        <v>Grid Modernization</v>
      </c>
      <c r="M173" s="418" t="str">
        <f t="shared" si="44"/>
        <v>E353 TSM Sta Eq, Wind Ridge-NonProj</v>
      </c>
      <c r="N173" s="418" t="str">
        <f t="shared" si="40"/>
        <v>Programmatic</v>
      </c>
      <c r="O173" s="418" t="str">
        <f t="shared" si="45"/>
        <v>101-E353</v>
      </c>
      <c r="P173" s="418">
        <f t="shared" si="46"/>
        <v>0</v>
      </c>
      <c r="Q173" s="418">
        <f t="shared" si="47"/>
        <v>138545.16</v>
      </c>
      <c r="R173" s="418">
        <f t="shared" si="48"/>
        <v>255169.5</v>
      </c>
      <c r="S173" s="418">
        <f t="shared" si="49"/>
        <v>716982.18</v>
      </c>
      <c r="T173" s="418">
        <f t="shared" si="50"/>
        <v>0</v>
      </c>
      <c r="V173" s="418" t="str">
        <f t="shared" si="51"/>
        <v>Grid Modernization</v>
      </c>
      <c r="W173" s="418" t="str">
        <f t="shared" si="52"/>
        <v>E353 TSM Sta Eq, Wind Ridge-NonProj</v>
      </c>
      <c r="X173" s="418" t="str">
        <f t="shared" si="41"/>
        <v>Programmatic</v>
      </c>
      <c r="Y173" s="418" t="str">
        <f t="shared" si="53"/>
        <v>101-E353</v>
      </c>
      <c r="Z173" s="418">
        <f t="shared" si="54"/>
        <v>0</v>
      </c>
      <c r="AA173" s="418">
        <f t="shared" si="55"/>
        <v>0</v>
      </c>
      <c r="AB173" s="418">
        <f t="shared" si="56"/>
        <v>0</v>
      </c>
      <c r="AC173" s="418">
        <f t="shared" si="57"/>
        <v>0</v>
      </c>
      <c r="AD173" s="418">
        <f t="shared" si="58"/>
        <v>0</v>
      </c>
      <c r="AE173" s="413">
        <f t="shared" si="59"/>
        <v>0</v>
      </c>
    </row>
    <row r="174" spans="1:31" x14ac:dyDescent="0.3">
      <c r="A174" s="418" t="s">
        <v>15</v>
      </c>
      <c r="B174" s="418" t="s">
        <v>1798</v>
      </c>
      <c r="C174" s="418" t="s">
        <v>1168</v>
      </c>
      <c r="D174" s="418" t="str">
        <f t="shared" si="42"/>
        <v>101-E353</v>
      </c>
      <c r="E174" s="418">
        <v>0</v>
      </c>
      <c r="F174" s="418">
        <v>2971294.93</v>
      </c>
      <c r="G174" s="418">
        <v>5231446.75</v>
      </c>
      <c r="H174" s="418">
        <v>13983928.73</v>
      </c>
      <c r="I174" s="418">
        <v>0</v>
      </c>
      <c r="J174" s="413">
        <v>0</v>
      </c>
      <c r="L174" s="418" t="str">
        <f t="shared" si="43"/>
        <v>Grid Modernization</v>
      </c>
      <c r="M174" s="418" t="str">
        <f t="shared" si="44"/>
        <v>E353 TSM Station Equipment</v>
      </c>
      <c r="N174" s="418" t="str">
        <f t="shared" si="40"/>
        <v>Programmatic</v>
      </c>
      <c r="O174" s="418" t="str">
        <f t="shared" si="45"/>
        <v>101-E353</v>
      </c>
      <c r="P174" s="418">
        <f t="shared" si="46"/>
        <v>0</v>
      </c>
      <c r="Q174" s="418">
        <f t="shared" si="47"/>
        <v>2971294.93</v>
      </c>
      <c r="R174" s="418">
        <f t="shared" si="48"/>
        <v>5231446.75</v>
      </c>
      <c r="S174" s="418">
        <f t="shared" si="49"/>
        <v>13983928.73</v>
      </c>
      <c r="T174" s="418">
        <f t="shared" si="50"/>
        <v>0</v>
      </c>
      <c r="V174" s="418" t="str">
        <f t="shared" si="51"/>
        <v>Grid Modernization</v>
      </c>
      <c r="W174" s="418" t="str">
        <f t="shared" si="52"/>
        <v>E353 TSM Station Equipment</v>
      </c>
      <c r="X174" s="418" t="str">
        <f t="shared" si="41"/>
        <v>Programmatic</v>
      </c>
      <c r="Y174" s="418" t="str">
        <f t="shared" si="53"/>
        <v>101-E353</v>
      </c>
      <c r="Z174" s="418">
        <f t="shared" si="54"/>
        <v>0</v>
      </c>
      <c r="AA174" s="418">
        <f t="shared" si="55"/>
        <v>0</v>
      </c>
      <c r="AB174" s="418">
        <f t="shared" si="56"/>
        <v>0</v>
      </c>
      <c r="AC174" s="418">
        <f t="shared" si="57"/>
        <v>0</v>
      </c>
      <c r="AD174" s="418">
        <f t="shared" si="58"/>
        <v>0</v>
      </c>
      <c r="AE174" s="413">
        <f t="shared" si="59"/>
        <v>0</v>
      </c>
    </row>
    <row r="175" spans="1:31" x14ac:dyDescent="0.3">
      <c r="A175" s="418" t="s">
        <v>15</v>
      </c>
      <c r="B175" s="418" t="s">
        <v>1715</v>
      </c>
      <c r="C175" s="418" t="s">
        <v>1168</v>
      </c>
      <c r="D175" s="418" t="str">
        <f t="shared" si="42"/>
        <v>101-E353</v>
      </c>
      <c r="E175" s="418">
        <v>0</v>
      </c>
      <c r="F175" s="418">
        <v>5173200.5999999996</v>
      </c>
      <c r="G175" s="418">
        <v>8797763.5199999996</v>
      </c>
      <c r="H175" s="418">
        <v>22680568.34</v>
      </c>
      <c r="I175" s="418">
        <v>0</v>
      </c>
      <c r="J175" s="413">
        <v>0</v>
      </c>
      <c r="L175" s="418" t="str">
        <f t="shared" si="43"/>
        <v>Grid Modernization</v>
      </c>
      <c r="M175" s="418" t="str">
        <f t="shared" si="44"/>
        <v>E3536 TSM Substation Equipment</v>
      </c>
      <c r="N175" s="418" t="str">
        <f t="shared" si="40"/>
        <v>Programmatic</v>
      </c>
      <c r="O175" s="418" t="str">
        <f t="shared" si="45"/>
        <v>101-E353</v>
      </c>
      <c r="P175" s="418">
        <f t="shared" si="46"/>
        <v>0</v>
      </c>
      <c r="Q175" s="418">
        <f t="shared" si="47"/>
        <v>5173200.5999999996</v>
      </c>
      <c r="R175" s="418">
        <f t="shared" si="48"/>
        <v>8797763.5199999996</v>
      </c>
      <c r="S175" s="418">
        <f t="shared" si="49"/>
        <v>22680568.34</v>
      </c>
      <c r="T175" s="418">
        <f t="shared" si="50"/>
        <v>0</v>
      </c>
      <c r="V175" s="418" t="str">
        <f t="shared" si="51"/>
        <v>Grid Modernization</v>
      </c>
      <c r="W175" s="418" t="str">
        <f t="shared" si="52"/>
        <v>E3536 TSM Substation Equipment</v>
      </c>
      <c r="X175" s="418" t="str">
        <f t="shared" si="41"/>
        <v>Programmatic</v>
      </c>
      <c r="Y175" s="418" t="str">
        <f t="shared" si="53"/>
        <v>101-E353</v>
      </c>
      <c r="Z175" s="418">
        <f t="shared" si="54"/>
        <v>0</v>
      </c>
      <c r="AA175" s="418">
        <f t="shared" si="55"/>
        <v>0</v>
      </c>
      <c r="AB175" s="418">
        <f t="shared" si="56"/>
        <v>0</v>
      </c>
      <c r="AC175" s="418">
        <f t="shared" si="57"/>
        <v>0</v>
      </c>
      <c r="AD175" s="418">
        <f t="shared" si="58"/>
        <v>0</v>
      </c>
      <c r="AE175" s="413">
        <f t="shared" si="59"/>
        <v>0</v>
      </c>
    </row>
    <row r="176" spans="1:31" x14ac:dyDescent="0.3">
      <c r="A176" s="418" t="s">
        <v>15</v>
      </c>
      <c r="B176" s="418" t="s">
        <v>1797</v>
      </c>
      <c r="C176" s="418" t="s">
        <v>1168</v>
      </c>
      <c r="D176" s="418" t="str">
        <f t="shared" si="42"/>
        <v>101-E353</v>
      </c>
      <c r="E176" s="418">
        <v>0</v>
      </c>
      <c r="F176" s="418">
        <v>1614.65</v>
      </c>
      <c r="G176" s="418">
        <v>1977.49</v>
      </c>
      <c r="H176" s="418">
        <v>2500.79</v>
      </c>
      <c r="I176" s="418">
        <v>0</v>
      </c>
      <c r="J176" s="413">
        <v>0</v>
      </c>
      <c r="L176" s="418" t="str">
        <f t="shared" si="43"/>
        <v>Grid Modernization</v>
      </c>
      <c r="M176" s="418" t="str">
        <f t="shared" si="44"/>
        <v>E3537 TSM Substation Equipment</v>
      </c>
      <c r="N176" s="418" t="str">
        <f t="shared" si="40"/>
        <v>Programmatic</v>
      </c>
      <c r="O176" s="418" t="str">
        <f t="shared" si="45"/>
        <v>101-E353</v>
      </c>
      <c r="P176" s="418">
        <f t="shared" si="46"/>
        <v>0</v>
      </c>
      <c r="Q176" s="418">
        <f t="shared" si="47"/>
        <v>1614.65</v>
      </c>
      <c r="R176" s="418">
        <f t="shared" si="48"/>
        <v>1977.49</v>
      </c>
      <c r="S176" s="418">
        <f t="shared" si="49"/>
        <v>2500.79</v>
      </c>
      <c r="T176" s="418">
        <f t="shared" si="50"/>
        <v>0</v>
      </c>
      <c r="V176" s="418" t="str">
        <f t="shared" si="51"/>
        <v>Grid Modernization</v>
      </c>
      <c r="W176" s="418" t="str">
        <f t="shared" si="52"/>
        <v>E3537 TSM Substation Equipment</v>
      </c>
      <c r="X176" s="418" t="str">
        <f t="shared" si="41"/>
        <v>Programmatic</v>
      </c>
      <c r="Y176" s="418" t="str">
        <f t="shared" si="53"/>
        <v>101-E353</v>
      </c>
      <c r="Z176" s="418">
        <f t="shared" si="54"/>
        <v>0</v>
      </c>
      <c r="AA176" s="418">
        <f t="shared" si="55"/>
        <v>0</v>
      </c>
      <c r="AB176" s="418">
        <f t="shared" si="56"/>
        <v>0</v>
      </c>
      <c r="AC176" s="418">
        <f t="shared" si="57"/>
        <v>0</v>
      </c>
      <c r="AD176" s="418">
        <f t="shared" si="58"/>
        <v>0</v>
      </c>
      <c r="AE176" s="413">
        <f t="shared" si="59"/>
        <v>0</v>
      </c>
    </row>
    <row r="177" spans="1:31" x14ac:dyDescent="0.3">
      <c r="A177" s="418" t="s">
        <v>15</v>
      </c>
      <c r="B177" s="418" t="s">
        <v>1793</v>
      </c>
      <c r="C177" s="418" t="s">
        <v>1168</v>
      </c>
      <c r="D177" s="418" t="str">
        <f t="shared" si="42"/>
        <v>101-E355</v>
      </c>
      <c r="E177" s="418">
        <v>0</v>
      </c>
      <c r="F177" s="418">
        <v>1880729.88</v>
      </c>
      <c r="G177" s="418">
        <v>2763289.65</v>
      </c>
      <c r="H177" s="418">
        <v>4819538</v>
      </c>
      <c r="I177" s="418">
        <v>0</v>
      </c>
      <c r="J177" s="413">
        <v>0</v>
      </c>
      <c r="L177" s="418" t="str">
        <f t="shared" si="43"/>
        <v>Grid Modernization</v>
      </c>
      <c r="M177" s="418" t="str">
        <f t="shared" si="44"/>
        <v>E355 TSM Poles &amp; Fixtures</v>
      </c>
      <c r="N177" s="418" t="str">
        <f t="shared" si="40"/>
        <v>Programmatic</v>
      </c>
      <c r="O177" s="418" t="str">
        <f t="shared" si="45"/>
        <v>101-E355</v>
      </c>
      <c r="P177" s="418">
        <f t="shared" si="46"/>
        <v>0</v>
      </c>
      <c r="Q177" s="418">
        <f t="shared" si="47"/>
        <v>1880729.88</v>
      </c>
      <c r="R177" s="418">
        <f t="shared" si="48"/>
        <v>2763289.65</v>
      </c>
      <c r="S177" s="418">
        <f t="shared" si="49"/>
        <v>4819538</v>
      </c>
      <c r="T177" s="418">
        <f t="shared" si="50"/>
        <v>0</v>
      </c>
      <c r="V177" s="418" t="str">
        <f t="shared" si="51"/>
        <v>Grid Modernization</v>
      </c>
      <c r="W177" s="418" t="str">
        <f t="shared" si="52"/>
        <v>E355 TSM Poles &amp; Fixtures</v>
      </c>
      <c r="X177" s="418" t="str">
        <f t="shared" si="41"/>
        <v>Programmatic</v>
      </c>
      <c r="Y177" s="418" t="str">
        <f t="shared" si="53"/>
        <v>101-E355</v>
      </c>
      <c r="Z177" s="418">
        <f t="shared" si="54"/>
        <v>0</v>
      </c>
      <c r="AA177" s="418">
        <f t="shared" si="55"/>
        <v>0</v>
      </c>
      <c r="AB177" s="418">
        <f t="shared" si="56"/>
        <v>0</v>
      </c>
      <c r="AC177" s="418">
        <f t="shared" si="57"/>
        <v>0</v>
      </c>
      <c r="AD177" s="418">
        <f t="shared" si="58"/>
        <v>0</v>
      </c>
      <c r="AE177" s="413">
        <f t="shared" si="59"/>
        <v>0</v>
      </c>
    </row>
    <row r="178" spans="1:31" x14ac:dyDescent="0.3">
      <c r="A178" s="418" t="s">
        <v>15</v>
      </c>
      <c r="B178" s="418" t="s">
        <v>1914</v>
      </c>
      <c r="C178" s="418" t="s">
        <v>1168</v>
      </c>
      <c r="D178" s="418" t="str">
        <f t="shared" si="42"/>
        <v>101-E355</v>
      </c>
      <c r="E178" s="418">
        <v>0</v>
      </c>
      <c r="F178" s="418">
        <v>39086.79</v>
      </c>
      <c r="G178" s="418">
        <v>57464.09</v>
      </c>
      <c r="H178" s="418">
        <v>100302.39999999999</v>
      </c>
      <c r="I178" s="418">
        <v>0</v>
      </c>
      <c r="J178" s="413">
        <v>0</v>
      </c>
      <c r="L178" s="418" t="str">
        <f t="shared" si="43"/>
        <v>Grid Modernization</v>
      </c>
      <c r="M178" s="418" t="str">
        <f t="shared" si="44"/>
        <v>E355 TSM Poles, Wild Horse-WindRidg</v>
      </c>
      <c r="N178" s="418" t="str">
        <f t="shared" si="40"/>
        <v>Programmatic</v>
      </c>
      <c r="O178" s="418" t="str">
        <f t="shared" si="45"/>
        <v>101-E355</v>
      </c>
      <c r="P178" s="418">
        <f t="shared" si="46"/>
        <v>0</v>
      </c>
      <c r="Q178" s="418">
        <f t="shared" si="47"/>
        <v>39086.79</v>
      </c>
      <c r="R178" s="418">
        <f t="shared" si="48"/>
        <v>57464.09</v>
      </c>
      <c r="S178" s="418">
        <f t="shared" si="49"/>
        <v>100302.39999999999</v>
      </c>
      <c r="T178" s="418">
        <f t="shared" si="50"/>
        <v>0</v>
      </c>
      <c r="V178" s="418" t="str">
        <f t="shared" si="51"/>
        <v>Grid Modernization</v>
      </c>
      <c r="W178" s="418" t="str">
        <f t="shared" si="52"/>
        <v>E355 TSM Poles, Wild Horse-WindRidg</v>
      </c>
      <c r="X178" s="418" t="str">
        <f t="shared" si="41"/>
        <v>Programmatic</v>
      </c>
      <c r="Y178" s="418" t="str">
        <f t="shared" si="53"/>
        <v>101-E355</v>
      </c>
      <c r="Z178" s="418">
        <f t="shared" si="54"/>
        <v>0</v>
      </c>
      <c r="AA178" s="418">
        <f t="shared" si="55"/>
        <v>0</v>
      </c>
      <c r="AB178" s="418">
        <f t="shared" si="56"/>
        <v>0</v>
      </c>
      <c r="AC178" s="418">
        <f t="shared" si="57"/>
        <v>0</v>
      </c>
      <c r="AD178" s="418">
        <f t="shared" si="58"/>
        <v>0</v>
      </c>
      <c r="AE178" s="413">
        <f t="shared" si="59"/>
        <v>0</v>
      </c>
    </row>
    <row r="179" spans="1:31" x14ac:dyDescent="0.3">
      <c r="A179" s="418" t="s">
        <v>15</v>
      </c>
      <c r="B179" s="418" t="s">
        <v>1717</v>
      </c>
      <c r="C179" s="418" t="s">
        <v>1168</v>
      </c>
      <c r="D179" s="418" t="str">
        <f t="shared" si="42"/>
        <v>101-E355</v>
      </c>
      <c r="E179" s="418">
        <v>0</v>
      </c>
      <c r="F179" s="418">
        <v>4562433.7300000004</v>
      </c>
      <c r="G179" s="418">
        <v>6935125.5700000003</v>
      </c>
      <c r="H179" s="418">
        <v>12721608.66</v>
      </c>
      <c r="I179" s="418">
        <v>0</v>
      </c>
      <c r="J179" s="413">
        <v>0</v>
      </c>
      <c r="L179" s="418" t="str">
        <f t="shared" si="43"/>
        <v>Grid Modernization</v>
      </c>
      <c r="M179" s="418" t="str">
        <f t="shared" si="44"/>
        <v>E3556 TSM Poles</v>
      </c>
      <c r="N179" s="418" t="str">
        <f t="shared" si="40"/>
        <v>Programmatic</v>
      </c>
      <c r="O179" s="418" t="str">
        <f t="shared" si="45"/>
        <v>101-E355</v>
      </c>
      <c r="P179" s="418">
        <f t="shared" si="46"/>
        <v>0</v>
      </c>
      <c r="Q179" s="418">
        <f t="shared" si="47"/>
        <v>4562433.7300000004</v>
      </c>
      <c r="R179" s="418">
        <f t="shared" si="48"/>
        <v>6935125.5700000003</v>
      </c>
      <c r="S179" s="418">
        <f t="shared" si="49"/>
        <v>12721608.66</v>
      </c>
      <c r="T179" s="418">
        <f t="shared" si="50"/>
        <v>0</v>
      </c>
      <c r="V179" s="418" t="str">
        <f t="shared" si="51"/>
        <v>Grid Modernization</v>
      </c>
      <c r="W179" s="418" t="str">
        <f t="shared" si="52"/>
        <v>E3556 TSM Poles</v>
      </c>
      <c r="X179" s="418" t="str">
        <f t="shared" si="41"/>
        <v>Programmatic</v>
      </c>
      <c r="Y179" s="418" t="str">
        <f t="shared" si="53"/>
        <v>101-E355</v>
      </c>
      <c r="Z179" s="418">
        <f t="shared" si="54"/>
        <v>0</v>
      </c>
      <c r="AA179" s="418">
        <f t="shared" si="55"/>
        <v>0</v>
      </c>
      <c r="AB179" s="418">
        <f t="shared" si="56"/>
        <v>0</v>
      </c>
      <c r="AC179" s="418">
        <f t="shared" si="57"/>
        <v>0</v>
      </c>
      <c r="AD179" s="418">
        <f t="shared" si="58"/>
        <v>0</v>
      </c>
      <c r="AE179" s="413">
        <f t="shared" si="59"/>
        <v>0</v>
      </c>
    </row>
    <row r="180" spans="1:31" x14ac:dyDescent="0.3">
      <c r="A180" s="418" t="s">
        <v>15</v>
      </c>
      <c r="B180" s="418" t="s">
        <v>1792</v>
      </c>
      <c r="C180" s="418" t="s">
        <v>1168</v>
      </c>
      <c r="D180" s="418" t="str">
        <f t="shared" si="42"/>
        <v>101-E355</v>
      </c>
      <c r="E180" s="418">
        <v>0</v>
      </c>
      <c r="F180" s="418">
        <v>403902.71999999997</v>
      </c>
      <c r="G180" s="418">
        <v>593804.24</v>
      </c>
      <c r="H180" s="418">
        <v>1036473.19</v>
      </c>
      <c r="I180" s="418">
        <v>0</v>
      </c>
      <c r="J180" s="413">
        <v>0</v>
      </c>
      <c r="L180" s="418" t="str">
        <f t="shared" si="43"/>
        <v>Grid Modernization</v>
      </c>
      <c r="M180" s="418" t="str">
        <f t="shared" si="44"/>
        <v>E3557 TSM Poles</v>
      </c>
      <c r="N180" s="418" t="str">
        <f t="shared" si="40"/>
        <v>Programmatic</v>
      </c>
      <c r="O180" s="418" t="str">
        <f t="shared" si="45"/>
        <v>101-E355</v>
      </c>
      <c r="P180" s="418">
        <f t="shared" si="46"/>
        <v>0</v>
      </c>
      <c r="Q180" s="418">
        <f t="shared" si="47"/>
        <v>403902.71999999997</v>
      </c>
      <c r="R180" s="418">
        <f t="shared" si="48"/>
        <v>593804.24</v>
      </c>
      <c r="S180" s="418">
        <f t="shared" si="49"/>
        <v>1036473.19</v>
      </c>
      <c r="T180" s="418">
        <f t="shared" si="50"/>
        <v>0</v>
      </c>
      <c r="V180" s="418" t="str">
        <f t="shared" si="51"/>
        <v>Grid Modernization</v>
      </c>
      <c r="W180" s="418" t="str">
        <f t="shared" si="52"/>
        <v>E3557 TSM Poles</v>
      </c>
      <c r="X180" s="418" t="str">
        <f t="shared" si="41"/>
        <v>Programmatic</v>
      </c>
      <c r="Y180" s="418" t="str">
        <f t="shared" si="53"/>
        <v>101-E355</v>
      </c>
      <c r="Z180" s="418">
        <f t="shared" si="54"/>
        <v>0</v>
      </c>
      <c r="AA180" s="418">
        <f t="shared" si="55"/>
        <v>0</v>
      </c>
      <c r="AB180" s="418">
        <f t="shared" si="56"/>
        <v>0</v>
      </c>
      <c r="AC180" s="418">
        <f t="shared" si="57"/>
        <v>0</v>
      </c>
      <c r="AD180" s="418">
        <f t="shared" si="58"/>
        <v>0</v>
      </c>
      <c r="AE180" s="413">
        <f t="shared" si="59"/>
        <v>0</v>
      </c>
    </row>
    <row r="181" spans="1:31" x14ac:dyDescent="0.3">
      <c r="A181" s="418" t="s">
        <v>15</v>
      </c>
      <c r="B181" s="418" t="s">
        <v>1788</v>
      </c>
      <c r="C181" s="418" t="s">
        <v>1168</v>
      </c>
      <c r="D181" s="418" t="str">
        <f t="shared" si="42"/>
        <v>101-E356</v>
      </c>
      <c r="E181" s="418">
        <v>0</v>
      </c>
      <c r="F181" s="418">
        <v>319227.68</v>
      </c>
      <c r="G181" s="418">
        <v>512924.64</v>
      </c>
      <c r="H181" s="418">
        <v>1090628.0900000001</v>
      </c>
      <c r="I181" s="418">
        <v>0</v>
      </c>
      <c r="J181" s="413">
        <v>0</v>
      </c>
      <c r="L181" s="418" t="str">
        <f t="shared" si="43"/>
        <v>Grid Modernization</v>
      </c>
      <c r="M181" s="418" t="str">
        <f t="shared" si="44"/>
        <v>E3566 TSM O/H Conductor/Devices</v>
      </c>
      <c r="N181" s="418" t="str">
        <f t="shared" si="40"/>
        <v>Programmatic</v>
      </c>
      <c r="O181" s="418" t="str">
        <f t="shared" si="45"/>
        <v>101-E356</v>
      </c>
      <c r="P181" s="418">
        <f t="shared" si="46"/>
        <v>0</v>
      </c>
      <c r="Q181" s="418">
        <f t="shared" si="47"/>
        <v>319227.68</v>
      </c>
      <c r="R181" s="418">
        <f t="shared" si="48"/>
        <v>512924.64</v>
      </c>
      <c r="S181" s="418">
        <f t="shared" si="49"/>
        <v>1090628.0900000001</v>
      </c>
      <c r="T181" s="418">
        <f t="shared" si="50"/>
        <v>0</v>
      </c>
      <c r="V181" s="418" t="str">
        <f t="shared" si="51"/>
        <v>Grid Modernization</v>
      </c>
      <c r="W181" s="418" t="str">
        <f t="shared" si="52"/>
        <v>E3566 TSM O/H Conductor/Devices</v>
      </c>
      <c r="X181" s="418" t="str">
        <f t="shared" si="41"/>
        <v>Programmatic</v>
      </c>
      <c r="Y181" s="418" t="str">
        <f t="shared" si="53"/>
        <v>101-E356</v>
      </c>
      <c r="Z181" s="418">
        <f t="shared" si="54"/>
        <v>0</v>
      </c>
      <c r="AA181" s="418">
        <f t="shared" si="55"/>
        <v>0</v>
      </c>
      <c r="AB181" s="418">
        <f t="shared" si="56"/>
        <v>0</v>
      </c>
      <c r="AC181" s="418">
        <f t="shared" si="57"/>
        <v>0</v>
      </c>
      <c r="AD181" s="418">
        <f t="shared" si="58"/>
        <v>0</v>
      </c>
      <c r="AE181" s="413">
        <f t="shared" si="59"/>
        <v>0</v>
      </c>
    </row>
    <row r="182" spans="1:31" x14ac:dyDescent="0.3">
      <c r="A182" s="418" t="s">
        <v>15</v>
      </c>
      <c r="B182" s="418" t="s">
        <v>1913</v>
      </c>
      <c r="C182" s="418" t="s">
        <v>1168</v>
      </c>
      <c r="D182" s="418" t="str">
        <f t="shared" si="42"/>
        <v>101-E357</v>
      </c>
      <c r="E182" s="418">
        <v>0</v>
      </c>
      <c r="F182" s="418">
        <v>754315.44</v>
      </c>
      <c r="G182" s="418">
        <v>1508630.9</v>
      </c>
      <c r="H182" s="418">
        <v>3017261.78</v>
      </c>
      <c r="I182" s="418">
        <v>0</v>
      </c>
      <c r="J182" s="413">
        <v>0</v>
      </c>
      <c r="L182" s="418" t="str">
        <f t="shared" si="43"/>
        <v>Grid Modernization</v>
      </c>
      <c r="M182" s="418" t="str">
        <f t="shared" si="44"/>
        <v>E3577 TSM U/G Conduit</v>
      </c>
      <c r="N182" s="418" t="str">
        <f t="shared" si="40"/>
        <v>Programmatic</v>
      </c>
      <c r="O182" s="418" t="str">
        <f t="shared" si="45"/>
        <v>101-E357</v>
      </c>
      <c r="P182" s="418">
        <f t="shared" si="46"/>
        <v>0</v>
      </c>
      <c r="Q182" s="418">
        <f t="shared" si="47"/>
        <v>754315.44</v>
      </c>
      <c r="R182" s="418">
        <f t="shared" si="48"/>
        <v>1508630.9</v>
      </c>
      <c r="S182" s="418">
        <f t="shared" si="49"/>
        <v>3017261.78</v>
      </c>
      <c r="T182" s="418">
        <f t="shared" si="50"/>
        <v>0</v>
      </c>
      <c r="V182" s="418" t="str">
        <f t="shared" si="51"/>
        <v>Grid Modernization</v>
      </c>
      <c r="W182" s="418" t="str">
        <f t="shared" si="52"/>
        <v>E3577 TSM U/G Conduit</v>
      </c>
      <c r="X182" s="418" t="str">
        <f t="shared" si="41"/>
        <v>Programmatic</v>
      </c>
      <c r="Y182" s="418" t="str">
        <f t="shared" si="53"/>
        <v>101-E357</v>
      </c>
      <c r="Z182" s="418">
        <f t="shared" si="54"/>
        <v>0</v>
      </c>
      <c r="AA182" s="418">
        <f t="shared" si="55"/>
        <v>0</v>
      </c>
      <c r="AB182" s="418">
        <f t="shared" si="56"/>
        <v>0</v>
      </c>
      <c r="AC182" s="418">
        <f t="shared" si="57"/>
        <v>0</v>
      </c>
      <c r="AD182" s="418">
        <f t="shared" si="58"/>
        <v>0</v>
      </c>
      <c r="AE182" s="413">
        <f t="shared" si="59"/>
        <v>0</v>
      </c>
    </row>
    <row r="183" spans="1:31" x14ac:dyDescent="0.3">
      <c r="A183" s="418" t="s">
        <v>15</v>
      </c>
      <c r="B183" s="418" t="s">
        <v>1912</v>
      </c>
      <c r="C183" s="418" t="s">
        <v>1168</v>
      </c>
      <c r="D183" s="418" t="str">
        <f t="shared" si="42"/>
        <v>101-E358</v>
      </c>
      <c r="E183" s="418">
        <v>0</v>
      </c>
      <c r="F183" s="418">
        <v>1131473.04</v>
      </c>
      <c r="G183" s="418">
        <v>2262946.15</v>
      </c>
      <c r="H183" s="418">
        <v>4525892.3499999996</v>
      </c>
      <c r="I183" s="418">
        <v>0</v>
      </c>
      <c r="J183" s="413">
        <v>0</v>
      </c>
      <c r="L183" s="418" t="str">
        <f t="shared" si="43"/>
        <v>Grid Modernization</v>
      </c>
      <c r="M183" s="418" t="str">
        <f t="shared" si="44"/>
        <v>E3587 TSM U/G Conductor/Devices</v>
      </c>
      <c r="N183" s="418" t="str">
        <f t="shared" si="40"/>
        <v>Programmatic</v>
      </c>
      <c r="O183" s="418" t="str">
        <f t="shared" si="45"/>
        <v>101-E358</v>
      </c>
      <c r="P183" s="418">
        <f t="shared" si="46"/>
        <v>0</v>
      </c>
      <c r="Q183" s="418">
        <f t="shared" si="47"/>
        <v>1131473.04</v>
      </c>
      <c r="R183" s="418">
        <f t="shared" si="48"/>
        <v>2262946.15</v>
      </c>
      <c r="S183" s="418">
        <f t="shared" si="49"/>
        <v>4525892.3499999996</v>
      </c>
      <c r="T183" s="418">
        <f t="shared" si="50"/>
        <v>0</v>
      </c>
      <c r="V183" s="418" t="str">
        <f t="shared" si="51"/>
        <v>Grid Modernization</v>
      </c>
      <c r="W183" s="418" t="str">
        <f t="shared" si="52"/>
        <v>E3587 TSM U/G Conductor/Devices</v>
      </c>
      <c r="X183" s="418" t="str">
        <f t="shared" si="41"/>
        <v>Programmatic</v>
      </c>
      <c r="Y183" s="418" t="str">
        <f t="shared" si="53"/>
        <v>101-E358</v>
      </c>
      <c r="Z183" s="418">
        <f t="shared" si="54"/>
        <v>0</v>
      </c>
      <c r="AA183" s="418">
        <f t="shared" si="55"/>
        <v>0</v>
      </c>
      <c r="AB183" s="418">
        <f t="shared" si="56"/>
        <v>0</v>
      </c>
      <c r="AC183" s="418">
        <f t="shared" si="57"/>
        <v>0</v>
      </c>
      <c r="AD183" s="418">
        <f t="shared" si="58"/>
        <v>0</v>
      </c>
      <c r="AE183" s="413">
        <f t="shared" si="59"/>
        <v>0</v>
      </c>
    </row>
    <row r="184" spans="1:31" x14ac:dyDescent="0.3">
      <c r="A184" s="418" t="s">
        <v>15</v>
      </c>
      <c r="B184" s="418" t="s">
        <v>1782</v>
      </c>
      <c r="C184" s="418" t="s">
        <v>1168</v>
      </c>
      <c r="D184" s="418" t="str">
        <f t="shared" si="42"/>
        <v>101-E360</v>
      </c>
      <c r="E184" s="418">
        <v>0</v>
      </c>
      <c r="F184" s="418">
        <v>91386.27</v>
      </c>
      <c r="G184" s="418">
        <v>180896.24</v>
      </c>
      <c r="H184" s="418">
        <v>436438.31</v>
      </c>
      <c r="I184" s="418">
        <v>0</v>
      </c>
      <c r="J184" s="413">
        <v>0</v>
      </c>
      <c r="L184" s="418" t="str">
        <f t="shared" si="43"/>
        <v>Grid Modernization</v>
      </c>
      <c r="M184" s="418" t="str">
        <f t="shared" si="44"/>
        <v>E3600 DST Land &amp; Land Rights</v>
      </c>
      <c r="N184" s="418" t="str">
        <f t="shared" si="40"/>
        <v>Programmatic</v>
      </c>
      <c r="O184" s="418" t="str">
        <f t="shared" si="45"/>
        <v>101-E360</v>
      </c>
      <c r="P184" s="418">
        <f t="shared" si="46"/>
        <v>0</v>
      </c>
      <c r="Q184" s="418">
        <f t="shared" si="47"/>
        <v>91386.27</v>
      </c>
      <c r="R184" s="418">
        <f t="shared" si="48"/>
        <v>180896.24</v>
      </c>
      <c r="S184" s="418">
        <f t="shared" si="49"/>
        <v>436438.31</v>
      </c>
      <c r="T184" s="418">
        <f t="shared" si="50"/>
        <v>0</v>
      </c>
      <c r="V184" s="418" t="str">
        <f t="shared" si="51"/>
        <v>Grid Modernization</v>
      </c>
      <c r="W184" s="418" t="str">
        <f t="shared" si="52"/>
        <v>E3600 DST Land &amp; Land Rights</v>
      </c>
      <c r="X184" s="418" t="str">
        <f t="shared" si="41"/>
        <v>Programmatic</v>
      </c>
      <c r="Y184" s="418" t="str">
        <f t="shared" si="53"/>
        <v>101-E360</v>
      </c>
      <c r="Z184" s="418">
        <f t="shared" si="54"/>
        <v>0</v>
      </c>
      <c r="AA184" s="418">
        <f t="shared" si="55"/>
        <v>0</v>
      </c>
      <c r="AB184" s="418">
        <f t="shared" si="56"/>
        <v>0</v>
      </c>
      <c r="AC184" s="418">
        <f t="shared" si="57"/>
        <v>0</v>
      </c>
      <c r="AD184" s="418">
        <f t="shared" si="58"/>
        <v>0</v>
      </c>
      <c r="AE184" s="413">
        <f t="shared" si="59"/>
        <v>0</v>
      </c>
    </row>
    <row r="185" spans="1:31" x14ac:dyDescent="0.3">
      <c r="A185" s="415" t="s">
        <v>15</v>
      </c>
      <c r="B185" s="418" t="s">
        <v>1910</v>
      </c>
      <c r="C185" s="418" t="s">
        <v>1168</v>
      </c>
      <c r="D185" s="418" t="str">
        <f t="shared" si="42"/>
        <v>101-E360</v>
      </c>
      <c r="E185" s="418">
        <v>0</v>
      </c>
      <c r="F185" s="418">
        <v>1467278.96</v>
      </c>
      <c r="G185" s="418">
        <v>2025394.69</v>
      </c>
      <c r="H185" s="418">
        <v>2979289.02</v>
      </c>
      <c r="I185" s="418">
        <v>0</v>
      </c>
      <c r="J185" s="413">
        <v>0</v>
      </c>
      <c r="L185" s="418" t="str">
        <f t="shared" si="43"/>
        <v>Grid Modernization</v>
      </c>
      <c r="M185" s="418" t="str">
        <f t="shared" si="44"/>
        <v>E36010 DST Easements</v>
      </c>
      <c r="N185" s="418" t="str">
        <f t="shared" si="40"/>
        <v>Programmatic</v>
      </c>
      <c r="O185" s="418" t="str">
        <f t="shared" si="45"/>
        <v>101-E360</v>
      </c>
      <c r="P185" s="418">
        <f t="shared" si="46"/>
        <v>0</v>
      </c>
      <c r="Q185" s="418">
        <f t="shared" si="47"/>
        <v>1467278.96</v>
      </c>
      <c r="R185" s="418">
        <f t="shared" si="48"/>
        <v>2025394.69</v>
      </c>
      <c r="S185" s="418">
        <f t="shared" si="49"/>
        <v>2979289.02</v>
      </c>
      <c r="T185" s="418">
        <f t="shared" si="50"/>
        <v>0</v>
      </c>
      <c r="V185" s="418" t="str">
        <f t="shared" si="51"/>
        <v>Grid Modernization</v>
      </c>
      <c r="W185" s="418" t="str">
        <f t="shared" si="52"/>
        <v>E36010 DST Easements</v>
      </c>
      <c r="X185" s="418" t="str">
        <f t="shared" si="41"/>
        <v>Programmatic</v>
      </c>
      <c r="Y185" s="418" t="str">
        <f t="shared" si="53"/>
        <v>101-E360</v>
      </c>
      <c r="Z185" s="418">
        <f t="shared" si="54"/>
        <v>0</v>
      </c>
      <c r="AA185" s="418">
        <f t="shared" si="55"/>
        <v>0</v>
      </c>
      <c r="AB185" s="418">
        <f t="shared" si="56"/>
        <v>0</v>
      </c>
      <c r="AC185" s="418">
        <f t="shared" si="57"/>
        <v>0</v>
      </c>
      <c r="AD185" s="418">
        <f t="shared" si="58"/>
        <v>0</v>
      </c>
      <c r="AE185" s="413">
        <f t="shared" si="59"/>
        <v>0</v>
      </c>
    </row>
    <row r="186" spans="1:31" x14ac:dyDescent="0.3">
      <c r="A186" s="415" t="s">
        <v>15</v>
      </c>
      <c r="B186" s="418" t="s">
        <v>1781</v>
      </c>
      <c r="C186" s="418" t="s">
        <v>1168</v>
      </c>
      <c r="D186" s="418" t="str">
        <f t="shared" si="42"/>
        <v>101-E362</v>
      </c>
      <c r="E186" s="418">
        <v>0</v>
      </c>
      <c r="F186" s="418">
        <v>6558727.6799999997</v>
      </c>
      <c r="G186" s="418">
        <v>12748381.210000001</v>
      </c>
      <c r="H186" s="418">
        <v>32891478.140000001</v>
      </c>
      <c r="I186" s="418">
        <v>0</v>
      </c>
      <c r="J186" s="413">
        <v>0</v>
      </c>
      <c r="L186" s="418" t="str">
        <f t="shared" si="43"/>
        <v>Grid Modernization</v>
      </c>
      <c r="M186" s="418" t="str">
        <f t="shared" si="44"/>
        <v>E3620 DST Substation Equipment</v>
      </c>
      <c r="N186" s="418" t="str">
        <f t="shared" si="40"/>
        <v>Programmatic</v>
      </c>
      <c r="O186" s="418" t="str">
        <f t="shared" si="45"/>
        <v>101-E362</v>
      </c>
      <c r="P186" s="418">
        <f t="shared" si="46"/>
        <v>0</v>
      </c>
      <c r="Q186" s="418">
        <f t="shared" si="47"/>
        <v>6558727.6799999997</v>
      </c>
      <c r="R186" s="418">
        <f t="shared" si="48"/>
        <v>12748381.210000001</v>
      </c>
      <c r="S186" s="418">
        <f t="shared" si="49"/>
        <v>32891478.140000001</v>
      </c>
      <c r="T186" s="418">
        <f t="shared" si="50"/>
        <v>0</v>
      </c>
      <c r="V186" s="418" t="str">
        <f t="shared" si="51"/>
        <v>Grid Modernization</v>
      </c>
      <c r="W186" s="418" t="str">
        <f t="shared" si="52"/>
        <v>E3620 DST Substation Equipment</v>
      </c>
      <c r="X186" s="418" t="str">
        <f t="shared" si="41"/>
        <v>Programmatic</v>
      </c>
      <c r="Y186" s="418" t="str">
        <f t="shared" si="53"/>
        <v>101-E362</v>
      </c>
      <c r="Z186" s="418">
        <f t="shared" si="54"/>
        <v>0</v>
      </c>
      <c r="AA186" s="418">
        <f t="shared" si="55"/>
        <v>0</v>
      </c>
      <c r="AB186" s="418">
        <f t="shared" si="56"/>
        <v>0</v>
      </c>
      <c r="AC186" s="418">
        <f t="shared" si="57"/>
        <v>0</v>
      </c>
      <c r="AD186" s="418">
        <f t="shared" si="58"/>
        <v>0</v>
      </c>
      <c r="AE186" s="413">
        <f t="shared" si="59"/>
        <v>0</v>
      </c>
    </row>
    <row r="187" spans="1:31" x14ac:dyDescent="0.3">
      <c r="A187" s="415" t="s">
        <v>15</v>
      </c>
      <c r="B187" s="418" t="s">
        <v>1711</v>
      </c>
      <c r="C187" s="418" t="s">
        <v>1168</v>
      </c>
      <c r="D187" s="418" t="str">
        <f t="shared" si="42"/>
        <v>101-E364</v>
      </c>
      <c r="E187" s="418">
        <v>0</v>
      </c>
      <c r="F187" s="418">
        <v>14263683.359999999</v>
      </c>
      <c r="G187" s="418">
        <v>22824073.84</v>
      </c>
      <c r="H187" s="418">
        <v>39264146.719999999</v>
      </c>
      <c r="I187" s="418">
        <v>0</v>
      </c>
      <c r="J187" s="413">
        <v>0</v>
      </c>
      <c r="L187" s="418" t="str">
        <f t="shared" si="43"/>
        <v>Grid Modernization</v>
      </c>
      <c r="M187" s="418" t="str">
        <f t="shared" si="44"/>
        <v>E3640 DST Poles/Towers/Fixtures</v>
      </c>
      <c r="N187" s="418" t="str">
        <f t="shared" si="40"/>
        <v>Programmatic</v>
      </c>
      <c r="O187" s="418" t="str">
        <f t="shared" si="45"/>
        <v>101-E364</v>
      </c>
      <c r="P187" s="418">
        <f t="shared" si="46"/>
        <v>0</v>
      </c>
      <c r="Q187" s="418">
        <f t="shared" si="47"/>
        <v>14263683.359999999</v>
      </c>
      <c r="R187" s="418">
        <f t="shared" si="48"/>
        <v>22824073.84</v>
      </c>
      <c r="S187" s="418">
        <f t="shared" si="49"/>
        <v>39264146.719999999</v>
      </c>
      <c r="T187" s="418">
        <f t="shared" si="50"/>
        <v>0</v>
      </c>
      <c r="V187" s="418" t="str">
        <f t="shared" si="51"/>
        <v>Grid Modernization</v>
      </c>
      <c r="W187" s="418" t="str">
        <f t="shared" si="52"/>
        <v>E3640 DST Poles/Towers/Fixtures</v>
      </c>
      <c r="X187" s="418" t="str">
        <f t="shared" si="41"/>
        <v>Programmatic</v>
      </c>
      <c r="Y187" s="418" t="str">
        <f t="shared" si="53"/>
        <v>101-E364</v>
      </c>
      <c r="Z187" s="418">
        <f t="shared" si="54"/>
        <v>0</v>
      </c>
      <c r="AA187" s="418">
        <f t="shared" si="55"/>
        <v>0</v>
      </c>
      <c r="AB187" s="418">
        <f t="shared" si="56"/>
        <v>0</v>
      </c>
      <c r="AC187" s="418">
        <f t="shared" si="57"/>
        <v>0</v>
      </c>
      <c r="AD187" s="418">
        <f t="shared" si="58"/>
        <v>0</v>
      </c>
      <c r="AE187" s="413">
        <f t="shared" si="59"/>
        <v>0</v>
      </c>
    </row>
    <row r="188" spans="1:31" x14ac:dyDescent="0.3">
      <c r="A188" s="415" t="s">
        <v>15</v>
      </c>
      <c r="B188" s="418" t="s">
        <v>1720</v>
      </c>
      <c r="C188" s="418" t="s">
        <v>1168</v>
      </c>
      <c r="D188" s="418" t="str">
        <f t="shared" si="42"/>
        <v>101-E365</v>
      </c>
      <c r="E188" s="418">
        <v>0</v>
      </c>
      <c r="F188" s="418">
        <v>18450305.57</v>
      </c>
      <c r="G188" s="418">
        <v>29651472.239999998</v>
      </c>
      <c r="H188" s="418">
        <v>54572162.280000001</v>
      </c>
      <c r="I188" s="418">
        <v>0</v>
      </c>
      <c r="J188" s="413">
        <v>0</v>
      </c>
      <c r="L188" s="418" t="str">
        <f t="shared" si="43"/>
        <v>Grid Modernization</v>
      </c>
      <c r="M188" s="418" t="str">
        <f t="shared" si="44"/>
        <v>E3650 DST O/H Conductor/Devices</v>
      </c>
      <c r="N188" s="418" t="str">
        <f t="shared" si="40"/>
        <v>Programmatic</v>
      </c>
      <c r="O188" s="418" t="str">
        <f t="shared" si="45"/>
        <v>101-E365</v>
      </c>
      <c r="P188" s="418">
        <f t="shared" si="46"/>
        <v>0</v>
      </c>
      <c r="Q188" s="418">
        <f t="shared" si="47"/>
        <v>18450305.57</v>
      </c>
      <c r="R188" s="418">
        <f t="shared" si="48"/>
        <v>29651472.239999998</v>
      </c>
      <c r="S188" s="418">
        <f t="shared" si="49"/>
        <v>54572162.280000001</v>
      </c>
      <c r="T188" s="418">
        <f t="shared" si="50"/>
        <v>0</v>
      </c>
      <c r="V188" s="418" t="str">
        <f t="shared" si="51"/>
        <v>Grid Modernization</v>
      </c>
      <c r="W188" s="418" t="str">
        <f t="shared" si="52"/>
        <v>E3650 DST O/H Conductor/Devices</v>
      </c>
      <c r="X188" s="418" t="str">
        <f t="shared" si="41"/>
        <v>Programmatic</v>
      </c>
      <c r="Y188" s="418" t="str">
        <f t="shared" si="53"/>
        <v>101-E365</v>
      </c>
      <c r="Z188" s="418">
        <f t="shared" si="54"/>
        <v>0</v>
      </c>
      <c r="AA188" s="418">
        <f t="shared" si="55"/>
        <v>0</v>
      </c>
      <c r="AB188" s="418">
        <f t="shared" si="56"/>
        <v>0</v>
      </c>
      <c r="AC188" s="418">
        <f t="shared" si="57"/>
        <v>0</v>
      </c>
      <c r="AD188" s="418">
        <f t="shared" si="58"/>
        <v>0</v>
      </c>
      <c r="AE188" s="413">
        <f t="shared" si="59"/>
        <v>0</v>
      </c>
    </row>
    <row r="189" spans="1:31" x14ac:dyDescent="0.3">
      <c r="A189" s="415" t="s">
        <v>15</v>
      </c>
      <c r="B189" s="418" t="s">
        <v>1710</v>
      </c>
      <c r="C189" s="418" t="s">
        <v>1168</v>
      </c>
      <c r="D189" s="418" t="str">
        <f t="shared" si="42"/>
        <v>101-E366</v>
      </c>
      <c r="E189" s="418">
        <v>0</v>
      </c>
      <c r="F189" s="418">
        <v>15273874.74</v>
      </c>
      <c r="G189" s="418">
        <v>22823124.539999999</v>
      </c>
      <c r="H189" s="418">
        <v>42415509.770000003</v>
      </c>
      <c r="I189" s="418">
        <v>0</v>
      </c>
      <c r="J189" s="413">
        <v>0</v>
      </c>
      <c r="L189" s="418" t="str">
        <f t="shared" si="43"/>
        <v>Grid Modernization</v>
      </c>
      <c r="M189" s="418" t="str">
        <f t="shared" si="44"/>
        <v>E3660 DST U/G Conduit</v>
      </c>
      <c r="N189" s="418" t="str">
        <f t="shared" si="40"/>
        <v>Programmatic</v>
      </c>
      <c r="O189" s="418" t="str">
        <f t="shared" si="45"/>
        <v>101-E366</v>
      </c>
      <c r="P189" s="418">
        <f t="shared" si="46"/>
        <v>0</v>
      </c>
      <c r="Q189" s="418">
        <f t="shared" si="47"/>
        <v>15273874.74</v>
      </c>
      <c r="R189" s="418">
        <f t="shared" si="48"/>
        <v>22823124.539999999</v>
      </c>
      <c r="S189" s="418">
        <f t="shared" si="49"/>
        <v>42415509.770000003</v>
      </c>
      <c r="T189" s="418">
        <f t="shared" si="50"/>
        <v>0</v>
      </c>
      <c r="V189" s="418" t="str">
        <f t="shared" si="51"/>
        <v>Grid Modernization</v>
      </c>
      <c r="W189" s="418" t="str">
        <f t="shared" si="52"/>
        <v>E3660 DST U/G Conduit</v>
      </c>
      <c r="X189" s="418" t="str">
        <f t="shared" si="41"/>
        <v>Programmatic</v>
      </c>
      <c r="Y189" s="418" t="str">
        <f t="shared" si="53"/>
        <v>101-E366</v>
      </c>
      <c r="Z189" s="418">
        <f t="shared" si="54"/>
        <v>0</v>
      </c>
      <c r="AA189" s="418">
        <f t="shared" si="55"/>
        <v>0</v>
      </c>
      <c r="AB189" s="418">
        <f t="shared" si="56"/>
        <v>0</v>
      </c>
      <c r="AC189" s="418">
        <f t="shared" si="57"/>
        <v>0</v>
      </c>
      <c r="AD189" s="418">
        <f t="shared" si="58"/>
        <v>0</v>
      </c>
      <c r="AE189" s="413">
        <f t="shared" si="59"/>
        <v>0</v>
      </c>
    </row>
    <row r="190" spans="1:31" x14ac:dyDescent="0.3">
      <c r="A190" s="415" t="s">
        <v>15</v>
      </c>
      <c r="B190" s="418" t="s">
        <v>1709</v>
      </c>
      <c r="C190" s="418" t="s">
        <v>1168</v>
      </c>
      <c r="D190" s="418" t="str">
        <f t="shared" si="42"/>
        <v>101-E367</v>
      </c>
      <c r="E190" s="418">
        <v>0</v>
      </c>
      <c r="F190" s="418">
        <v>21832847.98</v>
      </c>
      <c r="G190" s="418">
        <v>29990430.93</v>
      </c>
      <c r="H190" s="418">
        <v>59422496.329999998</v>
      </c>
      <c r="I190" s="418">
        <v>0</v>
      </c>
      <c r="J190" s="413">
        <v>0</v>
      </c>
      <c r="L190" s="418" t="str">
        <f t="shared" si="43"/>
        <v>Grid Modernization</v>
      </c>
      <c r="M190" s="418" t="str">
        <f t="shared" si="44"/>
        <v>E3670 DST U/G Conductor/Devices</v>
      </c>
      <c r="N190" s="418" t="str">
        <f t="shared" si="40"/>
        <v>Programmatic</v>
      </c>
      <c r="O190" s="418" t="str">
        <f t="shared" si="45"/>
        <v>101-E367</v>
      </c>
      <c r="P190" s="418">
        <f t="shared" si="46"/>
        <v>0</v>
      </c>
      <c r="Q190" s="418">
        <f t="shared" si="47"/>
        <v>21832847.98</v>
      </c>
      <c r="R190" s="418">
        <f t="shared" si="48"/>
        <v>29990430.93</v>
      </c>
      <c r="S190" s="418">
        <f t="shared" si="49"/>
        <v>59422496.329999998</v>
      </c>
      <c r="T190" s="418">
        <f t="shared" si="50"/>
        <v>0</v>
      </c>
      <c r="V190" s="418" t="str">
        <f t="shared" si="51"/>
        <v>Grid Modernization</v>
      </c>
      <c r="W190" s="418" t="str">
        <f t="shared" si="52"/>
        <v>E3670 DST U/G Conductor/Devices</v>
      </c>
      <c r="X190" s="418" t="str">
        <f t="shared" si="41"/>
        <v>Programmatic</v>
      </c>
      <c r="Y190" s="418" t="str">
        <f t="shared" si="53"/>
        <v>101-E367</v>
      </c>
      <c r="Z190" s="418">
        <f t="shared" si="54"/>
        <v>0</v>
      </c>
      <c r="AA190" s="418">
        <f t="shared" si="55"/>
        <v>0</v>
      </c>
      <c r="AB190" s="418">
        <f t="shared" si="56"/>
        <v>0</v>
      </c>
      <c r="AC190" s="418">
        <f t="shared" si="57"/>
        <v>0</v>
      </c>
      <c r="AD190" s="418">
        <f t="shared" si="58"/>
        <v>0</v>
      </c>
      <c r="AE190" s="413">
        <f t="shared" si="59"/>
        <v>0</v>
      </c>
    </row>
    <row r="191" spans="1:31" x14ac:dyDescent="0.3">
      <c r="A191" s="415" t="s">
        <v>15</v>
      </c>
      <c r="B191" s="418" t="s">
        <v>1780</v>
      </c>
      <c r="C191" s="418" t="s">
        <v>1168</v>
      </c>
      <c r="D191" s="418" t="str">
        <f t="shared" si="42"/>
        <v>101-E368</v>
      </c>
      <c r="E191" s="418">
        <v>0</v>
      </c>
      <c r="F191" s="418">
        <v>36202640.189999998</v>
      </c>
      <c r="G191" s="418">
        <v>59274947.780000001</v>
      </c>
      <c r="H191" s="418">
        <v>112082140.15000001</v>
      </c>
      <c r="I191" s="418">
        <v>0</v>
      </c>
      <c r="J191" s="413">
        <v>0</v>
      </c>
      <c r="L191" s="418" t="str">
        <f t="shared" si="43"/>
        <v>Grid Modernization</v>
      </c>
      <c r="M191" s="418" t="str">
        <f t="shared" si="44"/>
        <v>E368 DST Line Transformers</v>
      </c>
      <c r="N191" s="418" t="str">
        <f t="shared" si="40"/>
        <v>Programmatic</v>
      </c>
      <c r="O191" s="418" t="str">
        <f t="shared" si="45"/>
        <v>101-E368</v>
      </c>
      <c r="P191" s="418">
        <f t="shared" si="46"/>
        <v>0</v>
      </c>
      <c r="Q191" s="418">
        <f t="shared" si="47"/>
        <v>36202640.189999998</v>
      </c>
      <c r="R191" s="418">
        <f t="shared" si="48"/>
        <v>59274947.780000001</v>
      </c>
      <c r="S191" s="418">
        <f t="shared" si="49"/>
        <v>112082140.15000001</v>
      </c>
      <c r="T191" s="418">
        <f t="shared" si="50"/>
        <v>0</v>
      </c>
      <c r="V191" s="418" t="str">
        <f t="shared" si="51"/>
        <v>Grid Modernization</v>
      </c>
      <c r="W191" s="418" t="str">
        <f t="shared" si="52"/>
        <v>E368 DST Line Transformers</v>
      </c>
      <c r="X191" s="418" t="str">
        <f t="shared" si="41"/>
        <v>Programmatic</v>
      </c>
      <c r="Y191" s="418" t="str">
        <f t="shared" si="53"/>
        <v>101-E368</v>
      </c>
      <c r="Z191" s="418">
        <f t="shared" si="54"/>
        <v>0</v>
      </c>
      <c r="AA191" s="418">
        <f t="shared" si="55"/>
        <v>0</v>
      </c>
      <c r="AB191" s="418">
        <f t="shared" si="56"/>
        <v>0</v>
      </c>
      <c r="AC191" s="418">
        <f t="shared" si="57"/>
        <v>0</v>
      </c>
      <c r="AD191" s="418">
        <f t="shared" si="58"/>
        <v>0</v>
      </c>
      <c r="AE191" s="413">
        <f t="shared" si="59"/>
        <v>0</v>
      </c>
    </row>
    <row r="192" spans="1:31" x14ac:dyDescent="0.3">
      <c r="A192" s="415" t="s">
        <v>15</v>
      </c>
      <c r="B192" s="418" t="s">
        <v>1779</v>
      </c>
      <c r="C192" s="418" t="s">
        <v>1168</v>
      </c>
      <c r="D192" s="418" t="str">
        <f t="shared" si="42"/>
        <v>101-E369</v>
      </c>
      <c r="E192" s="418">
        <v>0</v>
      </c>
      <c r="F192" s="418">
        <v>48533.55</v>
      </c>
      <c r="G192" s="418">
        <v>71610.679999999993</v>
      </c>
      <c r="H192" s="418">
        <v>124061.77</v>
      </c>
      <c r="I192" s="418">
        <v>0</v>
      </c>
      <c r="J192" s="413">
        <v>0</v>
      </c>
      <c r="L192" s="418" t="str">
        <f t="shared" si="43"/>
        <v>Grid Modernization</v>
      </c>
      <c r="M192" s="418" t="str">
        <f t="shared" si="44"/>
        <v>E369 DST Services</v>
      </c>
      <c r="N192" s="418" t="str">
        <f t="shared" si="40"/>
        <v>Programmatic</v>
      </c>
      <c r="O192" s="418" t="str">
        <f t="shared" si="45"/>
        <v>101-E369</v>
      </c>
      <c r="P192" s="418">
        <f t="shared" si="46"/>
        <v>0</v>
      </c>
      <c r="Q192" s="418">
        <f t="shared" si="47"/>
        <v>48533.55</v>
      </c>
      <c r="R192" s="418">
        <f t="shared" si="48"/>
        <v>71610.679999999993</v>
      </c>
      <c r="S192" s="418">
        <f t="shared" si="49"/>
        <v>124061.77</v>
      </c>
      <c r="T192" s="418">
        <f t="shared" si="50"/>
        <v>0</v>
      </c>
      <c r="V192" s="418" t="str">
        <f t="shared" si="51"/>
        <v>Grid Modernization</v>
      </c>
      <c r="W192" s="418" t="str">
        <f t="shared" si="52"/>
        <v>E369 DST Services</v>
      </c>
      <c r="X192" s="418" t="str">
        <f t="shared" si="41"/>
        <v>Programmatic</v>
      </c>
      <c r="Y192" s="418" t="str">
        <f t="shared" si="53"/>
        <v>101-E369</v>
      </c>
      <c r="Z192" s="418">
        <f t="shared" si="54"/>
        <v>0</v>
      </c>
      <c r="AA192" s="418">
        <f t="shared" si="55"/>
        <v>0</v>
      </c>
      <c r="AB192" s="418">
        <f t="shared" si="56"/>
        <v>0</v>
      </c>
      <c r="AC192" s="418">
        <f t="shared" si="57"/>
        <v>0</v>
      </c>
      <c r="AD192" s="418">
        <f t="shared" si="58"/>
        <v>0</v>
      </c>
      <c r="AE192" s="413">
        <f t="shared" si="59"/>
        <v>0</v>
      </c>
    </row>
    <row r="193" spans="1:31" x14ac:dyDescent="0.3">
      <c r="A193" s="415" t="s">
        <v>15</v>
      </c>
      <c r="B193" s="418" t="s">
        <v>1778</v>
      </c>
      <c r="C193" s="418" t="s">
        <v>1168</v>
      </c>
      <c r="D193" s="418" t="str">
        <f t="shared" si="42"/>
        <v>101-E370</v>
      </c>
      <c r="E193" s="418">
        <v>0</v>
      </c>
      <c r="F193" s="418">
        <v>1451105.52</v>
      </c>
      <c r="G193" s="418">
        <v>2463024.91</v>
      </c>
      <c r="H193" s="418">
        <v>4048413.66</v>
      </c>
      <c r="I193" s="418">
        <v>0</v>
      </c>
      <c r="J193" s="413">
        <v>0</v>
      </c>
      <c r="L193" s="418" t="str">
        <f t="shared" si="43"/>
        <v>Grid Modernization</v>
      </c>
      <c r="M193" s="418" t="str">
        <f t="shared" si="44"/>
        <v>E3701 DST Meters AMI</v>
      </c>
      <c r="N193" s="418" t="str">
        <f t="shared" si="40"/>
        <v>Programmatic</v>
      </c>
      <c r="O193" s="418" t="str">
        <f t="shared" si="45"/>
        <v>101-E370</v>
      </c>
      <c r="P193" s="418">
        <f t="shared" si="46"/>
        <v>0</v>
      </c>
      <c r="Q193" s="418">
        <f t="shared" si="47"/>
        <v>1451105.52</v>
      </c>
      <c r="R193" s="418">
        <f t="shared" si="48"/>
        <v>2463024.91</v>
      </c>
      <c r="S193" s="418">
        <f t="shared" si="49"/>
        <v>4048413.66</v>
      </c>
      <c r="T193" s="418">
        <f t="shared" si="50"/>
        <v>0</v>
      </c>
      <c r="V193" s="418" t="str">
        <f t="shared" si="51"/>
        <v>Grid Modernization</v>
      </c>
      <c r="W193" s="418" t="str">
        <f t="shared" si="52"/>
        <v>E3701 DST Meters AMI</v>
      </c>
      <c r="X193" s="418" t="str">
        <f t="shared" si="41"/>
        <v>Programmatic</v>
      </c>
      <c r="Y193" s="418" t="str">
        <f t="shared" si="53"/>
        <v>101-E370</v>
      </c>
      <c r="Z193" s="418">
        <f t="shared" si="54"/>
        <v>0</v>
      </c>
      <c r="AA193" s="418">
        <f t="shared" si="55"/>
        <v>0</v>
      </c>
      <c r="AB193" s="418">
        <f t="shared" si="56"/>
        <v>0</v>
      </c>
      <c r="AC193" s="418">
        <f t="shared" si="57"/>
        <v>0</v>
      </c>
      <c r="AD193" s="418">
        <f t="shared" si="58"/>
        <v>0</v>
      </c>
      <c r="AE193" s="413">
        <f t="shared" si="59"/>
        <v>0</v>
      </c>
    </row>
    <row r="194" spans="1:31" x14ac:dyDescent="0.3">
      <c r="A194" s="415" t="s">
        <v>15</v>
      </c>
      <c r="B194" s="418" t="s">
        <v>1776</v>
      </c>
      <c r="C194" s="418" t="s">
        <v>1168</v>
      </c>
      <c r="D194" s="418" t="str">
        <f t="shared" si="42"/>
        <v>101-E373</v>
      </c>
      <c r="E194" s="418">
        <v>0</v>
      </c>
      <c r="F194" s="418">
        <v>118749.14</v>
      </c>
      <c r="G194" s="418">
        <v>213298.94</v>
      </c>
      <c r="H194" s="418">
        <v>446801.77</v>
      </c>
      <c r="I194" s="418">
        <v>0</v>
      </c>
      <c r="J194" s="413">
        <v>0</v>
      </c>
      <c r="L194" s="418" t="str">
        <f t="shared" si="43"/>
        <v>Grid Modernization</v>
      </c>
      <c r="M194" s="418" t="str">
        <f t="shared" si="44"/>
        <v>E373 DST Street Lighting &amp; Signal</v>
      </c>
      <c r="N194" s="418" t="str">
        <f t="shared" si="40"/>
        <v>Programmatic</v>
      </c>
      <c r="O194" s="418" t="str">
        <f t="shared" si="45"/>
        <v>101-E373</v>
      </c>
      <c r="P194" s="418">
        <f t="shared" si="46"/>
        <v>0</v>
      </c>
      <c r="Q194" s="418">
        <f t="shared" si="47"/>
        <v>118749.14</v>
      </c>
      <c r="R194" s="418">
        <f t="shared" si="48"/>
        <v>213298.94</v>
      </c>
      <c r="S194" s="418">
        <f t="shared" si="49"/>
        <v>446801.77</v>
      </c>
      <c r="T194" s="418">
        <f t="shared" si="50"/>
        <v>0</v>
      </c>
      <c r="V194" s="418" t="str">
        <f t="shared" si="51"/>
        <v>Grid Modernization</v>
      </c>
      <c r="W194" s="418" t="str">
        <f t="shared" si="52"/>
        <v>E373 DST Street Lighting &amp; Signal</v>
      </c>
      <c r="X194" s="418" t="str">
        <f t="shared" si="41"/>
        <v>Programmatic</v>
      </c>
      <c r="Y194" s="418" t="str">
        <f t="shared" si="53"/>
        <v>101-E373</v>
      </c>
      <c r="Z194" s="418">
        <f t="shared" si="54"/>
        <v>0</v>
      </c>
      <c r="AA194" s="418">
        <f t="shared" si="55"/>
        <v>0</v>
      </c>
      <c r="AB194" s="418">
        <f t="shared" si="56"/>
        <v>0</v>
      </c>
      <c r="AC194" s="418">
        <f t="shared" si="57"/>
        <v>0</v>
      </c>
      <c r="AD194" s="418">
        <f t="shared" si="58"/>
        <v>0</v>
      </c>
      <c r="AE194" s="413">
        <f t="shared" si="59"/>
        <v>0</v>
      </c>
    </row>
    <row r="195" spans="1:31" x14ac:dyDescent="0.3">
      <c r="A195" s="415" t="s">
        <v>15</v>
      </c>
      <c r="B195" s="418" t="s">
        <v>1772</v>
      </c>
      <c r="C195" s="418" t="s">
        <v>1168</v>
      </c>
      <c r="D195" s="418" t="str">
        <f t="shared" si="42"/>
        <v>101-E391</v>
      </c>
      <c r="E195" s="418">
        <v>0</v>
      </c>
      <c r="F195" s="418">
        <v>1107312.8</v>
      </c>
      <c r="G195" s="418">
        <v>2013683.63</v>
      </c>
      <c r="H195" s="418">
        <v>5449831.7599999998</v>
      </c>
      <c r="I195" s="418">
        <v>0</v>
      </c>
      <c r="J195" s="413">
        <v>0</v>
      </c>
      <c r="L195" s="418" t="str">
        <f t="shared" si="43"/>
        <v>Grid Modernization</v>
      </c>
      <c r="M195" s="418" t="str">
        <f t="shared" si="44"/>
        <v>E3912 GEN Computer Eq, new</v>
      </c>
      <c r="N195" s="418" t="str">
        <f t="shared" si="40"/>
        <v>Programmatic</v>
      </c>
      <c r="O195" s="418" t="str">
        <f t="shared" si="45"/>
        <v>101-E391</v>
      </c>
      <c r="P195" s="418">
        <f t="shared" si="46"/>
        <v>0</v>
      </c>
      <c r="Q195" s="418">
        <f t="shared" si="47"/>
        <v>1107312.8</v>
      </c>
      <c r="R195" s="418">
        <f t="shared" si="48"/>
        <v>2013683.63</v>
      </c>
      <c r="S195" s="418">
        <f t="shared" si="49"/>
        <v>5449831.7599999998</v>
      </c>
      <c r="T195" s="418">
        <f t="shared" si="50"/>
        <v>0</v>
      </c>
      <c r="V195" s="418" t="str">
        <f t="shared" si="51"/>
        <v>Grid Modernization</v>
      </c>
      <c r="W195" s="418" t="str">
        <f t="shared" si="52"/>
        <v>E3912 GEN Computer Eq, new</v>
      </c>
      <c r="X195" s="418" t="str">
        <f t="shared" si="41"/>
        <v>Programmatic</v>
      </c>
      <c r="Y195" s="418" t="str">
        <f t="shared" si="53"/>
        <v>101-E391</v>
      </c>
      <c r="Z195" s="418">
        <f t="shared" si="54"/>
        <v>0</v>
      </c>
      <c r="AA195" s="418">
        <f t="shared" si="55"/>
        <v>0</v>
      </c>
      <c r="AB195" s="418">
        <f t="shared" si="56"/>
        <v>0</v>
      </c>
      <c r="AC195" s="418">
        <f t="shared" si="57"/>
        <v>0</v>
      </c>
      <c r="AD195" s="418">
        <f t="shared" si="58"/>
        <v>0</v>
      </c>
      <c r="AE195" s="413">
        <f t="shared" si="59"/>
        <v>0</v>
      </c>
    </row>
    <row r="196" spans="1:31" x14ac:dyDescent="0.3">
      <c r="A196" s="415" t="s">
        <v>15</v>
      </c>
      <c r="B196" s="418" t="s">
        <v>1768</v>
      </c>
      <c r="C196" s="418" t="s">
        <v>1168</v>
      </c>
      <c r="D196" s="418" t="str">
        <f t="shared" si="42"/>
        <v>101-E394</v>
      </c>
      <c r="E196" s="418">
        <v>0</v>
      </c>
      <c r="F196" s="418">
        <v>2766366.62</v>
      </c>
      <c r="G196" s="418">
        <v>3067866.62</v>
      </c>
      <c r="H196" s="418">
        <v>3453116.6</v>
      </c>
      <c r="I196" s="418">
        <v>0</v>
      </c>
      <c r="J196" s="413">
        <v>0</v>
      </c>
      <c r="L196" s="418" t="str">
        <f t="shared" si="43"/>
        <v>Grid Modernization</v>
      </c>
      <c r="M196" s="418" t="str">
        <f t="shared" si="44"/>
        <v>E3940 GEN Tools/Garage/Shop, new</v>
      </c>
      <c r="N196" s="418" t="str">
        <f t="shared" ref="N196:N259" si="60">C196</f>
        <v>Programmatic</v>
      </c>
      <c r="O196" s="418" t="str">
        <f t="shared" si="45"/>
        <v>101-E394</v>
      </c>
      <c r="P196" s="418">
        <f t="shared" si="46"/>
        <v>0</v>
      </c>
      <c r="Q196" s="418">
        <f t="shared" si="47"/>
        <v>2766366.62</v>
      </c>
      <c r="R196" s="418">
        <f t="shared" si="48"/>
        <v>3067866.62</v>
      </c>
      <c r="S196" s="418">
        <f t="shared" si="49"/>
        <v>3453116.6</v>
      </c>
      <c r="T196" s="418">
        <f t="shared" si="50"/>
        <v>0</v>
      </c>
      <c r="V196" s="418" t="str">
        <f t="shared" si="51"/>
        <v>Grid Modernization</v>
      </c>
      <c r="W196" s="418" t="str">
        <f t="shared" si="52"/>
        <v>E3940 GEN Tools/Garage/Shop, new</v>
      </c>
      <c r="X196" s="418" t="str">
        <f t="shared" ref="X196:X259" si="61">C196</f>
        <v>Programmatic</v>
      </c>
      <c r="Y196" s="418" t="str">
        <f t="shared" si="53"/>
        <v>101-E394</v>
      </c>
      <c r="Z196" s="418">
        <f t="shared" si="54"/>
        <v>0</v>
      </c>
      <c r="AA196" s="418">
        <f t="shared" si="55"/>
        <v>0</v>
      </c>
      <c r="AB196" s="418">
        <f t="shared" si="56"/>
        <v>0</v>
      </c>
      <c r="AC196" s="418">
        <f t="shared" si="57"/>
        <v>0</v>
      </c>
      <c r="AD196" s="418">
        <f t="shared" si="58"/>
        <v>0</v>
      </c>
      <c r="AE196" s="413">
        <f t="shared" si="59"/>
        <v>0</v>
      </c>
    </row>
    <row r="197" spans="1:31" x14ac:dyDescent="0.3">
      <c r="A197" s="418" t="s">
        <v>15</v>
      </c>
      <c r="B197" s="418" t="s">
        <v>1765</v>
      </c>
      <c r="C197" s="418" t="s">
        <v>1168</v>
      </c>
      <c r="D197" s="418" t="str">
        <f t="shared" ref="D197:D260" si="62">"101-"&amp; LEFT(B197,4)</f>
        <v>101-E397</v>
      </c>
      <c r="E197" s="418">
        <v>0</v>
      </c>
      <c r="F197" s="418">
        <v>2971455.58</v>
      </c>
      <c r="G197" s="418">
        <v>5077087.2</v>
      </c>
      <c r="H197" s="418">
        <v>10368492.42</v>
      </c>
      <c r="I197" s="418">
        <v>0</v>
      </c>
      <c r="J197" s="413">
        <v>0</v>
      </c>
      <c r="L197" s="418" t="str">
        <f t="shared" ref="L197:L260" si="63">A197</f>
        <v>Grid Modernization</v>
      </c>
      <c r="M197" s="418" t="str">
        <f t="shared" ref="M197:M260" si="64">B197</f>
        <v>E3970 GEN Comm Equip, new</v>
      </c>
      <c r="N197" s="418" t="str">
        <f t="shared" si="60"/>
        <v>Programmatic</v>
      </c>
      <c r="O197" s="418" t="str">
        <f t="shared" ref="O197:O260" si="65">D197</f>
        <v>101-E397</v>
      </c>
      <c r="P197" s="418">
        <f t="shared" ref="P197:P260" si="66">IF(MID($O197,5,1)="C",E197*$F$1,IF(MID($O197,5,1)="G",0,E197))</f>
        <v>0</v>
      </c>
      <c r="Q197" s="418">
        <f t="shared" ref="Q197:Q260" si="67">IF(MID($O197,5,1)="C",F197*$F$1,IF(MID($O197,5,1)="G",0,F197))</f>
        <v>2971455.58</v>
      </c>
      <c r="R197" s="418">
        <f t="shared" ref="R197:R260" si="68">IF(MID($O197,5,1)="C",G197*$F$1,IF(MID($O197,5,1)="G",0,G197))</f>
        <v>5077087.2</v>
      </c>
      <c r="S197" s="418">
        <f t="shared" ref="S197:S260" si="69">IF(MID($O197,5,1)="C",H197*$F$1,IF(MID($O197,5,1)="G",0,H197))</f>
        <v>10368492.42</v>
      </c>
      <c r="T197" s="418">
        <f t="shared" ref="T197:T260" si="70">IF(MID($O197,5,1)="C",I197*$F$1,IF(MID($O197,5,1)="G",0,I197))</f>
        <v>0</v>
      </c>
      <c r="V197" s="418" t="str">
        <f t="shared" ref="V197:V260" si="71">A197</f>
        <v>Grid Modernization</v>
      </c>
      <c r="W197" s="418" t="str">
        <f t="shared" ref="W197:W260" si="72">B197</f>
        <v>E3970 GEN Comm Equip, new</v>
      </c>
      <c r="X197" s="418" t="str">
        <f t="shared" si="61"/>
        <v>Programmatic</v>
      </c>
      <c r="Y197" s="418" t="str">
        <f t="shared" ref="Y197:Y260" si="73">D197</f>
        <v>101-E397</v>
      </c>
      <c r="Z197" s="418">
        <f t="shared" ref="Z197:Z260" si="74">IF(MID($O197,5,1)="C",E197*$D$1,IF(MID($O197,5,1)="E",0,E197))</f>
        <v>0</v>
      </c>
      <c r="AA197" s="418">
        <f t="shared" ref="AA197:AA260" si="75">IF(MID($O197,5,1)="C",F197*$D$1,IF(MID($O197,5,1)="E",0,F197))</f>
        <v>0</v>
      </c>
      <c r="AB197" s="418">
        <f t="shared" ref="AB197:AB260" si="76">IF(MID($O197,5,1)="C",G197*$D$1,IF(MID($O197,5,1)="E",0,G197))</f>
        <v>0</v>
      </c>
      <c r="AC197" s="418">
        <f t="shared" ref="AC197:AC260" si="77">IF(MID($O197,5,1)="C",H197*$D$1,IF(MID($O197,5,1)="E",0,H197))</f>
        <v>0</v>
      </c>
      <c r="AD197" s="418">
        <f t="shared" ref="AD197:AD260" si="78">IF(MID($O197,5,1)="C",I197*$D$1,IF(MID($O197,5,1)="E",0,I197))</f>
        <v>0</v>
      </c>
      <c r="AE197" s="413">
        <f t="shared" ref="AE197:AE260" si="79">SUM(E197:I197)-SUM(P197:T197)-SUM(Z197:AD197)</f>
        <v>0</v>
      </c>
    </row>
    <row r="198" spans="1:31" s="435" customFormat="1" x14ac:dyDescent="0.3">
      <c r="A198" s="418" t="s">
        <v>1606</v>
      </c>
      <c r="B198" s="418" t="s">
        <v>1714</v>
      </c>
      <c r="C198" s="418" t="s">
        <v>1168</v>
      </c>
      <c r="D198" s="418" t="str">
        <f t="shared" si="62"/>
        <v>101-C303</v>
      </c>
      <c r="E198" s="418">
        <v>0</v>
      </c>
      <c r="F198" s="418">
        <v>126387.15</v>
      </c>
      <c r="G198" s="418">
        <v>126387.15</v>
      </c>
      <c r="H198" s="418">
        <v>126387.15</v>
      </c>
      <c r="I198" s="418">
        <v>0</v>
      </c>
      <c r="J198" s="413">
        <v>0</v>
      </c>
      <c r="L198" s="436" t="str">
        <f t="shared" si="63"/>
        <v>IT Operational Program - Common</v>
      </c>
      <c r="M198" s="436" t="str">
        <f t="shared" si="64"/>
        <v>C303.3 INT Misc Intangible Plant</v>
      </c>
      <c r="N198" s="418" t="str">
        <f t="shared" si="60"/>
        <v>Programmatic</v>
      </c>
      <c r="O198" s="436" t="str">
        <f t="shared" si="65"/>
        <v>101-C303</v>
      </c>
      <c r="P198" s="436">
        <f t="shared" si="66"/>
        <v>0</v>
      </c>
      <c r="Q198" s="436">
        <f t="shared" si="67"/>
        <v>83339.686709999994</v>
      </c>
      <c r="R198" s="436">
        <f t="shared" si="68"/>
        <v>83339.686709999994</v>
      </c>
      <c r="S198" s="436">
        <f t="shared" si="69"/>
        <v>83339.686709999994</v>
      </c>
      <c r="T198" s="436">
        <f t="shared" si="70"/>
        <v>0</v>
      </c>
      <c r="V198" s="436" t="str">
        <f t="shared" si="71"/>
        <v>IT Operational Program - Common</v>
      </c>
      <c r="W198" s="436" t="str">
        <f t="shared" si="72"/>
        <v>C303.3 INT Misc Intangible Plant</v>
      </c>
      <c r="X198" s="418" t="str">
        <f t="shared" si="61"/>
        <v>Programmatic</v>
      </c>
      <c r="Y198" s="436" t="str">
        <f t="shared" si="73"/>
        <v>101-C303</v>
      </c>
      <c r="Z198" s="436">
        <f t="shared" si="74"/>
        <v>0</v>
      </c>
      <c r="AA198" s="436">
        <f t="shared" si="75"/>
        <v>43047.46329</v>
      </c>
      <c r="AB198" s="436">
        <f t="shared" si="76"/>
        <v>43047.46329</v>
      </c>
      <c r="AC198" s="436">
        <f t="shared" si="77"/>
        <v>43047.46329</v>
      </c>
      <c r="AD198" s="436">
        <f t="shared" si="78"/>
        <v>0</v>
      </c>
      <c r="AE198" s="421">
        <f t="shared" si="79"/>
        <v>0</v>
      </c>
    </row>
    <row r="199" spans="1:31" s="435" customFormat="1" x14ac:dyDescent="0.3">
      <c r="A199" s="418" t="s">
        <v>1606</v>
      </c>
      <c r="B199" s="418" t="s">
        <v>1908</v>
      </c>
      <c r="C199" s="418" t="s">
        <v>1168</v>
      </c>
      <c r="D199" s="418" t="str">
        <f t="shared" si="62"/>
        <v>101-C303</v>
      </c>
      <c r="E199" s="418">
        <v>0</v>
      </c>
      <c r="F199" s="418">
        <v>26949949.82</v>
      </c>
      <c r="G199" s="418">
        <v>42497674.340000004</v>
      </c>
      <c r="H199" s="418">
        <v>75223126.75</v>
      </c>
      <c r="I199" s="418">
        <v>0</v>
      </c>
      <c r="J199" s="413">
        <v>0</v>
      </c>
      <c r="L199" s="436" t="str">
        <f t="shared" si="63"/>
        <v>IT Operational Program - Common</v>
      </c>
      <c r="M199" s="436" t="str">
        <f t="shared" si="64"/>
        <v>C303.5 INT Misc Intangible Plant</v>
      </c>
      <c r="N199" s="418" t="str">
        <f t="shared" si="60"/>
        <v>Programmatic</v>
      </c>
      <c r="O199" s="436" t="str">
        <f t="shared" si="65"/>
        <v>101-C303</v>
      </c>
      <c r="P199" s="436">
        <f t="shared" si="66"/>
        <v>0</v>
      </c>
      <c r="Q199" s="436">
        <f t="shared" si="67"/>
        <v>17770796.911307998</v>
      </c>
      <c r="R199" s="436">
        <f t="shared" si="68"/>
        <v>28022966.459796</v>
      </c>
      <c r="S199" s="436">
        <f t="shared" si="69"/>
        <v>49602129.778949998</v>
      </c>
      <c r="T199" s="436">
        <f t="shared" si="70"/>
        <v>0</v>
      </c>
      <c r="V199" s="436" t="str">
        <f t="shared" si="71"/>
        <v>IT Operational Program - Common</v>
      </c>
      <c r="W199" s="436" t="str">
        <f t="shared" si="72"/>
        <v>C303.5 INT Misc Intangible Plant</v>
      </c>
      <c r="X199" s="418" t="str">
        <f t="shared" si="61"/>
        <v>Programmatic</v>
      </c>
      <c r="Y199" s="436" t="str">
        <f t="shared" si="73"/>
        <v>101-C303</v>
      </c>
      <c r="Z199" s="436">
        <f t="shared" si="74"/>
        <v>0</v>
      </c>
      <c r="AA199" s="436">
        <f t="shared" si="75"/>
        <v>9179152.9086920004</v>
      </c>
      <c r="AB199" s="436">
        <f t="shared" si="76"/>
        <v>14474707.880204001</v>
      </c>
      <c r="AC199" s="436">
        <f t="shared" si="77"/>
        <v>25620996.971050002</v>
      </c>
      <c r="AD199" s="436">
        <f t="shared" si="78"/>
        <v>0</v>
      </c>
      <c r="AE199" s="421">
        <f t="shared" si="79"/>
        <v>0</v>
      </c>
    </row>
    <row r="200" spans="1:31" s="435" customFormat="1" x14ac:dyDescent="0.3">
      <c r="A200" s="418" t="s">
        <v>1606</v>
      </c>
      <c r="B200" s="418" t="s">
        <v>1713</v>
      </c>
      <c r="C200" s="418" t="s">
        <v>1168</v>
      </c>
      <c r="D200" s="418" t="str">
        <f t="shared" si="62"/>
        <v>101-C391</v>
      </c>
      <c r="E200" s="418">
        <v>0</v>
      </c>
      <c r="F200" s="418">
        <v>1703784.4</v>
      </c>
      <c r="G200" s="418">
        <v>1703784.4</v>
      </c>
      <c r="H200" s="418">
        <v>1703784.4</v>
      </c>
      <c r="I200" s="418">
        <v>0</v>
      </c>
      <c r="J200" s="413">
        <v>0</v>
      </c>
      <c r="L200" s="436" t="str">
        <f t="shared" si="63"/>
        <v>IT Operational Program - Common</v>
      </c>
      <c r="M200" s="436" t="str">
        <f t="shared" si="64"/>
        <v>C3912 CMN Computer Eq, new</v>
      </c>
      <c r="N200" s="418" t="str">
        <f t="shared" si="60"/>
        <v>Programmatic</v>
      </c>
      <c r="O200" s="436" t="str">
        <f t="shared" si="65"/>
        <v>101-C391</v>
      </c>
      <c r="P200" s="436">
        <f t="shared" si="66"/>
        <v>0</v>
      </c>
      <c r="Q200" s="436">
        <f t="shared" si="67"/>
        <v>1123475.4333599999</v>
      </c>
      <c r="R200" s="436">
        <f t="shared" si="68"/>
        <v>1123475.4333599999</v>
      </c>
      <c r="S200" s="436">
        <f t="shared" si="69"/>
        <v>1123475.4333599999</v>
      </c>
      <c r="T200" s="436">
        <f t="shared" si="70"/>
        <v>0</v>
      </c>
      <c r="V200" s="436" t="str">
        <f t="shared" si="71"/>
        <v>IT Operational Program - Common</v>
      </c>
      <c r="W200" s="436" t="str">
        <f t="shared" si="72"/>
        <v>C3912 CMN Computer Eq, new</v>
      </c>
      <c r="X200" s="418" t="str">
        <f t="shared" si="61"/>
        <v>Programmatic</v>
      </c>
      <c r="Y200" s="436" t="str">
        <f t="shared" si="73"/>
        <v>101-C391</v>
      </c>
      <c r="Z200" s="436">
        <f t="shared" si="74"/>
        <v>0</v>
      </c>
      <c r="AA200" s="436">
        <f t="shared" si="75"/>
        <v>580308.96664</v>
      </c>
      <c r="AB200" s="436">
        <f t="shared" si="76"/>
        <v>580308.96664</v>
      </c>
      <c r="AC200" s="436">
        <f t="shared" si="77"/>
        <v>580308.96664</v>
      </c>
      <c r="AD200" s="436">
        <f t="shared" si="78"/>
        <v>0</v>
      </c>
      <c r="AE200" s="421">
        <f t="shared" si="79"/>
        <v>0</v>
      </c>
    </row>
    <row r="201" spans="1:31" x14ac:dyDescent="0.3">
      <c r="A201" s="418" t="s">
        <v>18</v>
      </c>
      <c r="B201" s="418" t="s">
        <v>1867</v>
      </c>
      <c r="C201" s="418" t="s">
        <v>1181</v>
      </c>
      <c r="D201" s="418" t="str">
        <f t="shared" si="62"/>
        <v>101-E332</v>
      </c>
      <c r="E201" s="418">
        <v>0</v>
      </c>
      <c r="F201" s="418">
        <v>0</v>
      </c>
      <c r="G201" s="418">
        <v>0</v>
      </c>
      <c r="H201" s="418">
        <v>0</v>
      </c>
      <c r="I201" s="418">
        <v>0</v>
      </c>
      <c r="J201" s="413">
        <v>0</v>
      </c>
      <c r="L201" s="418" t="str">
        <f t="shared" si="63"/>
        <v>Lower Baker Dam Grouting Program</v>
      </c>
      <c r="M201" s="418" t="str">
        <f t="shared" si="64"/>
        <v>E332 HYD Res/Dam/Wwy, Upper Baker</v>
      </c>
      <c r="N201" s="418" t="str">
        <f t="shared" si="60"/>
        <v>Specific</v>
      </c>
      <c r="O201" s="418" t="str">
        <f t="shared" si="65"/>
        <v>101-E332</v>
      </c>
      <c r="P201" s="418">
        <f t="shared" si="66"/>
        <v>0</v>
      </c>
      <c r="Q201" s="418">
        <f t="shared" si="67"/>
        <v>0</v>
      </c>
      <c r="R201" s="418">
        <f t="shared" si="68"/>
        <v>0</v>
      </c>
      <c r="S201" s="418">
        <f t="shared" si="69"/>
        <v>0</v>
      </c>
      <c r="T201" s="418">
        <f t="shared" si="70"/>
        <v>0</v>
      </c>
      <c r="V201" s="418" t="str">
        <f t="shared" si="71"/>
        <v>Lower Baker Dam Grouting Program</v>
      </c>
      <c r="W201" s="418" t="str">
        <f t="shared" si="72"/>
        <v>E332 HYD Res/Dam/Wwy, Upper Baker</v>
      </c>
      <c r="X201" s="418" t="str">
        <f t="shared" si="61"/>
        <v>Specific</v>
      </c>
      <c r="Y201" s="418" t="str">
        <f t="shared" si="73"/>
        <v>101-E332</v>
      </c>
      <c r="Z201" s="418">
        <f t="shared" si="74"/>
        <v>0</v>
      </c>
      <c r="AA201" s="418">
        <f t="shared" si="75"/>
        <v>0</v>
      </c>
      <c r="AB201" s="418">
        <f t="shared" si="76"/>
        <v>0</v>
      </c>
      <c r="AC201" s="418">
        <f t="shared" si="77"/>
        <v>0</v>
      </c>
      <c r="AD201" s="418">
        <f t="shared" si="78"/>
        <v>0</v>
      </c>
      <c r="AE201" s="413">
        <f t="shared" si="79"/>
        <v>0</v>
      </c>
    </row>
    <row r="202" spans="1:31" x14ac:dyDescent="0.3">
      <c r="A202" s="418" t="s">
        <v>19</v>
      </c>
      <c r="B202" s="418" t="s">
        <v>1804</v>
      </c>
      <c r="C202" s="418" t="s">
        <v>1168</v>
      </c>
      <c r="D202" s="418" t="str">
        <f t="shared" si="62"/>
        <v>101-E350</v>
      </c>
      <c r="E202" s="418">
        <v>0</v>
      </c>
      <c r="F202" s="418">
        <v>259178</v>
      </c>
      <c r="G202" s="418">
        <v>259178</v>
      </c>
      <c r="H202" s="418">
        <v>259178</v>
      </c>
      <c r="I202" s="418">
        <v>0</v>
      </c>
      <c r="J202" s="413">
        <v>0</v>
      </c>
      <c r="L202" s="418" t="str">
        <f t="shared" si="63"/>
        <v>Major Projects Electric</v>
      </c>
      <c r="M202" s="418" t="str">
        <f t="shared" si="64"/>
        <v>E35010 TSM Easement</v>
      </c>
      <c r="N202" s="418" t="str">
        <f t="shared" si="60"/>
        <v>Programmatic</v>
      </c>
      <c r="O202" s="418" t="str">
        <f t="shared" si="65"/>
        <v>101-E350</v>
      </c>
      <c r="P202" s="418">
        <f t="shared" si="66"/>
        <v>0</v>
      </c>
      <c r="Q202" s="418">
        <f t="shared" si="67"/>
        <v>259178</v>
      </c>
      <c r="R202" s="418">
        <f t="shared" si="68"/>
        <v>259178</v>
      </c>
      <c r="S202" s="418">
        <f t="shared" si="69"/>
        <v>259178</v>
      </c>
      <c r="T202" s="418">
        <f t="shared" si="70"/>
        <v>0</v>
      </c>
      <c r="V202" s="418" t="str">
        <f t="shared" si="71"/>
        <v>Major Projects Electric</v>
      </c>
      <c r="W202" s="418" t="str">
        <f t="shared" si="72"/>
        <v>E35010 TSM Easement</v>
      </c>
      <c r="X202" s="418" t="str">
        <f t="shared" si="61"/>
        <v>Programmatic</v>
      </c>
      <c r="Y202" s="418" t="str">
        <f t="shared" si="73"/>
        <v>101-E350</v>
      </c>
      <c r="Z202" s="418">
        <f t="shared" si="74"/>
        <v>0</v>
      </c>
      <c r="AA202" s="418">
        <f t="shared" si="75"/>
        <v>0</v>
      </c>
      <c r="AB202" s="418">
        <f t="shared" si="76"/>
        <v>0</v>
      </c>
      <c r="AC202" s="418">
        <f t="shared" si="77"/>
        <v>0</v>
      </c>
      <c r="AD202" s="418">
        <f t="shared" si="78"/>
        <v>0</v>
      </c>
      <c r="AE202" s="413">
        <f t="shared" si="79"/>
        <v>0</v>
      </c>
    </row>
    <row r="203" spans="1:31" x14ac:dyDescent="0.3">
      <c r="A203" s="418" t="s">
        <v>19</v>
      </c>
      <c r="B203" s="418" t="s">
        <v>1803</v>
      </c>
      <c r="C203" s="418" t="s">
        <v>1168</v>
      </c>
      <c r="D203" s="418" t="str">
        <f t="shared" si="62"/>
        <v>101-E350</v>
      </c>
      <c r="E203" s="418">
        <v>0</v>
      </c>
      <c r="F203" s="418">
        <v>171062.49</v>
      </c>
      <c r="G203" s="418">
        <v>171062.49</v>
      </c>
      <c r="H203" s="418">
        <v>171062.49</v>
      </c>
      <c r="I203" s="418">
        <v>0</v>
      </c>
      <c r="J203" s="413">
        <v>0</v>
      </c>
      <c r="L203" s="418" t="str">
        <f t="shared" si="63"/>
        <v>Major Projects Electric</v>
      </c>
      <c r="M203" s="418" t="str">
        <f t="shared" si="64"/>
        <v>E35016 TSM Easements</v>
      </c>
      <c r="N203" s="418" t="str">
        <f t="shared" si="60"/>
        <v>Programmatic</v>
      </c>
      <c r="O203" s="418" t="str">
        <f t="shared" si="65"/>
        <v>101-E350</v>
      </c>
      <c r="P203" s="418">
        <f t="shared" si="66"/>
        <v>0</v>
      </c>
      <c r="Q203" s="418">
        <f t="shared" si="67"/>
        <v>171062.49</v>
      </c>
      <c r="R203" s="418">
        <f t="shared" si="68"/>
        <v>171062.49</v>
      </c>
      <c r="S203" s="418">
        <f t="shared" si="69"/>
        <v>171062.49</v>
      </c>
      <c r="T203" s="418">
        <f t="shared" si="70"/>
        <v>0</v>
      </c>
      <c r="V203" s="418" t="str">
        <f t="shared" si="71"/>
        <v>Major Projects Electric</v>
      </c>
      <c r="W203" s="418" t="str">
        <f t="shared" si="72"/>
        <v>E35016 TSM Easements</v>
      </c>
      <c r="X203" s="418" t="str">
        <f t="shared" si="61"/>
        <v>Programmatic</v>
      </c>
      <c r="Y203" s="418" t="str">
        <f t="shared" si="73"/>
        <v>101-E350</v>
      </c>
      <c r="Z203" s="418">
        <f t="shared" si="74"/>
        <v>0</v>
      </c>
      <c r="AA203" s="418">
        <f t="shared" si="75"/>
        <v>0</v>
      </c>
      <c r="AB203" s="418">
        <f t="shared" si="76"/>
        <v>0</v>
      </c>
      <c r="AC203" s="418">
        <f t="shared" si="77"/>
        <v>0</v>
      </c>
      <c r="AD203" s="418">
        <f t="shared" si="78"/>
        <v>0</v>
      </c>
      <c r="AE203" s="413">
        <f t="shared" si="79"/>
        <v>0</v>
      </c>
    </row>
    <row r="204" spans="1:31" x14ac:dyDescent="0.3">
      <c r="A204" s="418" t="s">
        <v>19</v>
      </c>
      <c r="B204" s="418" t="s">
        <v>1798</v>
      </c>
      <c r="C204" s="418" t="s">
        <v>1168</v>
      </c>
      <c r="D204" s="418" t="str">
        <f t="shared" si="62"/>
        <v>101-E353</v>
      </c>
      <c r="E204" s="418">
        <v>0</v>
      </c>
      <c r="F204" s="418">
        <v>0</v>
      </c>
      <c r="G204" s="418">
        <v>12230.2</v>
      </c>
      <c r="H204" s="418">
        <v>293524.86</v>
      </c>
      <c r="I204" s="418">
        <v>0</v>
      </c>
      <c r="J204" s="413">
        <v>0</v>
      </c>
      <c r="L204" s="418" t="str">
        <f t="shared" si="63"/>
        <v>Major Projects Electric</v>
      </c>
      <c r="M204" s="418" t="str">
        <f t="shared" si="64"/>
        <v>E353 TSM Station Equipment</v>
      </c>
      <c r="N204" s="418" t="str">
        <f t="shared" si="60"/>
        <v>Programmatic</v>
      </c>
      <c r="O204" s="418" t="str">
        <f t="shared" si="65"/>
        <v>101-E353</v>
      </c>
      <c r="P204" s="418">
        <f t="shared" si="66"/>
        <v>0</v>
      </c>
      <c r="Q204" s="418">
        <f t="shared" si="67"/>
        <v>0</v>
      </c>
      <c r="R204" s="418">
        <f t="shared" si="68"/>
        <v>12230.2</v>
      </c>
      <c r="S204" s="418">
        <f t="shared" si="69"/>
        <v>293524.86</v>
      </c>
      <c r="T204" s="418">
        <f t="shared" si="70"/>
        <v>0</v>
      </c>
      <c r="V204" s="418" t="str">
        <f t="shared" si="71"/>
        <v>Major Projects Electric</v>
      </c>
      <c r="W204" s="418" t="str">
        <f t="shared" si="72"/>
        <v>E353 TSM Station Equipment</v>
      </c>
      <c r="X204" s="418" t="str">
        <f t="shared" si="61"/>
        <v>Programmatic</v>
      </c>
      <c r="Y204" s="418" t="str">
        <f t="shared" si="73"/>
        <v>101-E353</v>
      </c>
      <c r="Z204" s="418">
        <f t="shared" si="74"/>
        <v>0</v>
      </c>
      <c r="AA204" s="418">
        <f t="shared" si="75"/>
        <v>0</v>
      </c>
      <c r="AB204" s="418">
        <f t="shared" si="76"/>
        <v>0</v>
      </c>
      <c r="AC204" s="418">
        <f t="shared" si="77"/>
        <v>0</v>
      </c>
      <c r="AD204" s="418">
        <f t="shared" si="78"/>
        <v>0</v>
      </c>
      <c r="AE204" s="413">
        <f t="shared" si="79"/>
        <v>0</v>
      </c>
    </row>
    <row r="205" spans="1:31" x14ac:dyDescent="0.3">
      <c r="A205" s="418" t="s">
        <v>19</v>
      </c>
      <c r="B205" s="418" t="s">
        <v>1715</v>
      </c>
      <c r="C205" s="418" t="s">
        <v>1168</v>
      </c>
      <c r="D205" s="418" t="str">
        <f t="shared" si="62"/>
        <v>101-E353</v>
      </c>
      <c r="E205" s="418">
        <v>0</v>
      </c>
      <c r="F205" s="418">
        <v>3827404.56</v>
      </c>
      <c r="G205" s="418">
        <v>4399615.91</v>
      </c>
      <c r="H205" s="418">
        <v>5016708.57</v>
      </c>
      <c r="I205" s="418">
        <v>0</v>
      </c>
      <c r="J205" s="413">
        <v>0</v>
      </c>
      <c r="L205" s="418" t="str">
        <f t="shared" si="63"/>
        <v>Major Projects Electric</v>
      </c>
      <c r="M205" s="418" t="str">
        <f t="shared" si="64"/>
        <v>E3536 TSM Substation Equipment</v>
      </c>
      <c r="N205" s="418" t="str">
        <f t="shared" si="60"/>
        <v>Programmatic</v>
      </c>
      <c r="O205" s="418" t="str">
        <f t="shared" si="65"/>
        <v>101-E353</v>
      </c>
      <c r="P205" s="418">
        <f t="shared" si="66"/>
        <v>0</v>
      </c>
      <c r="Q205" s="418">
        <f t="shared" si="67"/>
        <v>3827404.56</v>
      </c>
      <c r="R205" s="418">
        <f t="shared" si="68"/>
        <v>4399615.91</v>
      </c>
      <c r="S205" s="418">
        <f t="shared" si="69"/>
        <v>5016708.57</v>
      </c>
      <c r="T205" s="418">
        <f t="shared" si="70"/>
        <v>0</v>
      </c>
      <c r="V205" s="418" t="str">
        <f t="shared" si="71"/>
        <v>Major Projects Electric</v>
      </c>
      <c r="W205" s="418" t="str">
        <f t="shared" si="72"/>
        <v>E3536 TSM Substation Equipment</v>
      </c>
      <c r="X205" s="418" t="str">
        <f t="shared" si="61"/>
        <v>Programmatic</v>
      </c>
      <c r="Y205" s="418" t="str">
        <f t="shared" si="73"/>
        <v>101-E353</v>
      </c>
      <c r="Z205" s="418">
        <f t="shared" si="74"/>
        <v>0</v>
      </c>
      <c r="AA205" s="418">
        <f t="shared" si="75"/>
        <v>0</v>
      </c>
      <c r="AB205" s="418">
        <f t="shared" si="76"/>
        <v>0</v>
      </c>
      <c r="AC205" s="418">
        <f t="shared" si="77"/>
        <v>0</v>
      </c>
      <c r="AD205" s="418">
        <f t="shared" si="78"/>
        <v>0</v>
      </c>
      <c r="AE205" s="413">
        <f t="shared" si="79"/>
        <v>0</v>
      </c>
    </row>
    <row r="206" spans="1:31" x14ac:dyDescent="0.3">
      <c r="A206" s="418" t="s">
        <v>19</v>
      </c>
      <c r="B206" s="418" t="s">
        <v>1717</v>
      </c>
      <c r="C206" s="418" t="s">
        <v>1168</v>
      </c>
      <c r="D206" s="418" t="str">
        <f t="shared" si="62"/>
        <v>101-E355</v>
      </c>
      <c r="E206" s="418">
        <v>0</v>
      </c>
      <c r="F206" s="418">
        <v>9168996.5999999996</v>
      </c>
      <c r="G206" s="418">
        <v>10102625.560000001</v>
      </c>
      <c r="H206" s="418">
        <v>12289061.189999999</v>
      </c>
      <c r="I206" s="418">
        <v>0</v>
      </c>
      <c r="J206" s="413">
        <v>0</v>
      </c>
      <c r="L206" s="418" t="str">
        <f t="shared" si="63"/>
        <v>Major Projects Electric</v>
      </c>
      <c r="M206" s="418" t="str">
        <f t="shared" si="64"/>
        <v>E3556 TSM Poles</v>
      </c>
      <c r="N206" s="418" t="str">
        <f t="shared" si="60"/>
        <v>Programmatic</v>
      </c>
      <c r="O206" s="418" t="str">
        <f t="shared" si="65"/>
        <v>101-E355</v>
      </c>
      <c r="P206" s="418">
        <f t="shared" si="66"/>
        <v>0</v>
      </c>
      <c r="Q206" s="418">
        <f t="shared" si="67"/>
        <v>9168996.5999999996</v>
      </c>
      <c r="R206" s="418">
        <f t="shared" si="68"/>
        <v>10102625.560000001</v>
      </c>
      <c r="S206" s="418">
        <f t="shared" si="69"/>
        <v>12289061.189999999</v>
      </c>
      <c r="T206" s="418">
        <f t="shared" si="70"/>
        <v>0</v>
      </c>
      <c r="V206" s="418" t="str">
        <f t="shared" si="71"/>
        <v>Major Projects Electric</v>
      </c>
      <c r="W206" s="418" t="str">
        <f t="shared" si="72"/>
        <v>E3556 TSM Poles</v>
      </c>
      <c r="X206" s="418" t="str">
        <f t="shared" si="61"/>
        <v>Programmatic</v>
      </c>
      <c r="Y206" s="418" t="str">
        <f t="shared" si="73"/>
        <v>101-E355</v>
      </c>
      <c r="Z206" s="418">
        <f t="shared" si="74"/>
        <v>0</v>
      </c>
      <c r="AA206" s="418">
        <f t="shared" si="75"/>
        <v>0</v>
      </c>
      <c r="AB206" s="418">
        <f t="shared" si="76"/>
        <v>0</v>
      </c>
      <c r="AC206" s="418">
        <f t="shared" si="77"/>
        <v>0</v>
      </c>
      <c r="AD206" s="418">
        <f t="shared" si="78"/>
        <v>0</v>
      </c>
      <c r="AE206" s="413">
        <f t="shared" si="79"/>
        <v>0</v>
      </c>
    </row>
    <row r="207" spans="1:31" x14ac:dyDescent="0.3">
      <c r="A207" s="418" t="s">
        <v>19</v>
      </c>
      <c r="B207" s="418" t="s">
        <v>1788</v>
      </c>
      <c r="C207" s="418" t="s">
        <v>1168</v>
      </c>
      <c r="D207" s="418" t="str">
        <f t="shared" si="62"/>
        <v>101-E356</v>
      </c>
      <c r="E207" s="418">
        <v>0</v>
      </c>
      <c r="F207" s="418">
        <v>2307474.86</v>
      </c>
      <c r="G207" s="418">
        <v>2565584.9900000002</v>
      </c>
      <c r="H207" s="418">
        <v>3733344.58</v>
      </c>
      <c r="I207" s="418">
        <v>0</v>
      </c>
      <c r="J207" s="413">
        <v>0</v>
      </c>
      <c r="L207" s="418" t="str">
        <f t="shared" si="63"/>
        <v>Major Projects Electric</v>
      </c>
      <c r="M207" s="418" t="str">
        <f t="shared" si="64"/>
        <v>E3566 TSM O/H Conductor/Devices</v>
      </c>
      <c r="N207" s="418" t="str">
        <f t="shared" si="60"/>
        <v>Programmatic</v>
      </c>
      <c r="O207" s="418" t="str">
        <f t="shared" si="65"/>
        <v>101-E356</v>
      </c>
      <c r="P207" s="418">
        <f t="shared" si="66"/>
        <v>0</v>
      </c>
      <c r="Q207" s="418">
        <f t="shared" si="67"/>
        <v>2307474.86</v>
      </c>
      <c r="R207" s="418">
        <f t="shared" si="68"/>
        <v>2565584.9900000002</v>
      </c>
      <c r="S207" s="418">
        <f t="shared" si="69"/>
        <v>3733344.58</v>
      </c>
      <c r="T207" s="418">
        <f t="shared" si="70"/>
        <v>0</v>
      </c>
      <c r="V207" s="418" t="str">
        <f t="shared" si="71"/>
        <v>Major Projects Electric</v>
      </c>
      <c r="W207" s="418" t="str">
        <f t="shared" si="72"/>
        <v>E3566 TSM O/H Conductor/Devices</v>
      </c>
      <c r="X207" s="418" t="str">
        <f t="shared" si="61"/>
        <v>Programmatic</v>
      </c>
      <c r="Y207" s="418" t="str">
        <f t="shared" si="73"/>
        <v>101-E356</v>
      </c>
      <c r="Z207" s="418">
        <f t="shared" si="74"/>
        <v>0</v>
      </c>
      <c r="AA207" s="418">
        <f t="shared" si="75"/>
        <v>0</v>
      </c>
      <c r="AB207" s="418">
        <f t="shared" si="76"/>
        <v>0</v>
      </c>
      <c r="AC207" s="418">
        <f t="shared" si="77"/>
        <v>0</v>
      </c>
      <c r="AD207" s="418">
        <f t="shared" si="78"/>
        <v>0</v>
      </c>
      <c r="AE207" s="413">
        <f t="shared" si="79"/>
        <v>0</v>
      </c>
    </row>
    <row r="208" spans="1:31" x14ac:dyDescent="0.3">
      <c r="A208" s="418" t="s">
        <v>19</v>
      </c>
      <c r="B208" s="418" t="s">
        <v>1782</v>
      </c>
      <c r="C208" s="418" t="s">
        <v>1168</v>
      </c>
      <c r="D208" s="418" t="str">
        <f t="shared" si="62"/>
        <v>101-E360</v>
      </c>
      <c r="E208" s="418">
        <v>0</v>
      </c>
      <c r="F208" s="418">
        <v>0</v>
      </c>
      <c r="G208" s="418">
        <v>331629.33</v>
      </c>
      <c r="H208" s="418">
        <v>8029810.4199999999</v>
      </c>
      <c r="I208" s="418">
        <v>0</v>
      </c>
      <c r="J208" s="413">
        <v>0</v>
      </c>
      <c r="L208" s="418" t="str">
        <f t="shared" si="63"/>
        <v>Major Projects Electric</v>
      </c>
      <c r="M208" s="418" t="str">
        <f t="shared" si="64"/>
        <v>E3600 DST Land &amp; Land Rights</v>
      </c>
      <c r="N208" s="418" t="str">
        <f t="shared" si="60"/>
        <v>Programmatic</v>
      </c>
      <c r="O208" s="418" t="str">
        <f t="shared" si="65"/>
        <v>101-E360</v>
      </c>
      <c r="P208" s="418">
        <f t="shared" si="66"/>
        <v>0</v>
      </c>
      <c r="Q208" s="418">
        <f t="shared" si="67"/>
        <v>0</v>
      </c>
      <c r="R208" s="418">
        <f t="shared" si="68"/>
        <v>331629.33</v>
      </c>
      <c r="S208" s="418">
        <f t="shared" si="69"/>
        <v>8029810.4199999999</v>
      </c>
      <c r="T208" s="418">
        <f t="shared" si="70"/>
        <v>0</v>
      </c>
      <c r="V208" s="418" t="str">
        <f t="shared" si="71"/>
        <v>Major Projects Electric</v>
      </c>
      <c r="W208" s="418" t="str">
        <f t="shared" si="72"/>
        <v>E3600 DST Land &amp; Land Rights</v>
      </c>
      <c r="X208" s="418" t="str">
        <f t="shared" si="61"/>
        <v>Programmatic</v>
      </c>
      <c r="Y208" s="418" t="str">
        <f t="shared" si="73"/>
        <v>101-E360</v>
      </c>
      <c r="Z208" s="418">
        <f t="shared" si="74"/>
        <v>0</v>
      </c>
      <c r="AA208" s="418">
        <f t="shared" si="75"/>
        <v>0</v>
      </c>
      <c r="AB208" s="418">
        <f t="shared" si="76"/>
        <v>0</v>
      </c>
      <c r="AC208" s="418">
        <f t="shared" si="77"/>
        <v>0</v>
      </c>
      <c r="AD208" s="418">
        <f t="shared" si="78"/>
        <v>0</v>
      </c>
      <c r="AE208" s="413">
        <f t="shared" si="79"/>
        <v>0</v>
      </c>
    </row>
    <row r="209" spans="1:31" x14ac:dyDescent="0.3">
      <c r="A209" s="418" t="s">
        <v>19</v>
      </c>
      <c r="B209" s="418" t="s">
        <v>1781</v>
      </c>
      <c r="C209" s="418" t="s">
        <v>1168</v>
      </c>
      <c r="D209" s="418" t="str">
        <f t="shared" si="62"/>
        <v>101-E362</v>
      </c>
      <c r="E209" s="418">
        <v>0</v>
      </c>
      <c r="F209" s="418">
        <v>79104.45</v>
      </c>
      <c r="G209" s="418">
        <v>92989.36</v>
      </c>
      <c r="H209" s="418">
        <v>450002</v>
      </c>
      <c r="I209" s="418">
        <v>0</v>
      </c>
      <c r="J209" s="413">
        <v>0</v>
      </c>
      <c r="L209" s="418" t="str">
        <f t="shared" si="63"/>
        <v>Major Projects Electric</v>
      </c>
      <c r="M209" s="418" t="str">
        <f t="shared" si="64"/>
        <v>E3620 DST Substation Equipment</v>
      </c>
      <c r="N209" s="418" t="str">
        <f t="shared" si="60"/>
        <v>Programmatic</v>
      </c>
      <c r="O209" s="418" t="str">
        <f t="shared" si="65"/>
        <v>101-E362</v>
      </c>
      <c r="P209" s="418">
        <f t="shared" si="66"/>
        <v>0</v>
      </c>
      <c r="Q209" s="418">
        <f t="shared" si="67"/>
        <v>79104.45</v>
      </c>
      <c r="R209" s="418">
        <f t="shared" si="68"/>
        <v>92989.36</v>
      </c>
      <c r="S209" s="418">
        <f t="shared" si="69"/>
        <v>450002</v>
      </c>
      <c r="T209" s="418">
        <f t="shared" si="70"/>
        <v>0</v>
      </c>
      <c r="V209" s="418" t="str">
        <f t="shared" si="71"/>
        <v>Major Projects Electric</v>
      </c>
      <c r="W209" s="418" t="str">
        <f t="shared" si="72"/>
        <v>E3620 DST Substation Equipment</v>
      </c>
      <c r="X209" s="418" t="str">
        <f t="shared" si="61"/>
        <v>Programmatic</v>
      </c>
      <c r="Y209" s="418" t="str">
        <f t="shared" si="73"/>
        <v>101-E362</v>
      </c>
      <c r="Z209" s="418">
        <f t="shared" si="74"/>
        <v>0</v>
      </c>
      <c r="AA209" s="418">
        <f t="shared" si="75"/>
        <v>0</v>
      </c>
      <c r="AB209" s="418">
        <f t="shared" si="76"/>
        <v>0</v>
      </c>
      <c r="AC209" s="418">
        <f t="shared" si="77"/>
        <v>0</v>
      </c>
      <c r="AD209" s="418">
        <f t="shared" si="78"/>
        <v>0</v>
      </c>
      <c r="AE209" s="413">
        <f t="shared" si="79"/>
        <v>0</v>
      </c>
    </row>
    <row r="210" spans="1:31" x14ac:dyDescent="0.3">
      <c r="A210" s="418" t="s">
        <v>19</v>
      </c>
      <c r="B210" s="418" t="s">
        <v>1711</v>
      </c>
      <c r="C210" s="418" t="s">
        <v>1168</v>
      </c>
      <c r="D210" s="418" t="str">
        <f t="shared" si="62"/>
        <v>101-E364</v>
      </c>
      <c r="E210" s="418">
        <v>0</v>
      </c>
      <c r="F210" s="418">
        <v>582046.48</v>
      </c>
      <c r="G210" s="418">
        <v>592712.07999999996</v>
      </c>
      <c r="H210" s="418">
        <v>604285.96</v>
      </c>
      <c r="I210" s="418">
        <v>0</v>
      </c>
      <c r="J210" s="413">
        <v>0</v>
      </c>
      <c r="L210" s="418" t="str">
        <f t="shared" si="63"/>
        <v>Major Projects Electric</v>
      </c>
      <c r="M210" s="418" t="str">
        <f t="shared" si="64"/>
        <v>E3640 DST Poles/Towers/Fixtures</v>
      </c>
      <c r="N210" s="418" t="str">
        <f t="shared" si="60"/>
        <v>Programmatic</v>
      </c>
      <c r="O210" s="418" t="str">
        <f t="shared" si="65"/>
        <v>101-E364</v>
      </c>
      <c r="P210" s="418">
        <f t="shared" si="66"/>
        <v>0</v>
      </c>
      <c r="Q210" s="418">
        <f t="shared" si="67"/>
        <v>582046.48</v>
      </c>
      <c r="R210" s="418">
        <f t="shared" si="68"/>
        <v>592712.07999999996</v>
      </c>
      <c r="S210" s="418">
        <f t="shared" si="69"/>
        <v>604285.96</v>
      </c>
      <c r="T210" s="418">
        <f t="shared" si="70"/>
        <v>0</v>
      </c>
      <c r="V210" s="418" t="str">
        <f t="shared" si="71"/>
        <v>Major Projects Electric</v>
      </c>
      <c r="W210" s="418" t="str">
        <f t="shared" si="72"/>
        <v>E3640 DST Poles/Towers/Fixtures</v>
      </c>
      <c r="X210" s="418" t="str">
        <f t="shared" si="61"/>
        <v>Programmatic</v>
      </c>
      <c r="Y210" s="418" t="str">
        <f t="shared" si="73"/>
        <v>101-E364</v>
      </c>
      <c r="Z210" s="418">
        <f t="shared" si="74"/>
        <v>0</v>
      </c>
      <c r="AA210" s="418">
        <f t="shared" si="75"/>
        <v>0</v>
      </c>
      <c r="AB210" s="418">
        <f t="shared" si="76"/>
        <v>0</v>
      </c>
      <c r="AC210" s="418">
        <f t="shared" si="77"/>
        <v>0</v>
      </c>
      <c r="AD210" s="418">
        <f t="shared" si="78"/>
        <v>0</v>
      </c>
      <c r="AE210" s="413">
        <f t="shared" si="79"/>
        <v>0</v>
      </c>
    </row>
    <row r="211" spans="1:31" x14ac:dyDescent="0.3">
      <c r="A211" s="418" t="s">
        <v>19</v>
      </c>
      <c r="B211" s="418" t="s">
        <v>1720</v>
      </c>
      <c r="C211" s="418" t="s">
        <v>1168</v>
      </c>
      <c r="D211" s="418" t="str">
        <f t="shared" si="62"/>
        <v>101-E365</v>
      </c>
      <c r="E211" s="418">
        <v>0</v>
      </c>
      <c r="F211" s="418">
        <v>765890.33</v>
      </c>
      <c r="G211" s="418">
        <v>1216927.6000000001</v>
      </c>
      <c r="H211" s="418">
        <v>6493091.5700000003</v>
      </c>
      <c r="I211" s="418">
        <v>0</v>
      </c>
      <c r="J211" s="413">
        <v>0</v>
      </c>
      <c r="L211" s="418" t="str">
        <f t="shared" si="63"/>
        <v>Major Projects Electric</v>
      </c>
      <c r="M211" s="418" t="str">
        <f t="shared" si="64"/>
        <v>E3650 DST O/H Conductor/Devices</v>
      </c>
      <c r="N211" s="418" t="str">
        <f t="shared" si="60"/>
        <v>Programmatic</v>
      </c>
      <c r="O211" s="418" t="str">
        <f t="shared" si="65"/>
        <v>101-E365</v>
      </c>
      <c r="P211" s="418">
        <f t="shared" si="66"/>
        <v>0</v>
      </c>
      <c r="Q211" s="418">
        <f t="shared" si="67"/>
        <v>765890.33</v>
      </c>
      <c r="R211" s="418">
        <f t="shared" si="68"/>
        <v>1216927.6000000001</v>
      </c>
      <c r="S211" s="418">
        <f t="shared" si="69"/>
        <v>6493091.5700000003</v>
      </c>
      <c r="T211" s="418">
        <f t="shared" si="70"/>
        <v>0</v>
      </c>
      <c r="V211" s="418" t="str">
        <f t="shared" si="71"/>
        <v>Major Projects Electric</v>
      </c>
      <c r="W211" s="418" t="str">
        <f t="shared" si="72"/>
        <v>E3650 DST O/H Conductor/Devices</v>
      </c>
      <c r="X211" s="418" t="str">
        <f t="shared" si="61"/>
        <v>Programmatic</v>
      </c>
      <c r="Y211" s="418" t="str">
        <f t="shared" si="73"/>
        <v>101-E365</v>
      </c>
      <c r="Z211" s="418">
        <f t="shared" si="74"/>
        <v>0</v>
      </c>
      <c r="AA211" s="418">
        <f t="shared" si="75"/>
        <v>0</v>
      </c>
      <c r="AB211" s="418">
        <f t="shared" si="76"/>
        <v>0</v>
      </c>
      <c r="AC211" s="418">
        <f t="shared" si="77"/>
        <v>0</v>
      </c>
      <c r="AD211" s="418">
        <f t="shared" si="78"/>
        <v>0</v>
      </c>
      <c r="AE211" s="413">
        <f t="shared" si="79"/>
        <v>0</v>
      </c>
    </row>
    <row r="212" spans="1:31" x14ac:dyDescent="0.3">
      <c r="A212" s="418" t="s">
        <v>19</v>
      </c>
      <c r="B212" s="418" t="s">
        <v>1710</v>
      </c>
      <c r="C212" s="418" t="s">
        <v>1168</v>
      </c>
      <c r="D212" s="418" t="str">
        <f t="shared" si="62"/>
        <v>101-E366</v>
      </c>
      <c r="E212" s="418">
        <v>0</v>
      </c>
      <c r="F212" s="418">
        <v>383003.6</v>
      </c>
      <c r="G212" s="418">
        <v>383003.6</v>
      </c>
      <c r="H212" s="418">
        <v>383003.6</v>
      </c>
      <c r="I212" s="418">
        <v>0</v>
      </c>
      <c r="J212" s="413">
        <v>0</v>
      </c>
      <c r="L212" s="418" t="str">
        <f t="shared" si="63"/>
        <v>Major Projects Electric</v>
      </c>
      <c r="M212" s="418" t="str">
        <f t="shared" si="64"/>
        <v>E3660 DST U/G Conduit</v>
      </c>
      <c r="N212" s="418" t="str">
        <f t="shared" si="60"/>
        <v>Programmatic</v>
      </c>
      <c r="O212" s="418" t="str">
        <f t="shared" si="65"/>
        <v>101-E366</v>
      </c>
      <c r="P212" s="418">
        <f t="shared" si="66"/>
        <v>0</v>
      </c>
      <c r="Q212" s="418">
        <f t="shared" si="67"/>
        <v>383003.6</v>
      </c>
      <c r="R212" s="418">
        <f t="shared" si="68"/>
        <v>383003.6</v>
      </c>
      <c r="S212" s="418">
        <f t="shared" si="69"/>
        <v>383003.6</v>
      </c>
      <c r="T212" s="418">
        <f t="shared" si="70"/>
        <v>0</v>
      </c>
      <c r="V212" s="418" t="str">
        <f t="shared" si="71"/>
        <v>Major Projects Electric</v>
      </c>
      <c r="W212" s="418" t="str">
        <f t="shared" si="72"/>
        <v>E3660 DST U/G Conduit</v>
      </c>
      <c r="X212" s="418" t="str">
        <f t="shared" si="61"/>
        <v>Programmatic</v>
      </c>
      <c r="Y212" s="418" t="str">
        <f t="shared" si="73"/>
        <v>101-E366</v>
      </c>
      <c r="Z212" s="418">
        <f t="shared" si="74"/>
        <v>0</v>
      </c>
      <c r="AA212" s="418">
        <f t="shared" si="75"/>
        <v>0</v>
      </c>
      <c r="AB212" s="418">
        <f t="shared" si="76"/>
        <v>0</v>
      </c>
      <c r="AC212" s="418">
        <f t="shared" si="77"/>
        <v>0</v>
      </c>
      <c r="AD212" s="418">
        <f t="shared" si="78"/>
        <v>0</v>
      </c>
      <c r="AE212" s="413">
        <f t="shared" si="79"/>
        <v>0</v>
      </c>
    </row>
    <row r="213" spans="1:31" x14ac:dyDescent="0.3">
      <c r="A213" s="418" t="s">
        <v>19</v>
      </c>
      <c r="B213" s="418" t="s">
        <v>1709</v>
      </c>
      <c r="C213" s="418" t="s">
        <v>1168</v>
      </c>
      <c r="D213" s="418" t="str">
        <f t="shared" si="62"/>
        <v>101-E367</v>
      </c>
      <c r="E213" s="418">
        <v>0</v>
      </c>
      <c r="F213" s="418">
        <v>393355.06</v>
      </c>
      <c r="G213" s="418">
        <v>393355.06</v>
      </c>
      <c r="H213" s="418">
        <v>393355.06</v>
      </c>
      <c r="I213" s="418">
        <v>0</v>
      </c>
      <c r="J213" s="413">
        <v>0</v>
      </c>
      <c r="L213" s="418" t="str">
        <f t="shared" si="63"/>
        <v>Major Projects Electric</v>
      </c>
      <c r="M213" s="418" t="str">
        <f t="shared" si="64"/>
        <v>E3670 DST U/G Conductor/Devices</v>
      </c>
      <c r="N213" s="418" t="str">
        <f t="shared" si="60"/>
        <v>Programmatic</v>
      </c>
      <c r="O213" s="418" t="str">
        <f t="shared" si="65"/>
        <v>101-E367</v>
      </c>
      <c r="P213" s="418">
        <f t="shared" si="66"/>
        <v>0</v>
      </c>
      <c r="Q213" s="418">
        <f t="shared" si="67"/>
        <v>393355.06</v>
      </c>
      <c r="R213" s="418">
        <f t="shared" si="68"/>
        <v>393355.06</v>
      </c>
      <c r="S213" s="418">
        <f t="shared" si="69"/>
        <v>393355.06</v>
      </c>
      <c r="T213" s="418">
        <f t="shared" si="70"/>
        <v>0</v>
      </c>
      <c r="V213" s="418" t="str">
        <f t="shared" si="71"/>
        <v>Major Projects Electric</v>
      </c>
      <c r="W213" s="418" t="str">
        <f t="shared" si="72"/>
        <v>E3670 DST U/G Conductor/Devices</v>
      </c>
      <c r="X213" s="418" t="str">
        <f t="shared" si="61"/>
        <v>Programmatic</v>
      </c>
      <c r="Y213" s="418" t="str">
        <f t="shared" si="73"/>
        <v>101-E367</v>
      </c>
      <c r="Z213" s="418">
        <f t="shared" si="74"/>
        <v>0</v>
      </c>
      <c r="AA213" s="418">
        <f t="shared" si="75"/>
        <v>0</v>
      </c>
      <c r="AB213" s="418">
        <f t="shared" si="76"/>
        <v>0</v>
      </c>
      <c r="AC213" s="418">
        <f t="shared" si="77"/>
        <v>0</v>
      </c>
      <c r="AD213" s="418">
        <f t="shared" si="78"/>
        <v>0</v>
      </c>
      <c r="AE213" s="413">
        <f t="shared" si="79"/>
        <v>0</v>
      </c>
    </row>
    <row r="214" spans="1:31" x14ac:dyDescent="0.3">
      <c r="A214" s="418" t="s">
        <v>19</v>
      </c>
      <c r="B214" s="418" t="s">
        <v>1780</v>
      </c>
      <c r="C214" s="418" t="s">
        <v>1168</v>
      </c>
      <c r="D214" s="418" t="str">
        <f t="shared" si="62"/>
        <v>101-E368</v>
      </c>
      <c r="E214" s="418">
        <v>0</v>
      </c>
      <c r="F214" s="418">
        <v>169096.49</v>
      </c>
      <c r="G214" s="418">
        <v>172709.09</v>
      </c>
      <c r="H214" s="418">
        <v>176629.62</v>
      </c>
      <c r="I214" s="418">
        <v>0</v>
      </c>
      <c r="J214" s="413">
        <v>0</v>
      </c>
      <c r="L214" s="418" t="str">
        <f t="shared" si="63"/>
        <v>Major Projects Electric</v>
      </c>
      <c r="M214" s="418" t="str">
        <f t="shared" si="64"/>
        <v>E368 DST Line Transformers</v>
      </c>
      <c r="N214" s="418" t="str">
        <f t="shared" si="60"/>
        <v>Programmatic</v>
      </c>
      <c r="O214" s="418" t="str">
        <f t="shared" si="65"/>
        <v>101-E368</v>
      </c>
      <c r="P214" s="418">
        <f t="shared" si="66"/>
        <v>0</v>
      </c>
      <c r="Q214" s="418">
        <f t="shared" si="67"/>
        <v>169096.49</v>
      </c>
      <c r="R214" s="418">
        <f t="shared" si="68"/>
        <v>172709.09</v>
      </c>
      <c r="S214" s="418">
        <f t="shared" si="69"/>
        <v>176629.62</v>
      </c>
      <c r="T214" s="418">
        <f t="shared" si="70"/>
        <v>0</v>
      </c>
      <c r="V214" s="418" t="str">
        <f t="shared" si="71"/>
        <v>Major Projects Electric</v>
      </c>
      <c r="W214" s="418" t="str">
        <f t="shared" si="72"/>
        <v>E368 DST Line Transformers</v>
      </c>
      <c r="X214" s="418" t="str">
        <f t="shared" si="61"/>
        <v>Programmatic</v>
      </c>
      <c r="Y214" s="418" t="str">
        <f t="shared" si="73"/>
        <v>101-E368</v>
      </c>
      <c r="Z214" s="418">
        <f t="shared" si="74"/>
        <v>0</v>
      </c>
      <c r="AA214" s="418">
        <f t="shared" si="75"/>
        <v>0</v>
      </c>
      <c r="AB214" s="418">
        <f t="shared" si="76"/>
        <v>0</v>
      </c>
      <c r="AC214" s="418">
        <f t="shared" si="77"/>
        <v>0</v>
      </c>
      <c r="AD214" s="418">
        <f t="shared" si="78"/>
        <v>0</v>
      </c>
      <c r="AE214" s="413">
        <f t="shared" si="79"/>
        <v>0</v>
      </c>
    </row>
    <row r="215" spans="1:31" x14ac:dyDescent="0.3">
      <c r="A215" s="418" t="s">
        <v>19</v>
      </c>
      <c r="B215" s="418" t="s">
        <v>1776</v>
      </c>
      <c r="C215" s="418" t="s">
        <v>1168</v>
      </c>
      <c r="D215" s="418" t="str">
        <f t="shared" si="62"/>
        <v>101-E373</v>
      </c>
      <c r="E215" s="418">
        <v>0</v>
      </c>
      <c r="F215" s="418">
        <v>8054.46</v>
      </c>
      <c r="G215" s="418">
        <v>8226.77</v>
      </c>
      <c r="H215" s="418">
        <v>8414.58</v>
      </c>
      <c r="I215" s="418">
        <v>0</v>
      </c>
      <c r="J215" s="413">
        <v>0</v>
      </c>
      <c r="L215" s="418" t="str">
        <f t="shared" si="63"/>
        <v>Major Projects Electric</v>
      </c>
      <c r="M215" s="418" t="str">
        <f t="shared" si="64"/>
        <v>E373 DST Street Lighting &amp; Signal</v>
      </c>
      <c r="N215" s="418" t="str">
        <f t="shared" si="60"/>
        <v>Programmatic</v>
      </c>
      <c r="O215" s="418" t="str">
        <f t="shared" si="65"/>
        <v>101-E373</v>
      </c>
      <c r="P215" s="418">
        <f t="shared" si="66"/>
        <v>0</v>
      </c>
      <c r="Q215" s="418">
        <f t="shared" si="67"/>
        <v>8054.46</v>
      </c>
      <c r="R215" s="418">
        <f t="shared" si="68"/>
        <v>8226.77</v>
      </c>
      <c r="S215" s="418">
        <f t="shared" si="69"/>
        <v>8414.58</v>
      </c>
      <c r="T215" s="418">
        <f t="shared" si="70"/>
        <v>0</v>
      </c>
      <c r="V215" s="418" t="str">
        <f t="shared" si="71"/>
        <v>Major Projects Electric</v>
      </c>
      <c r="W215" s="418" t="str">
        <f t="shared" si="72"/>
        <v>E373 DST Street Lighting &amp; Signal</v>
      </c>
      <c r="X215" s="418" t="str">
        <f t="shared" si="61"/>
        <v>Programmatic</v>
      </c>
      <c r="Y215" s="418" t="str">
        <f t="shared" si="73"/>
        <v>101-E373</v>
      </c>
      <c r="Z215" s="418">
        <f t="shared" si="74"/>
        <v>0</v>
      </c>
      <c r="AA215" s="418">
        <f t="shared" si="75"/>
        <v>0</v>
      </c>
      <c r="AB215" s="418">
        <f t="shared" si="76"/>
        <v>0</v>
      </c>
      <c r="AC215" s="418">
        <f t="shared" si="77"/>
        <v>0</v>
      </c>
      <c r="AD215" s="418">
        <f t="shared" si="78"/>
        <v>0</v>
      </c>
      <c r="AE215" s="413">
        <f t="shared" si="79"/>
        <v>0</v>
      </c>
    </row>
    <row r="216" spans="1:31" x14ac:dyDescent="0.3">
      <c r="A216" s="418" t="s">
        <v>19</v>
      </c>
      <c r="B216" s="418" t="s">
        <v>1772</v>
      </c>
      <c r="C216" s="418" t="s">
        <v>1168</v>
      </c>
      <c r="D216" s="418" t="str">
        <f t="shared" si="62"/>
        <v>101-E391</v>
      </c>
      <c r="E216" s="418">
        <v>0</v>
      </c>
      <c r="F216" s="418">
        <v>44163</v>
      </c>
      <c r="G216" s="418">
        <v>53043.839999999997</v>
      </c>
      <c r="H216" s="418">
        <v>61924.68</v>
      </c>
      <c r="I216" s="418">
        <v>0</v>
      </c>
      <c r="J216" s="413">
        <v>0</v>
      </c>
      <c r="L216" s="418" t="str">
        <f t="shared" si="63"/>
        <v>Major Projects Electric</v>
      </c>
      <c r="M216" s="418" t="str">
        <f t="shared" si="64"/>
        <v>E3912 GEN Computer Eq, new</v>
      </c>
      <c r="N216" s="418" t="str">
        <f t="shared" si="60"/>
        <v>Programmatic</v>
      </c>
      <c r="O216" s="418" t="str">
        <f t="shared" si="65"/>
        <v>101-E391</v>
      </c>
      <c r="P216" s="418">
        <f t="shared" si="66"/>
        <v>0</v>
      </c>
      <c r="Q216" s="418">
        <f t="shared" si="67"/>
        <v>44163</v>
      </c>
      <c r="R216" s="418">
        <f t="shared" si="68"/>
        <v>53043.839999999997</v>
      </c>
      <c r="S216" s="418">
        <f t="shared" si="69"/>
        <v>61924.68</v>
      </c>
      <c r="T216" s="418">
        <f t="shared" si="70"/>
        <v>0</v>
      </c>
      <c r="V216" s="418" t="str">
        <f t="shared" si="71"/>
        <v>Major Projects Electric</v>
      </c>
      <c r="W216" s="418" t="str">
        <f t="shared" si="72"/>
        <v>E3912 GEN Computer Eq, new</v>
      </c>
      <c r="X216" s="418" t="str">
        <f t="shared" si="61"/>
        <v>Programmatic</v>
      </c>
      <c r="Y216" s="418" t="str">
        <f t="shared" si="73"/>
        <v>101-E391</v>
      </c>
      <c r="Z216" s="418">
        <f t="shared" si="74"/>
        <v>0</v>
      </c>
      <c r="AA216" s="418">
        <f t="shared" si="75"/>
        <v>0</v>
      </c>
      <c r="AB216" s="418">
        <f t="shared" si="76"/>
        <v>0</v>
      </c>
      <c r="AC216" s="418">
        <f t="shared" si="77"/>
        <v>0</v>
      </c>
      <c r="AD216" s="418">
        <f t="shared" si="78"/>
        <v>0</v>
      </c>
      <c r="AE216" s="413">
        <f t="shared" si="79"/>
        <v>0</v>
      </c>
    </row>
    <row r="217" spans="1:31" x14ac:dyDescent="0.3">
      <c r="A217" s="418" t="s">
        <v>19</v>
      </c>
      <c r="B217" s="418" t="s">
        <v>1765</v>
      </c>
      <c r="C217" s="418" t="s">
        <v>1168</v>
      </c>
      <c r="D217" s="418" t="str">
        <f t="shared" si="62"/>
        <v>101-E397</v>
      </c>
      <c r="E217" s="418">
        <v>0</v>
      </c>
      <c r="F217" s="418">
        <v>360412.44</v>
      </c>
      <c r="G217" s="418">
        <v>360412.44</v>
      </c>
      <c r="H217" s="418">
        <v>360412.44</v>
      </c>
      <c r="I217" s="418">
        <v>0</v>
      </c>
      <c r="J217" s="413">
        <v>0</v>
      </c>
      <c r="L217" s="418" t="str">
        <f t="shared" si="63"/>
        <v>Major Projects Electric</v>
      </c>
      <c r="M217" s="418" t="str">
        <f t="shared" si="64"/>
        <v>E3970 GEN Comm Equip, new</v>
      </c>
      <c r="N217" s="418" t="str">
        <f t="shared" si="60"/>
        <v>Programmatic</v>
      </c>
      <c r="O217" s="418" t="str">
        <f t="shared" si="65"/>
        <v>101-E397</v>
      </c>
      <c r="P217" s="418">
        <f t="shared" si="66"/>
        <v>0</v>
      </c>
      <c r="Q217" s="418">
        <f t="shared" si="67"/>
        <v>360412.44</v>
      </c>
      <c r="R217" s="418">
        <f t="shared" si="68"/>
        <v>360412.44</v>
      </c>
      <c r="S217" s="418">
        <f t="shared" si="69"/>
        <v>360412.44</v>
      </c>
      <c r="T217" s="418">
        <f t="shared" si="70"/>
        <v>0</v>
      </c>
      <c r="V217" s="418" t="str">
        <f t="shared" si="71"/>
        <v>Major Projects Electric</v>
      </c>
      <c r="W217" s="418" t="str">
        <f t="shared" si="72"/>
        <v>E3970 GEN Comm Equip, new</v>
      </c>
      <c r="X217" s="418" t="str">
        <f t="shared" si="61"/>
        <v>Programmatic</v>
      </c>
      <c r="Y217" s="418" t="str">
        <f t="shared" si="73"/>
        <v>101-E397</v>
      </c>
      <c r="Z217" s="418">
        <f t="shared" si="74"/>
        <v>0</v>
      </c>
      <c r="AA217" s="418">
        <f t="shared" si="75"/>
        <v>0</v>
      </c>
      <c r="AB217" s="418">
        <f t="shared" si="76"/>
        <v>0</v>
      </c>
      <c r="AC217" s="418">
        <f t="shared" si="77"/>
        <v>0</v>
      </c>
      <c r="AD217" s="418">
        <f t="shared" si="78"/>
        <v>0</v>
      </c>
      <c r="AE217" s="413">
        <f t="shared" si="79"/>
        <v>0</v>
      </c>
    </row>
    <row r="218" spans="1:31" x14ac:dyDescent="0.3">
      <c r="A218" s="418" t="s">
        <v>20</v>
      </c>
      <c r="B218" s="418" t="s">
        <v>1911</v>
      </c>
      <c r="C218" s="418" t="s">
        <v>1168</v>
      </c>
      <c r="D218" s="418" t="str">
        <f t="shared" si="62"/>
        <v>101-G362</v>
      </c>
      <c r="E218" s="418">
        <v>0</v>
      </c>
      <c r="F218" s="418">
        <v>2776711.59</v>
      </c>
      <c r="G218" s="418">
        <v>2776711.59</v>
      </c>
      <c r="H218" s="418">
        <v>2776711.59</v>
      </c>
      <c r="I218" s="418">
        <v>0</v>
      </c>
      <c r="J218" s="413">
        <v>0</v>
      </c>
      <c r="L218" s="418" t="str">
        <f t="shared" si="63"/>
        <v>Major Projects Gas</v>
      </c>
      <c r="M218" s="418" t="str">
        <f t="shared" si="64"/>
        <v>G362 OSP Gas Holders</v>
      </c>
      <c r="N218" s="418" t="str">
        <f t="shared" si="60"/>
        <v>Programmatic</v>
      </c>
      <c r="O218" s="418" t="str">
        <f t="shared" si="65"/>
        <v>101-G362</v>
      </c>
      <c r="P218" s="418">
        <f t="shared" si="66"/>
        <v>0</v>
      </c>
      <c r="Q218" s="418">
        <f t="shared" si="67"/>
        <v>0</v>
      </c>
      <c r="R218" s="418">
        <f t="shared" si="68"/>
        <v>0</v>
      </c>
      <c r="S218" s="418">
        <f t="shared" si="69"/>
        <v>0</v>
      </c>
      <c r="T218" s="418">
        <f t="shared" si="70"/>
        <v>0</v>
      </c>
      <c r="V218" s="418" t="str">
        <f t="shared" si="71"/>
        <v>Major Projects Gas</v>
      </c>
      <c r="W218" s="418" t="str">
        <f t="shared" si="72"/>
        <v>G362 OSP Gas Holders</v>
      </c>
      <c r="X218" s="418" t="str">
        <f t="shared" si="61"/>
        <v>Programmatic</v>
      </c>
      <c r="Y218" s="418" t="str">
        <f t="shared" si="73"/>
        <v>101-G362</v>
      </c>
      <c r="Z218" s="418">
        <f t="shared" si="74"/>
        <v>0</v>
      </c>
      <c r="AA218" s="418">
        <f t="shared" si="75"/>
        <v>2776711.59</v>
      </c>
      <c r="AB218" s="418">
        <f t="shared" si="76"/>
        <v>2776711.59</v>
      </c>
      <c r="AC218" s="418">
        <f t="shared" si="77"/>
        <v>2776711.59</v>
      </c>
      <c r="AD218" s="418">
        <f t="shared" si="78"/>
        <v>0</v>
      </c>
      <c r="AE218" s="413">
        <f t="shared" si="79"/>
        <v>0</v>
      </c>
    </row>
    <row r="219" spans="1:31" x14ac:dyDescent="0.3">
      <c r="A219" s="418" t="s">
        <v>20</v>
      </c>
      <c r="B219" s="418" t="s">
        <v>1741</v>
      </c>
      <c r="C219" s="418" t="s">
        <v>1168</v>
      </c>
      <c r="D219" s="418" t="str">
        <f t="shared" si="62"/>
        <v>101-G378</v>
      </c>
      <c r="E219" s="418">
        <v>0</v>
      </c>
      <c r="F219" s="418">
        <v>585638.16</v>
      </c>
      <c r="G219" s="418">
        <v>873656.94</v>
      </c>
      <c r="H219" s="418">
        <v>1449694.5</v>
      </c>
      <c r="I219" s="418">
        <v>0</v>
      </c>
      <c r="J219" s="413">
        <v>0</v>
      </c>
      <c r="L219" s="418" t="str">
        <f t="shared" si="63"/>
        <v>Major Projects Gas</v>
      </c>
      <c r="M219" s="418" t="str">
        <f t="shared" si="64"/>
        <v>G3780 DST Measuring &amp; Reg Station</v>
      </c>
      <c r="N219" s="418" t="str">
        <f t="shared" si="60"/>
        <v>Programmatic</v>
      </c>
      <c r="O219" s="418" t="str">
        <f t="shared" si="65"/>
        <v>101-G378</v>
      </c>
      <c r="P219" s="418">
        <f t="shared" si="66"/>
        <v>0</v>
      </c>
      <c r="Q219" s="418">
        <f t="shared" si="67"/>
        <v>0</v>
      </c>
      <c r="R219" s="418">
        <f t="shared" si="68"/>
        <v>0</v>
      </c>
      <c r="S219" s="418">
        <f t="shared" si="69"/>
        <v>0</v>
      </c>
      <c r="T219" s="418">
        <f t="shared" si="70"/>
        <v>0</v>
      </c>
      <c r="V219" s="418" t="str">
        <f t="shared" si="71"/>
        <v>Major Projects Gas</v>
      </c>
      <c r="W219" s="418" t="str">
        <f t="shared" si="72"/>
        <v>G3780 DST Measuring &amp; Reg Station</v>
      </c>
      <c r="X219" s="418" t="str">
        <f t="shared" si="61"/>
        <v>Programmatic</v>
      </c>
      <c r="Y219" s="418" t="str">
        <f t="shared" si="73"/>
        <v>101-G378</v>
      </c>
      <c r="Z219" s="418">
        <f t="shared" si="74"/>
        <v>0</v>
      </c>
      <c r="AA219" s="418">
        <f t="shared" si="75"/>
        <v>585638.16</v>
      </c>
      <c r="AB219" s="418">
        <f t="shared" si="76"/>
        <v>873656.94</v>
      </c>
      <c r="AC219" s="418">
        <f t="shared" si="77"/>
        <v>1449694.5</v>
      </c>
      <c r="AD219" s="418">
        <f t="shared" si="78"/>
        <v>0</v>
      </c>
      <c r="AE219" s="413">
        <f t="shared" si="79"/>
        <v>0</v>
      </c>
    </row>
    <row r="220" spans="1:31" x14ac:dyDescent="0.3">
      <c r="A220" s="418" t="s">
        <v>21</v>
      </c>
      <c r="B220" s="418" t="s">
        <v>1744</v>
      </c>
      <c r="C220" s="418" t="s">
        <v>1181</v>
      </c>
      <c r="D220" s="418" t="str">
        <f t="shared" si="62"/>
        <v>101-G376</v>
      </c>
      <c r="E220" s="418">
        <v>0</v>
      </c>
      <c r="F220" s="418">
        <v>879456.34</v>
      </c>
      <c r="G220" s="418">
        <v>879456.34</v>
      </c>
      <c r="H220" s="418">
        <v>879456.34</v>
      </c>
      <c r="I220" s="418">
        <v>0</v>
      </c>
      <c r="J220" s="413">
        <v>0</v>
      </c>
      <c r="L220" s="418" t="str">
        <f t="shared" si="63"/>
        <v>Marine Crossing</v>
      </c>
      <c r="M220" s="418" t="str">
        <f t="shared" si="64"/>
        <v>G3762 DST Mains, Plastic</v>
      </c>
      <c r="N220" s="418" t="str">
        <f t="shared" si="60"/>
        <v>Specific</v>
      </c>
      <c r="O220" s="418" t="str">
        <f t="shared" si="65"/>
        <v>101-G376</v>
      </c>
      <c r="P220" s="418">
        <f t="shared" si="66"/>
        <v>0</v>
      </c>
      <c r="Q220" s="418">
        <f t="shared" si="67"/>
        <v>0</v>
      </c>
      <c r="R220" s="418">
        <f t="shared" si="68"/>
        <v>0</v>
      </c>
      <c r="S220" s="418">
        <f t="shared" si="69"/>
        <v>0</v>
      </c>
      <c r="T220" s="418">
        <f t="shared" si="70"/>
        <v>0</v>
      </c>
      <c r="V220" s="418" t="str">
        <f t="shared" si="71"/>
        <v>Marine Crossing</v>
      </c>
      <c r="W220" s="418" t="str">
        <f t="shared" si="72"/>
        <v>G3762 DST Mains, Plastic</v>
      </c>
      <c r="X220" s="418" t="str">
        <f t="shared" si="61"/>
        <v>Specific</v>
      </c>
      <c r="Y220" s="418" t="str">
        <f t="shared" si="73"/>
        <v>101-G376</v>
      </c>
      <c r="Z220" s="418">
        <f t="shared" si="74"/>
        <v>0</v>
      </c>
      <c r="AA220" s="418">
        <f t="shared" si="75"/>
        <v>879456.34</v>
      </c>
      <c r="AB220" s="418">
        <f t="shared" si="76"/>
        <v>879456.34</v>
      </c>
      <c r="AC220" s="418">
        <f t="shared" si="77"/>
        <v>879456.34</v>
      </c>
      <c r="AD220" s="418">
        <f t="shared" si="78"/>
        <v>0</v>
      </c>
      <c r="AE220" s="413">
        <f t="shared" si="79"/>
        <v>0</v>
      </c>
    </row>
    <row r="221" spans="1:31" x14ac:dyDescent="0.3">
      <c r="A221" s="418" t="s">
        <v>21</v>
      </c>
      <c r="B221" s="418" t="s">
        <v>1743</v>
      </c>
      <c r="C221" s="418" t="s">
        <v>1181</v>
      </c>
      <c r="D221" s="418" t="str">
        <f t="shared" si="62"/>
        <v>101-G376</v>
      </c>
      <c r="E221" s="418">
        <v>0</v>
      </c>
      <c r="F221" s="418">
        <v>376909.86</v>
      </c>
      <c r="G221" s="418">
        <v>376909.86</v>
      </c>
      <c r="H221" s="418">
        <v>376909.86</v>
      </c>
      <c r="I221" s="418">
        <v>0</v>
      </c>
      <c r="J221" s="413">
        <v>0</v>
      </c>
      <c r="L221" s="418" t="str">
        <f t="shared" si="63"/>
        <v>Marine Crossing</v>
      </c>
      <c r="M221" s="418" t="str">
        <f t="shared" si="64"/>
        <v>G3764 DST Mains, Wrapped Steel</v>
      </c>
      <c r="N221" s="418" t="str">
        <f t="shared" si="60"/>
        <v>Specific</v>
      </c>
      <c r="O221" s="418" t="str">
        <f t="shared" si="65"/>
        <v>101-G376</v>
      </c>
      <c r="P221" s="418">
        <f t="shared" si="66"/>
        <v>0</v>
      </c>
      <c r="Q221" s="418">
        <f t="shared" si="67"/>
        <v>0</v>
      </c>
      <c r="R221" s="418">
        <f t="shared" si="68"/>
        <v>0</v>
      </c>
      <c r="S221" s="418">
        <f t="shared" si="69"/>
        <v>0</v>
      </c>
      <c r="T221" s="418">
        <f t="shared" si="70"/>
        <v>0</v>
      </c>
      <c r="V221" s="418" t="str">
        <f t="shared" si="71"/>
        <v>Marine Crossing</v>
      </c>
      <c r="W221" s="418" t="str">
        <f t="shared" si="72"/>
        <v>G3764 DST Mains, Wrapped Steel</v>
      </c>
      <c r="X221" s="418" t="str">
        <f t="shared" si="61"/>
        <v>Specific</v>
      </c>
      <c r="Y221" s="418" t="str">
        <f t="shared" si="73"/>
        <v>101-G376</v>
      </c>
      <c r="Z221" s="418">
        <f t="shared" si="74"/>
        <v>0</v>
      </c>
      <c r="AA221" s="418">
        <f t="shared" si="75"/>
        <v>376909.86</v>
      </c>
      <c r="AB221" s="418">
        <f t="shared" si="76"/>
        <v>376909.86</v>
      </c>
      <c r="AC221" s="418">
        <f t="shared" si="77"/>
        <v>376909.86</v>
      </c>
      <c r="AD221" s="418">
        <f t="shared" si="78"/>
        <v>0</v>
      </c>
      <c r="AE221" s="413">
        <f t="shared" si="79"/>
        <v>0</v>
      </c>
    </row>
    <row r="222" spans="1:31" x14ac:dyDescent="0.3">
      <c r="A222" s="418" t="s">
        <v>22</v>
      </c>
      <c r="B222" s="418" t="s">
        <v>1831</v>
      </c>
      <c r="C222" s="418" t="s">
        <v>1181</v>
      </c>
      <c r="D222" s="418" t="str">
        <f t="shared" si="62"/>
        <v>101-E344</v>
      </c>
      <c r="E222" s="418">
        <v>0</v>
      </c>
      <c r="F222" s="418">
        <v>14828422.560000001</v>
      </c>
      <c r="G222" s="418">
        <v>12731803.369999999</v>
      </c>
      <c r="H222" s="418">
        <v>10635184.199999999</v>
      </c>
      <c r="I222" s="418">
        <v>0</v>
      </c>
      <c r="J222" s="413">
        <v>0</v>
      </c>
      <c r="L222" s="418" t="str">
        <f t="shared" si="63"/>
        <v>Mint Farm MM</v>
      </c>
      <c r="M222" s="418" t="str">
        <f t="shared" si="64"/>
        <v>E34420 PRD Gen, Mint Farm</v>
      </c>
      <c r="N222" s="418" t="str">
        <f t="shared" si="60"/>
        <v>Specific</v>
      </c>
      <c r="O222" s="418" t="str">
        <f t="shared" si="65"/>
        <v>101-E344</v>
      </c>
      <c r="P222" s="418">
        <f t="shared" si="66"/>
        <v>0</v>
      </c>
      <c r="Q222" s="418">
        <f t="shared" si="67"/>
        <v>14828422.560000001</v>
      </c>
      <c r="R222" s="418">
        <f t="shared" si="68"/>
        <v>12731803.369999999</v>
      </c>
      <c r="S222" s="418">
        <f t="shared" si="69"/>
        <v>10635184.199999999</v>
      </c>
      <c r="T222" s="418">
        <f t="shared" si="70"/>
        <v>0</v>
      </c>
      <c r="V222" s="418" t="str">
        <f t="shared" si="71"/>
        <v>Mint Farm MM</v>
      </c>
      <c r="W222" s="418" t="str">
        <f t="shared" si="72"/>
        <v>E34420 PRD Gen, Mint Farm</v>
      </c>
      <c r="X222" s="418" t="str">
        <f t="shared" si="61"/>
        <v>Specific</v>
      </c>
      <c r="Y222" s="418" t="str">
        <f t="shared" si="73"/>
        <v>101-E344</v>
      </c>
      <c r="Z222" s="418">
        <f t="shared" si="74"/>
        <v>0</v>
      </c>
      <c r="AA222" s="418">
        <f t="shared" si="75"/>
        <v>0</v>
      </c>
      <c r="AB222" s="418">
        <f t="shared" si="76"/>
        <v>0</v>
      </c>
      <c r="AC222" s="418">
        <f t="shared" si="77"/>
        <v>0</v>
      </c>
      <c r="AD222" s="418">
        <f t="shared" si="78"/>
        <v>0</v>
      </c>
      <c r="AE222" s="413">
        <f t="shared" si="79"/>
        <v>0</v>
      </c>
    </row>
    <row r="223" spans="1:31" x14ac:dyDescent="0.3">
      <c r="A223" s="418" t="s">
        <v>23</v>
      </c>
      <c r="B223" s="418" t="s">
        <v>1891</v>
      </c>
      <c r="C223" s="418" t="s">
        <v>1180</v>
      </c>
      <c r="D223" s="418" t="str">
        <f t="shared" si="62"/>
        <v>101-E302</v>
      </c>
      <c r="E223" s="418">
        <v>0</v>
      </c>
      <c r="F223" s="418">
        <v>146934</v>
      </c>
      <c r="G223" s="418">
        <v>476534.58</v>
      </c>
      <c r="H223" s="418">
        <v>1195301.7</v>
      </c>
      <c r="I223" s="418">
        <v>0</v>
      </c>
      <c r="J223" s="413">
        <v>0</v>
      </c>
      <c r="L223" s="418" t="str">
        <f t="shared" si="63"/>
        <v>PI Electric</v>
      </c>
      <c r="M223" s="418" t="str">
        <f t="shared" si="64"/>
        <v>E302.10 INT Franchises</v>
      </c>
      <c r="N223" s="418" t="str">
        <f t="shared" si="60"/>
        <v>Programmatic Customer Drive</v>
      </c>
      <c r="O223" s="418" t="str">
        <f t="shared" si="65"/>
        <v>101-E302</v>
      </c>
      <c r="P223" s="418">
        <f t="shared" si="66"/>
        <v>0</v>
      </c>
      <c r="Q223" s="418">
        <f t="shared" si="67"/>
        <v>146934</v>
      </c>
      <c r="R223" s="418">
        <f t="shared" si="68"/>
        <v>476534.58</v>
      </c>
      <c r="S223" s="418">
        <f t="shared" si="69"/>
        <v>1195301.7</v>
      </c>
      <c r="T223" s="418">
        <f t="shared" si="70"/>
        <v>0</v>
      </c>
      <c r="V223" s="418" t="str">
        <f t="shared" si="71"/>
        <v>PI Electric</v>
      </c>
      <c r="W223" s="418" t="str">
        <f t="shared" si="72"/>
        <v>E302.10 INT Franchises</v>
      </c>
      <c r="X223" s="418" t="str">
        <f t="shared" si="61"/>
        <v>Programmatic Customer Drive</v>
      </c>
      <c r="Y223" s="418" t="str">
        <f t="shared" si="73"/>
        <v>101-E302</v>
      </c>
      <c r="Z223" s="418">
        <f t="shared" si="74"/>
        <v>0</v>
      </c>
      <c r="AA223" s="418">
        <f t="shared" si="75"/>
        <v>0</v>
      </c>
      <c r="AB223" s="418">
        <f t="shared" si="76"/>
        <v>0</v>
      </c>
      <c r="AC223" s="418">
        <f t="shared" si="77"/>
        <v>0</v>
      </c>
      <c r="AD223" s="418">
        <f t="shared" si="78"/>
        <v>0</v>
      </c>
      <c r="AE223" s="413">
        <f t="shared" si="79"/>
        <v>0</v>
      </c>
    </row>
    <row r="224" spans="1:31" x14ac:dyDescent="0.3">
      <c r="A224" s="418" t="s">
        <v>23</v>
      </c>
      <c r="B224" s="418" t="s">
        <v>1803</v>
      </c>
      <c r="C224" s="418" t="s">
        <v>1180</v>
      </c>
      <c r="D224" s="418" t="str">
        <f t="shared" si="62"/>
        <v>101-E350</v>
      </c>
      <c r="E224" s="418">
        <v>0</v>
      </c>
      <c r="F224" s="418">
        <v>15705.36</v>
      </c>
      <c r="G224" s="418">
        <v>50297.29</v>
      </c>
      <c r="H224" s="418">
        <v>125699.52</v>
      </c>
      <c r="I224" s="418">
        <v>0</v>
      </c>
      <c r="J224" s="413">
        <v>0</v>
      </c>
      <c r="L224" s="418" t="str">
        <f t="shared" si="63"/>
        <v>PI Electric</v>
      </c>
      <c r="M224" s="418" t="str">
        <f t="shared" si="64"/>
        <v>E35016 TSM Easements</v>
      </c>
      <c r="N224" s="418" t="str">
        <f t="shared" si="60"/>
        <v>Programmatic Customer Drive</v>
      </c>
      <c r="O224" s="418" t="str">
        <f t="shared" si="65"/>
        <v>101-E350</v>
      </c>
      <c r="P224" s="418">
        <f t="shared" si="66"/>
        <v>0</v>
      </c>
      <c r="Q224" s="418">
        <f t="shared" si="67"/>
        <v>15705.36</v>
      </c>
      <c r="R224" s="418">
        <f t="shared" si="68"/>
        <v>50297.29</v>
      </c>
      <c r="S224" s="418">
        <f t="shared" si="69"/>
        <v>125699.52</v>
      </c>
      <c r="T224" s="418">
        <f t="shared" si="70"/>
        <v>0</v>
      </c>
      <c r="V224" s="418" t="str">
        <f t="shared" si="71"/>
        <v>PI Electric</v>
      </c>
      <c r="W224" s="418" t="str">
        <f t="shared" si="72"/>
        <v>E35016 TSM Easements</v>
      </c>
      <c r="X224" s="418" t="str">
        <f t="shared" si="61"/>
        <v>Programmatic Customer Drive</v>
      </c>
      <c r="Y224" s="418" t="str">
        <f t="shared" si="73"/>
        <v>101-E350</v>
      </c>
      <c r="Z224" s="418">
        <f t="shared" si="74"/>
        <v>0</v>
      </c>
      <c r="AA224" s="418">
        <f t="shared" si="75"/>
        <v>0</v>
      </c>
      <c r="AB224" s="418">
        <f t="shared" si="76"/>
        <v>0</v>
      </c>
      <c r="AC224" s="418">
        <f t="shared" si="77"/>
        <v>0</v>
      </c>
      <c r="AD224" s="418">
        <f t="shared" si="78"/>
        <v>0</v>
      </c>
      <c r="AE224" s="413">
        <f t="shared" si="79"/>
        <v>0</v>
      </c>
    </row>
    <row r="225" spans="1:31" x14ac:dyDescent="0.3">
      <c r="A225" s="418" t="s">
        <v>23</v>
      </c>
      <c r="B225" s="418" t="s">
        <v>1793</v>
      </c>
      <c r="C225" s="418" t="s">
        <v>1180</v>
      </c>
      <c r="D225" s="418" t="str">
        <f t="shared" si="62"/>
        <v>101-E355</v>
      </c>
      <c r="E225" s="418">
        <v>0</v>
      </c>
      <c r="F225" s="418">
        <v>239.04</v>
      </c>
      <c r="G225" s="418">
        <v>358.56</v>
      </c>
      <c r="H225" s="418">
        <v>597.6</v>
      </c>
      <c r="I225" s="418">
        <v>0</v>
      </c>
      <c r="J225" s="413">
        <v>0</v>
      </c>
      <c r="L225" s="418" t="str">
        <f t="shared" si="63"/>
        <v>PI Electric</v>
      </c>
      <c r="M225" s="418" t="str">
        <f t="shared" si="64"/>
        <v>E355 TSM Poles &amp; Fixtures</v>
      </c>
      <c r="N225" s="418" t="str">
        <f t="shared" si="60"/>
        <v>Programmatic Customer Drive</v>
      </c>
      <c r="O225" s="418" t="str">
        <f t="shared" si="65"/>
        <v>101-E355</v>
      </c>
      <c r="P225" s="418">
        <f t="shared" si="66"/>
        <v>0</v>
      </c>
      <c r="Q225" s="418">
        <f t="shared" si="67"/>
        <v>239.04</v>
      </c>
      <c r="R225" s="418">
        <f t="shared" si="68"/>
        <v>358.56</v>
      </c>
      <c r="S225" s="418">
        <f t="shared" si="69"/>
        <v>597.6</v>
      </c>
      <c r="T225" s="418">
        <f t="shared" si="70"/>
        <v>0</v>
      </c>
      <c r="V225" s="418" t="str">
        <f t="shared" si="71"/>
        <v>PI Electric</v>
      </c>
      <c r="W225" s="418" t="str">
        <f t="shared" si="72"/>
        <v>E355 TSM Poles &amp; Fixtures</v>
      </c>
      <c r="X225" s="418" t="str">
        <f t="shared" si="61"/>
        <v>Programmatic Customer Drive</v>
      </c>
      <c r="Y225" s="418" t="str">
        <f t="shared" si="73"/>
        <v>101-E355</v>
      </c>
      <c r="Z225" s="418">
        <f t="shared" si="74"/>
        <v>0</v>
      </c>
      <c r="AA225" s="418">
        <f t="shared" si="75"/>
        <v>0</v>
      </c>
      <c r="AB225" s="418">
        <f t="shared" si="76"/>
        <v>0</v>
      </c>
      <c r="AC225" s="418">
        <f t="shared" si="77"/>
        <v>0</v>
      </c>
      <c r="AD225" s="418">
        <f t="shared" si="78"/>
        <v>0</v>
      </c>
      <c r="AE225" s="413">
        <f t="shared" si="79"/>
        <v>0</v>
      </c>
    </row>
    <row r="226" spans="1:31" x14ac:dyDescent="0.3">
      <c r="A226" s="418" t="s">
        <v>23</v>
      </c>
      <c r="B226" s="418" t="s">
        <v>1717</v>
      </c>
      <c r="C226" s="418" t="s">
        <v>1180</v>
      </c>
      <c r="D226" s="418" t="str">
        <f t="shared" si="62"/>
        <v>101-E355</v>
      </c>
      <c r="E226" s="418">
        <v>0</v>
      </c>
      <c r="F226" s="418">
        <v>321128.3</v>
      </c>
      <c r="G226" s="418">
        <v>601201.44999999995</v>
      </c>
      <c r="H226" s="418">
        <v>1183791.57</v>
      </c>
      <c r="I226" s="418">
        <v>0</v>
      </c>
      <c r="J226" s="413">
        <v>0</v>
      </c>
      <c r="L226" s="418" t="str">
        <f t="shared" si="63"/>
        <v>PI Electric</v>
      </c>
      <c r="M226" s="418" t="str">
        <f t="shared" si="64"/>
        <v>E3556 TSM Poles</v>
      </c>
      <c r="N226" s="418" t="str">
        <f t="shared" si="60"/>
        <v>Programmatic Customer Drive</v>
      </c>
      <c r="O226" s="418" t="str">
        <f t="shared" si="65"/>
        <v>101-E355</v>
      </c>
      <c r="P226" s="418">
        <f t="shared" si="66"/>
        <v>0</v>
      </c>
      <c r="Q226" s="418">
        <f t="shared" si="67"/>
        <v>321128.3</v>
      </c>
      <c r="R226" s="418">
        <f t="shared" si="68"/>
        <v>601201.44999999995</v>
      </c>
      <c r="S226" s="418">
        <f t="shared" si="69"/>
        <v>1183791.57</v>
      </c>
      <c r="T226" s="418">
        <f t="shared" si="70"/>
        <v>0</v>
      </c>
      <c r="V226" s="418" t="str">
        <f t="shared" si="71"/>
        <v>PI Electric</v>
      </c>
      <c r="W226" s="418" t="str">
        <f t="shared" si="72"/>
        <v>E3556 TSM Poles</v>
      </c>
      <c r="X226" s="418" t="str">
        <f t="shared" si="61"/>
        <v>Programmatic Customer Drive</v>
      </c>
      <c r="Y226" s="418" t="str">
        <f t="shared" si="73"/>
        <v>101-E355</v>
      </c>
      <c r="Z226" s="418">
        <f t="shared" si="74"/>
        <v>0</v>
      </c>
      <c r="AA226" s="418">
        <f t="shared" si="75"/>
        <v>0</v>
      </c>
      <c r="AB226" s="418">
        <f t="shared" si="76"/>
        <v>0</v>
      </c>
      <c r="AC226" s="418">
        <f t="shared" si="77"/>
        <v>0</v>
      </c>
      <c r="AD226" s="418">
        <f t="shared" si="78"/>
        <v>0</v>
      </c>
      <c r="AE226" s="413">
        <f t="shared" si="79"/>
        <v>0</v>
      </c>
    </row>
    <row r="227" spans="1:31" x14ac:dyDescent="0.3">
      <c r="A227" s="418" t="s">
        <v>23</v>
      </c>
      <c r="B227" s="418" t="s">
        <v>1792</v>
      </c>
      <c r="C227" s="418" t="s">
        <v>1180</v>
      </c>
      <c r="D227" s="418" t="str">
        <f t="shared" si="62"/>
        <v>101-E355</v>
      </c>
      <c r="E227" s="418">
        <v>0</v>
      </c>
      <c r="F227" s="418">
        <v>7966.8</v>
      </c>
      <c r="G227" s="418">
        <v>11950.2</v>
      </c>
      <c r="H227" s="418">
        <v>19917</v>
      </c>
      <c r="I227" s="418">
        <v>0</v>
      </c>
      <c r="J227" s="413">
        <v>0</v>
      </c>
      <c r="L227" s="418" t="str">
        <f t="shared" si="63"/>
        <v>PI Electric</v>
      </c>
      <c r="M227" s="418" t="str">
        <f t="shared" si="64"/>
        <v>E3557 TSM Poles</v>
      </c>
      <c r="N227" s="418" t="str">
        <f t="shared" si="60"/>
        <v>Programmatic Customer Drive</v>
      </c>
      <c r="O227" s="418" t="str">
        <f t="shared" si="65"/>
        <v>101-E355</v>
      </c>
      <c r="P227" s="418">
        <f t="shared" si="66"/>
        <v>0</v>
      </c>
      <c r="Q227" s="418">
        <f t="shared" si="67"/>
        <v>7966.8</v>
      </c>
      <c r="R227" s="418">
        <f t="shared" si="68"/>
        <v>11950.2</v>
      </c>
      <c r="S227" s="418">
        <f t="shared" si="69"/>
        <v>19917</v>
      </c>
      <c r="T227" s="418">
        <f t="shared" si="70"/>
        <v>0</v>
      </c>
      <c r="V227" s="418" t="str">
        <f t="shared" si="71"/>
        <v>PI Electric</v>
      </c>
      <c r="W227" s="418" t="str">
        <f t="shared" si="72"/>
        <v>E3557 TSM Poles</v>
      </c>
      <c r="X227" s="418" t="str">
        <f t="shared" si="61"/>
        <v>Programmatic Customer Drive</v>
      </c>
      <c r="Y227" s="418" t="str">
        <f t="shared" si="73"/>
        <v>101-E355</v>
      </c>
      <c r="Z227" s="418">
        <f t="shared" si="74"/>
        <v>0</v>
      </c>
      <c r="AA227" s="418">
        <f t="shared" si="75"/>
        <v>0</v>
      </c>
      <c r="AB227" s="418">
        <f t="shared" si="76"/>
        <v>0</v>
      </c>
      <c r="AC227" s="418">
        <f t="shared" si="77"/>
        <v>0</v>
      </c>
      <c r="AD227" s="418">
        <f t="shared" si="78"/>
        <v>0</v>
      </c>
      <c r="AE227" s="413">
        <f t="shared" si="79"/>
        <v>0</v>
      </c>
    </row>
    <row r="228" spans="1:31" x14ac:dyDescent="0.3">
      <c r="A228" s="418" t="s">
        <v>23</v>
      </c>
      <c r="B228" s="418" t="s">
        <v>1788</v>
      </c>
      <c r="C228" s="418" t="s">
        <v>1180</v>
      </c>
      <c r="D228" s="418" t="str">
        <f t="shared" si="62"/>
        <v>101-E356</v>
      </c>
      <c r="E228" s="418">
        <v>0</v>
      </c>
      <c r="F228" s="418">
        <v>29175.13</v>
      </c>
      <c r="G228" s="418">
        <v>88064.42</v>
      </c>
      <c r="H228" s="418">
        <v>216220.09</v>
      </c>
      <c r="I228" s="418">
        <v>0</v>
      </c>
      <c r="J228" s="413">
        <v>0</v>
      </c>
      <c r="L228" s="418" t="str">
        <f t="shared" si="63"/>
        <v>PI Electric</v>
      </c>
      <c r="M228" s="418" t="str">
        <f t="shared" si="64"/>
        <v>E3566 TSM O/H Conductor/Devices</v>
      </c>
      <c r="N228" s="418" t="str">
        <f t="shared" si="60"/>
        <v>Programmatic Customer Drive</v>
      </c>
      <c r="O228" s="418" t="str">
        <f t="shared" si="65"/>
        <v>101-E356</v>
      </c>
      <c r="P228" s="418">
        <f t="shared" si="66"/>
        <v>0</v>
      </c>
      <c r="Q228" s="418">
        <f t="shared" si="67"/>
        <v>29175.13</v>
      </c>
      <c r="R228" s="418">
        <f t="shared" si="68"/>
        <v>88064.42</v>
      </c>
      <c r="S228" s="418">
        <f t="shared" si="69"/>
        <v>216220.09</v>
      </c>
      <c r="T228" s="418">
        <f t="shared" si="70"/>
        <v>0</v>
      </c>
      <c r="V228" s="418" t="str">
        <f t="shared" si="71"/>
        <v>PI Electric</v>
      </c>
      <c r="W228" s="418" t="str">
        <f t="shared" si="72"/>
        <v>E3566 TSM O/H Conductor/Devices</v>
      </c>
      <c r="X228" s="418" t="str">
        <f t="shared" si="61"/>
        <v>Programmatic Customer Drive</v>
      </c>
      <c r="Y228" s="418" t="str">
        <f t="shared" si="73"/>
        <v>101-E356</v>
      </c>
      <c r="Z228" s="418">
        <f t="shared" si="74"/>
        <v>0</v>
      </c>
      <c r="AA228" s="418">
        <f t="shared" si="75"/>
        <v>0</v>
      </c>
      <c r="AB228" s="418">
        <f t="shared" si="76"/>
        <v>0</v>
      </c>
      <c r="AC228" s="418">
        <f t="shared" si="77"/>
        <v>0</v>
      </c>
      <c r="AD228" s="418">
        <f t="shared" si="78"/>
        <v>0</v>
      </c>
      <c r="AE228" s="413">
        <f t="shared" si="79"/>
        <v>0</v>
      </c>
    </row>
    <row r="229" spans="1:31" x14ac:dyDescent="0.3">
      <c r="A229" s="418" t="s">
        <v>23</v>
      </c>
      <c r="B229" s="418" t="s">
        <v>1787</v>
      </c>
      <c r="C229" s="418" t="s">
        <v>1180</v>
      </c>
      <c r="D229" s="418" t="str">
        <f t="shared" si="62"/>
        <v>101-E356</v>
      </c>
      <c r="E229" s="418">
        <v>0</v>
      </c>
      <c r="F229" s="418">
        <v>2038.68</v>
      </c>
      <c r="G229" s="418">
        <v>3058.02</v>
      </c>
      <c r="H229" s="418">
        <v>5096.7</v>
      </c>
      <c r="I229" s="418">
        <v>0</v>
      </c>
      <c r="J229" s="413">
        <v>0</v>
      </c>
      <c r="L229" s="418" t="str">
        <f t="shared" si="63"/>
        <v>PI Electric</v>
      </c>
      <c r="M229" s="418" t="str">
        <f t="shared" si="64"/>
        <v>E3567 TSM O/H Conductor/Devices</v>
      </c>
      <c r="N229" s="418" t="str">
        <f t="shared" si="60"/>
        <v>Programmatic Customer Drive</v>
      </c>
      <c r="O229" s="418" t="str">
        <f t="shared" si="65"/>
        <v>101-E356</v>
      </c>
      <c r="P229" s="418">
        <f t="shared" si="66"/>
        <v>0</v>
      </c>
      <c r="Q229" s="418">
        <f t="shared" si="67"/>
        <v>2038.68</v>
      </c>
      <c r="R229" s="418">
        <f t="shared" si="68"/>
        <v>3058.02</v>
      </c>
      <c r="S229" s="418">
        <f t="shared" si="69"/>
        <v>5096.7</v>
      </c>
      <c r="T229" s="418">
        <f t="shared" si="70"/>
        <v>0</v>
      </c>
      <c r="V229" s="418" t="str">
        <f t="shared" si="71"/>
        <v>PI Electric</v>
      </c>
      <c r="W229" s="418" t="str">
        <f t="shared" si="72"/>
        <v>E3567 TSM O/H Conductor/Devices</v>
      </c>
      <c r="X229" s="418" t="str">
        <f t="shared" si="61"/>
        <v>Programmatic Customer Drive</v>
      </c>
      <c r="Y229" s="418" t="str">
        <f t="shared" si="73"/>
        <v>101-E356</v>
      </c>
      <c r="Z229" s="418">
        <f t="shared" si="74"/>
        <v>0</v>
      </c>
      <c r="AA229" s="418">
        <f t="shared" si="75"/>
        <v>0</v>
      </c>
      <c r="AB229" s="418">
        <f t="shared" si="76"/>
        <v>0</v>
      </c>
      <c r="AC229" s="418">
        <f t="shared" si="77"/>
        <v>0</v>
      </c>
      <c r="AD229" s="418">
        <f t="shared" si="78"/>
        <v>0</v>
      </c>
      <c r="AE229" s="413">
        <f t="shared" si="79"/>
        <v>0</v>
      </c>
    </row>
    <row r="230" spans="1:31" x14ac:dyDescent="0.3">
      <c r="A230" s="418" t="s">
        <v>23</v>
      </c>
      <c r="B230" s="418" t="s">
        <v>1910</v>
      </c>
      <c r="C230" s="418" t="s">
        <v>1180</v>
      </c>
      <c r="D230" s="418" t="str">
        <f t="shared" si="62"/>
        <v>101-E360</v>
      </c>
      <c r="E230" s="418">
        <v>0</v>
      </c>
      <c r="F230" s="418">
        <v>10280.52</v>
      </c>
      <c r="G230" s="418">
        <v>33341.58</v>
      </c>
      <c r="H230" s="418">
        <v>83631.350000000006</v>
      </c>
      <c r="I230" s="418">
        <v>0</v>
      </c>
      <c r="J230" s="413">
        <v>0</v>
      </c>
      <c r="L230" s="418" t="str">
        <f t="shared" si="63"/>
        <v>PI Electric</v>
      </c>
      <c r="M230" s="418" t="str">
        <f t="shared" si="64"/>
        <v>E36010 DST Easements</v>
      </c>
      <c r="N230" s="418" t="str">
        <f t="shared" si="60"/>
        <v>Programmatic Customer Drive</v>
      </c>
      <c r="O230" s="418" t="str">
        <f t="shared" si="65"/>
        <v>101-E360</v>
      </c>
      <c r="P230" s="418">
        <f t="shared" si="66"/>
        <v>0</v>
      </c>
      <c r="Q230" s="418">
        <f t="shared" si="67"/>
        <v>10280.52</v>
      </c>
      <c r="R230" s="418">
        <f t="shared" si="68"/>
        <v>33341.58</v>
      </c>
      <c r="S230" s="418">
        <f t="shared" si="69"/>
        <v>83631.350000000006</v>
      </c>
      <c r="T230" s="418">
        <f t="shared" si="70"/>
        <v>0</v>
      </c>
      <c r="V230" s="418" t="str">
        <f t="shared" si="71"/>
        <v>PI Electric</v>
      </c>
      <c r="W230" s="418" t="str">
        <f t="shared" si="72"/>
        <v>E36010 DST Easements</v>
      </c>
      <c r="X230" s="418" t="str">
        <f t="shared" si="61"/>
        <v>Programmatic Customer Drive</v>
      </c>
      <c r="Y230" s="418" t="str">
        <f t="shared" si="73"/>
        <v>101-E360</v>
      </c>
      <c r="Z230" s="418">
        <f t="shared" si="74"/>
        <v>0</v>
      </c>
      <c r="AA230" s="418">
        <f t="shared" si="75"/>
        <v>0</v>
      </c>
      <c r="AB230" s="418">
        <f t="shared" si="76"/>
        <v>0</v>
      </c>
      <c r="AC230" s="418">
        <f t="shared" si="77"/>
        <v>0</v>
      </c>
      <c r="AD230" s="418">
        <f t="shared" si="78"/>
        <v>0</v>
      </c>
      <c r="AE230" s="413">
        <f t="shared" si="79"/>
        <v>0</v>
      </c>
    </row>
    <row r="231" spans="1:31" x14ac:dyDescent="0.3">
      <c r="A231" s="418" t="s">
        <v>23</v>
      </c>
      <c r="B231" s="418" t="s">
        <v>1781</v>
      </c>
      <c r="C231" s="418" t="s">
        <v>1180</v>
      </c>
      <c r="D231" s="418" t="str">
        <f t="shared" si="62"/>
        <v>101-E362</v>
      </c>
      <c r="E231" s="418">
        <v>0</v>
      </c>
      <c r="F231" s="418">
        <v>366.5</v>
      </c>
      <c r="G231" s="418">
        <v>368.54</v>
      </c>
      <c r="H231" s="418">
        <v>369.05</v>
      </c>
      <c r="I231" s="418">
        <v>0</v>
      </c>
      <c r="J231" s="413">
        <v>0</v>
      </c>
      <c r="L231" s="418" t="str">
        <f t="shared" si="63"/>
        <v>PI Electric</v>
      </c>
      <c r="M231" s="418" t="str">
        <f t="shared" si="64"/>
        <v>E3620 DST Substation Equipment</v>
      </c>
      <c r="N231" s="418" t="str">
        <f t="shared" si="60"/>
        <v>Programmatic Customer Drive</v>
      </c>
      <c r="O231" s="418" t="str">
        <f t="shared" si="65"/>
        <v>101-E362</v>
      </c>
      <c r="P231" s="418">
        <f t="shared" si="66"/>
        <v>0</v>
      </c>
      <c r="Q231" s="418">
        <f t="shared" si="67"/>
        <v>366.5</v>
      </c>
      <c r="R231" s="418">
        <f t="shared" si="68"/>
        <v>368.54</v>
      </c>
      <c r="S231" s="418">
        <f t="shared" si="69"/>
        <v>369.05</v>
      </c>
      <c r="T231" s="418">
        <f t="shared" si="70"/>
        <v>0</v>
      </c>
      <c r="V231" s="418" t="str">
        <f t="shared" si="71"/>
        <v>PI Electric</v>
      </c>
      <c r="W231" s="418" t="str">
        <f t="shared" si="72"/>
        <v>E3620 DST Substation Equipment</v>
      </c>
      <c r="X231" s="418" t="str">
        <f t="shared" si="61"/>
        <v>Programmatic Customer Drive</v>
      </c>
      <c r="Y231" s="418" t="str">
        <f t="shared" si="73"/>
        <v>101-E362</v>
      </c>
      <c r="Z231" s="418">
        <f t="shared" si="74"/>
        <v>0</v>
      </c>
      <c r="AA231" s="418">
        <f t="shared" si="75"/>
        <v>0</v>
      </c>
      <c r="AB231" s="418">
        <f t="shared" si="76"/>
        <v>0</v>
      </c>
      <c r="AC231" s="418">
        <f t="shared" si="77"/>
        <v>0</v>
      </c>
      <c r="AD231" s="418">
        <f t="shared" si="78"/>
        <v>0</v>
      </c>
      <c r="AE231" s="413">
        <f t="shared" si="79"/>
        <v>0</v>
      </c>
    </row>
    <row r="232" spans="1:31" x14ac:dyDescent="0.3">
      <c r="A232" s="418" t="s">
        <v>23</v>
      </c>
      <c r="B232" s="418" t="s">
        <v>1711</v>
      </c>
      <c r="C232" s="418" t="s">
        <v>1180</v>
      </c>
      <c r="D232" s="418" t="str">
        <f t="shared" si="62"/>
        <v>101-E364</v>
      </c>
      <c r="E232" s="418">
        <v>0</v>
      </c>
      <c r="F232" s="418">
        <v>3558375.86</v>
      </c>
      <c r="G232" s="418">
        <v>5875160.4500000002</v>
      </c>
      <c r="H232" s="418">
        <v>10640262.18</v>
      </c>
      <c r="I232" s="418">
        <v>0</v>
      </c>
      <c r="J232" s="413">
        <v>0</v>
      </c>
      <c r="L232" s="418" t="str">
        <f t="shared" si="63"/>
        <v>PI Electric</v>
      </c>
      <c r="M232" s="418" t="str">
        <f t="shared" si="64"/>
        <v>E3640 DST Poles/Towers/Fixtures</v>
      </c>
      <c r="N232" s="418" t="str">
        <f t="shared" si="60"/>
        <v>Programmatic Customer Drive</v>
      </c>
      <c r="O232" s="418" t="str">
        <f t="shared" si="65"/>
        <v>101-E364</v>
      </c>
      <c r="P232" s="418">
        <f t="shared" si="66"/>
        <v>0</v>
      </c>
      <c r="Q232" s="418">
        <f t="shared" si="67"/>
        <v>3558375.86</v>
      </c>
      <c r="R232" s="418">
        <f t="shared" si="68"/>
        <v>5875160.4500000002</v>
      </c>
      <c r="S232" s="418">
        <f t="shared" si="69"/>
        <v>10640262.18</v>
      </c>
      <c r="T232" s="418">
        <f t="shared" si="70"/>
        <v>0</v>
      </c>
      <c r="V232" s="418" t="str">
        <f t="shared" si="71"/>
        <v>PI Electric</v>
      </c>
      <c r="W232" s="418" t="str">
        <f t="shared" si="72"/>
        <v>E3640 DST Poles/Towers/Fixtures</v>
      </c>
      <c r="X232" s="418" t="str">
        <f t="shared" si="61"/>
        <v>Programmatic Customer Drive</v>
      </c>
      <c r="Y232" s="418" t="str">
        <f t="shared" si="73"/>
        <v>101-E364</v>
      </c>
      <c r="Z232" s="418">
        <f t="shared" si="74"/>
        <v>0</v>
      </c>
      <c r="AA232" s="418">
        <f t="shared" si="75"/>
        <v>0</v>
      </c>
      <c r="AB232" s="418">
        <f t="shared" si="76"/>
        <v>0</v>
      </c>
      <c r="AC232" s="418">
        <f t="shared" si="77"/>
        <v>0</v>
      </c>
      <c r="AD232" s="418">
        <f t="shared" si="78"/>
        <v>0</v>
      </c>
      <c r="AE232" s="413">
        <f t="shared" si="79"/>
        <v>0</v>
      </c>
    </row>
    <row r="233" spans="1:31" x14ac:dyDescent="0.3">
      <c r="A233" s="418" t="s">
        <v>23</v>
      </c>
      <c r="B233" s="418" t="s">
        <v>1720</v>
      </c>
      <c r="C233" s="418" t="s">
        <v>1180</v>
      </c>
      <c r="D233" s="418" t="str">
        <f t="shared" si="62"/>
        <v>101-E365</v>
      </c>
      <c r="E233" s="418">
        <v>0</v>
      </c>
      <c r="F233" s="418">
        <v>1249917.3799999999</v>
      </c>
      <c r="G233" s="418">
        <v>1462806.59</v>
      </c>
      <c r="H233" s="418">
        <v>1777460.41</v>
      </c>
      <c r="I233" s="418">
        <v>0</v>
      </c>
      <c r="J233" s="413">
        <v>0</v>
      </c>
      <c r="L233" s="418" t="str">
        <f t="shared" si="63"/>
        <v>PI Electric</v>
      </c>
      <c r="M233" s="418" t="str">
        <f t="shared" si="64"/>
        <v>E3650 DST O/H Conductor/Devices</v>
      </c>
      <c r="N233" s="418" t="str">
        <f t="shared" si="60"/>
        <v>Programmatic Customer Drive</v>
      </c>
      <c r="O233" s="418" t="str">
        <f t="shared" si="65"/>
        <v>101-E365</v>
      </c>
      <c r="P233" s="418">
        <f t="shared" si="66"/>
        <v>0</v>
      </c>
      <c r="Q233" s="418">
        <f t="shared" si="67"/>
        <v>1249917.3799999999</v>
      </c>
      <c r="R233" s="418">
        <f t="shared" si="68"/>
        <v>1462806.59</v>
      </c>
      <c r="S233" s="418">
        <f t="shared" si="69"/>
        <v>1777460.41</v>
      </c>
      <c r="T233" s="418">
        <f t="shared" si="70"/>
        <v>0</v>
      </c>
      <c r="V233" s="418" t="str">
        <f t="shared" si="71"/>
        <v>PI Electric</v>
      </c>
      <c r="W233" s="418" t="str">
        <f t="shared" si="72"/>
        <v>E3650 DST O/H Conductor/Devices</v>
      </c>
      <c r="X233" s="418" t="str">
        <f t="shared" si="61"/>
        <v>Programmatic Customer Drive</v>
      </c>
      <c r="Y233" s="418" t="str">
        <f t="shared" si="73"/>
        <v>101-E365</v>
      </c>
      <c r="Z233" s="418">
        <f t="shared" si="74"/>
        <v>0</v>
      </c>
      <c r="AA233" s="418">
        <f t="shared" si="75"/>
        <v>0</v>
      </c>
      <c r="AB233" s="418">
        <f t="shared" si="76"/>
        <v>0</v>
      </c>
      <c r="AC233" s="418">
        <f t="shared" si="77"/>
        <v>0</v>
      </c>
      <c r="AD233" s="418">
        <f t="shared" si="78"/>
        <v>0</v>
      </c>
      <c r="AE233" s="413">
        <f t="shared" si="79"/>
        <v>0</v>
      </c>
    </row>
    <row r="234" spans="1:31" x14ac:dyDescent="0.3">
      <c r="A234" s="418" t="s">
        <v>23</v>
      </c>
      <c r="B234" s="418" t="s">
        <v>1710</v>
      </c>
      <c r="C234" s="418" t="s">
        <v>1180</v>
      </c>
      <c r="D234" s="418" t="str">
        <f t="shared" si="62"/>
        <v>101-E366</v>
      </c>
      <c r="E234" s="418">
        <v>0</v>
      </c>
      <c r="F234" s="418">
        <v>4064722.24</v>
      </c>
      <c r="G234" s="418">
        <v>5088237.91</v>
      </c>
      <c r="H234" s="418">
        <v>7138211.9699999997</v>
      </c>
      <c r="I234" s="418">
        <v>0</v>
      </c>
      <c r="J234" s="413">
        <v>0</v>
      </c>
      <c r="L234" s="418" t="str">
        <f t="shared" si="63"/>
        <v>PI Electric</v>
      </c>
      <c r="M234" s="418" t="str">
        <f t="shared" si="64"/>
        <v>E3660 DST U/G Conduit</v>
      </c>
      <c r="N234" s="418" t="str">
        <f t="shared" si="60"/>
        <v>Programmatic Customer Drive</v>
      </c>
      <c r="O234" s="418" t="str">
        <f t="shared" si="65"/>
        <v>101-E366</v>
      </c>
      <c r="P234" s="418">
        <f t="shared" si="66"/>
        <v>0</v>
      </c>
      <c r="Q234" s="418">
        <f t="shared" si="67"/>
        <v>4064722.24</v>
      </c>
      <c r="R234" s="418">
        <f t="shared" si="68"/>
        <v>5088237.91</v>
      </c>
      <c r="S234" s="418">
        <f t="shared" si="69"/>
        <v>7138211.9699999997</v>
      </c>
      <c r="T234" s="418">
        <f t="shared" si="70"/>
        <v>0</v>
      </c>
      <c r="V234" s="418" t="str">
        <f t="shared" si="71"/>
        <v>PI Electric</v>
      </c>
      <c r="W234" s="418" t="str">
        <f t="shared" si="72"/>
        <v>E3660 DST U/G Conduit</v>
      </c>
      <c r="X234" s="418" t="str">
        <f t="shared" si="61"/>
        <v>Programmatic Customer Drive</v>
      </c>
      <c r="Y234" s="418" t="str">
        <f t="shared" si="73"/>
        <v>101-E366</v>
      </c>
      <c r="Z234" s="418">
        <f t="shared" si="74"/>
        <v>0</v>
      </c>
      <c r="AA234" s="418">
        <f t="shared" si="75"/>
        <v>0</v>
      </c>
      <c r="AB234" s="418">
        <f t="shared" si="76"/>
        <v>0</v>
      </c>
      <c r="AC234" s="418">
        <f t="shared" si="77"/>
        <v>0</v>
      </c>
      <c r="AD234" s="418">
        <f t="shared" si="78"/>
        <v>0</v>
      </c>
      <c r="AE234" s="413">
        <f t="shared" si="79"/>
        <v>0</v>
      </c>
    </row>
    <row r="235" spans="1:31" x14ac:dyDescent="0.3">
      <c r="A235" s="418" t="s">
        <v>23</v>
      </c>
      <c r="B235" s="418" t="s">
        <v>1709</v>
      </c>
      <c r="C235" s="418" t="s">
        <v>1180</v>
      </c>
      <c r="D235" s="418" t="str">
        <f t="shared" si="62"/>
        <v>101-E367</v>
      </c>
      <c r="E235" s="418">
        <v>0</v>
      </c>
      <c r="F235" s="418">
        <v>3475789.84</v>
      </c>
      <c r="G235" s="418">
        <v>4058371.37</v>
      </c>
      <c r="H235" s="418">
        <v>4868121.95</v>
      </c>
      <c r="I235" s="418">
        <v>0</v>
      </c>
      <c r="J235" s="413">
        <v>0</v>
      </c>
      <c r="L235" s="418" t="str">
        <f t="shared" si="63"/>
        <v>PI Electric</v>
      </c>
      <c r="M235" s="418" t="str">
        <f t="shared" si="64"/>
        <v>E3670 DST U/G Conductor/Devices</v>
      </c>
      <c r="N235" s="418" t="str">
        <f t="shared" si="60"/>
        <v>Programmatic Customer Drive</v>
      </c>
      <c r="O235" s="418" t="str">
        <f t="shared" si="65"/>
        <v>101-E367</v>
      </c>
      <c r="P235" s="418">
        <f t="shared" si="66"/>
        <v>0</v>
      </c>
      <c r="Q235" s="418">
        <f t="shared" si="67"/>
        <v>3475789.84</v>
      </c>
      <c r="R235" s="418">
        <f t="shared" si="68"/>
        <v>4058371.37</v>
      </c>
      <c r="S235" s="418">
        <f t="shared" si="69"/>
        <v>4868121.95</v>
      </c>
      <c r="T235" s="418">
        <f t="shared" si="70"/>
        <v>0</v>
      </c>
      <c r="V235" s="418" t="str">
        <f t="shared" si="71"/>
        <v>PI Electric</v>
      </c>
      <c r="W235" s="418" t="str">
        <f t="shared" si="72"/>
        <v>E3670 DST U/G Conductor/Devices</v>
      </c>
      <c r="X235" s="418" t="str">
        <f t="shared" si="61"/>
        <v>Programmatic Customer Drive</v>
      </c>
      <c r="Y235" s="418" t="str">
        <f t="shared" si="73"/>
        <v>101-E367</v>
      </c>
      <c r="Z235" s="418">
        <f t="shared" si="74"/>
        <v>0</v>
      </c>
      <c r="AA235" s="418">
        <f t="shared" si="75"/>
        <v>0</v>
      </c>
      <c r="AB235" s="418">
        <f t="shared" si="76"/>
        <v>0</v>
      </c>
      <c r="AC235" s="418">
        <f t="shared" si="77"/>
        <v>0</v>
      </c>
      <c r="AD235" s="418">
        <f t="shared" si="78"/>
        <v>0</v>
      </c>
      <c r="AE235" s="413">
        <f t="shared" si="79"/>
        <v>0</v>
      </c>
    </row>
    <row r="236" spans="1:31" x14ac:dyDescent="0.3">
      <c r="A236" s="418" t="s">
        <v>23</v>
      </c>
      <c r="B236" s="418" t="s">
        <v>1780</v>
      </c>
      <c r="C236" s="418" t="s">
        <v>1180</v>
      </c>
      <c r="D236" s="418" t="str">
        <f t="shared" si="62"/>
        <v>101-E368</v>
      </c>
      <c r="E236" s="418">
        <v>0</v>
      </c>
      <c r="F236" s="418">
        <v>535083.63</v>
      </c>
      <c r="G236" s="418">
        <v>731462.65</v>
      </c>
      <c r="H236" s="418">
        <v>1180938.96</v>
      </c>
      <c r="I236" s="418">
        <v>0</v>
      </c>
      <c r="J236" s="413">
        <v>0</v>
      </c>
      <c r="L236" s="418" t="str">
        <f t="shared" si="63"/>
        <v>PI Electric</v>
      </c>
      <c r="M236" s="418" t="str">
        <f t="shared" si="64"/>
        <v>E368 DST Line Transformers</v>
      </c>
      <c r="N236" s="418" t="str">
        <f t="shared" si="60"/>
        <v>Programmatic Customer Drive</v>
      </c>
      <c r="O236" s="418" t="str">
        <f t="shared" si="65"/>
        <v>101-E368</v>
      </c>
      <c r="P236" s="418">
        <f t="shared" si="66"/>
        <v>0</v>
      </c>
      <c r="Q236" s="418">
        <f t="shared" si="67"/>
        <v>535083.63</v>
      </c>
      <c r="R236" s="418">
        <f t="shared" si="68"/>
        <v>731462.65</v>
      </c>
      <c r="S236" s="418">
        <f t="shared" si="69"/>
        <v>1180938.96</v>
      </c>
      <c r="T236" s="418">
        <f t="shared" si="70"/>
        <v>0</v>
      </c>
      <c r="V236" s="418" t="str">
        <f t="shared" si="71"/>
        <v>PI Electric</v>
      </c>
      <c r="W236" s="418" t="str">
        <f t="shared" si="72"/>
        <v>E368 DST Line Transformers</v>
      </c>
      <c r="X236" s="418" t="str">
        <f t="shared" si="61"/>
        <v>Programmatic Customer Drive</v>
      </c>
      <c r="Y236" s="418" t="str">
        <f t="shared" si="73"/>
        <v>101-E368</v>
      </c>
      <c r="Z236" s="418">
        <f t="shared" si="74"/>
        <v>0</v>
      </c>
      <c r="AA236" s="418">
        <f t="shared" si="75"/>
        <v>0</v>
      </c>
      <c r="AB236" s="418">
        <f t="shared" si="76"/>
        <v>0</v>
      </c>
      <c r="AC236" s="418">
        <f t="shared" si="77"/>
        <v>0</v>
      </c>
      <c r="AD236" s="418">
        <f t="shared" si="78"/>
        <v>0</v>
      </c>
      <c r="AE236" s="413">
        <f t="shared" si="79"/>
        <v>0</v>
      </c>
    </row>
    <row r="237" spans="1:31" x14ac:dyDescent="0.3">
      <c r="A237" s="418" t="s">
        <v>23</v>
      </c>
      <c r="B237" s="418" t="s">
        <v>1779</v>
      </c>
      <c r="C237" s="418" t="s">
        <v>1180</v>
      </c>
      <c r="D237" s="418" t="str">
        <f t="shared" si="62"/>
        <v>101-E369</v>
      </c>
      <c r="E237" s="418">
        <v>0</v>
      </c>
      <c r="F237" s="418">
        <v>8615.94</v>
      </c>
      <c r="G237" s="418">
        <v>11940.89</v>
      </c>
      <c r="H237" s="418">
        <v>20631.23</v>
      </c>
      <c r="I237" s="418">
        <v>0</v>
      </c>
      <c r="J237" s="413">
        <v>0</v>
      </c>
      <c r="L237" s="418" t="str">
        <f t="shared" si="63"/>
        <v>PI Electric</v>
      </c>
      <c r="M237" s="418" t="str">
        <f t="shared" si="64"/>
        <v>E369 DST Services</v>
      </c>
      <c r="N237" s="418" t="str">
        <f t="shared" si="60"/>
        <v>Programmatic Customer Drive</v>
      </c>
      <c r="O237" s="418" t="str">
        <f t="shared" si="65"/>
        <v>101-E369</v>
      </c>
      <c r="P237" s="418">
        <f t="shared" si="66"/>
        <v>0</v>
      </c>
      <c r="Q237" s="418">
        <f t="shared" si="67"/>
        <v>8615.94</v>
      </c>
      <c r="R237" s="418">
        <f t="shared" si="68"/>
        <v>11940.89</v>
      </c>
      <c r="S237" s="418">
        <f t="shared" si="69"/>
        <v>20631.23</v>
      </c>
      <c r="T237" s="418">
        <f t="shared" si="70"/>
        <v>0</v>
      </c>
      <c r="V237" s="418" t="str">
        <f t="shared" si="71"/>
        <v>PI Electric</v>
      </c>
      <c r="W237" s="418" t="str">
        <f t="shared" si="72"/>
        <v>E369 DST Services</v>
      </c>
      <c r="X237" s="418" t="str">
        <f t="shared" si="61"/>
        <v>Programmatic Customer Drive</v>
      </c>
      <c r="Y237" s="418" t="str">
        <f t="shared" si="73"/>
        <v>101-E369</v>
      </c>
      <c r="Z237" s="418">
        <f t="shared" si="74"/>
        <v>0</v>
      </c>
      <c r="AA237" s="418">
        <f t="shared" si="75"/>
        <v>0</v>
      </c>
      <c r="AB237" s="418">
        <f t="shared" si="76"/>
        <v>0</v>
      </c>
      <c r="AC237" s="418">
        <f t="shared" si="77"/>
        <v>0</v>
      </c>
      <c r="AD237" s="418">
        <f t="shared" si="78"/>
        <v>0</v>
      </c>
      <c r="AE237" s="413">
        <f t="shared" si="79"/>
        <v>0</v>
      </c>
    </row>
    <row r="238" spans="1:31" x14ac:dyDescent="0.3">
      <c r="A238" s="418" t="s">
        <v>23</v>
      </c>
      <c r="B238" s="418" t="s">
        <v>1776</v>
      </c>
      <c r="C238" s="418" t="s">
        <v>1180</v>
      </c>
      <c r="D238" s="418" t="str">
        <f t="shared" si="62"/>
        <v>101-E373</v>
      </c>
      <c r="E238" s="418">
        <v>0</v>
      </c>
      <c r="F238" s="418">
        <v>917.7</v>
      </c>
      <c r="G238" s="418">
        <v>1015.89</v>
      </c>
      <c r="H238" s="418">
        <v>1091.98</v>
      </c>
      <c r="I238" s="418">
        <v>0</v>
      </c>
      <c r="J238" s="413">
        <v>0</v>
      </c>
      <c r="L238" s="418" t="str">
        <f t="shared" si="63"/>
        <v>PI Electric</v>
      </c>
      <c r="M238" s="418" t="str">
        <f t="shared" si="64"/>
        <v>E373 DST Street Lighting &amp; Signal</v>
      </c>
      <c r="N238" s="418" t="str">
        <f t="shared" si="60"/>
        <v>Programmatic Customer Drive</v>
      </c>
      <c r="O238" s="418" t="str">
        <f t="shared" si="65"/>
        <v>101-E373</v>
      </c>
      <c r="P238" s="418">
        <f t="shared" si="66"/>
        <v>0</v>
      </c>
      <c r="Q238" s="418">
        <f t="shared" si="67"/>
        <v>917.7</v>
      </c>
      <c r="R238" s="418">
        <f t="shared" si="68"/>
        <v>1015.89</v>
      </c>
      <c r="S238" s="418">
        <f t="shared" si="69"/>
        <v>1091.98</v>
      </c>
      <c r="T238" s="418">
        <f t="shared" si="70"/>
        <v>0</v>
      </c>
      <c r="V238" s="418" t="str">
        <f t="shared" si="71"/>
        <v>PI Electric</v>
      </c>
      <c r="W238" s="418" t="str">
        <f t="shared" si="72"/>
        <v>E373 DST Street Lighting &amp; Signal</v>
      </c>
      <c r="X238" s="418" t="str">
        <f t="shared" si="61"/>
        <v>Programmatic Customer Drive</v>
      </c>
      <c r="Y238" s="418" t="str">
        <f t="shared" si="73"/>
        <v>101-E373</v>
      </c>
      <c r="Z238" s="418">
        <f t="shared" si="74"/>
        <v>0</v>
      </c>
      <c r="AA238" s="418">
        <f t="shared" si="75"/>
        <v>0</v>
      </c>
      <c r="AB238" s="418">
        <f t="shared" si="76"/>
        <v>0</v>
      </c>
      <c r="AC238" s="418">
        <f t="shared" si="77"/>
        <v>0</v>
      </c>
      <c r="AD238" s="418">
        <f t="shared" si="78"/>
        <v>0</v>
      </c>
      <c r="AE238" s="413">
        <f t="shared" si="79"/>
        <v>0</v>
      </c>
    </row>
    <row r="239" spans="1:31" x14ac:dyDescent="0.3">
      <c r="A239" s="418" t="s">
        <v>24</v>
      </c>
      <c r="B239" s="418" t="s">
        <v>1744</v>
      </c>
      <c r="C239" s="418" t="s">
        <v>1180</v>
      </c>
      <c r="D239" s="418" t="str">
        <f t="shared" si="62"/>
        <v>101-G376</v>
      </c>
      <c r="E239" s="418">
        <v>0</v>
      </c>
      <c r="F239" s="418">
        <v>2348129.36</v>
      </c>
      <c r="G239" s="418">
        <v>2416362.4700000002</v>
      </c>
      <c r="H239" s="418">
        <v>2449537.14</v>
      </c>
      <c r="I239" s="418">
        <v>0</v>
      </c>
      <c r="J239" s="413">
        <v>0</v>
      </c>
      <c r="L239" s="418" t="str">
        <f t="shared" si="63"/>
        <v>PI Gas</v>
      </c>
      <c r="M239" s="418" t="str">
        <f t="shared" si="64"/>
        <v>G3762 DST Mains, Plastic</v>
      </c>
      <c r="N239" s="418" t="str">
        <f t="shared" si="60"/>
        <v>Programmatic Customer Drive</v>
      </c>
      <c r="O239" s="418" t="str">
        <f t="shared" si="65"/>
        <v>101-G376</v>
      </c>
      <c r="P239" s="418">
        <f t="shared" si="66"/>
        <v>0</v>
      </c>
      <c r="Q239" s="418">
        <f t="shared" si="67"/>
        <v>0</v>
      </c>
      <c r="R239" s="418">
        <f t="shared" si="68"/>
        <v>0</v>
      </c>
      <c r="S239" s="418">
        <f t="shared" si="69"/>
        <v>0</v>
      </c>
      <c r="T239" s="418">
        <f t="shared" si="70"/>
        <v>0</v>
      </c>
      <c r="V239" s="418" t="str">
        <f t="shared" si="71"/>
        <v>PI Gas</v>
      </c>
      <c r="W239" s="418" t="str">
        <f t="shared" si="72"/>
        <v>G3762 DST Mains, Plastic</v>
      </c>
      <c r="X239" s="418" t="str">
        <f t="shared" si="61"/>
        <v>Programmatic Customer Drive</v>
      </c>
      <c r="Y239" s="418" t="str">
        <f t="shared" si="73"/>
        <v>101-G376</v>
      </c>
      <c r="Z239" s="418">
        <f t="shared" si="74"/>
        <v>0</v>
      </c>
      <c r="AA239" s="418">
        <f t="shared" si="75"/>
        <v>2348129.36</v>
      </c>
      <c r="AB239" s="418">
        <f t="shared" si="76"/>
        <v>2416362.4700000002</v>
      </c>
      <c r="AC239" s="418">
        <f t="shared" si="77"/>
        <v>2449537.14</v>
      </c>
      <c r="AD239" s="418">
        <f t="shared" si="78"/>
        <v>0</v>
      </c>
      <c r="AE239" s="413">
        <f t="shared" si="79"/>
        <v>0</v>
      </c>
    </row>
    <row r="240" spans="1:31" x14ac:dyDescent="0.3">
      <c r="A240" s="418" t="s">
        <v>24</v>
      </c>
      <c r="B240" s="418" t="s">
        <v>1743</v>
      </c>
      <c r="C240" s="418" t="s">
        <v>1180</v>
      </c>
      <c r="D240" s="418" t="str">
        <f t="shared" si="62"/>
        <v>101-G376</v>
      </c>
      <c r="E240" s="418">
        <v>0</v>
      </c>
      <c r="F240" s="418">
        <v>7266680.2999999998</v>
      </c>
      <c r="G240" s="418">
        <v>7295727.21</v>
      </c>
      <c r="H240" s="418">
        <v>7315397.9400000004</v>
      </c>
      <c r="I240" s="418">
        <v>0</v>
      </c>
      <c r="J240" s="413">
        <v>0</v>
      </c>
      <c r="L240" s="418" t="str">
        <f t="shared" si="63"/>
        <v>PI Gas</v>
      </c>
      <c r="M240" s="418" t="str">
        <f t="shared" si="64"/>
        <v>G3764 DST Mains, Wrapped Steel</v>
      </c>
      <c r="N240" s="418" t="str">
        <f t="shared" si="60"/>
        <v>Programmatic Customer Drive</v>
      </c>
      <c r="O240" s="418" t="str">
        <f t="shared" si="65"/>
        <v>101-G376</v>
      </c>
      <c r="P240" s="418">
        <f t="shared" si="66"/>
        <v>0</v>
      </c>
      <c r="Q240" s="418">
        <f t="shared" si="67"/>
        <v>0</v>
      </c>
      <c r="R240" s="418">
        <f t="shared" si="68"/>
        <v>0</v>
      </c>
      <c r="S240" s="418">
        <f t="shared" si="69"/>
        <v>0</v>
      </c>
      <c r="T240" s="418">
        <f t="shared" si="70"/>
        <v>0</v>
      </c>
      <c r="V240" s="418" t="str">
        <f t="shared" si="71"/>
        <v>PI Gas</v>
      </c>
      <c r="W240" s="418" t="str">
        <f t="shared" si="72"/>
        <v>G3764 DST Mains, Wrapped Steel</v>
      </c>
      <c r="X240" s="418" t="str">
        <f t="shared" si="61"/>
        <v>Programmatic Customer Drive</v>
      </c>
      <c r="Y240" s="418" t="str">
        <f t="shared" si="73"/>
        <v>101-G376</v>
      </c>
      <c r="Z240" s="418">
        <f t="shared" si="74"/>
        <v>0</v>
      </c>
      <c r="AA240" s="418">
        <f t="shared" si="75"/>
        <v>7266680.2999999998</v>
      </c>
      <c r="AB240" s="418">
        <f t="shared" si="76"/>
        <v>7295727.21</v>
      </c>
      <c r="AC240" s="418">
        <f t="shared" si="77"/>
        <v>7315397.9400000004</v>
      </c>
      <c r="AD240" s="418">
        <f t="shared" si="78"/>
        <v>0</v>
      </c>
      <c r="AE240" s="413">
        <f t="shared" si="79"/>
        <v>0</v>
      </c>
    </row>
    <row r="241" spans="1:31" x14ac:dyDescent="0.3">
      <c r="A241" s="418" t="s">
        <v>24</v>
      </c>
      <c r="B241" s="418" t="s">
        <v>1741</v>
      </c>
      <c r="C241" s="418" t="s">
        <v>1180</v>
      </c>
      <c r="D241" s="418" t="str">
        <f t="shared" si="62"/>
        <v>101-G378</v>
      </c>
      <c r="E241" s="418">
        <v>0</v>
      </c>
      <c r="F241" s="418">
        <v>52384.24</v>
      </c>
      <c r="G241" s="418">
        <v>54150.15</v>
      </c>
      <c r="H241" s="418">
        <v>55137.68</v>
      </c>
      <c r="I241" s="418">
        <v>0</v>
      </c>
      <c r="J241" s="413">
        <v>0</v>
      </c>
      <c r="L241" s="418" t="str">
        <f t="shared" si="63"/>
        <v>PI Gas</v>
      </c>
      <c r="M241" s="418" t="str">
        <f t="shared" si="64"/>
        <v>G3780 DST Measuring &amp; Reg Station</v>
      </c>
      <c r="N241" s="418" t="str">
        <f t="shared" si="60"/>
        <v>Programmatic Customer Drive</v>
      </c>
      <c r="O241" s="418" t="str">
        <f t="shared" si="65"/>
        <v>101-G378</v>
      </c>
      <c r="P241" s="418">
        <f t="shared" si="66"/>
        <v>0</v>
      </c>
      <c r="Q241" s="418">
        <f t="shared" si="67"/>
        <v>0</v>
      </c>
      <c r="R241" s="418">
        <f t="shared" si="68"/>
        <v>0</v>
      </c>
      <c r="S241" s="418">
        <f t="shared" si="69"/>
        <v>0</v>
      </c>
      <c r="T241" s="418">
        <f t="shared" si="70"/>
        <v>0</v>
      </c>
      <c r="V241" s="418" t="str">
        <f t="shared" si="71"/>
        <v>PI Gas</v>
      </c>
      <c r="W241" s="418" t="str">
        <f t="shared" si="72"/>
        <v>G3780 DST Measuring &amp; Reg Station</v>
      </c>
      <c r="X241" s="418" t="str">
        <f t="shared" si="61"/>
        <v>Programmatic Customer Drive</v>
      </c>
      <c r="Y241" s="418" t="str">
        <f t="shared" si="73"/>
        <v>101-G378</v>
      </c>
      <c r="Z241" s="418">
        <f t="shared" si="74"/>
        <v>0</v>
      </c>
      <c r="AA241" s="418">
        <f t="shared" si="75"/>
        <v>52384.24</v>
      </c>
      <c r="AB241" s="418">
        <f t="shared" si="76"/>
        <v>54150.15</v>
      </c>
      <c r="AC241" s="418">
        <f t="shared" si="77"/>
        <v>55137.68</v>
      </c>
      <c r="AD241" s="418">
        <f t="shared" si="78"/>
        <v>0</v>
      </c>
      <c r="AE241" s="413">
        <f t="shared" si="79"/>
        <v>0</v>
      </c>
    </row>
    <row r="242" spans="1:31" x14ac:dyDescent="0.3">
      <c r="A242" s="418" t="s">
        <v>24</v>
      </c>
      <c r="B242" s="418" t="s">
        <v>1740</v>
      </c>
      <c r="C242" s="418" t="s">
        <v>1180</v>
      </c>
      <c r="D242" s="418" t="str">
        <f t="shared" si="62"/>
        <v>101-G380</v>
      </c>
      <c r="E242" s="418">
        <v>0</v>
      </c>
      <c r="F242" s="418">
        <v>342.93</v>
      </c>
      <c r="G242" s="418">
        <v>354.15</v>
      </c>
      <c r="H242" s="418">
        <v>359.81</v>
      </c>
      <c r="I242" s="418">
        <v>0</v>
      </c>
      <c r="J242" s="413">
        <v>0</v>
      </c>
      <c r="L242" s="418" t="str">
        <f t="shared" si="63"/>
        <v>PI Gas</v>
      </c>
      <c r="M242" s="418" t="str">
        <f t="shared" si="64"/>
        <v>G3801 DST Services, Cathodic Protec</v>
      </c>
      <c r="N242" s="418" t="str">
        <f t="shared" si="60"/>
        <v>Programmatic Customer Drive</v>
      </c>
      <c r="O242" s="418" t="str">
        <f t="shared" si="65"/>
        <v>101-G380</v>
      </c>
      <c r="P242" s="418">
        <f t="shared" si="66"/>
        <v>0</v>
      </c>
      <c r="Q242" s="418">
        <f t="shared" si="67"/>
        <v>0</v>
      </c>
      <c r="R242" s="418">
        <f t="shared" si="68"/>
        <v>0</v>
      </c>
      <c r="S242" s="418">
        <f t="shared" si="69"/>
        <v>0</v>
      </c>
      <c r="T242" s="418">
        <f t="shared" si="70"/>
        <v>0</v>
      </c>
      <c r="V242" s="418" t="str">
        <f t="shared" si="71"/>
        <v>PI Gas</v>
      </c>
      <c r="W242" s="418" t="str">
        <f t="shared" si="72"/>
        <v>G3801 DST Services, Cathodic Protec</v>
      </c>
      <c r="X242" s="418" t="str">
        <f t="shared" si="61"/>
        <v>Programmatic Customer Drive</v>
      </c>
      <c r="Y242" s="418" t="str">
        <f t="shared" si="73"/>
        <v>101-G380</v>
      </c>
      <c r="Z242" s="418">
        <f t="shared" si="74"/>
        <v>0</v>
      </c>
      <c r="AA242" s="418">
        <f t="shared" si="75"/>
        <v>342.93</v>
      </c>
      <c r="AB242" s="418">
        <f t="shared" si="76"/>
        <v>354.15</v>
      </c>
      <c r="AC242" s="418">
        <f t="shared" si="77"/>
        <v>359.81</v>
      </c>
      <c r="AD242" s="418">
        <f t="shared" si="78"/>
        <v>0</v>
      </c>
      <c r="AE242" s="413">
        <f t="shared" si="79"/>
        <v>0</v>
      </c>
    </row>
    <row r="243" spans="1:31" x14ac:dyDescent="0.3">
      <c r="A243" s="418" t="s">
        <v>24</v>
      </c>
      <c r="B243" s="418" t="s">
        <v>1739</v>
      </c>
      <c r="C243" s="418" t="s">
        <v>1180</v>
      </c>
      <c r="D243" s="418" t="str">
        <f t="shared" si="62"/>
        <v>101-G380</v>
      </c>
      <c r="E243" s="418">
        <v>0</v>
      </c>
      <c r="F243" s="418">
        <v>29190.74</v>
      </c>
      <c r="G243" s="418">
        <v>30401.39</v>
      </c>
      <c r="H243" s="418">
        <v>31231.75</v>
      </c>
      <c r="I243" s="418">
        <v>0</v>
      </c>
      <c r="J243" s="413">
        <v>0</v>
      </c>
      <c r="L243" s="418" t="str">
        <f t="shared" si="63"/>
        <v>PI Gas</v>
      </c>
      <c r="M243" s="418" t="str">
        <f t="shared" si="64"/>
        <v>G3802 DST Services, Plastic</v>
      </c>
      <c r="N243" s="418" t="str">
        <f t="shared" si="60"/>
        <v>Programmatic Customer Drive</v>
      </c>
      <c r="O243" s="418" t="str">
        <f t="shared" si="65"/>
        <v>101-G380</v>
      </c>
      <c r="P243" s="418">
        <f t="shared" si="66"/>
        <v>0</v>
      </c>
      <c r="Q243" s="418">
        <f t="shared" si="67"/>
        <v>0</v>
      </c>
      <c r="R243" s="418">
        <f t="shared" si="68"/>
        <v>0</v>
      </c>
      <c r="S243" s="418">
        <f t="shared" si="69"/>
        <v>0</v>
      </c>
      <c r="T243" s="418">
        <f t="shared" si="70"/>
        <v>0</v>
      </c>
      <c r="V243" s="418" t="str">
        <f t="shared" si="71"/>
        <v>PI Gas</v>
      </c>
      <c r="W243" s="418" t="str">
        <f t="shared" si="72"/>
        <v>G3802 DST Services, Plastic</v>
      </c>
      <c r="X243" s="418" t="str">
        <f t="shared" si="61"/>
        <v>Programmatic Customer Drive</v>
      </c>
      <c r="Y243" s="418" t="str">
        <f t="shared" si="73"/>
        <v>101-G380</v>
      </c>
      <c r="Z243" s="418">
        <f t="shared" si="74"/>
        <v>0</v>
      </c>
      <c r="AA243" s="418">
        <f t="shared" si="75"/>
        <v>29190.74</v>
      </c>
      <c r="AB243" s="418">
        <f t="shared" si="76"/>
        <v>30401.39</v>
      </c>
      <c r="AC243" s="418">
        <f t="shared" si="77"/>
        <v>31231.75</v>
      </c>
      <c r="AD243" s="418">
        <f t="shared" si="78"/>
        <v>0</v>
      </c>
      <c r="AE243" s="413">
        <f t="shared" si="79"/>
        <v>0</v>
      </c>
    </row>
    <row r="244" spans="1:31" x14ac:dyDescent="0.3">
      <c r="A244" s="418" t="s">
        <v>24</v>
      </c>
      <c r="B244" s="418" t="s">
        <v>1738</v>
      </c>
      <c r="C244" s="418" t="s">
        <v>1180</v>
      </c>
      <c r="D244" s="418" t="str">
        <f t="shared" si="62"/>
        <v>101-G380</v>
      </c>
      <c r="E244" s="418">
        <v>0</v>
      </c>
      <c r="F244" s="418">
        <v>6968.3</v>
      </c>
      <c r="G244" s="418">
        <v>7156.82</v>
      </c>
      <c r="H244" s="418">
        <v>7232.63</v>
      </c>
      <c r="I244" s="418">
        <v>0</v>
      </c>
      <c r="J244" s="413">
        <v>0</v>
      </c>
      <c r="L244" s="418" t="str">
        <f t="shared" si="63"/>
        <v>PI Gas</v>
      </c>
      <c r="M244" s="418" t="str">
        <f t="shared" si="64"/>
        <v>G3803 DST Services, Steel Wrapped</v>
      </c>
      <c r="N244" s="418" t="str">
        <f t="shared" si="60"/>
        <v>Programmatic Customer Drive</v>
      </c>
      <c r="O244" s="418" t="str">
        <f t="shared" si="65"/>
        <v>101-G380</v>
      </c>
      <c r="P244" s="418">
        <f t="shared" si="66"/>
        <v>0</v>
      </c>
      <c r="Q244" s="418">
        <f t="shared" si="67"/>
        <v>0</v>
      </c>
      <c r="R244" s="418">
        <f t="shared" si="68"/>
        <v>0</v>
      </c>
      <c r="S244" s="418">
        <f t="shared" si="69"/>
        <v>0</v>
      </c>
      <c r="T244" s="418">
        <f t="shared" si="70"/>
        <v>0</v>
      </c>
      <c r="V244" s="418" t="str">
        <f t="shared" si="71"/>
        <v>PI Gas</v>
      </c>
      <c r="W244" s="418" t="str">
        <f t="shared" si="72"/>
        <v>G3803 DST Services, Steel Wrapped</v>
      </c>
      <c r="X244" s="418" t="str">
        <f t="shared" si="61"/>
        <v>Programmatic Customer Drive</v>
      </c>
      <c r="Y244" s="418" t="str">
        <f t="shared" si="73"/>
        <v>101-G380</v>
      </c>
      <c r="Z244" s="418">
        <f t="shared" si="74"/>
        <v>0</v>
      </c>
      <c r="AA244" s="418">
        <f t="shared" si="75"/>
        <v>6968.3</v>
      </c>
      <c r="AB244" s="418">
        <f t="shared" si="76"/>
        <v>7156.82</v>
      </c>
      <c r="AC244" s="418">
        <f t="shared" si="77"/>
        <v>7232.63</v>
      </c>
      <c r="AD244" s="418">
        <f t="shared" si="78"/>
        <v>0</v>
      </c>
      <c r="AE244" s="413">
        <f t="shared" si="79"/>
        <v>0</v>
      </c>
    </row>
    <row r="245" spans="1:31" x14ac:dyDescent="0.3">
      <c r="A245" s="418" t="s">
        <v>24</v>
      </c>
      <c r="B245" s="418" t="s">
        <v>1735</v>
      </c>
      <c r="C245" s="418" t="s">
        <v>1180</v>
      </c>
      <c r="D245" s="418" t="str">
        <f t="shared" si="62"/>
        <v>101-G382</v>
      </c>
      <c r="E245" s="418">
        <v>0</v>
      </c>
      <c r="F245" s="418">
        <v>916.7</v>
      </c>
      <c r="G245" s="418">
        <v>941.42</v>
      </c>
      <c r="H245" s="418">
        <v>951.31</v>
      </c>
      <c r="I245" s="418">
        <v>0</v>
      </c>
      <c r="J245" s="413">
        <v>0</v>
      </c>
      <c r="L245" s="418" t="str">
        <f t="shared" si="63"/>
        <v>PI Gas</v>
      </c>
      <c r="M245" s="418" t="str">
        <f t="shared" si="64"/>
        <v>G3820 DST Meter Installations (AMR)</v>
      </c>
      <c r="N245" s="418" t="str">
        <f t="shared" si="60"/>
        <v>Programmatic Customer Drive</v>
      </c>
      <c r="O245" s="418" t="str">
        <f t="shared" si="65"/>
        <v>101-G382</v>
      </c>
      <c r="P245" s="418">
        <f t="shared" si="66"/>
        <v>0</v>
      </c>
      <c r="Q245" s="418">
        <f t="shared" si="67"/>
        <v>0</v>
      </c>
      <c r="R245" s="418">
        <f t="shared" si="68"/>
        <v>0</v>
      </c>
      <c r="S245" s="418">
        <f t="shared" si="69"/>
        <v>0</v>
      </c>
      <c r="T245" s="418">
        <f t="shared" si="70"/>
        <v>0</v>
      </c>
      <c r="V245" s="418" t="str">
        <f t="shared" si="71"/>
        <v>PI Gas</v>
      </c>
      <c r="W245" s="418" t="str">
        <f t="shared" si="72"/>
        <v>G3820 DST Meter Installations (AMR)</v>
      </c>
      <c r="X245" s="418" t="str">
        <f t="shared" si="61"/>
        <v>Programmatic Customer Drive</v>
      </c>
      <c r="Y245" s="418" t="str">
        <f t="shared" si="73"/>
        <v>101-G382</v>
      </c>
      <c r="Z245" s="418">
        <f t="shared" si="74"/>
        <v>0</v>
      </c>
      <c r="AA245" s="418">
        <f t="shared" si="75"/>
        <v>916.7</v>
      </c>
      <c r="AB245" s="418">
        <f t="shared" si="76"/>
        <v>941.42</v>
      </c>
      <c r="AC245" s="418">
        <f t="shared" si="77"/>
        <v>951.31</v>
      </c>
      <c r="AD245" s="418">
        <f t="shared" si="78"/>
        <v>0</v>
      </c>
      <c r="AE245" s="413">
        <f t="shared" si="79"/>
        <v>0</v>
      </c>
    </row>
    <row r="246" spans="1:31" x14ac:dyDescent="0.3">
      <c r="A246" s="418" t="s">
        <v>24</v>
      </c>
      <c r="B246" s="418" t="s">
        <v>1731</v>
      </c>
      <c r="C246" s="418" t="s">
        <v>1180</v>
      </c>
      <c r="D246" s="418" t="str">
        <f t="shared" si="62"/>
        <v>101-G385</v>
      </c>
      <c r="E246" s="418">
        <v>0</v>
      </c>
      <c r="F246" s="418">
        <v>1135.25</v>
      </c>
      <c r="G246" s="418">
        <v>1165.8399999999999</v>
      </c>
      <c r="H246" s="418">
        <v>1178.05</v>
      </c>
      <c r="I246" s="418">
        <v>0</v>
      </c>
      <c r="J246" s="413">
        <v>0</v>
      </c>
      <c r="L246" s="418" t="str">
        <f t="shared" si="63"/>
        <v>PI Gas</v>
      </c>
      <c r="M246" s="418" t="str">
        <f t="shared" si="64"/>
        <v>G385 DST Industrial M&amp;R Sta Eq</v>
      </c>
      <c r="N246" s="418" t="str">
        <f t="shared" si="60"/>
        <v>Programmatic Customer Drive</v>
      </c>
      <c r="O246" s="418" t="str">
        <f t="shared" si="65"/>
        <v>101-G385</v>
      </c>
      <c r="P246" s="418">
        <f t="shared" si="66"/>
        <v>0</v>
      </c>
      <c r="Q246" s="418">
        <f t="shared" si="67"/>
        <v>0</v>
      </c>
      <c r="R246" s="418">
        <f t="shared" si="68"/>
        <v>0</v>
      </c>
      <c r="S246" s="418">
        <f t="shared" si="69"/>
        <v>0</v>
      </c>
      <c r="T246" s="418">
        <f t="shared" si="70"/>
        <v>0</v>
      </c>
      <c r="V246" s="418" t="str">
        <f t="shared" si="71"/>
        <v>PI Gas</v>
      </c>
      <c r="W246" s="418" t="str">
        <f t="shared" si="72"/>
        <v>G385 DST Industrial M&amp;R Sta Eq</v>
      </c>
      <c r="X246" s="418" t="str">
        <f t="shared" si="61"/>
        <v>Programmatic Customer Drive</v>
      </c>
      <c r="Y246" s="418" t="str">
        <f t="shared" si="73"/>
        <v>101-G385</v>
      </c>
      <c r="Z246" s="418">
        <f t="shared" si="74"/>
        <v>0</v>
      </c>
      <c r="AA246" s="418">
        <f t="shared" si="75"/>
        <v>1135.25</v>
      </c>
      <c r="AB246" s="418">
        <f t="shared" si="76"/>
        <v>1165.8399999999999</v>
      </c>
      <c r="AC246" s="418">
        <f t="shared" si="77"/>
        <v>1178.05</v>
      </c>
      <c r="AD246" s="418">
        <f t="shared" si="78"/>
        <v>0</v>
      </c>
      <c r="AE246" s="413">
        <f t="shared" si="79"/>
        <v>0</v>
      </c>
    </row>
    <row r="247" spans="1:31" x14ac:dyDescent="0.3">
      <c r="A247" s="418" t="s">
        <v>25</v>
      </c>
      <c r="B247" s="418" t="s">
        <v>1744</v>
      </c>
      <c r="C247" s="418" t="s">
        <v>1168</v>
      </c>
      <c r="D247" s="418" t="str">
        <f t="shared" si="62"/>
        <v>101-G376</v>
      </c>
      <c r="E247" s="418">
        <v>0</v>
      </c>
      <c r="F247" s="418">
        <v>22676804.420000002</v>
      </c>
      <c r="G247" s="418">
        <v>32943315.579999998</v>
      </c>
      <c r="H247" s="418">
        <v>58577865.460000001</v>
      </c>
      <c r="I247" s="418">
        <v>0</v>
      </c>
      <c r="J247" s="413">
        <v>0</v>
      </c>
      <c r="L247" s="418" t="str">
        <f t="shared" si="63"/>
        <v>Pipe Replacement</v>
      </c>
      <c r="M247" s="418" t="str">
        <f t="shared" si="64"/>
        <v>G3762 DST Mains, Plastic</v>
      </c>
      <c r="N247" s="418" t="str">
        <f t="shared" si="60"/>
        <v>Programmatic</v>
      </c>
      <c r="O247" s="418" t="str">
        <f t="shared" si="65"/>
        <v>101-G376</v>
      </c>
      <c r="P247" s="418">
        <f t="shared" si="66"/>
        <v>0</v>
      </c>
      <c r="Q247" s="418">
        <f t="shared" si="67"/>
        <v>0</v>
      </c>
      <c r="R247" s="418">
        <f t="shared" si="68"/>
        <v>0</v>
      </c>
      <c r="S247" s="418">
        <f t="shared" si="69"/>
        <v>0</v>
      </c>
      <c r="T247" s="418">
        <f t="shared" si="70"/>
        <v>0</v>
      </c>
      <c r="V247" s="418" t="str">
        <f t="shared" si="71"/>
        <v>Pipe Replacement</v>
      </c>
      <c r="W247" s="418" t="str">
        <f t="shared" si="72"/>
        <v>G3762 DST Mains, Plastic</v>
      </c>
      <c r="X247" s="418" t="str">
        <f t="shared" si="61"/>
        <v>Programmatic</v>
      </c>
      <c r="Y247" s="418" t="str">
        <f t="shared" si="73"/>
        <v>101-G376</v>
      </c>
      <c r="Z247" s="418">
        <f t="shared" si="74"/>
        <v>0</v>
      </c>
      <c r="AA247" s="418">
        <f t="shared" si="75"/>
        <v>22676804.420000002</v>
      </c>
      <c r="AB247" s="418">
        <f t="shared" si="76"/>
        <v>32943315.579999998</v>
      </c>
      <c r="AC247" s="418">
        <f t="shared" si="77"/>
        <v>58577865.460000001</v>
      </c>
      <c r="AD247" s="418">
        <f t="shared" si="78"/>
        <v>0</v>
      </c>
      <c r="AE247" s="413">
        <f t="shared" si="79"/>
        <v>0</v>
      </c>
    </row>
    <row r="248" spans="1:31" x14ac:dyDescent="0.3">
      <c r="A248" s="418" t="s">
        <v>25</v>
      </c>
      <c r="B248" s="418" t="s">
        <v>1743</v>
      </c>
      <c r="C248" s="418" t="s">
        <v>1168</v>
      </c>
      <c r="D248" s="418" t="str">
        <f t="shared" si="62"/>
        <v>101-G376</v>
      </c>
      <c r="E248" s="418">
        <v>0</v>
      </c>
      <c r="F248" s="418">
        <v>1641074.15</v>
      </c>
      <c r="G248" s="418">
        <v>2384037.15</v>
      </c>
      <c r="H248" s="418">
        <v>4239167.0599999996</v>
      </c>
      <c r="I248" s="418">
        <v>0</v>
      </c>
      <c r="J248" s="413">
        <v>0</v>
      </c>
      <c r="L248" s="418" t="str">
        <f t="shared" si="63"/>
        <v>Pipe Replacement</v>
      </c>
      <c r="M248" s="418" t="str">
        <f t="shared" si="64"/>
        <v>G3764 DST Mains, Wrapped Steel</v>
      </c>
      <c r="N248" s="418" t="str">
        <f t="shared" si="60"/>
        <v>Programmatic</v>
      </c>
      <c r="O248" s="418" t="str">
        <f t="shared" si="65"/>
        <v>101-G376</v>
      </c>
      <c r="P248" s="418">
        <f t="shared" si="66"/>
        <v>0</v>
      </c>
      <c r="Q248" s="418">
        <f t="shared" si="67"/>
        <v>0</v>
      </c>
      <c r="R248" s="418">
        <f t="shared" si="68"/>
        <v>0</v>
      </c>
      <c r="S248" s="418">
        <f t="shared" si="69"/>
        <v>0</v>
      </c>
      <c r="T248" s="418">
        <f t="shared" si="70"/>
        <v>0</v>
      </c>
      <c r="V248" s="418" t="str">
        <f t="shared" si="71"/>
        <v>Pipe Replacement</v>
      </c>
      <c r="W248" s="418" t="str">
        <f t="shared" si="72"/>
        <v>G3764 DST Mains, Wrapped Steel</v>
      </c>
      <c r="X248" s="418" t="str">
        <f t="shared" si="61"/>
        <v>Programmatic</v>
      </c>
      <c r="Y248" s="418" t="str">
        <f t="shared" si="73"/>
        <v>101-G376</v>
      </c>
      <c r="Z248" s="418">
        <f t="shared" si="74"/>
        <v>0</v>
      </c>
      <c r="AA248" s="418">
        <f t="shared" si="75"/>
        <v>1641074.15</v>
      </c>
      <c r="AB248" s="418">
        <f t="shared" si="76"/>
        <v>2384037.15</v>
      </c>
      <c r="AC248" s="418">
        <f t="shared" si="77"/>
        <v>4239167.0599999996</v>
      </c>
      <c r="AD248" s="418">
        <f t="shared" si="78"/>
        <v>0</v>
      </c>
      <c r="AE248" s="413">
        <f t="shared" si="79"/>
        <v>0</v>
      </c>
    </row>
    <row r="249" spans="1:31" x14ac:dyDescent="0.3">
      <c r="A249" s="418" t="s">
        <v>25</v>
      </c>
      <c r="B249" s="418" t="s">
        <v>1740</v>
      </c>
      <c r="C249" s="418" t="s">
        <v>1168</v>
      </c>
      <c r="D249" s="418" t="str">
        <f t="shared" si="62"/>
        <v>101-G380</v>
      </c>
      <c r="E249" s="418">
        <v>0</v>
      </c>
      <c r="F249" s="418">
        <v>29027.43</v>
      </c>
      <c r="G249" s="418">
        <v>45243.06</v>
      </c>
      <c r="H249" s="418">
        <v>79769.08</v>
      </c>
      <c r="I249" s="418">
        <v>0</v>
      </c>
      <c r="J249" s="413">
        <v>0</v>
      </c>
      <c r="L249" s="418" t="str">
        <f t="shared" si="63"/>
        <v>Pipe Replacement</v>
      </c>
      <c r="M249" s="418" t="str">
        <f t="shared" si="64"/>
        <v>G3801 DST Services, Cathodic Protec</v>
      </c>
      <c r="N249" s="418" t="str">
        <f t="shared" si="60"/>
        <v>Programmatic</v>
      </c>
      <c r="O249" s="418" t="str">
        <f t="shared" si="65"/>
        <v>101-G380</v>
      </c>
      <c r="P249" s="418">
        <f t="shared" si="66"/>
        <v>0</v>
      </c>
      <c r="Q249" s="418">
        <f t="shared" si="67"/>
        <v>0</v>
      </c>
      <c r="R249" s="418">
        <f t="shared" si="68"/>
        <v>0</v>
      </c>
      <c r="S249" s="418">
        <f t="shared" si="69"/>
        <v>0</v>
      </c>
      <c r="T249" s="418">
        <f t="shared" si="70"/>
        <v>0</v>
      </c>
      <c r="V249" s="418" t="str">
        <f t="shared" si="71"/>
        <v>Pipe Replacement</v>
      </c>
      <c r="W249" s="418" t="str">
        <f t="shared" si="72"/>
        <v>G3801 DST Services, Cathodic Protec</v>
      </c>
      <c r="X249" s="418" t="str">
        <f t="shared" si="61"/>
        <v>Programmatic</v>
      </c>
      <c r="Y249" s="418" t="str">
        <f t="shared" si="73"/>
        <v>101-G380</v>
      </c>
      <c r="Z249" s="418">
        <f t="shared" si="74"/>
        <v>0</v>
      </c>
      <c r="AA249" s="418">
        <f t="shared" si="75"/>
        <v>29027.43</v>
      </c>
      <c r="AB249" s="418">
        <f t="shared" si="76"/>
        <v>45243.06</v>
      </c>
      <c r="AC249" s="418">
        <f t="shared" si="77"/>
        <v>79769.08</v>
      </c>
      <c r="AD249" s="418">
        <f t="shared" si="78"/>
        <v>0</v>
      </c>
      <c r="AE249" s="413">
        <f t="shared" si="79"/>
        <v>0</v>
      </c>
    </row>
    <row r="250" spans="1:31" x14ac:dyDescent="0.3">
      <c r="A250" s="418" t="s">
        <v>25</v>
      </c>
      <c r="B250" s="418" t="s">
        <v>1739</v>
      </c>
      <c r="C250" s="418" t="s">
        <v>1168</v>
      </c>
      <c r="D250" s="418" t="str">
        <f t="shared" si="62"/>
        <v>101-G380</v>
      </c>
      <c r="E250" s="418">
        <v>0</v>
      </c>
      <c r="F250" s="418">
        <v>28803415.350000001</v>
      </c>
      <c r="G250" s="418">
        <v>42476844.170000002</v>
      </c>
      <c r="H250" s="418">
        <v>75390032.049999997</v>
      </c>
      <c r="I250" s="418">
        <v>0</v>
      </c>
      <c r="J250" s="413">
        <v>0</v>
      </c>
      <c r="L250" s="418" t="str">
        <f t="shared" si="63"/>
        <v>Pipe Replacement</v>
      </c>
      <c r="M250" s="418" t="str">
        <f t="shared" si="64"/>
        <v>G3802 DST Services, Plastic</v>
      </c>
      <c r="N250" s="418" t="str">
        <f t="shared" si="60"/>
        <v>Programmatic</v>
      </c>
      <c r="O250" s="418" t="str">
        <f t="shared" si="65"/>
        <v>101-G380</v>
      </c>
      <c r="P250" s="418">
        <f t="shared" si="66"/>
        <v>0</v>
      </c>
      <c r="Q250" s="418">
        <f t="shared" si="67"/>
        <v>0</v>
      </c>
      <c r="R250" s="418">
        <f t="shared" si="68"/>
        <v>0</v>
      </c>
      <c r="S250" s="418">
        <f t="shared" si="69"/>
        <v>0</v>
      </c>
      <c r="T250" s="418">
        <f t="shared" si="70"/>
        <v>0</v>
      </c>
      <c r="V250" s="418" t="str">
        <f t="shared" si="71"/>
        <v>Pipe Replacement</v>
      </c>
      <c r="W250" s="418" t="str">
        <f t="shared" si="72"/>
        <v>G3802 DST Services, Plastic</v>
      </c>
      <c r="X250" s="418" t="str">
        <f t="shared" si="61"/>
        <v>Programmatic</v>
      </c>
      <c r="Y250" s="418" t="str">
        <f t="shared" si="73"/>
        <v>101-G380</v>
      </c>
      <c r="Z250" s="418">
        <f t="shared" si="74"/>
        <v>0</v>
      </c>
      <c r="AA250" s="418">
        <f t="shared" si="75"/>
        <v>28803415.350000001</v>
      </c>
      <c r="AB250" s="418">
        <f t="shared" si="76"/>
        <v>42476844.170000002</v>
      </c>
      <c r="AC250" s="418">
        <f t="shared" si="77"/>
        <v>75390032.049999997</v>
      </c>
      <c r="AD250" s="418">
        <f t="shared" si="78"/>
        <v>0</v>
      </c>
      <c r="AE250" s="413">
        <f t="shared" si="79"/>
        <v>0</v>
      </c>
    </row>
    <row r="251" spans="1:31" x14ac:dyDescent="0.3">
      <c r="A251" s="418" t="s">
        <v>25</v>
      </c>
      <c r="B251" s="418" t="s">
        <v>1738</v>
      </c>
      <c r="C251" s="418" t="s">
        <v>1168</v>
      </c>
      <c r="D251" s="418" t="str">
        <f t="shared" si="62"/>
        <v>101-G380</v>
      </c>
      <c r="E251" s="418">
        <v>0</v>
      </c>
      <c r="F251" s="418">
        <v>9661.2800000000007</v>
      </c>
      <c r="G251" s="418">
        <v>15060.13</v>
      </c>
      <c r="H251" s="418">
        <v>26552.52</v>
      </c>
      <c r="I251" s="418">
        <v>0</v>
      </c>
      <c r="J251" s="413">
        <v>0</v>
      </c>
      <c r="L251" s="418" t="str">
        <f t="shared" si="63"/>
        <v>Pipe Replacement</v>
      </c>
      <c r="M251" s="418" t="str">
        <f t="shared" si="64"/>
        <v>G3803 DST Services, Steel Wrapped</v>
      </c>
      <c r="N251" s="418" t="str">
        <f t="shared" si="60"/>
        <v>Programmatic</v>
      </c>
      <c r="O251" s="418" t="str">
        <f t="shared" si="65"/>
        <v>101-G380</v>
      </c>
      <c r="P251" s="418">
        <f t="shared" si="66"/>
        <v>0</v>
      </c>
      <c r="Q251" s="418">
        <f t="shared" si="67"/>
        <v>0</v>
      </c>
      <c r="R251" s="418">
        <f t="shared" si="68"/>
        <v>0</v>
      </c>
      <c r="S251" s="418">
        <f t="shared" si="69"/>
        <v>0</v>
      </c>
      <c r="T251" s="418">
        <f t="shared" si="70"/>
        <v>0</v>
      </c>
      <c r="V251" s="418" t="str">
        <f t="shared" si="71"/>
        <v>Pipe Replacement</v>
      </c>
      <c r="W251" s="418" t="str">
        <f t="shared" si="72"/>
        <v>G3803 DST Services, Steel Wrapped</v>
      </c>
      <c r="X251" s="418" t="str">
        <f t="shared" si="61"/>
        <v>Programmatic</v>
      </c>
      <c r="Y251" s="418" t="str">
        <f t="shared" si="73"/>
        <v>101-G380</v>
      </c>
      <c r="Z251" s="418">
        <f t="shared" si="74"/>
        <v>0</v>
      </c>
      <c r="AA251" s="418">
        <f t="shared" si="75"/>
        <v>9661.2800000000007</v>
      </c>
      <c r="AB251" s="418">
        <f t="shared" si="76"/>
        <v>15060.13</v>
      </c>
      <c r="AC251" s="418">
        <f t="shared" si="77"/>
        <v>26552.52</v>
      </c>
      <c r="AD251" s="418">
        <f t="shared" si="78"/>
        <v>0</v>
      </c>
      <c r="AE251" s="413">
        <f t="shared" si="79"/>
        <v>0</v>
      </c>
    </row>
    <row r="252" spans="1:31" x14ac:dyDescent="0.3">
      <c r="A252" s="418" t="s">
        <v>25</v>
      </c>
      <c r="B252" s="418" t="s">
        <v>1731</v>
      </c>
      <c r="C252" s="418" t="s">
        <v>1168</v>
      </c>
      <c r="D252" s="418" t="str">
        <f t="shared" si="62"/>
        <v>101-G385</v>
      </c>
      <c r="E252" s="418">
        <v>0</v>
      </c>
      <c r="F252" s="418">
        <v>8028.95</v>
      </c>
      <c r="G252" s="418">
        <v>11666.48</v>
      </c>
      <c r="H252" s="418">
        <v>20735.57</v>
      </c>
      <c r="I252" s="418">
        <v>0</v>
      </c>
      <c r="J252" s="413">
        <v>0</v>
      </c>
      <c r="L252" s="418" t="str">
        <f t="shared" si="63"/>
        <v>Pipe Replacement</v>
      </c>
      <c r="M252" s="418" t="str">
        <f t="shared" si="64"/>
        <v>G385 DST Industrial M&amp;R Sta Eq</v>
      </c>
      <c r="N252" s="418" t="str">
        <f t="shared" si="60"/>
        <v>Programmatic</v>
      </c>
      <c r="O252" s="418" t="str">
        <f t="shared" si="65"/>
        <v>101-G385</v>
      </c>
      <c r="P252" s="418">
        <f t="shared" si="66"/>
        <v>0</v>
      </c>
      <c r="Q252" s="418">
        <f t="shared" si="67"/>
        <v>0</v>
      </c>
      <c r="R252" s="418">
        <f t="shared" si="68"/>
        <v>0</v>
      </c>
      <c r="S252" s="418">
        <f t="shared" si="69"/>
        <v>0</v>
      </c>
      <c r="T252" s="418">
        <f t="shared" si="70"/>
        <v>0</v>
      </c>
      <c r="V252" s="418" t="str">
        <f t="shared" si="71"/>
        <v>Pipe Replacement</v>
      </c>
      <c r="W252" s="418" t="str">
        <f t="shared" si="72"/>
        <v>G385 DST Industrial M&amp;R Sta Eq</v>
      </c>
      <c r="X252" s="418" t="str">
        <f t="shared" si="61"/>
        <v>Programmatic</v>
      </c>
      <c r="Y252" s="418" t="str">
        <f t="shared" si="73"/>
        <v>101-G385</v>
      </c>
      <c r="Z252" s="418">
        <f t="shared" si="74"/>
        <v>0</v>
      </c>
      <c r="AA252" s="418">
        <f t="shared" si="75"/>
        <v>8028.95</v>
      </c>
      <c r="AB252" s="418">
        <f t="shared" si="76"/>
        <v>11666.48</v>
      </c>
      <c r="AC252" s="418">
        <f t="shared" si="77"/>
        <v>20735.57</v>
      </c>
      <c r="AD252" s="418">
        <f t="shared" si="78"/>
        <v>0</v>
      </c>
      <c r="AE252" s="413">
        <f t="shared" si="79"/>
        <v>0</v>
      </c>
    </row>
    <row r="253" spans="1:31" x14ac:dyDescent="0.3">
      <c r="A253" s="418" t="s">
        <v>1605</v>
      </c>
      <c r="B253" s="418" t="s">
        <v>1909</v>
      </c>
      <c r="C253" s="418" t="s">
        <v>26</v>
      </c>
      <c r="D253" s="418" t="str">
        <f t="shared" si="62"/>
        <v>101-C302</v>
      </c>
      <c r="E253" s="418">
        <v>0</v>
      </c>
      <c r="F253" s="418">
        <v>146624</v>
      </c>
      <c r="G253" s="418">
        <v>152733.32999999999</v>
      </c>
      <c r="H253" s="418">
        <v>299479.5</v>
      </c>
      <c r="I253" s="418">
        <v>0</v>
      </c>
      <c r="J253" s="413">
        <v>0</v>
      </c>
      <c r="L253" s="418" t="str">
        <f t="shared" si="63"/>
        <v>Projected - Common</v>
      </c>
      <c r="M253" s="418" t="str">
        <f t="shared" si="64"/>
        <v>C302.10 INT Franchises &amp; Consents</v>
      </c>
      <c r="N253" s="418" t="str">
        <f t="shared" si="60"/>
        <v>Projected</v>
      </c>
      <c r="O253" s="418" t="str">
        <f t="shared" si="65"/>
        <v>101-C302</v>
      </c>
      <c r="P253" s="418">
        <f t="shared" si="66"/>
        <v>0</v>
      </c>
      <c r="Q253" s="418">
        <f t="shared" si="67"/>
        <v>96683.865600000005</v>
      </c>
      <c r="R253" s="418">
        <f t="shared" si="68"/>
        <v>100712.35780199998</v>
      </c>
      <c r="S253" s="418">
        <f t="shared" si="69"/>
        <v>197476.78229999999</v>
      </c>
      <c r="T253" s="418">
        <f t="shared" si="70"/>
        <v>0</v>
      </c>
      <c r="V253" s="418" t="str">
        <f t="shared" si="71"/>
        <v>Projected - Common</v>
      </c>
      <c r="W253" s="418" t="str">
        <f t="shared" si="72"/>
        <v>C302.10 INT Franchises &amp; Consents</v>
      </c>
      <c r="X253" s="418" t="str">
        <f t="shared" si="61"/>
        <v>Projected</v>
      </c>
      <c r="Y253" s="418" t="str">
        <f t="shared" si="73"/>
        <v>101-C302</v>
      </c>
      <c r="Z253" s="418">
        <f t="shared" si="74"/>
        <v>0</v>
      </c>
      <c r="AA253" s="418">
        <f t="shared" si="75"/>
        <v>49940.134400000003</v>
      </c>
      <c r="AB253" s="418">
        <f t="shared" si="76"/>
        <v>52020.972197999996</v>
      </c>
      <c r="AC253" s="418">
        <f t="shared" si="77"/>
        <v>102002.71770000001</v>
      </c>
      <c r="AD253" s="418">
        <f t="shared" si="78"/>
        <v>0</v>
      </c>
      <c r="AE253" s="413">
        <f t="shared" si="79"/>
        <v>0</v>
      </c>
    </row>
    <row r="254" spans="1:31" x14ac:dyDescent="0.3">
      <c r="A254" s="418" t="s">
        <v>1605</v>
      </c>
      <c r="B254" s="418" t="s">
        <v>1716</v>
      </c>
      <c r="C254" s="418" t="s">
        <v>26</v>
      </c>
      <c r="D254" s="418" t="str">
        <f t="shared" si="62"/>
        <v>101-C303</v>
      </c>
      <c r="E254" s="418">
        <v>0</v>
      </c>
      <c r="F254" s="418">
        <v>0</v>
      </c>
      <c r="G254" s="418">
        <v>678834.45</v>
      </c>
      <c r="H254" s="418">
        <v>8392779.6899999995</v>
      </c>
      <c r="I254" s="418">
        <v>0</v>
      </c>
      <c r="J254" s="413">
        <v>0</v>
      </c>
      <c r="L254" s="418" t="str">
        <f t="shared" si="63"/>
        <v>Projected - Common</v>
      </c>
      <c r="M254" s="418" t="str">
        <f t="shared" si="64"/>
        <v>C303.10 INT Misc Intangible Plant</v>
      </c>
      <c r="N254" s="418" t="str">
        <f t="shared" si="60"/>
        <v>Projected</v>
      </c>
      <c r="O254" s="418" t="str">
        <f t="shared" si="65"/>
        <v>101-C303</v>
      </c>
      <c r="P254" s="418">
        <f t="shared" si="66"/>
        <v>0</v>
      </c>
      <c r="Q254" s="418">
        <f t="shared" si="67"/>
        <v>0</v>
      </c>
      <c r="R254" s="418">
        <f t="shared" si="68"/>
        <v>447623.43632999994</v>
      </c>
      <c r="S254" s="418">
        <f t="shared" si="69"/>
        <v>5534198.9275859995</v>
      </c>
      <c r="T254" s="418">
        <f t="shared" si="70"/>
        <v>0</v>
      </c>
      <c r="V254" s="418" t="str">
        <f t="shared" si="71"/>
        <v>Projected - Common</v>
      </c>
      <c r="W254" s="418" t="str">
        <f t="shared" si="72"/>
        <v>C303.10 INT Misc Intangible Plant</v>
      </c>
      <c r="X254" s="418" t="str">
        <f t="shared" si="61"/>
        <v>Projected</v>
      </c>
      <c r="Y254" s="418" t="str">
        <f t="shared" si="73"/>
        <v>101-C303</v>
      </c>
      <c r="Z254" s="418">
        <f t="shared" si="74"/>
        <v>0</v>
      </c>
      <c r="AA254" s="418">
        <f t="shared" si="75"/>
        <v>0</v>
      </c>
      <c r="AB254" s="418">
        <f t="shared" si="76"/>
        <v>231211.01366999999</v>
      </c>
      <c r="AC254" s="418">
        <f t="shared" si="77"/>
        <v>2858580.762414</v>
      </c>
      <c r="AD254" s="418">
        <f t="shared" si="78"/>
        <v>0</v>
      </c>
      <c r="AE254" s="413">
        <f t="shared" si="79"/>
        <v>0</v>
      </c>
    </row>
    <row r="255" spans="1:31" x14ac:dyDescent="0.3">
      <c r="A255" s="418" t="s">
        <v>1605</v>
      </c>
      <c r="B255" s="418" t="s">
        <v>1714</v>
      </c>
      <c r="C255" s="418" t="s">
        <v>26</v>
      </c>
      <c r="D255" s="418" t="str">
        <f t="shared" si="62"/>
        <v>101-C303</v>
      </c>
      <c r="E255" s="418">
        <v>0</v>
      </c>
      <c r="F255" s="418">
        <v>10995526.51</v>
      </c>
      <c r="G255" s="418">
        <v>13962391.27</v>
      </c>
      <c r="H255" s="418">
        <v>19358680.010000002</v>
      </c>
      <c r="I255" s="418">
        <v>0</v>
      </c>
      <c r="J255" s="413">
        <v>0</v>
      </c>
      <c r="L255" s="418" t="str">
        <f t="shared" si="63"/>
        <v>Projected - Common</v>
      </c>
      <c r="M255" s="418" t="str">
        <f t="shared" si="64"/>
        <v>C303.3 INT Misc Intangible Plant</v>
      </c>
      <c r="N255" s="418" t="str">
        <f t="shared" si="60"/>
        <v>Projected</v>
      </c>
      <c r="O255" s="418" t="str">
        <f t="shared" si="65"/>
        <v>101-C303</v>
      </c>
      <c r="P255" s="418">
        <f t="shared" si="66"/>
        <v>0</v>
      </c>
      <c r="Q255" s="418">
        <f t="shared" si="67"/>
        <v>7250450.1806939999</v>
      </c>
      <c r="R255" s="418">
        <f t="shared" si="68"/>
        <v>9206800.8034380004</v>
      </c>
      <c r="S255" s="418">
        <f t="shared" si="69"/>
        <v>12765113.598594001</v>
      </c>
      <c r="T255" s="418">
        <f t="shared" si="70"/>
        <v>0</v>
      </c>
      <c r="V255" s="418" t="str">
        <f t="shared" si="71"/>
        <v>Projected - Common</v>
      </c>
      <c r="W255" s="418" t="str">
        <f t="shared" si="72"/>
        <v>C303.3 INT Misc Intangible Plant</v>
      </c>
      <c r="X255" s="418" t="str">
        <f t="shared" si="61"/>
        <v>Projected</v>
      </c>
      <c r="Y255" s="418" t="str">
        <f t="shared" si="73"/>
        <v>101-C303</v>
      </c>
      <c r="Z255" s="418">
        <f t="shared" si="74"/>
        <v>0</v>
      </c>
      <c r="AA255" s="418">
        <f t="shared" si="75"/>
        <v>3745076.3293059999</v>
      </c>
      <c r="AB255" s="418">
        <f t="shared" si="76"/>
        <v>4755590.4665620001</v>
      </c>
      <c r="AC255" s="418">
        <f t="shared" si="77"/>
        <v>6593566.4114060011</v>
      </c>
      <c r="AD255" s="418">
        <f t="shared" si="78"/>
        <v>0</v>
      </c>
      <c r="AE255" s="413">
        <f t="shared" si="79"/>
        <v>0</v>
      </c>
    </row>
    <row r="256" spans="1:31" x14ac:dyDescent="0.3">
      <c r="A256" s="418" t="s">
        <v>1605</v>
      </c>
      <c r="B256" s="418" t="s">
        <v>1908</v>
      </c>
      <c r="C256" s="418" t="s">
        <v>26</v>
      </c>
      <c r="D256" s="418" t="str">
        <f t="shared" si="62"/>
        <v>101-C303</v>
      </c>
      <c r="E256" s="418">
        <v>0</v>
      </c>
      <c r="F256" s="418">
        <v>12159773.51</v>
      </c>
      <c r="G256" s="418">
        <v>20040247.260000002</v>
      </c>
      <c r="H256" s="418">
        <v>63132605.759999998</v>
      </c>
      <c r="I256" s="418">
        <v>0</v>
      </c>
      <c r="J256" s="413">
        <v>0</v>
      </c>
      <c r="L256" s="418" t="str">
        <f t="shared" si="63"/>
        <v>Projected - Common</v>
      </c>
      <c r="M256" s="418" t="str">
        <f t="shared" si="64"/>
        <v>C303.5 INT Misc Intangible Plant</v>
      </c>
      <c r="N256" s="418" t="str">
        <f t="shared" si="60"/>
        <v>Projected</v>
      </c>
      <c r="O256" s="418" t="str">
        <f t="shared" si="65"/>
        <v>101-C303</v>
      </c>
      <c r="P256" s="418">
        <f t="shared" si="66"/>
        <v>0</v>
      </c>
      <c r="Q256" s="418">
        <f t="shared" si="67"/>
        <v>8018154.6524939993</v>
      </c>
      <c r="R256" s="418">
        <f t="shared" si="68"/>
        <v>13214539.043244001</v>
      </c>
      <c r="S256" s="418">
        <f t="shared" si="69"/>
        <v>41629640.238143995</v>
      </c>
      <c r="T256" s="418">
        <f t="shared" si="70"/>
        <v>0</v>
      </c>
      <c r="V256" s="418" t="str">
        <f t="shared" si="71"/>
        <v>Projected - Common</v>
      </c>
      <c r="W256" s="418" t="str">
        <f t="shared" si="72"/>
        <v>C303.5 INT Misc Intangible Plant</v>
      </c>
      <c r="X256" s="418" t="str">
        <f t="shared" si="61"/>
        <v>Projected</v>
      </c>
      <c r="Y256" s="418" t="str">
        <f t="shared" si="73"/>
        <v>101-C303</v>
      </c>
      <c r="Z256" s="418">
        <f t="shared" si="74"/>
        <v>0</v>
      </c>
      <c r="AA256" s="418">
        <f t="shared" si="75"/>
        <v>4141618.857506</v>
      </c>
      <c r="AB256" s="418">
        <f t="shared" si="76"/>
        <v>6825708.2167560011</v>
      </c>
      <c r="AC256" s="418">
        <f t="shared" si="77"/>
        <v>21502965.521855999</v>
      </c>
      <c r="AD256" s="418">
        <f t="shared" si="78"/>
        <v>0</v>
      </c>
      <c r="AE256" s="413">
        <f t="shared" si="79"/>
        <v>0</v>
      </c>
    </row>
    <row r="257" spans="1:31" x14ac:dyDescent="0.3">
      <c r="A257" s="418" t="s">
        <v>1605</v>
      </c>
      <c r="B257" s="418" t="s">
        <v>1907</v>
      </c>
      <c r="C257" s="418" t="s">
        <v>26</v>
      </c>
      <c r="D257" s="418" t="str">
        <f t="shared" si="62"/>
        <v>101-C303</v>
      </c>
      <c r="E257" s="418">
        <v>0</v>
      </c>
      <c r="F257" s="418">
        <v>0</v>
      </c>
      <c r="G257" s="418">
        <v>1037855.22</v>
      </c>
      <c r="H257" s="418">
        <v>5432263.5599999996</v>
      </c>
      <c r="I257" s="418">
        <v>0</v>
      </c>
      <c r="J257" s="413">
        <v>0</v>
      </c>
      <c r="L257" s="418" t="str">
        <f t="shared" si="63"/>
        <v>Projected - Common</v>
      </c>
      <c r="M257" s="418" t="str">
        <f t="shared" si="64"/>
        <v>C303.7 INT Misc Intangible Plant</v>
      </c>
      <c r="N257" s="418" t="str">
        <f t="shared" si="60"/>
        <v>Projected</v>
      </c>
      <c r="O257" s="418" t="str">
        <f t="shared" si="65"/>
        <v>101-C303</v>
      </c>
      <c r="P257" s="418">
        <f t="shared" si="66"/>
        <v>0</v>
      </c>
      <c r="Q257" s="418">
        <f t="shared" si="67"/>
        <v>0</v>
      </c>
      <c r="R257" s="418">
        <f t="shared" si="68"/>
        <v>684361.73206800001</v>
      </c>
      <c r="S257" s="418">
        <f t="shared" si="69"/>
        <v>3582034.5914639998</v>
      </c>
      <c r="T257" s="418">
        <f t="shared" si="70"/>
        <v>0</v>
      </c>
      <c r="V257" s="418" t="str">
        <f t="shared" si="71"/>
        <v>Projected - Common</v>
      </c>
      <c r="W257" s="418" t="str">
        <f t="shared" si="72"/>
        <v>C303.7 INT Misc Intangible Plant</v>
      </c>
      <c r="X257" s="418" t="str">
        <f t="shared" si="61"/>
        <v>Projected</v>
      </c>
      <c r="Y257" s="418" t="str">
        <f t="shared" si="73"/>
        <v>101-C303</v>
      </c>
      <c r="Z257" s="418">
        <f t="shared" si="74"/>
        <v>0</v>
      </c>
      <c r="AA257" s="418">
        <f t="shared" si="75"/>
        <v>0</v>
      </c>
      <c r="AB257" s="418">
        <f t="shared" si="76"/>
        <v>353493.48793200002</v>
      </c>
      <c r="AC257" s="418">
        <f t="shared" si="77"/>
        <v>1850228.968536</v>
      </c>
      <c r="AD257" s="418">
        <f t="shared" si="78"/>
        <v>0</v>
      </c>
      <c r="AE257" s="413">
        <f t="shared" si="79"/>
        <v>0</v>
      </c>
    </row>
    <row r="258" spans="1:31" x14ac:dyDescent="0.3">
      <c r="A258" s="418" t="s">
        <v>1605</v>
      </c>
      <c r="B258" s="418" t="s">
        <v>1906</v>
      </c>
      <c r="C258" s="418" t="s">
        <v>26</v>
      </c>
      <c r="D258" s="418" t="str">
        <f t="shared" si="62"/>
        <v>101-C303</v>
      </c>
      <c r="E258" s="418">
        <v>0</v>
      </c>
      <c r="F258" s="418">
        <v>0</v>
      </c>
      <c r="G258" s="418">
        <v>64859.96</v>
      </c>
      <c r="H258" s="418">
        <v>1556639.1</v>
      </c>
      <c r="I258" s="418">
        <v>0</v>
      </c>
      <c r="J258" s="413">
        <v>0</v>
      </c>
      <c r="L258" s="418" t="str">
        <f t="shared" si="63"/>
        <v>Projected - Common</v>
      </c>
      <c r="M258" s="418" t="str">
        <f t="shared" si="64"/>
        <v>C303.8 INT Misc Intangible Plant</v>
      </c>
      <c r="N258" s="418" t="str">
        <f t="shared" si="60"/>
        <v>Projected</v>
      </c>
      <c r="O258" s="418" t="str">
        <f t="shared" si="65"/>
        <v>101-C303</v>
      </c>
      <c r="P258" s="418">
        <f t="shared" si="66"/>
        <v>0</v>
      </c>
      <c r="Q258" s="418">
        <f t="shared" si="67"/>
        <v>0</v>
      </c>
      <c r="R258" s="418">
        <f t="shared" si="68"/>
        <v>42768.657623999999</v>
      </c>
      <c r="S258" s="418">
        <f t="shared" si="69"/>
        <v>1026447.8225400001</v>
      </c>
      <c r="T258" s="418">
        <f t="shared" si="70"/>
        <v>0</v>
      </c>
      <c r="V258" s="418" t="str">
        <f t="shared" si="71"/>
        <v>Projected - Common</v>
      </c>
      <c r="W258" s="418" t="str">
        <f t="shared" si="72"/>
        <v>C303.8 INT Misc Intangible Plant</v>
      </c>
      <c r="X258" s="418" t="str">
        <f t="shared" si="61"/>
        <v>Projected</v>
      </c>
      <c r="Y258" s="418" t="str">
        <f t="shared" si="73"/>
        <v>101-C303</v>
      </c>
      <c r="Z258" s="418">
        <f t="shared" si="74"/>
        <v>0</v>
      </c>
      <c r="AA258" s="418">
        <f t="shared" si="75"/>
        <v>0</v>
      </c>
      <c r="AB258" s="418">
        <f t="shared" si="76"/>
        <v>22091.302376</v>
      </c>
      <c r="AC258" s="418">
        <f t="shared" si="77"/>
        <v>530191.27746000001</v>
      </c>
      <c r="AD258" s="418">
        <f t="shared" si="78"/>
        <v>0</v>
      </c>
      <c r="AE258" s="413">
        <f t="shared" si="79"/>
        <v>0</v>
      </c>
    </row>
    <row r="259" spans="1:31" x14ac:dyDescent="0.3">
      <c r="A259" s="418" t="s">
        <v>1605</v>
      </c>
      <c r="B259" s="418" t="s">
        <v>1905</v>
      </c>
      <c r="C259" s="418" t="s">
        <v>26</v>
      </c>
      <c r="D259" s="418" t="str">
        <f t="shared" si="62"/>
        <v>101-C389</v>
      </c>
      <c r="E259" s="418">
        <v>0</v>
      </c>
      <c r="F259" s="418">
        <v>0</v>
      </c>
      <c r="G259" s="418">
        <v>2800000.01</v>
      </c>
      <c r="H259" s="418">
        <v>8400000.0500000007</v>
      </c>
      <c r="I259" s="418">
        <v>0</v>
      </c>
      <c r="J259" s="413">
        <v>0</v>
      </c>
      <c r="L259" s="418" t="str">
        <f t="shared" si="63"/>
        <v>Projected - Common</v>
      </c>
      <c r="M259" s="418" t="str">
        <f t="shared" si="64"/>
        <v>C389 CMN Land &amp; Land Rights</v>
      </c>
      <c r="N259" s="418" t="str">
        <f t="shared" si="60"/>
        <v>Projected</v>
      </c>
      <c r="O259" s="418" t="str">
        <f t="shared" si="65"/>
        <v>101-C389</v>
      </c>
      <c r="P259" s="418">
        <f t="shared" si="66"/>
        <v>0</v>
      </c>
      <c r="Q259" s="418">
        <f t="shared" si="67"/>
        <v>0</v>
      </c>
      <c r="R259" s="418">
        <f t="shared" si="68"/>
        <v>1846320.0065939999</v>
      </c>
      <c r="S259" s="418">
        <f t="shared" si="69"/>
        <v>5538960.0329700001</v>
      </c>
      <c r="T259" s="418">
        <f t="shared" si="70"/>
        <v>0</v>
      </c>
      <c r="V259" s="418" t="str">
        <f t="shared" si="71"/>
        <v>Projected - Common</v>
      </c>
      <c r="W259" s="418" t="str">
        <f t="shared" si="72"/>
        <v>C389 CMN Land &amp; Land Rights</v>
      </c>
      <c r="X259" s="418" t="str">
        <f t="shared" si="61"/>
        <v>Projected</v>
      </c>
      <c r="Y259" s="418" t="str">
        <f t="shared" si="73"/>
        <v>101-C389</v>
      </c>
      <c r="Z259" s="418">
        <f t="shared" si="74"/>
        <v>0</v>
      </c>
      <c r="AA259" s="418">
        <f t="shared" si="75"/>
        <v>0</v>
      </c>
      <c r="AB259" s="418">
        <f t="shared" si="76"/>
        <v>953680.00340599997</v>
      </c>
      <c r="AC259" s="418">
        <f t="shared" si="77"/>
        <v>2861040.0170300002</v>
      </c>
      <c r="AD259" s="418">
        <f t="shared" si="78"/>
        <v>0</v>
      </c>
      <c r="AE259" s="413">
        <f t="shared" si="79"/>
        <v>0</v>
      </c>
    </row>
    <row r="260" spans="1:31" x14ac:dyDescent="0.3">
      <c r="A260" s="418" t="s">
        <v>1605</v>
      </c>
      <c r="B260" s="418" t="s">
        <v>1904</v>
      </c>
      <c r="C260" s="418" t="s">
        <v>26</v>
      </c>
      <c r="D260" s="418" t="str">
        <f t="shared" si="62"/>
        <v>101-C390</v>
      </c>
      <c r="E260" s="418">
        <v>0</v>
      </c>
      <c r="F260" s="418">
        <v>106618.31</v>
      </c>
      <c r="G260" s="418">
        <v>106618.31</v>
      </c>
      <c r="H260" s="418">
        <v>106618.31</v>
      </c>
      <c r="I260" s="418">
        <v>0</v>
      </c>
      <c r="J260" s="413">
        <v>0</v>
      </c>
      <c r="L260" s="418" t="str">
        <f t="shared" si="63"/>
        <v>Projected - Common</v>
      </c>
      <c r="M260" s="418" t="str">
        <f t="shared" si="64"/>
        <v>C3900 CMN Str/Impv, Fleet Svc Facl</v>
      </c>
      <c r="N260" s="418" t="str">
        <f t="shared" ref="N260:N323" si="80">C260</f>
        <v>Projected</v>
      </c>
      <c r="O260" s="418" t="str">
        <f t="shared" si="65"/>
        <v>101-C390</v>
      </c>
      <c r="P260" s="418">
        <f t="shared" si="66"/>
        <v>0</v>
      </c>
      <c r="Q260" s="418">
        <f t="shared" si="67"/>
        <v>70304.113614000002</v>
      </c>
      <c r="R260" s="418">
        <f t="shared" si="68"/>
        <v>70304.113614000002</v>
      </c>
      <c r="S260" s="418">
        <f t="shared" si="69"/>
        <v>70304.113614000002</v>
      </c>
      <c r="T260" s="418">
        <f t="shared" si="70"/>
        <v>0</v>
      </c>
      <c r="V260" s="418" t="str">
        <f t="shared" si="71"/>
        <v>Projected - Common</v>
      </c>
      <c r="W260" s="418" t="str">
        <f t="shared" si="72"/>
        <v>C3900 CMN Str/Impv, Fleet Svc Facl</v>
      </c>
      <c r="X260" s="418" t="str">
        <f t="shared" ref="X260:X323" si="81">C260</f>
        <v>Projected</v>
      </c>
      <c r="Y260" s="418" t="str">
        <f t="shared" si="73"/>
        <v>101-C390</v>
      </c>
      <c r="Z260" s="418">
        <f t="shared" si="74"/>
        <v>0</v>
      </c>
      <c r="AA260" s="418">
        <f t="shared" si="75"/>
        <v>36314.196386000003</v>
      </c>
      <c r="AB260" s="418">
        <f t="shared" si="76"/>
        <v>36314.196386000003</v>
      </c>
      <c r="AC260" s="418">
        <f t="shared" si="77"/>
        <v>36314.196386000003</v>
      </c>
      <c r="AD260" s="418">
        <f t="shared" si="78"/>
        <v>0</v>
      </c>
      <c r="AE260" s="413">
        <f t="shared" si="79"/>
        <v>0</v>
      </c>
    </row>
    <row r="261" spans="1:31" x14ac:dyDescent="0.3">
      <c r="A261" s="415" t="s">
        <v>1605</v>
      </c>
      <c r="B261" s="418" t="s">
        <v>1903</v>
      </c>
      <c r="C261" s="418" t="s">
        <v>26</v>
      </c>
      <c r="D261" s="418" t="str">
        <f t="shared" ref="D261:D324" si="82">"101-"&amp; LEFT(B261,4)</f>
        <v>101-C390</v>
      </c>
      <c r="E261" s="418">
        <v>0</v>
      </c>
      <c r="F261" s="418">
        <v>133857.75</v>
      </c>
      <c r="G261" s="418">
        <v>133857.75</v>
      </c>
      <c r="H261" s="418">
        <v>133857.75</v>
      </c>
      <c r="I261" s="418">
        <v>0</v>
      </c>
      <c r="J261" s="413">
        <v>0</v>
      </c>
      <c r="L261" s="418" t="str">
        <f t="shared" ref="L261:L324" si="83">A261</f>
        <v>Projected - Common</v>
      </c>
      <c r="M261" s="418" t="str">
        <f t="shared" ref="M261:M324" si="84">B261</f>
        <v>C3900 CMN Str/Impv, Kittitas Svc Ct</v>
      </c>
      <c r="N261" s="418" t="str">
        <f t="shared" si="80"/>
        <v>Projected</v>
      </c>
      <c r="O261" s="418" t="str">
        <f t="shared" ref="O261:O324" si="85">D261</f>
        <v>101-C390</v>
      </c>
      <c r="P261" s="418">
        <f t="shared" ref="P261:P324" si="86">IF(MID($O261,5,1)="C",E261*$F$1,IF(MID($O261,5,1)="G",0,E261))</f>
        <v>0</v>
      </c>
      <c r="Q261" s="418">
        <f t="shared" ref="Q261:Q324" si="87">IF(MID($O261,5,1)="C",F261*$F$1,IF(MID($O261,5,1)="G",0,F261))</f>
        <v>88265.800350000005</v>
      </c>
      <c r="R261" s="418">
        <f t="shared" ref="R261:R324" si="88">IF(MID($O261,5,1)="C",G261*$F$1,IF(MID($O261,5,1)="G",0,G261))</f>
        <v>88265.800350000005</v>
      </c>
      <c r="S261" s="418">
        <f t="shared" ref="S261:S324" si="89">IF(MID($O261,5,1)="C",H261*$F$1,IF(MID($O261,5,1)="G",0,H261))</f>
        <v>88265.800350000005</v>
      </c>
      <c r="T261" s="418">
        <f t="shared" ref="T261:T324" si="90">IF(MID($O261,5,1)="C",I261*$F$1,IF(MID($O261,5,1)="G",0,I261))</f>
        <v>0</v>
      </c>
      <c r="V261" s="418" t="str">
        <f t="shared" ref="V261:V324" si="91">A261</f>
        <v>Projected - Common</v>
      </c>
      <c r="W261" s="418" t="str">
        <f t="shared" ref="W261:W324" si="92">B261</f>
        <v>C3900 CMN Str/Impv, Kittitas Svc Ct</v>
      </c>
      <c r="X261" s="418" t="str">
        <f t="shared" si="81"/>
        <v>Projected</v>
      </c>
      <c r="Y261" s="418" t="str">
        <f t="shared" ref="Y261:Y324" si="93">D261</f>
        <v>101-C390</v>
      </c>
      <c r="Z261" s="418">
        <f t="shared" ref="Z261:Z324" si="94">IF(MID($O261,5,1)="C",E261*$D$1,IF(MID($O261,5,1)="E",0,E261))</f>
        <v>0</v>
      </c>
      <c r="AA261" s="418">
        <f t="shared" ref="AA261:AA324" si="95">IF(MID($O261,5,1)="C",F261*$D$1,IF(MID($O261,5,1)="E",0,F261))</f>
        <v>45591.949650000002</v>
      </c>
      <c r="AB261" s="418">
        <f t="shared" ref="AB261:AB324" si="96">IF(MID($O261,5,1)="C",G261*$D$1,IF(MID($O261,5,1)="E",0,G261))</f>
        <v>45591.949650000002</v>
      </c>
      <c r="AC261" s="418">
        <f t="shared" ref="AC261:AC324" si="97">IF(MID($O261,5,1)="C",H261*$D$1,IF(MID($O261,5,1)="E",0,H261))</f>
        <v>45591.949650000002</v>
      </c>
      <c r="AD261" s="418">
        <f t="shared" ref="AD261:AD324" si="98">IF(MID($O261,5,1)="C",I261*$D$1,IF(MID($O261,5,1)="E",0,I261))</f>
        <v>0</v>
      </c>
      <c r="AE261" s="413">
        <f t="shared" ref="AE261:AE324" si="99">SUM(E261:I261)-SUM(P261:T261)-SUM(Z261:AD261)</f>
        <v>0</v>
      </c>
    </row>
    <row r="262" spans="1:31" x14ac:dyDescent="0.3">
      <c r="A262" s="415" t="s">
        <v>1605</v>
      </c>
      <c r="B262" s="418" t="s">
        <v>1902</v>
      </c>
      <c r="C262" s="418" t="s">
        <v>26</v>
      </c>
      <c r="D262" s="418" t="str">
        <f t="shared" si="82"/>
        <v>101-C390</v>
      </c>
      <c r="E262" s="418">
        <v>0</v>
      </c>
      <c r="F262" s="418">
        <v>36597.17</v>
      </c>
      <c r="G262" s="418">
        <v>36597.17</v>
      </c>
      <c r="H262" s="418">
        <v>36597.17</v>
      </c>
      <c r="I262" s="418">
        <v>0</v>
      </c>
      <c r="J262" s="413">
        <v>0</v>
      </c>
      <c r="L262" s="418" t="str">
        <f t="shared" si="83"/>
        <v>Projected - Common</v>
      </c>
      <c r="M262" s="418" t="str">
        <f t="shared" si="84"/>
        <v>C3900 CMN Str/Impv, Olympia Svc Ctr</v>
      </c>
      <c r="N262" s="418" t="str">
        <f t="shared" si="80"/>
        <v>Projected</v>
      </c>
      <c r="O262" s="418" t="str">
        <f t="shared" si="85"/>
        <v>101-C390</v>
      </c>
      <c r="P262" s="418">
        <f t="shared" si="86"/>
        <v>0</v>
      </c>
      <c r="Q262" s="418">
        <f t="shared" si="87"/>
        <v>24132.173897999997</v>
      </c>
      <c r="R262" s="418">
        <f t="shared" si="88"/>
        <v>24132.173897999997</v>
      </c>
      <c r="S262" s="418">
        <f t="shared" si="89"/>
        <v>24132.173897999997</v>
      </c>
      <c r="T262" s="418">
        <f t="shared" si="90"/>
        <v>0</v>
      </c>
      <c r="V262" s="418" t="str">
        <f t="shared" si="91"/>
        <v>Projected - Common</v>
      </c>
      <c r="W262" s="418" t="str">
        <f t="shared" si="92"/>
        <v>C3900 CMN Str/Impv, Olympia Svc Ctr</v>
      </c>
      <c r="X262" s="418" t="str">
        <f t="shared" si="81"/>
        <v>Projected</v>
      </c>
      <c r="Y262" s="418" t="str">
        <f t="shared" si="93"/>
        <v>101-C390</v>
      </c>
      <c r="Z262" s="418">
        <f t="shared" si="94"/>
        <v>0</v>
      </c>
      <c r="AA262" s="418">
        <f t="shared" si="95"/>
        <v>12464.996101999999</v>
      </c>
      <c r="AB262" s="418">
        <f t="shared" si="96"/>
        <v>12464.996101999999</v>
      </c>
      <c r="AC262" s="418">
        <f t="shared" si="97"/>
        <v>12464.996101999999</v>
      </c>
      <c r="AD262" s="418">
        <f t="shared" si="98"/>
        <v>0</v>
      </c>
      <c r="AE262" s="413">
        <f t="shared" si="99"/>
        <v>0</v>
      </c>
    </row>
    <row r="263" spans="1:31" x14ac:dyDescent="0.3">
      <c r="A263" s="415" t="s">
        <v>1605</v>
      </c>
      <c r="B263" s="418" t="s">
        <v>1901</v>
      </c>
      <c r="C263" s="418" t="s">
        <v>26</v>
      </c>
      <c r="D263" s="418" t="str">
        <f t="shared" si="82"/>
        <v>101-C390</v>
      </c>
      <c r="E263" s="418">
        <v>0</v>
      </c>
      <c r="F263" s="418">
        <v>68079.240000000005</v>
      </c>
      <c r="G263" s="418">
        <v>172245.91</v>
      </c>
      <c r="H263" s="418">
        <v>2568079.2400000002</v>
      </c>
      <c r="I263" s="418">
        <v>0</v>
      </c>
      <c r="J263" s="413">
        <v>0</v>
      </c>
      <c r="L263" s="418" t="str">
        <f t="shared" si="83"/>
        <v>Projected - Common</v>
      </c>
      <c r="M263" s="418" t="str">
        <f t="shared" si="84"/>
        <v>C3900 CMN Str/Impv, S King Complex</v>
      </c>
      <c r="N263" s="418" t="str">
        <f t="shared" si="80"/>
        <v>Projected</v>
      </c>
      <c r="O263" s="418" t="str">
        <f t="shared" si="85"/>
        <v>101-C390</v>
      </c>
      <c r="P263" s="418">
        <f t="shared" si="86"/>
        <v>0</v>
      </c>
      <c r="Q263" s="418">
        <f t="shared" si="87"/>
        <v>44891.450856000003</v>
      </c>
      <c r="R263" s="418">
        <f t="shared" si="88"/>
        <v>113578.953054</v>
      </c>
      <c r="S263" s="418">
        <f t="shared" si="89"/>
        <v>1693391.4508560002</v>
      </c>
      <c r="T263" s="418">
        <f t="shared" si="90"/>
        <v>0</v>
      </c>
      <c r="V263" s="418" t="str">
        <f t="shared" si="91"/>
        <v>Projected - Common</v>
      </c>
      <c r="W263" s="418" t="str">
        <f t="shared" si="92"/>
        <v>C3900 CMN Str/Impv, S King Complex</v>
      </c>
      <c r="X263" s="418" t="str">
        <f t="shared" si="81"/>
        <v>Projected</v>
      </c>
      <c r="Y263" s="418" t="str">
        <f t="shared" si="93"/>
        <v>101-C390</v>
      </c>
      <c r="Z263" s="418">
        <f t="shared" si="94"/>
        <v>0</v>
      </c>
      <c r="AA263" s="418">
        <f t="shared" si="95"/>
        <v>23187.789144000002</v>
      </c>
      <c r="AB263" s="418">
        <f t="shared" si="96"/>
        <v>58666.956946000006</v>
      </c>
      <c r="AC263" s="418">
        <f t="shared" si="97"/>
        <v>874687.78914400015</v>
      </c>
      <c r="AD263" s="418">
        <f t="shared" si="98"/>
        <v>0</v>
      </c>
      <c r="AE263" s="413">
        <f t="shared" si="99"/>
        <v>0</v>
      </c>
    </row>
    <row r="264" spans="1:31" x14ac:dyDescent="0.3">
      <c r="A264" s="415" t="s">
        <v>1605</v>
      </c>
      <c r="B264" s="418" t="s">
        <v>1900</v>
      </c>
      <c r="C264" s="418" t="s">
        <v>26</v>
      </c>
      <c r="D264" s="418" t="str">
        <f t="shared" si="82"/>
        <v>101-C390</v>
      </c>
      <c r="E264" s="418">
        <v>0</v>
      </c>
      <c r="F264" s="418">
        <v>227477.26</v>
      </c>
      <c r="G264" s="418">
        <v>227477.26</v>
      </c>
      <c r="H264" s="418">
        <v>227477.26</v>
      </c>
      <c r="I264" s="418">
        <v>0</v>
      </c>
      <c r="J264" s="413">
        <v>0</v>
      </c>
      <c r="L264" s="418" t="str">
        <f t="shared" si="83"/>
        <v>Projected - Common</v>
      </c>
      <c r="M264" s="418" t="str">
        <f t="shared" si="84"/>
        <v>C3900 CMN Str/Impv, Tacoma Office</v>
      </c>
      <c r="N264" s="418" t="str">
        <f t="shared" si="80"/>
        <v>Projected</v>
      </c>
      <c r="O264" s="418" t="str">
        <f t="shared" si="85"/>
        <v>101-C390</v>
      </c>
      <c r="P264" s="418">
        <f t="shared" si="86"/>
        <v>0</v>
      </c>
      <c r="Q264" s="418">
        <f t="shared" si="87"/>
        <v>149998.505244</v>
      </c>
      <c r="R264" s="418">
        <f t="shared" si="88"/>
        <v>149998.505244</v>
      </c>
      <c r="S264" s="418">
        <f t="shared" si="89"/>
        <v>149998.505244</v>
      </c>
      <c r="T264" s="418">
        <f t="shared" si="90"/>
        <v>0</v>
      </c>
      <c r="V264" s="418" t="str">
        <f t="shared" si="91"/>
        <v>Projected - Common</v>
      </c>
      <c r="W264" s="418" t="str">
        <f t="shared" si="92"/>
        <v>C3900 CMN Str/Impv, Tacoma Office</v>
      </c>
      <c r="X264" s="418" t="str">
        <f t="shared" si="81"/>
        <v>Projected</v>
      </c>
      <c r="Y264" s="418" t="str">
        <f t="shared" si="93"/>
        <v>101-C390</v>
      </c>
      <c r="Z264" s="418">
        <f t="shared" si="94"/>
        <v>0</v>
      </c>
      <c r="AA264" s="418">
        <f t="shared" si="95"/>
        <v>77478.754756000009</v>
      </c>
      <c r="AB264" s="418">
        <f t="shared" si="96"/>
        <v>77478.754756000009</v>
      </c>
      <c r="AC264" s="418">
        <f t="shared" si="97"/>
        <v>77478.754756000009</v>
      </c>
      <c r="AD264" s="418">
        <f t="shared" si="98"/>
        <v>0</v>
      </c>
      <c r="AE264" s="413">
        <f t="shared" si="99"/>
        <v>0</v>
      </c>
    </row>
    <row r="265" spans="1:31" x14ac:dyDescent="0.3">
      <c r="A265" s="415" t="s">
        <v>1605</v>
      </c>
      <c r="B265" s="418" t="s">
        <v>1899</v>
      </c>
      <c r="C265" s="418" t="s">
        <v>26</v>
      </c>
      <c r="D265" s="418" t="str">
        <f t="shared" si="82"/>
        <v>101-C390</v>
      </c>
      <c r="E265" s="418">
        <v>0</v>
      </c>
      <c r="F265" s="418">
        <v>1365302.82</v>
      </c>
      <c r="G265" s="418">
        <v>1365302.82</v>
      </c>
      <c r="H265" s="418">
        <v>1365302.82</v>
      </c>
      <c r="I265" s="418">
        <v>0</v>
      </c>
      <c r="J265" s="413">
        <v>0</v>
      </c>
      <c r="L265" s="418" t="str">
        <f t="shared" si="83"/>
        <v>Projected - Common</v>
      </c>
      <c r="M265" s="418" t="str">
        <f t="shared" si="84"/>
        <v>C3900 CMN Structure &amp; Improvement</v>
      </c>
      <c r="N265" s="418" t="str">
        <f t="shared" si="80"/>
        <v>Projected</v>
      </c>
      <c r="O265" s="418" t="str">
        <f t="shared" si="85"/>
        <v>101-C390</v>
      </c>
      <c r="P265" s="418">
        <f t="shared" si="86"/>
        <v>0</v>
      </c>
      <c r="Q265" s="418">
        <f t="shared" si="87"/>
        <v>900280.67950800003</v>
      </c>
      <c r="R265" s="418">
        <f t="shared" si="88"/>
        <v>900280.67950800003</v>
      </c>
      <c r="S265" s="418">
        <f t="shared" si="89"/>
        <v>900280.67950800003</v>
      </c>
      <c r="T265" s="418">
        <f t="shared" si="90"/>
        <v>0</v>
      </c>
      <c r="V265" s="418" t="str">
        <f t="shared" si="91"/>
        <v>Projected - Common</v>
      </c>
      <c r="W265" s="418" t="str">
        <f t="shared" si="92"/>
        <v>C3900 CMN Structure &amp; Improvement</v>
      </c>
      <c r="X265" s="418" t="str">
        <f t="shared" si="81"/>
        <v>Projected</v>
      </c>
      <c r="Y265" s="418" t="str">
        <f t="shared" si="93"/>
        <v>101-C390</v>
      </c>
      <c r="Z265" s="418">
        <f t="shared" si="94"/>
        <v>0</v>
      </c>
      <c r="AA265" s="418">
        <f t="shared" si="95"/>
        <v>465022.14049200004</v>
      </c>
      <c r="AB265" s="418">
        <f t="shared" si="96"/>
        <v>465022.14049200004</v>
      </c>
      <c r="AC265" s="418">
        <f t="shared" si="97"/>
        <v>465022.14049200004</v>
      </c>
      <c r="AD265" s="418">
        <f t="shared" si="98"/>
        <v>0</v>
      </c>
      <c r="AE265" s="413">
        <f t="shared" si="99"/>
        <v>0</v>
      </c>
    </row>
    <row r="266" spans="1:31" x14ac:dyDescent="0.3">
      <c r="A266" s="415" t="s">
        <v>1605</v>
      </c>
      <c r="B266" s="418" t="s">
        <v>1898</v>
      </c>
      <c r="C266" s="418" t="s">
        <v>26</v>
      </c>
      <c r="D266" s="418" t="str">
        <f t="shared" si="82"/>
        <v>101-C390</v>
      </c>
      <c r="E266" s="418">
        <v>0</v>
      </c>
      <c r="F266" s="418">
        <v>222496.31</v>
      </c>
      <c r="G266" s="418">
        <v>222525.81</v>
      </c>
      <c r="H266" s="418">
        <v>223233.71</v>
      </c>
      <c r="I266" s="418">
        <v>0</v>
      </c>
      <c r="J266" s="413">
        <v>0</v>
      </c>
      <c r="L266" s="418" t="str">
        <f t="shared" si="83"/>
        <v>Projected - Common</v>
      </c>
      <c r="M266" s="418" t="str">
        <f t="shared" si="84"/>
        <v>C3901 CMN LH, Bothell Access Center</v>
      </c>
      <c r="N266" s="418" t="str">
        <f t="shared" si="80"/>
        <v>Projected</v>
      </c>
      <c r="O266" s="418" t="str">
        <f t="shared" si="85"/>
        <v>101-C390</v>
      </c>
      <c r="P266" s="418">
        <f t="shared" si="86"/>
        <v>0</v>
      </c>
      <c r="Q266" s="418">
        <f t="shared" si="87"/>
        <v>146714.06681399999</v>
      </c>
      <c r="R266" s="418">
        <f t="shared" si="88"/>
        <v>146733.519114</v>
      </c>
      <c r="S266" s="418">
        <f t="shared" si="89"/>
        <v>147200.30837399999</v>
      </c>
      <c r="T266" s="418">
        <f t="shared" si="90"/>
        <v>0</v>
      </c>
      <c r="V266" s="418" t="str">
        <f t="shared" si="91"/>
        <v>Projected - Common</v>
      </c>
      <c r="W266" s="418" t="str">
        <f t="shared" si="92"/>
        <v>C3901 CMN LH, Bothell Access Center</v>
      </c>
      <c r="X266" s="418" t="str">
        <f t="shared" si="81"/>
        <v>Projected</v>
      </c>
      <c r="Y266" s="418" t="str">
        <f t="shared" si="93"/>
        <v>101-C390</v>
      </c>
      <c r="Z266" s="418">
        <f t="shared" si="94"/>
        <v>0</v>
      </c>
      <c r="AA266" s="418">
        <f t="shared" si="95"/>
        <v>75782.243186000007</v>
      </c>
      <c r="AB266" s="418">
        <f t="shared" si="96"/>
        <v>75792.290886000003</v>
      </c>
      <c r="AC266" s="418">
        <f t="shared" si="97"/>
        <v>76033.401626000006</v>
      </c>
      <c r="AD266" s="418">
        <f t="shared" si="98"/>
        <v>0</v>
      </c>
      <c r="AE266" s="413">
        <f t="shared" si="99"/>
        <v>0</v>
      </c>
    </row>
    <row r="267" spans="1:31" x14ac:dyDescent="0.3">
      <c r="A267" s="415" t="s">
        <v>1605</v>
      </c>
      <c r="B267" s="418" t="s">
        <v>1897</v>
      </c>
      <c r="C267" s="418" t="s">
        <v>26</v>
      </c>
      <c r="D267" s="418" t="str">
        <f t="shared" si="82"/>
        <v>101-C390</v>
      </c>
      <c r="E267" s="418">
        <v>0</v>
      </c>
      <c r="F267" s="418">
        <v>0</v>
      </c>
      <c r="G267" s="418">
        <v>6239087.1600000001</v>
      </c>
      <c r="H267" s="418">
        <v>12477314.73</v>
      </c>
      <c r="I267" s="418">
        <v>0</v>
      </c>
      <c r="J267" s="413">
        <v>0</v>
      </c>
      <c r="L267" s="418" t="str">
        <f t="shared" si="83"/>
        <v>Projected - Common</v>
      </c>
      <c r="M267" s="418" t="str">
        <f t="shared" si="84"/>
        <v>C3901 CMN LH, PSE East Building</v>
      </c>
      <c r="N267" s="418" t="str">
        <f t="shared" si="80"/>
        <v>Projected</v>
      </c>
      <c r="O267" s="418" t="str">
        <f t="shared" si="85"/>
        <v>101-C390</v>
      </c>
      <c r="P267" s="418">
        <f t="shared" si="86"/>
        <v>0</v>
      </c>
      <c r="Q267" s="418">
        <f t="shared" si="87"/>
        <v>0</v>
      </c>
      <c r="R267" s="418">
        <f t="shared" si="88"/>
        <v>4114054.0733039998</v>
      </c>
      <c r="S267" s="418">
        <f t="shared" si="89"/>
        <v>8227541.3329619998</v>
      </c>
      <c r="T267" s="418">
        <f t="shared" si="90"/>
        <v>0</v>
      </c>
      <c r="V267" s="418" t="str">
        <f t="shared" si="91"/>
        <v>Projected - Common</v>
      </c>
      <c r="W267" s="418" t="str">
        <f t="shared" si="92"/>
        <v>C3901 CMN LH, PSE East Building</v>
      </c>
      <c r="X267" s="418" t="str">
        <f t="shared" si="81"/>
        <v>Projected</v>
      </c>
      <c r="Y267" s="418" t="str">
        <f t="shared" si="93"/>
        <v>101-C390</v>
      </c>
      <c r="Z267" s="418">
        <f t="shared" si="94"/>
        <v>0</v>
      </c>
      <c r="AA267" s="418">
        <f t="shared" si="95"/>
        <v>0</v>
      </c>
      <c r="AB267" s="418">
        <f t="shared" si="96"/>
        <v>2125033.0866960003</v>
      </c>
      <c r="AC267" s="418">
        <f t="shared" si="97"/>
        <v>4249773.3970380006</v>
      </c>
      <c r="AD267" s="418">
        <f t="shared" si="98"/>
        <v>0</v>
      </c>
      <c r="AE267" s="413">
        <f t="shared" si="99"/>
        <v>0</v>
      </c>
    </row>
    <row r="268" spans="1:31" x14ac:dyDescent="0.3">
      <c r="A268" s="415" t="s">
        <v>1605</v>
      </c>
      <c r="B268" s="418" t="s">
        <v>1896</v>
      </c>
      <c r="C268" s="418" t="s">
        <v>26</v>
      </c>
      <c r="D268" s="418" t="str">
        <f t="shared" si="82"/>
        <v>101-C390</v>
      </c>
      <c r="E268" s="418">
        <v>0</v>
      </c>
      <c r="F268" s="418">
        <v>98062.68</v>
      </c>
      <c r="G268" s="418">
        <v>202229.35</v>
      </c>
      <c r="H268" s="418">
        <v>2598062.6800000002</v>
      </c>
      <c r="I268" s="418">
        <v>0</v>
      </c>
      <c r="J268" s="413">
        <v>0</v>
      </c>
      <c r="L268" s="418" t="str">
        <f t="shared" si="83"/>
        <v>Projected - Common</v>
      </c>
      <c r="M268" s="418" t="str">
        <f t="shared" si="84"/>
        <v>C3901 CMN LH, Redmond West/Willow</v>
      </c>
      <c r="N268" s="418" t="str">
        <f t="shared" si="80"/>
        <v>Projected</v>
      </c>
      <c r="O268" s="418" t="str">
        <f t="shared" si="85"/>
        <v>101-C390</v>
      </c>
      <c r="P268" s="418">
        <f t="shared" si="86"/>
        <v>0</v>
      </c>
      <c r="Q268" s="418">
        <f t="shared" si="87"/>
        <v>64662.531191999995</v>
      </c>
      <c r="R268" s="418">
        <f t="shared" si="88"/>
        <v>133350.03339</v>
      </c>
      <c r="S268" s="418">
        <f t="shared" si="89"/>
        <v>1713162.531192</v>
      </c>
      <c r="T268" s="418">
        <f t="shared" si="90"/>
        <v>0</v>
      </c>
      <c r="V268" s="418" t="str">
        <f t="shared" si="91"/>
        <v>Projected - Common</v>
      </c>
      <c r="W268" s="418" t="str">
        <f t="shared" si="92"/>
        <v>C3901 CMN LH, Redmond West/Willow</v>
      </c>
      <c r="X268" s="418" t="str">
        <f t="shared" si="81"/>
        <v>Projected</v>
      </c>
      <c r="Y268" s="418" t="str">
        <f t="shared" si="93"/>
        <v>101-C390</v>
      </c>
      <c r="Z268" s="418">
        <f t="shared" si="94"/>
        <v>0</v>
      </c>
      <c r="AA268" s="418">
        <f t="shared" si="95"/>
        <v>33400.148807999998</v>
      </c>
      <c r="AB268" s="418">
        <f t="shared" si="96"/>
        <v>68879.316610000009</v>
      </c>
      <c r="AC268" s="418">
        <f t="shared" si="97"/>
        <v>884900.14880800014</v>
      </c>
      <c r="AD268" s="418">
        <f t="shared" si="98"/>
        <v>0</v>
      </c>
      <c r="AE268" s="413">
        <f t="shared" si="99"/>
        <v>0</v>
      </c>
    </row>
    <row r="269" spans="1:31" x14ac:dyDescent="0.3">
      <c r="A269" s="415" t="s">
        <v>1605</v>
      </c>
      <c r="B269" s="418" t="s">
        <v>1895</v>
      </c>
      <c r="C269" s="418" t="s">
        <v>26</v>
      </c>
      <c r="D269" s="418" t="str">
        <f t="shared" si="82"/>
        <v>101-C391</v>
      </c>
      <c r="E269" s="418">
        <v>0</v>
      </c>
      <c r="F269" s="418">
        <v>2022131.38</v>
      </c>
      <c r="G269" s="418">
        <v>2147131.38</v>
      </c>
      <c r="H269" s="418">
        <v>5399729</v>
      </c>
      <c r="I269" s="418">
        <v>0</v>
      </c>
      <c r="J269" s="413">
        <v>0</v>
      </c>
      <c r="L269" s="418" t="str">
        <f t="shared" si="83"/>
        <v>Projected - Common</v>
      </c>
      <c r="M269" s="418" t="str">
        <f t="shared" si="84"/>
        <v>C3911 CMN Office Furn &amp; Eq, new</v>
      </c>
      <c r="N269" s="418" t="str">
        <f t="shared" si="80"/>
        <v>Projected</v>
      </c>
      <c r="O269" s="418" t="str">
        <f t="shared" si="85"/>
        <v>101-C391</v>
      </c>
      <c r="P269" s="418">
        <f t="shared" si="86"/>
        <v>0</v>
      </c>
      <c r="Q269" s="418">
        <f t="shared" si="87"/>
        <v>1333393.4319719998</v>
      </c>
      <c r="R269" s="418">
        <f t="shared" si="88"/>
        <v>1415818.4319719998</v>
      </c>
      <c r="S269" s="418">
        <f t="shared" si="89"/>
        <v>3560581.3026000001</v>
      </c>
      <c r="T269" s="418">
        <f t="shared" si="90"/>
        <v>0</v>
      </c>
      <c r="V269" s="418" t="str">
        <f t="shared" si="91"/>
        <v>Projected - Common</v>
      </c>
      <c r="W269" s="418" t="str">
        <f t="shared" si="92"/>
        <v>C3911 CMN Office Furn &amp; Eq, new</v>
      </c>
      <c r="X269" s="418" t="str">
        <f t="shared" si="81"/>
        <v>Projected</v>
      </c>
      <c r="Y269" s="418" t="str">
        <f t="shared" si="93"/>
        <v>101-C391</v>
      </c>
      <c r="Z269" s="418">
        <f t="shared" si="94"/>
        <v>0</v>
      </c>
      <c r="AA269" s="418">
        <f t="shared" si="95"/>
        <v>688737.94802799996</v>
      </c>
      <c r="AB269" s="418">
        <f t="shared" si="96"/>
        <v>731312.94802799996</v>
      </c>
      <c r="AC269" s="418">
        <f t="shared" si="97"/>
        <v>1839147.6974000002</v>
      </c>
      <c r="AD269" s="418">
        <f t="shared" si="98"/>
        <v>0</v>
      </c>
      <c r="AE269" s="413">
        <f t="shared" si="99"/>
        <v>0</v>
      </c>
    </row>
    <row r="270" spans="1:31" x14ac:dyDescent="0.3">
      <c r="A270" s="415" t="s">
        <v>1605</v>
      </c>
      <c r="B270" s="418" t="s">
        <v>1713</v>
      </c>
      <c r="C270" s="418" t="s">
        <v>26</v>
      </c>
      <c r="D270" s="418" t="str">
        <f t="shared" si="82"/>
        <v>101-C391</v>
      </c>
      <c r="E270" s="418">
        <v>0</v>
      </c>
      <c r="F270" s="418">
        <v>482512.98</v>
      </c>
      <c r="G270" s="418">
        <v>1272779.74</v>
      </c>
      <c r="H270" s="418">
        <v>2892322.32</v>
      </c>
      <c r="I270" s="418">
        <v>0</v>
      </c>
      <c r="J270" s="413">
        <v>0</v>
      </c>
      <c r="L270" s="418" t="str">
        <f t="shared" si="83"/>
        <v>Projected - Common</v>
      </c>
      <c r="M270" s="418" t="str">
        <f t="shared" si="84"/>
        <v>C3912 CMN Computer Eq, new</v>
      </c>
      <c r="N270" s="418" t="str">
        <f t="shared" si="80"/>
        <v>Projected</v>
      </c>
      <c r="O270" s="418" t="str">
        <f t="shared" si="85"/>
        <v>101-C391</v>
      </c>
      <c r="P270" s="418">
        <f t="shared" si="86"/>
        <v>0</v>
      </c>
      <c r="Q270" s="418">
        <f t="shared" si="87"/>
        <v>318169.05901199998</v>
      </c>
      <c r="R270" s="418">
        <f t="shared" si="88"/>
        <v>839270.96055600001</v>
      </c>
      <c r="S270" s="418">
        <f t="shared" si="89"/>
        <v>1907197.3378079999</v>
      </c>
      <c r="T270" s="418">
        <f t="shared" si="90"/>
        <v>0</v>
      </c>
      <c r="V270" s="418" t="str">
        <f t="shared" si="91"/>
        <v>Projected - Common</v>
      </c>
      <c r="W270" s="418" t="str">
        <f t="shared" si="92"/>
        <v>C3912 CMN Computer Eq, new</v>
      </c>
      <c r="X270" s="418" t="str">
        <f t="shared" si="81"/>
        <v>Projected</v>
      </c>
      <c r="Y270" s="418" t="str">
        <f t="shared" si="93"/>
        <v>101-C391</v>
      </c>
      <c r="Z270" s="418">
        <f t="shared" si="94"/>
        <v>0</v>
      </c>
      <c r="AA270" s="418">
        <f t="shared" si="95"/>
        <v>164343.920988</v>
      </c>
      <c r="AB270" s="418">
        <f t="shared" si="96"/>
        <v>433508.77944400004</v>
      </c>
      <c r="AC270" s="418">
        <f t="shared" si="97"/>
        <v>985124.98219200002</v>
      </c>
      <c r="AD270" s="418">
        <f t="shared" si="98"/>
        <v>0</v>
      </c>
      <c r="AE270" s="413">
        <f t="shared" si="99"/>
        <v>0</v>
      </c>
    </row>
    <row r="271" spans="1:31" x14ac:dyDescent="0.3">
      <c r="A271" s="415" t="s">
        <v>1605</v>
      </c>
      <c r="B271" s="418" t="s">
        <v>1894</v>
      </c>
      <c r="C271" s="418" t="s">
        <v>26</v>
      </c>
      <c r="D271" s="418" t="str">
        <f t="shared" si="82"/>
        <v>101-C392</v>
      </c>
      <c r="E271" s="418">
        <v>0</v>
      </c>
      <c r="F271" s="418">
        <v>258178.43</v>
      </c>
      <c r="G271" s="418">
        <v>269490.14</v>
      </c>
      <c r="H271" s="418">
        <v>545337.46</v>
      </c>
      <c r="I271" s="418">
        <v>0</v>
      </c>
      <c r="J271" s="413">
        <v>0</v>
      </c>
      <c r="L271" s="418" t="str">
        <f t="shared" si="83"/>
        <v>Projected - Common</v>
      </c>
      <c r="M271" s="418" t="str">
        <f t="shared" si="84"/>
        <v>C3920 GEN Trans Equip, new</v>
      </c>
      <c r="N271" s="418" t="str">
        <f t="shared" si="80"/>
        <v>Projected</v>
      </c>
      <c r="O271" s="418" t="str">
        <f t="shared" si="85"/>
        <v>101-C392</v>
      </c>
      <c r="P271" s="418">
        <f t="shared" si="86"/>
        <v>0</v>
      </c>
      <c r="Q271" s="418">
        <f t="shared" si="87"/>
        <v>170242.856742</v>
      </c>
      <c r="R271" s="418">
        <f t="shared" si="88"/>
        <v>177701.798316</v>
      </c>
      <c r="S271" s="418">
        <f t="shared" si="89"/>
        <v>359595.52112399996</v>
      </c>
      <c r="T271" s="418">
        <f t="shared" si="90"/>
        <v>0</v>
      </c>
      <c r="V271" s="418" t="str">
        <f t="shared" si="91"/>
        <v>Projected - Common</v>
      </c>
      <c r="W271" s="418" t="str">
        <f t="shared" si="92"/>
        <v>C3920 GEN Trans Equip, new</v>
      </c>
      <c r="X271" s="418" t="str">
        <f t="shared" si="81"/>
        <v>Projected</v>
      </c>
      <c r="Y271" s="418" t="str">
        <f t="shared" si="93"/>
        <v>101-C392</v>
      </c>
      <c r="Z271" s="418">
        <f t="shared" si="94"/>
        <v>0</v>
      </c>
      <c r="AA271" s="418">
        <f t="shared" si="95"/>
        <v>87935.573258000004</v>
      </c>
      <c r="AB271" s="418">
        <f t="shared" si="96"/>
        <v>91788.341684000014</v>
      </c>
      <c r="AC271" s="418">
        <f t="shared" si="97"/>
        <v>185741.938876</v>
      </c>
      <c r="AD271" s="418">
        <f t="shared" si="98"/>
        <v>0</v>
      </c>
      <c r="AE271" s="413">
        <f t="shared" si="99"/>
        <v>0</v>
      </c>
    </row>
    <row r="272" spans="1:31" x14ac:dyDescent="0.3">
      <c r="A272" s="415" t="s">
        <v>1605</v>
      </c>
      <c r="B272" s="418" t="s">
        <v>1893</v>
      </c>
      <c r="C272" s="418" t="s">
        <v>26</v>
      </c>
      <c r="D272" s="418" t="str">
        <f t="shared" si="82"/>
        <v>101-C394</v>
      </c>
      <c r="E272" s="418">
        <v>0</v>
      </c>
      <c r="F272" s="418">
        <v>208480.37</v>
      </c>
      <c r="G272" s="418">
        <v>208480.37</v>
      </c>
      <c r="H272" s="418">
        <v>208480.37</v>
      </c>
      <c r="I272" s="418">
        <v>0</v>
      </c>
      <c r="J272" s="413">
        <v>0</v>
      </c>
      <c r="L272" s="418" t="str">
        <f t="shared" si="83"/>
        <v>Projected - Common</v>
      </c>
      <c r="M272" s="418" t="str">
        <f t="shared" si="84"/>
        <v>C3940 CMN Tools/Shop/Garage new</v>
      </c>
      <c r="N272" s="418" t="str">
        <f t="shared" si="80"/>
        <v>Projected</v>
      </c>
      <c r="O272" s="418" t="str">
        <f t="shared" si="85"/>
        <v>101-C394</v>
      </c>
      <c r="P272" s="418">
        <f t="shared" si="86"/>
        <v>0</v>
      </c>
      <c r="Q272" s="418">
        <f t="shared" si="87"/>
        <v>137471.95597799998</v>
      </c>
      <c r="R272" s="418">
        <f t="shared" si="88"/>
        <v>137471.95597799998</v>
      </c>
      <c r="S272" s="418">
        <f t="shared" si="89"/>
        <v>137471.95597799998</v>
      </c>
      <c r="T272" s="418">
        <f t="shared" si="90"/>
        <v>0</v>
      </c>
      <c r="V272" s="418" t="str">
        <f t="shared" si="91"/>
        <v>Projected - Common</v>
      </c>
      <c r="W272" s="418" t="str">
        <f t="shared" si="92"/>
        <v>C3940 CMN Tools/Shop/Garage new</v>
      </c>
      <c r="X272" s="418" t="str">
        <f t="shared" si="81"/>
        <v>Projected</v>
      </c>
      <c r="Y272" s="418" t="str">
        <f t="shared" si="93"/>
        <v>101-C394</v>
      </c>
      <c r="Z272" s="418">
        <f t="shared" si="94"/>
        <v>0</v>
      </c>
      <c r="AA272" s="418">
        <f t="shared" si="95"/>
        <v>71008.414021999997</v>
      </c>
      <c r="AB272" s="418">
        <f t="shared" si="96"/>
        <v>71008.414021999997</v>
      </c>
      <c r="AC272" s="418">
        <f t="shared" si="97"/>
        <v>71008.414021999997</v>
      </c>
      <c r="AD272" s="418">
        <f t="shared" si="98"/>
        <v>0</v>
      </c>
      <c r="AE272" s="413">
        <f t="shared" si="99"/>
        <v>0</v>
      </c>
    </row>
    <row r="273" spans="1:31" x14ac:dyDescent="0.3">
      <c r="A273" s="415" t="s">
        <v>1605</v>
      </c>
      <c r="B273" s="418" t="s">
        <v>1892</v>
      </c>
      <c r="C273" s="418" t="s">
        <v>26</v>
      </c>
      <c r="D273" s="418" t="str">
        <f t="shared" si="82"/>
        <v>101-C396</v>
      </c>
      <c r="E273" s="418">
        <v>0</v>
      </c>
      <c r="F273" s="418">
        <v>7317.94</v>
      </c>
      <c r="G273" s="418">
        <v>7638.56</v>
      </c>
      <c r="H273" s="418">
        <v>15457.33</v>
      </c>
      <c r="I273" s="418">
        <v>0</v>
      </c>
      <c r="J273" s="413">
        <v>0</v>
      </c>
      <c r="L273" s="418" t="str">
        <f t="shared" si="83"/>
        <v>Projected - Common</v>
      </c>
      <c r="M273" s="418" t="str">
        <f t="shared" si="84"/>
        <v>C396 GEN Power Op Equip, new</v>
      </c>
      <c r="N273" s="418" t="str">
        <f t="shared" si="80"/>
        <v>Projected</v>
      </c>
      <c r="O273" s="418" t="str">
        <f t="shared" si="85"/>
        <v>101-C396</v>
      </c>
      <c r="P273" s="418">
        <f t="shared" si="86"/>
        <v>0</v>
      </c>
      <c r="Q273" s="418">
        <f t="shared" si="87"/>
        <v>4825.4496359999994</v>
      </c>
      <c r="R273" s="418">
        <f t="shared" si="88"/>
        <v>5036.8664639999997</v>
      </c>
      <c r="S273" s="418">
        <f t="shared" si="89"/>
        <v>10192.563402</v>
      </c>
      <c r="T273" s="418">
        <f t="shared" si="90"/>
        <v>0</v>
      </c>
      <c r="V273" s="418" t="str">
        <f t="shared" si="91"/>
        <v>Projected - Common</v>
      </c>
      <c r="W273" s="418" t="str">
        <f t="shared" si="92"/>
        <v>C396 GEN Power Op Equip, new</v>
      </c>
      <c r="X273" s="418" t="str">
        <f t="shared" si="81"/>
        <v>Projected</v>
      </c>
      <c r="Y273" s="418" t="str">
        <f t="shared" si="93"/>
        <v>101-C396</v>
      </c>
      <c r="Z273" s="418">
        <f t="shared" si="94"/>
        <v>0</v>
      </c>
      <c r="AA273" s="418">
        <f t="shared" si="95"/>
        <v>2492.4903639999998</v>
      </c>
      <c r="AB273" s="418">
        <f t="shared" si="96"/>
        <v>2601.6935360000002</v>
      </c>
      <c r="AC273" s="418">
        <f t="shared" si="97"/>
        <v>5264.7665980000002</v>
      </c>
      <c r="AD273" s="418">
        <f t="shared" si="98"/>
        <v>0</v>
      </c>
      <c r="AE273" s="413">
        <f t="shared" si="99"/>
        <v>0</v>
      </c>
    </row>
    <row r="274" spans="1:31" x14ac:dyDescent="0.3">
      <c r="A274" s="415" t="s">
        <v>1605</v>
      </c>
      <c r="B274" s="418" t="s">
        <v>1712</v>
      </c>
      <c r="C274" s="418" t="s">
        <v>26</v>
      </c>
      <c r="D274" s="418" t="str">
        <f t="shared" si="82"/>
        <v>101-C397</v>
      </c>
      <c r="E274" s="418">
        <v>0</v>
      </c>
      <c r="F274" s="418">
        <v>404003.9</v>
      </c>
      <c r="G274" s="418">
        <v>416508.05</v>
      </c>
      <c r="H274" s="418">
        <v>923334.99</v>
      </c>
      <c r="I274" s="418">
        <v>0</v>
      </c>
      <c r="J274" s="413">
        <v>0</v>
      </c>
      <c r="L274" s="418" t="str">
        <f t="shared" si="83"/>
        <v>Projected - Common</v>
      </c>
      <c r="M274" s="418" t="str">
        <f t="shared" si="84"/>
        <v>C3970 CMN Comm Equip, new</v>
      </c>
      <c r="N274" s="418" t="str">
        <f t="shared" si="80"/>
        <v>Projected</v>
      </c>
      <c r="O274" s="418" t="str">
        <f t="shared" si="85"/>
        <v>101-C397</v>
      </c>
      <c r="P274" s="418">
        <f t="shared" si="86"/>
        <v>0</v>
      </c>
      <c r="Q274" s="418">
        <f t="shared" si="87"/>
        <v>266400.17165999999</v>
      </c>
      <c r="R274" s="418">
        <f t="shared" si="88"/>
        <v>274645.40817000001</v>
      </c>
      <c r="S274" s="418">
        <f t="shared" si="89"/>
        <v>608847.09240600001</v>
      </c>
      <c r="T274" s="418">
        <f t="shared" si="90"/>
        <v>0</v>
      </c>
      <c r="V274" s="418" t="str">
        <f t="shared" si="91"/>
        <v>Projected - Common</v>
      </c>
      <c r="W274" s="418" t="str">
        <f t="shared" si="92"/>
        <v>C3970 CMN Comm Equip, new</v>
      </c>
      <c r="X274" s="418" t="str">
        <f t="shared" si="81"/>
        <v>Projected</v>
      </c>
      <c r="Y274" s="418" t="str">
        <f t="shared" si="93"/>
        <v>101-C397</v>
      </c>
      <c r="Z274" s="418">
        <f t="shared" si="94"/>
        <v>0</v>
      </c>
      <c r="AA274" s="418">
        <f t="shared" si="95"/>
        <v>137603.72834</v>
      </c>
      <c r="AB274" s="418">
        <f t="shared" si="96"/>
        <v>141862.64183000001</v>
      </c>
      <c r="AC274" s="418">
        <f t="shared" si="97"/>
        <v>314487.89759400004</v>
      </c>
      <c r="AD274" s="418">
        <f t="shared" si="98"/>
        <v>0</v>
      </c>
      <c r="AE274" s="413">
        <f t="shared" si="99"/>
        <v>0</v>
      </c>
    </row>
    <row r="275" spans="1:31" x14ac:dyDescent="0.3">
      <c r="A275" s="415" t="s">
        <v>1604</v>
      </c>
      <c r="B275" s="418" t="s">
        <v>1891</v>
      </c>
      <c r="C275" s="418" t="s">
        <v>26</v>
      </c>
      <c r="D275" s="418" t="str">
        <f t="shared" si="82"/>
        <v>101-E302</v>
      </c>
      <c r="E275" s="418">
        <v>0</v>
      </c>
      <c r="F275" s="418">
        <v>1853302.28</v>
      </c>
      <c r="G275" s="418">
        <v>3317425.4</v>
      </c>
      <c r="H275" s="418">
        <v>7367419.7999999998</v>
      </c>
      <c r="I275" s="418">
        <v>0</v>
      </c>
      <c r="J275" s="413">
        <v>0</v>
      </c>
      <c r="L275" s="418" t="str">
        <f t="shared" si="83"/>
        <v>Projected - Electric</v>
      </c>
      <c r="M275" s="418" t="str">
        <f t="shared" si="84"/>
        <v>E302.10 INT Franchises</v>
      </c>
      <c r="N275" s="418" t="str">
        <f t="shared" si="80"/>
        <v>Projected</v>
      </c>
      <c r="O275" s="418" t="str">
        <f t="shared" si="85"/>
        <v>101-E302</v>
      </c>
      <c r="P275" s="418">
        <f t="shared" si="86"/>
        <v>0</v>
      </c>
      <c r="Q275" s="418">
        <f t="shared" si="87"/>
        <v>1853302.28</v>
      </c>
      <c r="R275" s="418">
        <f t="shared" si="88"/>
        <v>3317425.4</v>
      </c>
      <c r="S275" s="418">
        <f t="shared" si="89"/>
        <v>7367419.7999999998</v>
      </c>
      <c r="T275" s="418">
        <f t="shared" si="90"/>
        <v>0</v>
      </c>
      <c r="V275" s="418" t="str">
        <f t="shared" si="91"/>
        <v>Projected - Electric</v>
      </c>
      <c r="W275" s="418" t="str">
        <f t="shared" si="92"/>
        <v>E302.10 INT Franchises</v>
      </c>
      <c r="X275" s="418" t="str">
        <f t="shared" si="81"/>
        <v>Projected</v>
      </c>
      <c r="Y275" s="418" t="str">
        <f t="shared" si="93"/>
        <v>101-E302</v>
      </c>
      <c r="Z275" s="418">
        <f t="shared" si="94"/>
        <v>0</v>
      </c>
      <c r="AA275" s="418">
        <f t="shared" si="95"/>
        <v>0</v>
      </c>
      <c r="AB275" s="418">
        <f t="shared" si="96"/>
        <v>0</v>
      </c>
      <c r="AC275" s="418">
        <f t="shared" si="97"/>
        <v>0</v>
      </c>
      <c r="AD275" s="418">
        <f t="shared" si="98"/>
        <v>0</v>
      </c>
      <c r="AE275" s="413">
        <f t="shared" si="99"/>
        <v>0</v>
      </c>
    </row>
    <row r="276" spans="1:31" x14ac:dyDescent="0.3">
      <c r="A276" s="415" t="s">
        <v>1604</v>
      </c>
      <c r="B276" s="418" t="s">
        <v>1890</v>
      </c>
      <c r="C276" s="418" t="s">
        <v>26</v>
      </c>
      <c r="D276" s="418" t="str">
        <f t="shared" si="82"/>
        <v>101-E302</v>
      </c>
      <c r="E276" s="418">
        <v>0</v>
      </c>
      <c r="F276" s="418">
        <v>0</v>
      </c>
      <c r="G276" s="418">
        <v>0</v>
      </c>
      <c r="H276" s="418">
        <v>0</v>
      </c>
      <c r="I276" s="418">
        <v>0</v>
      </c>
      <c r="J276" s="413">
        <v>0</v>
      </c>
      <c r="L276" s="418" t="str">
        <f t="shared" si="83"/>
        <v>Projected - Electric</v>
      </c>
      <c r="M276" s="418" t="str">
        <f t="shared" si="84"/>
        <v>E302.10 INT Franchises, Baker Project</v>
      </c>
      <c r="N276" s="418" t="str">
        <f t="shared" si="80"/>
        <v>Projected</v>
      </c>
      <c r="O276" s="418" t="str">
        <f t="shared" si="85"/>
        <v>101-E302</v>
      </c>
      <c r="P276" s="418">
        <f t="shared" si="86"/>
        <v>0</v>
      </c>
      <c r="Q276" s="418">
        <f t="shared" si="87"/>
        <v>0</v>
      </c>
      <c r="R276" s="418">
        <f t="shared" si="88"/>
        <v>0</v>
      </c>
      <c r="S276" s="418">
        <f t="shared" si="89"/>
        <v>0</v>
      </c>
      <c r="T276" s="418">
        <f t="shared" si="90"/>
        <v>0</v>
      </c>
      <c r="V276" s="418" t="str">
        <f t="shared" si="91"/>
        <v>Projected - Electric</v>
      </c>
      <c r="W276" s="418" t="str">
        <f t="shared" si="92"/>
        <v>E302.10 INT Franchises, Baker Project</v>
      </c>
      <c r="X276" s="418" t="str">
        <f t="shared" si="81"/>
        <v>Projected</v>
      </c>
      <c r="Y276" s="418" t="str">
        <f t="shared" si="93"/>
        <v>101-E302</v>
      </c>
      <c r="Z276" s="418">
        <f t="shared" si="94"/>
        <v>0</v>
      </c>
      <c r="AA276" s="418">
        <f t="shared" si="95"/>
        <v>0</v>
      </c>
      <c r="AB276" s="418">
        <f t="shared" si="96"/>
        <v>0</v>
      </c>
      <c r="AC276" s="418">
        <f t="shared" si="97"/>
        <v>0</v>
      </c>
      <c r="AD276" s="418">
        <f t="shared" si="98"/>
        <v>0</v>
      </c>
      <c r="AE276" s="413">
        <f t="shared" si="99"/>
        <v>0</v>
      </c>
    </row>
    <row r="277" spans="1:31" x14ac:dyDescent="0.3">
      <c r="A277" s="415" t="s">
        <v>1604</v>
      </c>
      <c r="B277" s="418" t="s">
        <v>1889</v>
      </c>
      <c r="C277" s="418" t="s">
        <v>26</v>
      </c>
      <c r="D277" s="418" t="str">
        <f t="shared" si="82"/>
        <v>101-E303</v>
      </c>
      <c r="E277" s="418">
        <v>0</v>
      </c>
      <c r="F277" s="418">
        <v>226460.76</v>
      </c>
      <c r="G277" s="418">
        <v>340967.36</v>
      </c>
      <c r="H277" s="418">
        <v>572034.42000000004</v>
      </c>
      <c r="I277" s="418">
        <v>0</v>
      </c>
      <c r="J277" s="413">
        <v>0</v>
      </c>
      <c r="L277" s="418" t="str">
        <f t="shared" si="83"/>
        <v>Projected - Electric</v>
      </c>
      <c r="M277" s="418" t="str">
        <f t="shared" si="84"/>
        <v>E303.10 INT Misc Intangible Plant</v>
      </c>
      <c r="N277" s="418" t="str">
        <f t="shared" si="80"/>
        <v>Projected</v>
      </c>
      <c r="O277" s="418" t="str">
        <f t="shared" si="85"/>
        <v>101-E303</v>
      </c>
      <c r="P277" s="418">
        <f t="shared" si="86"/>
        <v>0</v>
      </c>
      <c r="Q277" s="418">
        <f t="shared" si="87"/>
        <v>226460.76</v>
      </c>
      <c r="R277" s="418">
        <f t="shared" si="88"/>
        <v>340967.36</v>
      </c>
      <c r="S277" s="418">
        <f t="shared" si="89"/>
        <v>572034.42000000004</v>
      </c>
      <c r="T277" s="418">
        <f t="shared" si="90"/>
        <v>0</v>
      </c>
      <c r="V277" s="418" t="str">
        <f t="shared" si="91"/>
        <v>Projected - Electric</v>
      </c>
      <c r="W277" s="418" t="str">
        <f t="shared" si="92"/>
        <v>E303.10 INT Misc Intangible Plant</v>
      </c>
      <c r="X277" s="418" t="str">
        <f t="shared" si="81"/>
        <v>Projected</v>
      </c>
      <c r="Y277" s="418" t="str">
        <f t="shared" si="93"/>
        <v>101-E303</v>
      </c>
      <c r="Z277" s="418">
        <f t="shared" si="94"/>
        <v>0</v>
      </c>
      <c r="AA277" s="418">
        <f t="shared" si="95"/>
        <v>0</v>
      </c>
      <c r="AB277" s="418">
        <f t="shared" si="96"/>
        <v>0</v>
      </c>
      <c r="AC277" s="418">
        <f t="shared" si="97"/>
        <v>0</v>
      </c>
      <c r="AD277" s="418">
        <f t="shared" si="98"/>
        <v>0</v>
      </c>
      <c r="AE277" s="413">
        <f t="shared" si="99"/>
        <v>0</v>
      </c>
    </row>
    <row r="278" spans="1:31" x14ac:dyDescent="0.3">
      <c r="A278" s="415" t="s">
        <v>1604</v>
      </c>
      <c r="B278" s="418" t="s">
        <v>1888</v>
      </c>
      <c r="C278" s="418" t="s">
        <v>26</v>
      </c>
      <c r="D278" s="418" t="str">
        <f t="shared" si="82"/>
        <v>101-E303</v>
      </c>
      <c r="E278" s="418">
        <v>0</v>
      </c>
      <c r="F278" s="418">
        <v>6888.82</v>
      </c>
      <c r="G278" s="418">
        <v>6888.82</v>
      </c>
      <c r="H278" s="418">
        <v>3071295.17</v>
      </c>
      <c r="I278" s="418">
        <v>0</v>
      </c>
      <c r="J278" s="413">
        <v>0</v>
      </c>
      <c r="L278" s="418" t="str">
        <f t="shared" si="83"/>
        <v>Projected - Electric</v>
      </c>
      <c r="M278" s="418" t="str">
        <f t="shared" si="84"/>
        <v>E303.3 INT Misc Intangible Plant</v>
      </c>
      <c r="N278" s="418" t="str">
        <f t="shared" si="80"/>
        <v>Projected</v>
      </c>
      <c r="O278" s="418" t="str">
        <f t="shared" si="85"/>
        <v>101-E303</v>
      </c>
      <c r="P278" s="418">
        <f t="shared" si="86"/>
        <v>0</v>
      </c>
      <c r="Q278" s="418">
        <f t="shared" si="87"/>
        <v>6888.82</v>
      </c>
      <c r="R278" s="418">
        <f t="shared" si="88"/>
        <v>6888.82</v>
      </c>
      <c r="S278" s="418">
        <f t="shared" si="89"/>
        <v>3071295.17</v>
      </c>
      <c r="T278" s="418">
        <f t="shared" si="90"/>
        <v>0</v>
      </c>
      <c r="V278" s="418" t="str">
        <f t="shared" si="91"/>
        <v>Projected - Electric</v>
      </c>
      <c r="W278" s="418" t="str">
        <f t="shared" si="92"/>
        <v>E303.3 INT Misc Intangible Plant</v>
      </c>
      <c r="X278" s="418" t="str">
        <f t="shared" si="81"/>
        <v>Projected</v>
      </c>
      <c r="Y278" s="418" t="str">
        <f t="shared" si="93"/>
        <v>101-E303</v>
      </c>
      <c r="Z278" s="418">
        <f t="shared" si="94"/>
        <v>0</v>
      </c>
      <c r="AA278" s="418">
        <f t="shared" si="95"/>
        <v>0</v>
      </c>
      <c r="AB278" s="418">
        <f t="shared" si="96"/>
        <v>0</v>
      </c>
      <c r="AC278" s="418">
        <f t="shared" si="97"/>
        <v>0</v>
      </c>
      <c r="AD278" s="418">
        <f t="shared" si="98"/>
        <v>0</v>
      </c>
      <c r="AE278" s="413">
        <f t="shared" si="99"/>
        <v>0</v>
      </c>
    </row>
    <row r="279" spans="1:31" x14ac:dyDescent="0.3">
      <c r="A279" s="415" t="s">
        <v>1604</v>
      </c>
      <c r="B279" s="418" t="s">
        <v>1887</v>
      </c>
      <c r="C279" s="418" t="s">
        <v>26</v>
      </c>
      <c r="D279" s="418" t="str">
        <f t="shared" si="82"/>
        <v>101-E303</v>
      </c>
      <c r="E279" s="418">
        <v>0</v>
      </c>
      <c r="F279" s="418">
        <v>6049.26</v>
      </c>
      <c r="G279" s="418">
        <v>6308.87</v>
      </c>
      <c r="H279" s="418">
        <v>12547.4</v>
      </c>
      <c r="I279" s="418">
        <v>0</v>
      </c>
      <c r="J279" s="413">
        <v>0</v>
      </c>
      <c r="L279" s="418" t="str">
        <f t="shared" si="83"/>
        <v>Projected - Electric</v>
      </c>
      <c r="M279" s="418" t="str">
        <f t="shared" si="84"/>
        <v>E303.4 INT Misc Intangible Plant</v>
      </c>
      <c r="N279" s="418" t="str">
        <f t="shared" si="80"/>
        <v>Projected</v>
      </c>
      <c r="O279" s="418" t="str">
        <f t="shared" si="85"/>
        <v>101-E303</v>
      </c>
      <c r="P279" s="418">
        <f t="shared" si="86"/>
        <v>0</v>
      </c>
      <c r="Q279" s="418">
        <f t="shared" si="87"/>
        <v>6049.26</v>
      </c>
      <c r="R279" s="418">
        <f t="shared" si="88"/>
        <v>6308.87</v>
      </c>
      <c r="S279" s="418">
        <f t="shared" si="89"/>
        <v>12547.4</v>
      </c>
      <c r="T279" s="418">
        <f t="shared" si="90"/>
        <v>0</v>
      </c>
      <c r="V279" s="418" t="str">
        <f t="shared" si="91"/>
        <v>Projected - Electric</v>
      </c>
      <c r="W279" s="418" t="str">
        <f t="shared" si="92"/>
        <v>E303.4 INT Misc Intangible Plant</v>
      </c>
      <c r="X279" s="418" t="str">
        <f t="shared" si="81"/>
        <v>Projected</v>
      </c>
      <c r="Y279" s="418" t="str">
        <f t="shared" si="93"/>
        <v>101-E303</v>
      </c>
      <c r="Z279" s="418">
        <f t="shared" si="94"/>
        <v>0</v>
      </c>
      <c r="AA279" s="418">
        <f t="shared" si="95"/>
        <v>0</v>
      </c>
      <c r="AB279" s="418">
        <f t="shared" si="96"/>
        <v>0</v>
      </c>
      <c r="AC279" s="418">
        <f t="shared" si="97"/>
        <v>0</v>
      </c>
      <c r="AD279" s="418">
        <f t="shared" si="98"/>
        <v>0</v>
      </c>
      <c r="AE279" s="413">
        <f t="shared" si="99"/>
        <v>0</v>
      </c>
    </row>
    <row r="280" spans="1:31" x14ac:dyDescent="0.3">
      <c r="A280" s="415" t="s">
        <v>1604</v>
      </c>
      <c r="B280" s="418" t="s">
        <v>1886</v>
      </c>
      <c r="C280" s="418" t="s">
        <v>26</v>
      </c>
      <c r="D280" s="418" t="str">
        <f t="shared" si="82"/>
        <v>101-E303</v>
      </c>
      <c r="E280" s="418">
        <v>0</v>
      </c>
      <c r="F280" s="418">
        <v>7478194.9400000004</v>
      </c>
      <c r="G280" s="418">
        <v>12485877.17</v>
      </c>
      <c r="H280" s="418">
        <v>22466081.989999998</v>
      </c>
      <c r="I280" s="418">
        <v>0</v>
      </c>
      <c r="J280" s="413">
        <v>0</v>
      </c>
      <c r="L280" s="418" t="str">
        <f t="shared" si="83"/>
        <v>Projected - Electric</v>
      </c>
      <c r="M280" s="418" t="str">
        <f t="shared" si="84"/>
        <v>E303.5 INT Misc Intangible Plant</v>
      </c>
      <c r="N280" s="418" t="str">
        <f t="shared" si="80"/>
        <v>Projected</v>
      </c>
      <c r="O280" s="418" t="str">
        <f t="shared" si="85"/>
        <v>101-E303</v>
      </c>
      <c r="P280" s="418">
        <f t="shared" si="86"/>
        <v>0</v>
      </c>
      <c r="Q280" s="418">
        <f t="shared" si="87"/>
        <v>7478194.9400000004</v>
      </c>
      <c r="R280" s="418">
        <f t="shared" si="88"/>
        <v>12485877.17</v>
      </c>
      <c r="S280" s="418">
        <f t="shared" si="89"/>
        <v>22466081.989999998</v>
      </c>
      <c r="T280" s="418">
        <f t="shared" si="90"/>
        <v>0</v>
      </c>
      <c r="V280" s="418" t="str">
        <f t="shared" si="91"/>
        <v>Projected - Electric</v>
      </c>
      <c r="W280" s="418" t="str">
        <f t="shared" si="92"/>
        <v>E303.5 INT Misc Intangible Plant</v>
      </c>
      <c r="X280" s="418" t="str">
        <f t="shared" si="81"/>
        <v>Projected</v>
      </c>
      <c r="Y280" s="418" t="str">
        <f t="shared" si="93"/>
        <v>101-E303</v>
      </c>
      <c r="Z280" s="418">
        <f t="shared" si="94"/>
        <v>0</v>
      </c>
      <c r="AA280" s="418">
        <f t="shared" si="95"/>
        <v>0</v>
      </c>
      <c r="AB280" s="418">
        <f t="shared" si="96"/>
        <v>0</v>
      </c>
      <c r="AC280" s="418">
        <f t="shared" si="97"/>
        <v>0</v>
      </c>
      <c r="AD280" s="418">
        <f t="shared" si="98"/>
        <v>0</v>
      </c>
      <c r="AE280" s="413">
        <f t="shared" si="99"/>
        <v>0</v>
      </c>
    </row>
    <row r="281" spans="1:31" x14ac:dyDescent="0.3">
      <c r="A281" s="415" t="s">
        <v>1604</v>
      </c>
      <c r="B281" s="418" t="s">
        <v>1885</v>
      </c>
      <c r="C281" s="418" t="s">
        <v>26</v>
      </c>
      <c r="D281" s="418" t="str">
        <f t="shared" si="82"/>
        <v>101-E311</v>
      </c>
      <c r="E281" s="418">
        <v>0</v>
      </c>
      <c r="F281" s="418">
        <v>38268.720000000001</v>
      </c>
      <c r="G281" s="418">
        <v>60908.04</v>
      </c>
      <c r="H281" s="418">
        <v>83547.360000000001</v>
      </c>
      <c r="I281" s="418">
        <v>0</v>
      </c>
      <c r="J281" s="413">
        <v>0</v>
      </c>
      <c r="L281" s="418" t="str">
        <f t="shared" si="83"/>
        <v>Projected - Electric</v>
      </c>
      <c r="M281" s="418" t="str">
        <f t="shared" si="84"/>
        <v>E311 STM Str/Imprv, Mint Farm</v>
      </c>
      <c r="N281" s="418" t="str">
        <f t="shared" si="80"/>
        <v>Projected</v>
      </c>
      <c r="O281" s="418" t="str">
        <f t="shared" si="85"/>
        <v>101-E311</v>
      </c>
      <c r="P281" s="418">
        <f t="shared" si="86"/>
        <v>0</v>
      </c>
      <c r="Q281" s="418">
        <f t="shared" si="87"/>
        <v>38268.720000000001</v>
      </c>
      <c r="R281" s="418">
        <f t="shared" si="88"/>
        <v>60908.04</v>
      </c>
      <c r="S281" s="418">
        <f t="shared" si="89"/>
        <v>83547.360000000001</v>
      </c>
      <c r="T281" s="418">
        <f t="shared" si="90"/>
        <v>0</v>
      </c>
      <c r="V281" s="418" t="str">
        <f t="shared" si="91"/>
        <v>Projected - Electric</v>
      </c>
      <c r="W281" s="418" t="str">
        <f t="shared" si="92"/>
        <v>E311 STM Str/Imprv, Mint Farm</v>
      </c>
      <c r="X281" s="418" t="str">
        <f t="shared" si="81"/>
        <v>Projected</v>
      </c>
      <c r="Y281" s="418" t="str">
        <f t="shared" si="93"/>
        <v>101-E311</v>
      </c>
      <c r="Z281" s="418">
        <f t="shared" si="94"/>
        <v>0</v>
      </c>
      <c r="AA281" s="418">
        <f t="shared" si="95"/>
        <v>0</v>
      </c>
      <c r="AB281" s="418">
        <f t="shared" si="96"/>
        <v>0</v>
      </c>
      <c r="AC281" s="418">
        <f t="shared" si="97"/>
        <v>0</v>
      </c>
      <c r="AD281" s="418">
        <f t="shared" si="98"/>
        <v>0</v>
      </c>
      <c r="AE281" s="413">
        <f t="shared" si="99"/>
        <v>0</v>
      </c>
    </row>
    <row r="282" spans="1:31" x14ac:dyDescent="0.3">
      <c r="A282" s="415" t="s">
        <v>1604</v>
      </c>
      <c r="B282" s="418" t="s">
        <v>1884</v>
      </c>
      <c r="C282" s="418" t="s">
        <v>26</v>
      </c>
      <c r="D282" s="418" t="str">
        <f t="shared" si="82"/>
        <v>101-E311</v>
      </c>
      <c r="E282" s="418">
        <v>0</v>
      </c>
      <c r="F282" s="418">
        <v>3123.96</v>
      </c>
      <c r="G282" s="418">
        <v>3631.25</v>
      </c>
      <c r="H282" s="418">
        <v>11395.86</v>
      </c>
      <c r="I282" s="418">
        <v>0</v>
      </c>
      <c r="J282" s="413">
        <v>0</v>
      </c>
      <c r="L282" s="418" t="str">
        <f t="shared" si="83"/>
        <v>Projected - Electric</v>
      </c>
      <c r="M282" s="418" t="str">
        <f t="shared" si="84"/>
        <v>E311 STM Str/Impv, Ferndale</v>
      </c>
      <c r="N282" s="418" t="str">
        <f t="shared" si="80"/>
        <v>Projected</v>
      </c>
      <c r="O282" s="418" t="str">
        <f t="shared" si="85"/>
        <v>101-E311</v>
      </c>
      <c r="P282" s="418">
        <f t="shared" si="86"/>
        <v>0</v>
      </c>
      <c r="Q282" s="418">
        <f t="shared" si="87"/>
        <v>3123.96</v>
      </c>
      <c r="R282" s="418">
        <f t="shared" si="88"/>
        <v>3631.25</v>
      </c>
      <c r="S282" s="418">
        <f t="shared" si="89"/>
        <v>11395.86</v>
      </c>
      <c r="T282" s="418">
        <f t="shared" si="90"/>
        <v>0</v>
      </c>
      <c r="V282" s="418" t="str">
        <f t="shared" si="91"/>
        <v>Projected - Electric</v>
      </c>
      <c r="W282" s="418" t="str">
        <f t="shared" si="92"/>
        <v>E311 STM Str/Impv, Ferndale</v>
      </c>
      <c r="X282" s="418" t="str">
        <f t="shared" si="81"/>
        <v>Projected</v>
      </c>
      <c r="Y282" s="418" t="str">
        <f t="shared" si="93"/>
        <v>101-E311</v>
      </c>
      <c r="Z282" s="418">
        <f t="shared" si="94"/>
        <v>0</v>
      </c>
      <c r="AA282" s="418">
        <f t="shared" si="95"/>
        <v>0</v>
      </c>
      <c r="AB282" s="418">
        <f t="shared" si="96"/>
        <v>0</v>
      </c>
      <c r="AC282" s="418">
        <f t="shared" si="97"/>
        <v>0</v>
      </c>
      <c r="AD282" s="418">
        <f t="shared" si="98"/>
        <v>0</v>
      </c>
      <c r="AE282" s="413">
        <f t="shared" si="99"/>
        <v>0</v>
      </c>
    </row>
    <row r="283" spans="1:31" x14ac:dyDescent="0.3">
      <c r="A283" s="415" t="s">
        <v>1604</v>
      </c>
      <c r="B283" s="418" t="s">
        <v>1883</v>
      </c>
      <c r="C283" s="418" t="s">
        <v>26</v>
      </c>
      <c r="D283" s="418" t="str">
        <f t="shared" si="82"/>
        <v>101-E311</v>
      </c>
      <c r="E283" s="418">
        <v>0</v>
      </c>
      <c r="F283" s="418">
        <v>551668.19999999995</v>
      </c>
      <c r="G283" s="418">
        <v>551668.19999999995</v>
      </c>
      <c r="H283" s="418">
        <v>551668.19999999995</v>
      </c>
      <c r="I283" s="418">
        <v>0</v>
      </c>
      <c r="J283" s="413">
        <v>0</v>
      </c>
      <c r="L283" s="418" t="str">
        <f t="shared" si="83"/>
        <v>Projected - Electric</v>
      </c>
      <c r="M283" s="418" t="str">
        <f t="shared" si="84"/>
        <v>E311 STM Str/Impv, Goldendale</v>
      </c>
      <c r="N283" s="418" t="str">
        <f t="shared" si="80"/>
        <v>Projected</v>
      </c>
      <c r="O283" s="418" t="str">
        <f t="shared" si="85"/>
        <v>101-E311</v>
      </c>
      <c r="P283" s="418">
        <f t="shared" si="86"/>
        <v>0</v>
      </c>
      <c r="Q283" s="418">
        <f t="shared" si="87"/>
        <v>551668.19999999995</v>
      </c>
      <c r="R283" s="418">
        <f t="shared" si="88"/>
        <v>551668.19999999995</v>
      </c>
      <c r="S283" s="418">
        <f t="shared" si="89"/>
        <v>551668.19999999995</v>
      </c>
      <c r="T283" s="418">
        <f t="shared" si="90"/>
        <v>0</v>
      </c>
      <c r="V283" s="418" t="str">
        <f t="shared" si="91"/>
        <v>Projected - Electric</v>
      </c>
      <c r="W283" s="418" t="str">
        <f t="shared" si="92"/>
        <v>E311 STM Str/Impv, Goldendale</v>
      </c>
      <c r="X283" s="418" t="str">
        <f t="shared" si="81"/>
        <v>Projected</v>
      </c>
      <c r="Y283" s="418" t="str">
        <f t="shared" si="93"/>
        <v>101-E311</v>
      </c>
      <c r="Z283" s="418">
        <f t="shared" si="94"/>
        <v>0</v>
      </c>
      <c r="AA283" s="418">
        <f t="shared" si="95"/>
        <v>0</v>
      </c>
      <c r="AB283" s="418">
        <f t="shared" si="96"/>
        <v>0</v>
      </c>
      <c r="AC283" s="418">
        <f t="shared" si="97"/>
        <v>0</v>
      </c>
      <c r="AD283" s="418">
        <f t="shared" si="98"/>
        <v>0</v>
      </c>
      <c r="AE283" s="413">
        <f t="shared" si="99"/>
        <v>0</v>
      </c>
    </row>
    <row r="284" spans="1:31" x14ac:dyDescent="0.3">
      <c r="A284" s="415" t="s">
        <v>1604</v>
      </c>
      <c r="B284" s="418" t="s">
        <v>1882</v>
      </c>
      <c r="C284" s="418" t="s">
        <v>26</v>
      </c>
      <c r="D284" s="418" t="str">
        <f t="shared" si="82"/>
        <v>101-E312</v>
      </c>
      <c r="E284" s="418">
        <v>0</v>
      </c>
      <c r="F284" s="418">
        <v>209023.68</v>
      </c>
      <c r="G284" s="418">
        <v>236451.79</v>
      </c>
      <c r="H284" s="418">
        <v>282165.31</v>
      </c>
      <c r="I284" s="418">
        <v>0</v>
      </c>
      <c r="J284" s="413">
        <v>0</v>
      </c>
      <c r="L284" s="418" t="str">
        <f t="shared" si="83"/>
        <v>Projected - Electric</v>
      </c>
      <c r="M284" s="418" t="str">
        <f t="shared" si="84"/>
        <v>E312 STM Boiler, Encogen</v>
      </c>
      <c r="N284" s="418" t="str">
        <f t="shared" si="80"/>
        <v>Projected</v>
      </c>
      <c r="O284" s="418" t="str">
        <f t="shared" si="85"/>
        <v>101-E312</v>
      </c>
      <c r="P284" s="418">
        <f t="shared" si="86"/>
        <v>0</v>
      </c>
      <c r="Q284" s="418">
        <f t="shared" si="87"/>
        <v>209023.68</v>
      </c>
      <c r="R284" s="418">
        <f t="shared" si="88"/>
        <v>236451.79</v>
      </c>
      <c r="S284" s="418">
        <f t="shared" si="89"/>
        <v>282165.31</v>
      </c>
      <c r="T284" s="418">
        <f t="shared" si="90"/>
        <v>0</v>
      </c>
      <c r="V284" s="418" t="str">
        <f t="shared" si="91"/>
        <v>Projected - Electric</v>
      </c>
      <c r="W284" s="418" t="str">
        <f t="shared" si="92"/>
        <v>E312 STM Boiler, Encogen</v>
      </c>
      <c r="X284" s="418" t="str">
        <f t="shared" si="81"/>
        <v>Projected</v>
      </c>
      <c r="Y284" s="418" t="str">
        <f t="shared" si="93"/>
        <v>101-E312</v>
      </c>
      <c r="Z284" s="418">
        <f t="shared" si="94"/>
        <v>0</v>
      </c>
      <c r="AA284" s="418">
        <f t="shared" si="95"/>
        <v>0</v>
      </c>
      <c r="AB284" s="418">
        <f t="shared" si="96"/>
        <v>0</v>
      </c>
      <c r="AC284" s="418">
        <f t="shared" si="97"/>
        <v>0</v>
      </c>
      <c r="AD284" s="418">
        <f t="shared" si="98"/>
        <v>0</v>
      </c>
      <c r="AE284" s="413">
        <f t="shared" si="99"/>
        <v>0</v>
      </c>
    </row>
    <row r="285" spans="1:31" x14ac:dyDescent="0.3">
      <c r="A285" s="415" t="s">
        <v>1604</v>
      </c>
      <c r="B285" s="418" t="s">
        <v>1881</v>
      </c>
      <c r="C285" s="418" t="s">
        <v>26</v>
      </c>
      <c r="D285" s="418" t="str">
        <f t="shared" si="82"/>
        <v>101-E312</v>
      </c>
      <c r="E285" s="418">
        <v>0</v>
      </c>
      <c r="F285" s="418">
        <v>9279.48</v>
      </c>
      <c r="G285" s="418">
        <v>10786.32</v>
      </c>
      <c r="H285" s="418">
        <v>33850.620000000003</v>
      </c>
      <c r="I285" s="418">
        <v>0</v>
      </c>
      <c r="J285" s="413">
        <v>0</v>
      </c>
      <c r="L285" s="418" t="str">
        <f t="shared" si="83"/>
        <v>Projected - Electric</v>
      </c>
      <c r="M285" s="418" t="str">
        <f t="shared" si="84"/>
        <v>E312 STM Boiler, Ferndale</v>
      </c>
      <c r="N285" s="418" t="str">
        <f t="shared" si="80"/>
        <v>Projected</v>
      </c>
      <c r="O285" s="418" t="str">
        <f t="shared" si="85"/>
        <v>101-E312</v>
      </c>
      <c r="P285" s="418">
        <f t="shared" si="86"/>
        <v>0</v>
      </c>
      <c r="Q285" s="418">
        <f t="shared" si="87"/>
        <v>9279.48</v>
      </c>
      <c r="R285" s="418">
        <f t="shared" si="88"/>
        <v>10786.32</v>
      </c>
      <c r="S285" s="418">
        <f t="shared" si="89"/>
        <v>33850.620000000003</v>
      </c>
      <c r="T285" s="418">
        <f t="shared" si="90"/>
        <v>0</v>
      </c>
      <c r="V285" s="418" t="str">
        <f t="shared" si="91"/>
        <v>Projected - Electric</v>
      </c>
      <c r="W285" s="418" t="str">
        <f t="shared" si="92"/>
        <v>E312 STM Boiler, Ferndale</v>
      </c>
      <c r="X285" s="418" t="str">
        <f t="shared" si="81"/>
        <v>Projected</v>
      </c>
      <c r="Y285" s="418" t="str">
        <f t="shared" si="93"/>
        <v>101-E312</v>
      </c>
      <c r="Z285" s="418">
        <f t="shared" si="94"/>
        <v>0</v>
      </c>
      <c r="AA285" s="418">
        <f t="shared" si="95"/>
        <v>0</v>
      </c>
      <c r="AB285" s="418">
        <f t="shared" si="96"/>
        <v>0</v>
      </c>
      <c r="AC285" s="418">
        <f t="shared" si="97"/>
        <v>0</v>
      </c>
      <c r="AD285" s="418">
        <f t="shared" si="98"/>
        <v>0</v>
      </c>
      <c r="AE285" s="413">
        <f t="shared" si="99"/>
        <v>0</v>
      </c>
    </row>
    <row r="286" spans="1:31" x14ac:dyDescent="0.3">
      <c r="A286" s="415" t="s">
        <v>1604</v>
      </c>
      <c r="B286" s="418" t="s">
        <v>1880</v>
      </c>
      <c r="C286" s="418" t="s">
        <v>26</v>
      </c>
      <c r="D286" s="418" t="str">
        <f t="shared" si="82"/>
        <v>101-E312</v>
      </c>
      <c r="E286" s="418">
        <v>0</v>
      </c>
      <c r="F286" s="418">
        <v>428760.24</v>
      </c>
      <c r="G286" s="418">
        <v>428760.24</v>
      </c>
      <c r="H286" s="418">
        <v>428760.24</v>
      </c>
      <c r="I286" s="418">
        <v>0</v>
      </c>
      <c r="J286" s="413">
        <v>0</v>
      </c>
      <c r="L286" s="418" t="str">
        <f t="shared" si="83"/>
        <v>Projected - Electric</v>
      </c>
      <c r="M286" s="418" t="str">
        <f t="shared" si="84"/>
        <v>E312 STM Boiler, Goldendale</v>
      </c>
      <c r="N286" s="418" t="str">
        <f t="shared" si="80"/>
        <v>Projected</v>
      </c>
      <c r="O286" s="418" t="str">
        <f t="shared" si="85"/>
        <v>101-E312</v>
      </c>
      <c r="P286" s="418">
        <f t="shared" si="86"/>
        <v>0</v>
      </c>
      <c r="Q286" s="418">
        <f t="shared" si="87"/>
        <v>428760.24</v>
      </c>
      <c r="R286" s="418">
        <f t="shared" si="88"/>
        <v>428760.24</v>
      </c>
      <c r="S286" s="418">
        <f t="shared" si="89"/>
        <v>428760.24</v>
      </c>
      <c r="T286" s="418">
        <f t="shared" si="90"/>
        <v>0</v>
      </c>
      <c r="V286" s="418" t="str">
        <f t="shared" si="91"/>
        <v>Projected - Electric</v>
      </c>
      <c r="W286" s="418" t="str">
        <f t="shared" si="92"/>
        <v>E312 STM Boiler, Goldendale</v>
      </c>
      <c r="X286" s="418" t="str">
        <f t="shared" si="81"/>
        <v>Projected</v>
      </c>
      <c r="Y286" s="418" t="str">
        <f t="shared" si="93"/>
        <v>101-E312</v>
      </c>
      <c r="Z286" s="418">
        <f t="shared" si="94"/>
        <v>0</v>
      </c>
      <c r="AA286" s="418">
        <f t="shared" si="95"/>
        <v>0</v>
      </c>
      <c r="AB286" s="418">
        <f t="shared" si="96"/>
        <v>0</v>
      </c>
      <c r="AC286" s="418">
        <f t="shared" si="97"/>
        <v>0</v>
      </c>
      <c r="AD286" s="418">
        <f t="shared" si="98"/>
        <v>0</v>
      </c>
      <c r="AE286" s="413">
        <f t="shared" si="99"/>
        <v>0</v>
      </c>
    </row>
    <row r="287" spans="1:31" x14ac:dyDescent="0.3">
      <c r="A287" s="415" t="s">
        <v>1604</v>
      </c>
      <c r="B287" s="418" t="s">
        <v>1879</v>
      </c>
      <c r="C287" s="418" t="s">
        <v>26</v>
      </c>
      <c r="D287" s="418" t="str">
        <f t="shared" si="82"/>
        <v>101-E312</v>
      </c>
      <c r="E287" s="418">
        <v>0</v>
      </c>
      <c r="F287" s="418">
        <v>223129.2</v>
      </c>
      <c r="G287" s="418">
        <v>355129.86</v>
      </c>
      <c r="H287" s="418">
        <v>487130.52</v>
      </c>
      <c r="I287" s="418">
        <v>0</v>
      </c>
      <c r="J287" s="413">
        <v>0</v>
      </c>
      <c r="L287" s="418" t="str">
        <f t="shared" si="83"/>
        <v>Projected - Electric</v>
      </c>
      <c r="M287" s="418" t="str">
        <f t="shared" si="84"/>
        <v>E312 STM Boiler, Mint Farm</v>
      </c>
      <c r="N287" s="418" t="str">
        <f t="shared" si="80"/>
        <v>Projected</v>
      </c>
      <c r="O287" s="418" t="str">
        <f t="shared" si="85"/>
        <v>101-E312</v>
      </c>
      <c r="P287" s="418">
        <f t="shared" si="86"/>
        <v>0</v>
      </c>
      <c r="Q287" s="418">
        <f t="shared" si="87"/>
        <v>223129.2</v>
      </c>
      <c r="R287" s="418">
        <f t="shared" si="88"/>
        <v>355129.86</v>
      </c>
      <c r="S287" s="418">
        <f t="shared" si="89"/>
        <v>487130.52</v>
      </c>
      <c r="T287" s="418">
        <f t="shared" si="90"/>
        <v>0</v>
      </c>
      <c r="V287" s="418" t="str">
        <f t="shared" si="91"/>
        <v>Projected - Electric</v>
      </c>
      <c r="W287" s="418" t="str">
        <f t="shared" si="92"/>
        <v>E312 STM Boiler, Mint Farm</v>
      </c>
      <c r="X287" s="418" t="str">
        <f t="shared" si="81"/>
        <v>Projected</v>
      </c>
      <c r="Y287" s="418" t="str">
        <f t="shared" si="93"/>
        <v>101-E312</v>
      </c>
      <c r="Z287" s="418">
        <f t="shared" si="94"/>
        <v>0</v>
      </c>
      <c r="AA287" s="418">
        <f t="shared" si="95"/>
        <v>0</v>
      </c>
      <c r="AB287" s="418">
        <f t="shared" si="96"/>
        <v>0</v>
      </c>
      <c r="AC287" s="418">
        <f t="shared" si="97"/>
        <v>0</v>
      </c>
      <c r="AD287" s="418">
        <f t="shared" si="98"/>
        <v>0</v>
      </c>
      <c r="AE287" s="413">
        <f t="shared" si="99"/>
        <v>0</v>
      </c>
    </row>
    <row r="288" spans="1:31" x14ac:dyDescent="0.3">
      <c r="A288" s="415" t="s">
        <v>1604</v>
      </c>
      <c r="B288" s="418" t="s">
        <v>1878</v>
      </c>
      <c r="C288" s="418" t="s">
        <v>26</v>
      </c>
      <c r="D288" s="418" t="str">
        <f t="shared" si="82"/>
        <v>101-E314</v>
      </c>
      <c r="E288" s="418">
        <v>0</v>
      </c>
      <c r="F288" s="418">
        <v>336891.96</v>
      </c>
      <c r="G288" s="418">
        <v>381098.94</v>
      </c>
      <c r="H288" s="418">
        <v>454777.26</v>
      </c>
      <c r="I288" s="418">
        <v>0</v>
      </c>
      <c r="J288" s="413">
        <v>0</v>
      </c>
      <c r="L288" s="418" t="str">
        <f t="shared" si="83"/>
        <v>Projected - Electric</v>
      </c>
      <c r="M288" s="418" t="str">
        <f t="shared" si="84"/>
        <v>E314 STM Turbogen, Encogen</v>
      </c>
      <c r="N288" s="418" t="str">
        <f t="shared" si="80"/>
        <v>Projected</v>
      </c>
      <c r="O288" s="418" t="str">
        <f t="shared" si="85"/>
        <v>101-E314</v>
      </c>
      <c r="P288" s="418">
        <f t="shared" si="86"/>
        <v>0</v>
      </c>
      <c r="Q288" s="418">
        <f t="shared" si="87"/>
        <v>336891.96</v>
      </c>
      <c r="R288" s="418">
        <f t="shared" si="88"/>
        <v>381098.94</v>
      </c>
      <c r="S288" s="418">
        <f t="shared" si="89"/>
        <v>454777.26</v>
      </c>
      <c r="T288" s="418">
        <f t="shared" si="90"/>
        <v>0</v>
      </c>
      <c r="V288" s="418" t="str">
        <f t="shared" si="91"/>
        <v>Projected - Electric</v>
      </c>
      <c r="W288" s="418" t="str">
        <f t="shared" si="92"/>
        <v>E314 STM Turbogen, Encogen</v>
      </c>
      <c r="X288" s="418" t="str">
        <f t="shared" si="81"/>
        <v>Projected</v>
      </c>
      <c r="Y288" s="418" t="str">
        <f t="shared" si="93"/>
        <v>101-E314</v>
      </c>
      <c r="Z288" s="418">
        <f t="shared" si="94"/>
        <v>0</v>
      </c>
      <c r="AA288" s="418">
        <f t="shared" si="95"/>
        <v>0</v>
      </c>
      <c r="AB288" s="418">
        <f t="shared" si="96"/>
        <v>0</v>
      </c>
      <c r="AC288" s="418">
        <f t="shared" si="97"/>
        <v>0</v>
      </c>
      <c r="AD288" s="418">
        <f t="shared" si="98"/>
        <v>0</v>
      </c>
      <c r="AE288" s="413">
        <f t="shared" si="99"/>
        <v>0</v>
      </c>
    </row>
    <row r="289" spans="1:31" x14ac:dyDescent="0.3">
      <c r="A289" s="415" t="s">
        <v>1604</v>
      </c>
      <c r="B289" s="418" t="s">
        <v>1877</v>
      </c>
      <c r="C289" s="418" t="s">
        <v>26</v>
      </c>
      <c r="D289" s="418" t="str">
        <f t="shared" si="82"/>
        <v>101-E314</v>
      </c>
      <c r="E289" s="418">
        <v>0</v>
      </c>
      <c r="F289" s="418">
        <v>2948.04</v>
      </c>
      <c r="G289" s="418">
        <v>104353.13</v>
      </c>
      <c r="H289" s="418">
        <v>205758.24</v>
      </c>
      <c r="I289" s="418">
        <v>0</v>
      </c>
      <c r="J289" s="413">
        <v>0</v>
      </c>
      <c r="L289" s="418" t="str">
        <f t="shared" si="83"/>
        <v>Projected - Electric</v>
      </c>
      <c r="M289" s="418" t="str">
        <f t="shared" si="84"/>
        <v>E314 STM Turbogen, Fred 1/APC</v>
      </c>
      <c r="N289" s="418" t="str">
        <f t="shared" si="80"/>
        <v>Projected</v>
      </c>
      <c r="O289" s="418" t="str">
        <f t="shared" si="85"/>
        <v>101-E314</v>
      </c>
      <c r="P289" s="418">
        <f t="shared" si="86"/>
        <v>0</v>
      </c>
      <c r="Q289" s="418">
        <f t="shared" si="87"/>
        <v>2948.04</v>
      </c>
      <c r="R289" s="418">
        <f t="shared" si="88"/>
        <v>104353.13</v>
      </c>
      <c r="S289" s="418">
        <f t="shared" si="89"/>
        <v>205758.24</v>
      </c>
      <c r="T289" s="418">
        <f t="shared" si="90"/>
        <v>0</v>
      </c>
      <c r="V289" s="418" t="str">
        <f t="shared" si="91"/>
        <v>Projected - Electric</v>
      </c>
      <c r="W289" s="418" t="str">
        <f t="shared" si="92"/>
        <v>E314 STM Turbogen, Fred 1/APC</v>
      </c>
      <c r="X289" s="418" t="str">
        <f t="shared" si="81"/>
        <v>Projected</v>
      </c>
      <c r="Y289" s="418" t="str">
        <f t="shared" si="93"/>
        <v>101-E314</v>
      </c>
      <c r="Z289" s="418">
        <f t="shared" si="94"/>
        <v>0</v>
      </c>
      <c r="AA289" s="418">
        <f t="shared" si="95"/>
        <v>0</v>
      </c>
      <c r="AB289" s="418">
        <f t="shared" si="96"/>
        <v>0</v>
      </c>
      <c r="AC289" s="418">
        <f t="shared" si="97"/>
        <v>0</v>
      </c>
      <c r="AD289" s="418">
        <f t="shared" si="98"/>
        <v>0</v>
      </c>
      <c r="AE289" s="413">
        <f t="shared" si="99"/>
        <v>0</v>
      </c>
    </row>
    <row r="290" spans="1:31" x14ac:dyDescent="0.3">
      <c r="A290" s="415" t="s">
        <v>1604</v>
      </c>
      <c r="B290" s="418" t="s">
        <v>1876</v>
      </c>
      <c r="C290" s="418" t="s">
        <v>26</v>
      </c>
      <c r="D290" s="418" t="str">
        <f t="shared" si="82"/>
        <v>101-E314</v>
      </c>
      <c r="E290" s="418">
        <v>0</v>
      </c>
      <c r="F290" s="418">
        <v>800429.16</v>
      </c>
      <c r="G290" s="418">
        <v>800429.16</v>
      </c>
      <c r="H290" s="418">
        <v>800429.16</v>
      </c>
      <c r="I290" s="418">
        <v>0</v>
      </c>
      <c r="J290" s="413">
        <v>0</v>
      </c>
      <c r="L290" s="418" t="str">
        <f t="shared" si="83"/>
        <v>Projected - Electric</v>
      </c>
      <c r="M290" s="418" t="str">
        <f t="shared" si="84"/>
        <v>E314 STM Turbogen, Goldendale</v>
      </c>
      <c r="N290" s="418" t="str">
        <f t="shared" si="80"/>
        <v>Projected</v>
      </c>
      <c r="O290" s="418" t="str">
        <f t="shared" si="85"/>
        <v>101-E314</v>
      </c>
      <c r="P290" s="418">
        <f t="shared" si="86"/>
        <v>0</v>
      </c>
      <c r="Q290" s="418">
        <f t="shared" si="87"/>
        <v>800429.16</v>
      </c>
      <c r="R290" s="418">
        <f t="shared" si="88"/>
        <v>800429.16</v>
      </c>
      <c r="S290" s="418">
        <f t="shared" si="89"/>
        <v>800429.16</v>
      </c>
      <c r="T290" s="418">
        <f t="shared" si="90"/>
        <v>0</v>
      </c>
      <c r="V290" s="418" t="str">
        <f t="shared" si="91"/>
        <v>Projected - Electric</v>
      </c>
      <c r="W290" s="418" t="str">
        <f t="shared" si="92"/>
        <v>E314 STM Turbogen, Goldendale</v>
      </c>
      <c r="X290" s="418" t="str">
        <f t="shared" si="81"/>
        <v>Projected</v>
      </c>
      <c r="Y290" s="418" t="str">
        <f t="shared" si="93"/>
        <v>101-E314</v>
      </c>
      <c r="Z290" s="418">
        <f t="shared" si="94"/>
        <v>0</v>
      </c>
      <c r="AA290" s="418">
        <f t="shared" si="95"/>
        <v>0</v>
      </c>
      <c r="AB290" s="418">
        <f t="shared" si="96"/>
        <v>0</v>
      </c>
      <c r="AC290" s="418">
        <f t="shared" si="97"/>
        <v>0</v>
      </c>
      <c r="AD290" s="418">
        <f t="shared" si="98"/>
        <v>0</v>
      </c>
      <c r="AE290" s="413">
        <f t="shared" si="99"/>
        <v>0</v>
      </c>
    </row>
    <row r="291" spans="1:31" x14ac:dyDescent="0.3">
      <c r="A291" s="415" t="s">
        <v>1604</v>
      </c>
      <c r="B291" s="418" t="s">
        <v>1875</v>
      </c>
      <c r="C291" s="418" t="s">
        <v>26</v>
      </c>
      <c r="D291" s="418" t="str">
        <f t="shared" si="82"/>
        <v>101-E314</v>
      </c>
      <c r="E291" s="418">
        <v>0</v>
      </c>
      <c r="F291" s="418">
        <v>350051.64</v>
      </c>
      <c r="G291" s="418">
        <v>557138.16</v>
      </c>
      <c r="H291" s="418">
        <v>764224.68</v>
      </c>
      <c r="I291" s="418">
        <v>0</v>
      </c>
      <c r="J291" s="413">
        <v>0</v>
      </c>
      <c r="L291" s="418" t="str">
        <f t="shared" si="83"/>
        <v>Projected - Electric</v>
      </c>
      <c r="M291" s="418" t="str">
        <f t="shared" si="84"/>
        <v>E314 STM Turbogen, Mint Farm</v>
      </c>
      <c r="N291" s="418" t="str">
        <f t="shared" si="80"/>
        <v>Projected</v>
      </c>
      <c r="O291" s="418" t="str">
        <f t="shared" si="85"/>
        <v>101-E314</v>
      </c>
      <c r="P291" s="418">
        <f t="shared" si="86"/>
        <v>0</v>
      </c>
      <c r="Q291" s="418">
        <f t="shared" si="87"/>
        <v>350051.64</v>
      </c>
      <c r="R291" s="418">
        <f t="shared" si="88"/>
        <v>557138.16</v>
      </c>
      <c r="S291" s="418">
        <f t="shared" si="89"/>
        <v>764224.68</v>
      </c>
      <c r="T291" s="418">
        <f t="shared" si="90"/>
        <v>0</v>
      </c>
      <c r="V291" s="418" t="str">
        <f t="shared" si="91"/>
        <v>Projected - Electric</v>
      </c>
      <c r="W291" s="418" t="str">
        <f t="shared" si="92"/>
        <v>E314 STM Turbogen, Mint Farm</v>
      </c>
      <c r="X291" s="418" t="str">
        <f t="shared" si="81"/>
        <v>Projected</v>
      </c>
      <c r="Y291" s="418" t="str">
        <f t="shared" si="93"/>
        <v>101-E314</v>
      </c>
      <c r="Z291" s="418">
        <f t="shared" si="94"/>
        <v>0</v>
      </c>
      <c r="AA291" s="418">
        <f t="shared" si="95"/>
        <v>0</v>
      </c>
      <c r="AB291" s="418">
        <f t="shared" si="96"/>
        <v>0</v>
      </c>
      <c r="AC291" s="418">
        <f t="shared" si="97"/>
        <v>0</v>
      </c>
      <c r="AD291" s="418">
        <f t="shared" si="98"/>
        <v>0</v>
      </c>
      <c r="AE291" s="413">
        <f t="shared" si="99"/>
        <v>0</v>
      </c>
    </row>
    <row r="292" spans="1:31" x14ac:dyDescent="0.3">
      <c r="A292" s="415" t="s">
        <v>1604</v>
      </c>
      <c r="B292" s="418" t="s">
        <v>1874</v>
      </c>
      <c r="C292" s="418" t="s">
        <v>26</v>
      </c>
      <c r="D292" s="418" t="str">
        <f t="shared" si="82"/>
        <v>101-E316</v>
      </c>
      <c r="E292" s="418">
        <v>0</v>
      </c>
      <c r="F292" s="418">
        <v>292.92</v>
      </c>
      <c r="G292" s="418">
        <v>293.41000000000003</v>
      </c>
      <c r="H292" s="418">
        <v>305.07</v>
      </c>
      <c r="I292" s="418">
        <v>0</v>
      </c>
      <c r="J292" s="413">
        <v>0</v>
      </c>
      <c r="L292" s="418" t="str">
        <f t="shared" si="83"/>
        <v>Projected - Electric</v>
      </c>
      <c r="M292" s="418" t="str">
        <f t="shared" si="84"/>
        <v>E316 STM Misc, Mint Farm</v>
      </c>
      <c r="N292" s="418" t="str">
        <f t="shared" si="80"/>
        <v>Projected</v>
      </c>
      <c r="O292" s="418" t="str">
        <f t="shared" si="85"/>
        <v>101-E316</v>
      </c>
      <c r="P292" s="418">
        <f t="shared" si="86"/>
        <v>0</v>
      </c>
      <c r="Q292" s="418">
        <f t="shared" si="87"/>
        <v>292.92</v>
      </c>
      <c r="R292" s="418">
        <f t="shared" si="88"/>
        <v>293.41000000000003</v>
      </c>
      <c r="S292" s="418">
        <f t="shared" si="89"/>
        <v>305.07</v>
      </c>
      <c r="T292" s="418">
        <f t="shared" si="90"/>
        <v>0</v>
      </c>
      <c r="V292" s="418" t="str">
        <f t="shared" si="91"/>
        <v>Projected - Electric</v>
      </c>
      <c r="W292" s="418" t="str">
        <f t="shared" si="92"/>
        <v>E316 STM Misc, Mint Farm</v>
      </c>
      <c r="X292" s="418" t="str">
        <f t="shared" si="81"/>
        <v>Projected</v>
      </c>
      <c r="Y292" s="418" t="str">
        <f t="shared" si="93"/>
        <v>101-E316</v>
      </c>
      <c r="Z292" s="418">
        <f t="shared" si="94"/>
        <v>0</v>
      </c>
      <c r="AA292" s="418">
        <f t="shared" si="95"/>
        <v>0</v>
      </c>
      <c r="AB292" s="418">
        <f t="shared" si="96"/>
        <v>0</v>
      </c>
      <c r="AC292" s="418">
        <f t="shared" si="97"/>
        <v>0</v>
      </c>
      <c r="AD292" s="418">
        <f t="shared" si="98"/>
        <v>0</v>
      </c>
      <c r="AE292" s="413">
        <f t="shared" si="99"/>
        <v>0</v>
      </c>
    </row>
    <row r="293" spans="1:31" x14ac:dyDescent="0.3">
      <c r="A293" s="415" t="s">
        <v>1604</v>
      </c>
      <c r="B293" s="418" t="s">
        <v>1873</v>
      </c>
      <c r="C293" s="418" t="s">
        <v>26</v>
      </c>
      <c r="D293" s="418" t="str">
        <f t="shared" si="82"/>
        <v>101-E330</v>
      </c>
      <c r="E293" s="418">
        <v>0</v>
      </c>
      <c r="F293" s="418">
        <v>78260.52</v>
      </c>
      <c r="G293" s="418">
        <v>78260.52</v>
      </c>
      <c r="H293" s="418">
        <v>78260.52</v>
      </c>
      <c r="I293" s="418">
        <v>0</v>
      </c>
      <c r="J293" s="413">
        <v>0</v>
      </c>
      <c r="L293" s="418" t="str">
        <f t="shared" si="83"/>
        <v>Projected - Electric</v>
      </c>
      <c r="M293" s="418" t="str">
        <f t="shared" si="84"/>
        <v>E3300 HYD Land, Lower Baker</v>
      </c>
      <c r="N293" s="418" t="str">
        <f t="shared" si="80"/>
        <v>Projected</v>
      </c>
      <c r="O293" s="418" t="str">
        <f t="shared" si="85"/>
        <v>101-E330</v>
      </c>
      <c r="P293" s="418">
        <f t="shared" si="86"/>
        <v>0</v>
      </c>
      <c r="Q293" s="418">
        <f t="shared" si="87"/>
        <v>78260.52</v>
      </c>
      <c r="R293" s="418">
        <f t="shared" si="88"/>
        <v>78260.52</v>
      </c>
      <c r="S293" s="418">
        <f t="shared" si="89"/>
        <v>78260.52</v>
      </c>
      <c r="T293" s="418">
        <f t="shared" si="90"/>
        <v>0</v>
      </c>
      <c r="V293" s="418" t="str">
        <f t="shared" si="91"/>
        <v>Projected - Electric</v>
      </c>
      <c r="W293" s="418" t="str">
        <f t="shared" si="92"/>
        <v>E3300 HYD Land, Lower Baker</v>
      </c>
      <c r="X293" s="418" t="str">
        <f t="shared" si="81"/>
        <v>Projected</v>
      </c>
      <c r="Y293" s="418" t="str">
        <f t="shared" si="93"/>
        <v>101-E330</v>
      </c>
      <c r="Z293" s="418">
        <f t="shared" si="94"/>
        <v>0</v>
      </c>
      <c r="AA293" s="418">
        <f t="shared" si="95"/>
        <v>0</v>
      </c>
      <c r="AB293" s="418">
        <f t="shared" si="96"/>
        <v>0</v>
      </c>
      <c r="AC293" s="418">
        <f t="shared" si="97"/>
        <v>0</v>
      </c>
      <c r="AD293" s="418">
        <f t="shared" si="98"/>
        <v>0</v>
      </c>
      <c r="AE293" s="413">
        <f t="shared" si="99"/>
        <v>0</v>
      </c>
    </row>
    <row r="294" spans="1:31" x14ac:dyDescent="0.3">
      <c r="A294" s="415" t="s">
        <v>1604</v>
      </c>
      <c r="B294" s="418" t="s">
        <v>1872</v>
      </c>
      <c r="C294" s="418" t="s">
        <v>26</v>
      </c>
      <c r="D294" s="418" t="str">
        <f t="shared" si="82"/>
        <v>101-E331</v>
      </c>
      <c r="E294" s="418">
        <v>0</v>
      </c>
      <c r="F294" s="418">
        <v>0</v>
      </c>
      <c r="G294" s="418">
        <v>25101.18</v>
      </c>
      <c r="H294" s="418">
        <v>50202.36</v>
      </c>
      <c r="I294" s="418">
        <v>0</v>
      </c>
      <c r="J294" s="413">
        <v>0</v>
      </c>
      <c r="L294" s="418" t="str">
        <f t="shared" si="83"/>
        <v>Projected - Electric</v>
      </c>
      <c r="M294" s="418" t="str">
        <f t="shared" si="84"/>
        <v>E331 HYD S/I, UB FishHatchery2010</v>
      </c>
      <c r="N294" s="418" t="str">
        <f t="shared" si="80"/>
        <v>Projected</v>
      </c>
      <c r="O294" s="418" t="str">
        <f t="shared" si="85"/>
        <v>101-E331</v>
      </c>
      <c r="P294" s="418">
        <f t="shared" si="86"/>
        <v>0</v>
      </c>
      <c r="Q294" s="418">
        <f t="shared" si="87"/>
        <v>0</v>
      </c>
      <c r="R294" s="418">
        <f t="shared" si="88"/>
        <v>25101.18</v>
      </c>
      <c r="S294" s="418">
        <f t="shared" si="89"/>
        <v>50202.36</v>
      </c>
      <c r="T294" s="418">
        <f t="shared" si="90"/>
        <v>0</v>
      </c>
      <c r="V294" s="418" t="str">
        <f t="shared" si="91"/>
        <v>Projected - Electric</v>
      </c>
      <c r="W294" s="418" t="str">
        <f t="shared" si="92"/>
        <v>E331 HYD S/I, UB FishHatchery2010</v>
      </c>
      <c r="X294" s="418" t="str">
        <f t="shared" si="81"/>
        <v>Projected</v>
      </c>
      <c r="Y294" s="418" t="str">
        <f t="shared" si="93"/>
        <v>101-E331</v>
      </c>
      <c r="Z294" s="418">
        <f t="shared" si="94"/>
        <v>0</v>
      </c>
      <c r="AA294" s="418">
        <f t="shared" si="95"/>
        <v>0</v>
      </c>
      <c r="AB294" s="418">
        <f t="shared" si="96"/>
        <v>0</v>
      </c>
      <c r="AC294" s="418">
        <f t="shared" si="97"/>
        <v>0</v>
      </c>
      <c r="AD294" s="418">
        <f t="shared" si="98"/>
        <v>0</v>
      </c>
      <c r="AE294" s="413">
        <f t="shared" si="99"/>
        <v>0</v>
      </c>
    </row>
    <row r="295" spans="1:31" x14ac:dyDescent="0.3">
      <c r="A295" s="415" t="s">
        <v>1604</v>
      </c>
      <c r="B295" s="418" t="s">
        <v>1871</v>
      </c>
      <c r="C295" s="418" t="s">
        <v>26</v>
      </c>
      <c r="D295" s="418" t="str">
        <f t="shared" si="82"/>
        <v>101-E331</v>
      </c>
      <c r="E295" s="418">
        <v>0</v>
      </c>
      <c r="F295" s="418">
        <v>675798.95</v>
      </c>
      <c r="G295" s="418">
        <v>760009.07</v>
      </c>
      <c r="H295" s="418">
        <v>844219.19</v>
      </c>
      <c r="I295" s="418">
        <v>0</v>
      </c>
      <c r="J295" s="413">
        <v>0</v>
      </c>
      <c r="L295" s="418" t="str">
        <f t="shared" si="83"/>
        <v>Projected - Electric</v>
      </c>
      <c r="M295" s="418" t="str">
        <f t="shared" si="84"/>
        <v>E331 HYD Str/Impv, Upper Baker</v>
      </c>
      <c r="N295" s="418" t="str">
        <f t="shared" si="80"/>
        <v>Projected</v>
      </c>
      <c r="O295" s="418" t="str">
        <f t="shared" si="85"/>
        <v>101-E331</v>
      </c>
      <c r="P295" s="418">
        <f t="shared" si="86"/>
        <v>0</v>
      </c>
      <c r="Q295" s="418">
        <f t="shared" si="87"/>
        <v>675798.95</v>
      </c>
      <c r="R295" s="418">
        <f t="shared" si="88"/>
        <v>760009.07</v>
      </c>
      <c r="S295" s="418">
        <f t="shared" si="89"/>
        <v>844219.19</v>
      </c>
      <c r="T295" s="418">
        <f t="shared" si="90"/>
        <v>0</v>
      </c>
      <c r="V295" s="418" t="str">
        <f t="shared" si="91"/>
        <v>Projected - Electric</v>
      </c>
      <c r="W295" s="418" t="str">
        <f t="shared" si="92"/>
        <v>E331 HYD Str/Impv, Upper Baker</v>
      </c>
      <c r="X295" s="418" t="str">
        <f t="shared" si="81"/>
        <v>Projected</v>
      </c>
      <c r="Y295" s="418" t="str">
        <f t="shared" si="93"/>
        <v>101-E331</v>
      </c>
      <c r="Z295" s="418">
        <f t="shared" si="94"/>
        <v>0</v>
      </c>
      <c r="AA295" s="418">
        <f t="shared" si="95"/>
        <v>0</v>
      </c>
      <c r="AB295" s="418">
        <f t="shared" si="96"/>
        <v>0</v>
      </c>
      <c r="AC295" s="418">
        <f t="shared" si="97"/>
        <v>0</v>
      </c>
      <c r="AD295" s="418">
        <f t="shared" si="98"/>
        <v>0</v>
      </c>
      <c r="AE295" s="413">
        <f t="shared" si="99"/>
        <v>0</v>
      </c>
    </row>
    <row r="296" spans="1:31" x14ac:dyDescent="0.3">
      <c r="A296" s="415" t="s">
        <v>1604</v>
      </c>
      <c r="B296" s="418" t="s">
        <v>1870</v>
      </c>
      <c r="C296" s="418" t="s">
        <v>26</v>
      </c>
      <c r="D296" s="418" t="str">
        <f t="shared" si="82"/>
        <v>101-E332</v>
      </c>
      <c r="E296" s="418">
        <v>0</v>
      </c>
      <c r="F296" s="418">
        <v>238882.8</v>
      </c>
      <c r="G296" s="418">
        <v>238882.8</v>
      </c>
      <c r="H296" s="418">
        <v>238882.8</v>
      </c>
      <c r="I296" s="418">
        <v>0</v>
      </c>
      <c r="J296" s="413">
        <v>0</v>
      </c>
      <c r="L296" s="418" t="str">
        <f t="shared" si="83"/>
        <v>Projected - Electric</v>
      </c>
      <c r="M296" s="418" t="str">
        <f t="shared" si="84"/>
        <v>E332 HYD R/D/W, Snoq 2 - 2013</v>
      </c>
      <c r="N296" s="418" t="str">
        <f t="shared" si="80"/>
        <v>Projected</v>
      </c>
      <c r="O296" s="418" t="str">
        <f t="shared" si="85"/>
        <v>101-E332</v>
      </c>
      <c r="P296" s="418">
        <f t="shared" si="86"/>
        <v>0</v>
      </c>
      <c r="Q296" s="418">
        <f t="shared" si="87"/>
        <v>238882.8</v>
      </c>
      <c r="R296" s="418">
        <f t="shared" si="88"/>
        <v>238882.8</v>
      </c>
      <c r="S296" s="418">
        <f t="shared" si="89"/>
        <v>238882.8</v>
      </c>
      <c r="T296" s="418">
        <f t="shared" si="90"/>
        <v>0</v>
      </c>
      <c r="V296" s="418" t="str">
        <f t="shared" si="91"/>
        <v>Projected - Electric</v>
      </c>
      <c r="W296" s="418" t="str">
        <f t="shared" si="92"/>
        <v>E332 HYD R/D/W, Snoq 2 - 2013</v>
      </c>
      <c r="X296" s="418" t="str">
        <f t="shared" si="81"/>
        <v>Projected</v>
      </c>
      <c r="Y296" s="418" t="str">
        <f t="shared" si="93"/>
        <v>101-E332</v>
      </c>
      <c r="Z296" s="418">
        <f t="shared" si="94"/>
        <v>0</v>
      </c>
      <c r="AA296" s="418">
        <f t="shared" si="95"/>
        <v>0</v>
      </c>
      <c r="AB296" s="418">
        <f t="shared" si="96"/>
        <v>0</v>
      </c>
      <c r="AC296" s="418">
        <f t="shared" si="97"/>
        <v>0</v>
      </c>
      <c r="AD296" s="418">
        <f t="shared" si="98"/>
        <v>0</v>
      </c>
      <c r="AE296" s="413">
        <f t="shared" si="99"/>
        <v>0</v>
      </c>
    </row>
    <row r="297" spans="1:31" x14ac:dyDescent="0.3">
      <c r="A297" s="415" t="s">
        <v>1604</v>
      </c>
      <c r="B297" s="418" t="s">
        <v>1869</v>
      </c>
      <c r="C297" s="418" t="s">
        <v>26</v>
      </c>
      <c r="D297" s="418" t="str">
        <f t="shared" si="82"/>
        <v>101-E332</v>
      </c>
      <c r="E297" s="418">
        <v>0</v>
      </c>
      <c r="F297" s="418">
        <v>5701.72</v>
      </c>
      <c r="G297" s="418">
        <v>5701.72</v>
      </c>
      <c r="H297" s="418">
        <v>5701.72</v>
      </c>
      <c r="I297" s="418">
        <v>0</v>
      </c>
      <c r="J297" s="413">
        <v>0</v>
      </c>
      <c r="L297" s="418" t="str">
        <f t="shared" si="83"/>
        <v>Projected - Electric</v>
      </c>
      <c r="M297" s="418" t="str">
        <f t="shared" si="84"/>
        <v>E332 HYD R/D/W,LBAdultFishTr2010</v>
      </c>
      <c r="N297" s="418" t="str">
        <f t="shared" si="80"/>
        <v>Projected</v>
      </c>
      <c r="O297" s="418" t="str">
        <f t="shared" si="85"/>
        <v>101-E332</v>
      </c>
      <c r="P297" s="418">
        <f t="shared" si="86"/>
        <v>0</v>
      </c>
      <c r="Q297" s="418">
        <f t="shared" si="87"/>
        <v>5701.72</v>
      </c>
      <c r="R297" s="418">
        <f t="shared" si="88"/>
        <v>5701.72</v>
      </c>
      <c r="S297" s="418">
        <f t="shared" si="89"/>
        <v>5701.72</v>
      </c>
      <c r="T297" s="418">
        <f t="shared" si="90"/>
        <v>0</v>
      </c>
      <c r="V297" s="418" t="str">
        <f t="shared" si="91"/>
        <v>Projected - Electric</v>
      </c>
      <c r="W297" s="418" t="str">
        <f t="shared" si="92"/>
        <v>E332 HYD R/D/W,LBAdultFishTr2010</v>
      </c>
      <c r="X297" s="418" t="str">
        <f t="shared" si="81"/>
        <v>Projected</v>
      </c>
      <c r="Y297" s="418" t="str">
        <f t="shared" si="93"/>
        <v>101-E332</v>
      </c>
      <c r="Z297" s="418">
        <f t="shared" si="94"/>
        <v>0</v>
      </c>
      <c r="AA297" s="418">
        <f t="shared" si="95"/>
        <v>0</v>
      </c>
      <c r="AB297" s="418">
        <f t="shared" si="96"/>
        <v>0</v>
      </c>
      <c r="AC297" s="418">
        <f t="shared" si="97"/>
        <v>0</v>
      </c>
      <c r="AD297" s="418">
        <f t="shared" si="98"/>
        <v>0</v>
      </c>
      <c r="AE297" s="413">
        <f t="shared" si="99"/>
        <v>0</v>
      </c>
    </row>
    <row r="298" spans="1:31" x14ac:dyDescent="0.3">
      <c r="A298" s="415" t="s">
        <v>1604</v>
      </c>
      <c r="B298" s="418" t="s">
        <v>1868</v>
      </c>
      <c r="C298" s="418" t="s">
        <v>26</v>
      </c>
      <c r="D298" s="418" t="str">
        <f t="shared" si="82"/>
        <v>101-E332</v>
      </c>
      <c r="E298" s="418">
        <v>0</v>
      </c>
      <c r="F298" s="418">
        <v>767038.56</v>
      </c>
      <c r="G298" s="418">
        <v>862850.58</v>
      </c>
      <c r="H298" s="418">
        <v>958662.6</v>
      </c>
      <c r="I298" s="418">
        <v>0</v>
      </c>
      <c r="J298" s="413">
        <v>0</v>
      </c>
      <c r="L298" s="418" t="str">
        <f t="shared" si="83"/>
        <v>Projected - Electric</v>
      </c>
      <c r="M298" s="418" t="str">
        <f t="shared" si="84"/>
        <v>E332 HYD Res/Dam/Wwy, UB FSC</v>
      </c>
      <c r="N298" s="418" t="str">
        <f t="shared" si="80"/>
        <v>Projected</v>
      </c>
      <c r="O298" s="418" t="str">
        <f t="shared" si="85"/>
        <v>101-E332</v>
      </c>
      <c r="P298" s="418">
        <f t="shared" si="86"/>
        <v>0</v>
      </c>
      <c r="Q298" s="418">
        <f t="shared" si="87"/>
        <v>767038.56</v>
      </c>
      <c r="R298" s="418">
        <f t="shared" si="88"/>
        <v>862850.58</v>
      </c>
      <c r="S298" s="418">
        <f t="shared" si="89"/>
        <v>958662.6</v>
      </c>
      <c r="T298" s="418">
        <f t="shared" si="90"/>
        <v>0</v>
      </c>
      <c r="V298" s="418" t="str">
        <f t="shared" si="91"/>
        <v>Projected - Electric</v>
      </c>
      <c r="W298" s="418" t="str">
        <f t="shared" si="92"/>
        <v>E332 HYD Res/Dam/Wwy, UB FSC</v>
      </c>
      <c r="X298" s="418" t="str">
        <f t="shared" si="81"/>
        <v>Projected</v>
      </c>
      <c r="Y298" s="418" t="str">
        <f t="shared" si="93"/>
        <v>101-E332</v>
      </c>
      <c r="Z298" s="418">
        <f t="shared" si="94"/>
        <v>0</v>
      </c>
      <c r="AA298" s="418">
        <f t="shared" si="95"/>
        <v>0</v>
      </c>
      <c r="AB298" s="418">
        <f t="shared" si="96"/>
        <v>0</v>
      </c>
      <c r="AC298" s="418">
        <f t="shared" si="97"/>
        <v>0</v>
      </c>
      <c r="AD298" s="418">
        <f t="shared" si="98"/>
        <v>0</v>
      </c>
      <c r="AE298" s="413">
        <f t="shared" si="99"/>
        <v>0</v>
      </c>
    </row>
    <row r="299" spans="1:31" x14ac:dyDescent="0.3">
      <c r="A299" s="415" t="s">
        <v>1604</v>
      </c>
      <c r="B299" s="418" t="s">
        <v>1867</v>
      </c>
      <c r="C299" s="418" t="s">
        <v>26</v>
      </c>
      <c r="D299" s="418" t="str">
        <f t="shared" si="82"/>
        <v>101-E332</v>
      </c>
      <c r="E299" s="418">
        <v>0</v>
      </c>
      <c r="F299" s="418">
        <v>9784612.3000000007</v>
      </c>
      <c r="G299" s="418">
        <v>12105936.93</v>
      </c>
      <c r="H299" s="418">
        <v>14427261.58</v>
      </c>
      <c r="I299" s="418">
        <v>0</v>
      </c>
      <c r="J299" s="413">
        <v>0</v>
      </c>
      <c r="L299" s="418" t="str">
        <f t="shared" si="83"/>
        <v>Projected - Electric</v>
      </c>
      <c r="M299" s="418" t="str">
        <f t="shared" si="84"/>
        <v>E332 HYD Res/Dam/Wwy, Upper Baker</v>
      </c>
      <c r="N299" s="418" t="str">
        <f t="shared" si="80"/>
        <v>Projected</v>
      </c>
      <c r="O299" s="418" t="str">
        <f t="shared" si="85"/>
        <v>101-E332</v>
      </c>
      <c r="P299" s="418">
        <f t="shared" si="86"/>
        <v>0</v>
      </c>
      <c r="Q299" s="418">
        <f t="shared" si="87"/>
        <v>9784612.3000000007</v>
      </c>
      <c r="R299" s="418">
        <f t="shared" si="88"/>
        <v>12105936.93</v>
      </c>
      <c r="S299" s="418">
        <f t="shared" si="89"/>
        <v>14427261.58</v>
      </c>
      <c r="T299" s="418">
        <f t="shared" si="90"/>
        <v>0</v>
      </c>
      <c r="V299" s="418" t="str">
        <f t="shared" si="91"/>
        <v>Projected - Electric</v>
      </c>
      <c r="W299" s="418" t="str">
        <f t="shared" si="92"/>
        <v>E332 HYD Res/Dam/Wwy, Upper Baker</v>
      </c>
      <c r="X299" s="418" t="str">
        <f t="shared" si="81"/>
        <v>Projected</v>
      </c>
      <c r="Y299" s="418" t="str">
        <f t="shared" si="93"/>
        <v>101-E332</v>
      </c>
      <c r="Z299" s="418">
        <f t="shared" si="94"/>
        <v>0</v>
      </c>
      <c r="AA299" s="418">
        <f t="shared" si="95"/>
        <v>0</v>
      </c>
      <c r="AB299" s="418">
        <f t="shared" si="96"/>
        <v>0</v>
      </c>
      <c r="AC299" s="418">
        <f t="shared" si="97"/>
        <v>0</v>
      </c>
      <c r="AD299" s="418">
        <f t="shared" si="98"/>
        <v>0</v>
      </c>
      <c r="AE299" s="413">
        <f t="shared" si="99"/>
        <v>0</v>
      </c>
    </row>
    <row r="300" spans="1:31" x14ac:dyDescent="0.3">
      <c r="A300" s="415" t="s">
        <v>1604</v>
      </c>
      <c r="B300" s="418" t="s">
        <v>1866</v>
      </c>
      <c r="C300" s="418" t="s">
        <v>26</v>
      </c>
      <c r="D300" s="418" t="str">
        <f t="shared" si="82"/>
        <v>101-E333</v>
      </c>
      <c r="E300" s="418">
        <v>0</v>
      </c>
      <c r="F300" s="418">
        <v>12334338.25</v>
      </c>
      <c r="G300" s="418">
        <v>12334338.25</v>
      </c>
      <c r="H300" s="418">
        <v>12334338.25</v>
      </c>
      <c r="I300" s="418">
        <v>0</v>
      </c>
      <c r="J300" s="413">
        <v>0</v>
      </c>
      <c r="L300" s="418" t="str">
        <f t="shared" si="83"/>
        <v>Projected - Electric</v>
      </c>
      <c r="M300" s="418" t="str">
        <f t="shared" si="84"/>
        <v>E333 HYD Wtrwhl/Trbn, Lower Baker</v>
      </c>
      <c r="N300" s="418" t="str">
        <f t="shared" si="80"/>
        <v>Projected</v>
      </c>
      <c r="O300" s="418" t="str">
        <f t="shared" si="85"/>
        <v>101-E333</v>
      </c>
      <c r="P300" s="418">
        <f t="shared" si="86"/>
        <v>0</v>
      </c>
      <c r="Q300" s="418">
        <f t="shared" si="87"/>
        <v>12334338.25</v>
      </c>
      <c r="R300" s="418">
        <f t="shared" si="88"/>
        <v>12334338.25</v>
      </c>
      <c r="S300" s="418">
        <f t="shared" si="89"/>
        <v>12334338.25</v>
      </c>
      <c r="T300" s="418">
        <f t="shared" si="90"/>
        <v>0</v>
      </c>
      <c r="V300" s="418" t="str">
        <f t="shared" si="91"/>
        <v>Projected - Electric</v>
      </c>
      <c r="W300" s="418" t="str">
        <f t="shared" si="92"/>
        <v>E333 HYD Wtrwhl/Trbn, Lower Baker</v>
      </c>
      <c r="X300" s="418" t="str">
        <f t="shared" si="81"/>
        <v>Projected</v>
      </c>
      <c r="Y300" s="418" t="str">
        <f t="shared" si="93"/>
        <v>101-E333</v>
      </c>
      <c r="Z300" s="418">
        <f t="shared" si="94"/>
        <v>0</v>
      </c>
      <c r="AA300" s="418">
        <f t="shared" si="95"/>
        <v>0</v>
      </c>
      <c r="AB300" s="418">
        <f t="shared" si="96"/>
        <v>0</v>
      </c>
      <c r="AC300" s="418">
        <f t="shared" si="97"/>
        <v>0</v>
      </c>
      <c r="AD300" s="418">
        <f t="shared" si="98"/>
        <v>0</v>
      </c>
      <c r="AE300" s="413">
        <f t="shared" si="99"/>
        <v>0</v>
      </c>
    </row>
    <row r="301" spans="1:31" x14ac:dyDescent="0.3">
      <c r="A301" s="415" t="s">
        <v>1604</v>
      </c>
      <c r="B301" s="418" t="s">
        <v>1865</v>
      </c>
      <c r="C301" s="418" t="s">
        <v>26</v>
      </c>
      <c r="D301" s="418" t="str">
        <f t="shared" si="82"/>
        <v>101-E333</v>
      </c>
      <c r="E301" s="418">
        <v>0</v>
      </c>
      <c r="F301" s="418">
        <v>2396670.94</v>
      </c>
      <c r="G301" s="418">
        <v>2396670.94</v>
      </c>
      <c r="H301" s="418">
        <v>2396670.94</v>
      </c>
      <c r="I301" s="418">
        <v>0</v>
      </c>
      <c r="J301" s="413">
        <v>0</v>
      </c>
      <c r="L301" s="418" t="str">
        <f t="shared" si="83"/>
        <v>Projected - Electric</v>
      </c>
      <c r="M301" s="418" t="str">
        <f t="shared" si="84"/>
        <v>E333 HYD Wtrwhl/Trbn, Snoqualmie 1</v>
      </c>
      <c r="N301" s="418" t="str">
        <f t="shared" si="80"/>
        <v>Projected</v>
      </c>
      <c r="O301" s="418" t="str">
        <f t="shared" si="85"/>
        <v>101-E333</v>
      </c>
      <c r="P301" s="418">
        <f t="shared" si="86"/>
        <v>0</v>
      </c>
      <c r="Q301" s="418">
        <f t="shared" si="87"/>
        <v>2396670.94</v>
      </c>
      <c r="R301" s="418">
        <f t="shared" si="88"/>
        <v>2396670.94</v>
      </c>
      <c r="S301" s="418">
        <f t="shared" si="89"/>
        <v>2396670.94</v>
      </c>
      <c r="T301" s="418">
        <f t="shared" si="90"/>
        <v>0</v>
      </c>
      <c r="V301" s="418" t="str">
        <f t="shared" si="91"/>
        <v>Projected - Electric</v>
      </c>
      <c r="W301" s="418" t="str">
        <f t="shared" si="92"/>
        <v>E333 HYD Wtrwhl/Trbn, Snoqualmie 1</v>
      </c>
      <c r="X301" s="418" t="str">
        <f t="shared" si="81"/>
        <v>Projected</v>
      </c>
      <c r="Y301" s="418" t="str">
        <f t="shared" si="93"/>
        <v>101-E333</v>
      </c>
      <c r="Z301" s="418">
        <f t="shared" si="94"/>
        <v>0</v>
      </c>
      <c r="AA301" s="418">
        <f t="shared" si="95"/>
        <v>0</v>
      </c>
      <c r="AB301" s="418">
        <f t="shared" si="96"/>
        <v>0</v>
      </c>
      <c r="AC301" s="418">
        <f t="shared" si="97"/>
        <v>0</v>
      </c>
      <c r="AD301" s="418">
        <f t="shared" si="98"/>
        <v>0</v>
      </c>
      <c r="AE301" s="413">
        <f t="shared" si="99"/>
        <v>0</v>
      </c>
    </row>
    <row r="302" spans="1:31" x14ac:dyDescent="0.3">
      <c r="A302" s="415" t="s">
        <v>1604</v>
      </c>
      <c r="B302" s="418" t="s">
        <v>1864</v>
      </c>
      <c r="C302" s="418" t="s">
        <v>26</v>
      </c>
      <c r="D302" s="418" t="str">
        <f t="shared" si="82"/>
        <v>101-E333</v>
      </c>
      <c r="E302" s="418">
        <v>0</v>
      </c>
      <c r="F302" s="418">
        <v>13475.04</v>
      </c>
      <c r="G302" s="418">
        <v>13475.04</v>
      </c>
      <c r="H302" s="418">
        <v>13475.04</v>
      </c>
      <c r="I302" s="418">
        <v>0</v>
      </c>
      <c r="J302" s="413">
        <v>0</v>
      </c>
      <c r="L302" s="418" t="str">
        <f t="shared" si="83"/>
        <v>Projected - Electric</v>
      </c>
      <c r="M302" s="418" t="str">
        <f t="shared" si="84"/>
        <v>E333 HYD Wtrwhl/Trbn, Snoqualmie 2</v>
      </c>
      <c r="N302" s="418" t="str">
        <f t="shared" si="80"/>
        <v>Projected</v>
      </c>
      <c r="O302" s="418" t="str">
        <f t="shared" si="85"/>
        <v>101-E333</v>
      </c>
      <c r="P302" s="418">
        <f t="shared" si="86"/>
        <v>0</v>
      </c>
      <c r="Q302" s="418">
        <f t="shared" si="87"/>
        <v>13475.04</v>
      </c>
      <c r="R302" s="418">
        <f t="shared" si="88"/>
        <v>13475.04</v>
      </c>
      <c r="S302" s="418">
        <f t="shared" si="89"/>
        <v>13475.04</v>
      </c>
      <c r="T302" s="418">
        <f t="shared" si="90"/>
        <v>0</v>
      </c>
      <c r="V302" s="418" t="str">
        <f t="shared" si="91"/>
        <v>Projected - Electric</v>
      </c>
      <c r="W302" s="418" t="str">
        <f t="shared" si="92"/>
        <v>E333 HYD Wtrwhl/Trbn, Snoqualmie 2</v>
      </c>
      <c r="X302" s="418" t="str">
        <f t="shared" si="81"/>
        <v>Projected</v>
      </c>
      <c r="Y302" s="418" t="str">
        <f t="shared" si="93"/>
        <v>101-E333</v>
      </c>
      <c r="Z302" s="418">
        <f t="shared" si="94"/>
        <v>0</v>
      </c>
      <c r="AA302" s="418">
        <f t="shared" si="95"/>
        <v>0</v>
      </c>
      <c r="AB302" s="418">
        <f t="shared" si="96"/>
        <v>0</v>
      </c>
      <c r="AC302" s="418">
        <f t="shared" si="97"/>
        <v>0</v>
      </c>
      <c r="AD302" s="418">
        <f t="shared" si="98"/>
        <v>0</v>
      </c>
      <c r="AE302" s="413">
        <f t="shared" si="99"/>
        <v>0</v>
      </c>
    </row>
    <row r="303" spans="1:31" x14ac:dyDescent="0.3">
      <c r="A303" s="415" t="s">
        <v>1604</v>
      </c>
      <c r="B303" s="418" t="s">
        <v>1863</v>
      </c>
      <c r="C303" s="418" t="s">
        <v>26</v>
      </c>
      <c r="D303" s="418" t="str">
        <f t="shared" si="82"/>
        <v>101-E335</v>
      </c>
      <c r="E303" s="418">
        <v>0</v>
      </c>
      <c r="F303" s="418">
        <v>7274662.2000000002</v>
      </c>
      <c r="G303" s="418">
        <v>16087233.050000001</v>
      </c>
      <c r="H303" s="418">
        <v>16470388.310000001</v>
      </c>
      <c r="I303" s="418">
        <v>0</v>
      </c>
      <c r="J303" s="413">
        <v>0</v>
      </c>
      <c r="L303" s="418" t="str">
        <f t="shared" si="83"/>
        <v>Projected - Electric</v>
      </c>
      <c r="M303" s="418" t="str">
        <f t="shared" si="84"/>
        <v>E335 HYD Misc, Lower Baker</v>
      </c>
      <c r="N303" s="418" t="str">
        <f t="shared" si="80"/>
        <v>Projected</v>
      </c>
      <c r="O303" s="418" t="str">
        <f t="shared" si="85"/>
        <v>101-E335</v>
      </c>
      <c r="P303" s="418">
        <f t="shared" si="86"/>
        <v>0</v>
      </c>
      <c r="Q303" s="418">
        <f t="shared" si="87"/>
        <v>7274662.2000000002</v>
      </c>
      <c r="R303" s="418">
        <f t="shared" si="88"/>
        <v>16087233.050000001</v>
      </c>
      <c r="S303" s="418">
        <f t="shared" si="89"/>
        <v>16470388.310000001</v>
      </c>
      <c r="T303" s="418">
        <f t="shared" si="90"/>
        <v>0</v>
      </c>
      <c r="V303" s="418" t="str">
        <f t="shared" si="91"/>
        <v>Projected - Electric</v>
      </c>
      <c r="W303" s="418" t="str">
        <f t="shared" si="92"/>
        <v>E335 HYD Misc, Lower Baker</v>
      </c>
      <c r="X303" s="418" t="str">
        <f t="shared" si="81"/>
        <v>Projected</v>
      </c>
      <c r="Y303" s="418" t="str">
        <f t="shared" si="93"/>
        <v>101-E335</v>
      </c>
      <c r="Z303" s="418">
        <f t="shared" si="94"/>
        <v>0</v>
      </c>
      <c r="AA303" s="418">
        <f t="shared" si="95"/>
        <v>0</v>
      </c>
      <c r="AB303" s="418">
        <f t="shared" si="96"/>
        <v>0</v>
      </c>
      <c r="AC303" s="418">
        <f t="shared" si="97"/>
        <v>0</v>
      </c>
      <c r="AD303" s="418">
        <f t="shared" si="98"/>
        <v>0</v>
      </c>
      <c r="AE303" s="413">
        <f t="shared" si="99"/>
        <v>0</v>
      </c>
    </row>
    <row r="304" spans="1:31" x14ac:dyDescent="0.3">
      <c r="A304" s="415" t="s">
        <v>1604</v>
      </c>
      <c r="B304" s="418" t="s">
        <v>1862</v>
      </c>
      <c r="C304" s="418" t="s">
        <v>26</v>
      </c>
      <c r="D304" s="418" t="str">
        <f t="shared" si="82"/>
        <v>101-E335</v>
      </c>
      <c r="E304" s="418">
        <v>0</v>
      </c>
      <c r="F304" s="418">
        <v>157400.95000000001</v>
      </c>
      <c r="G304" s="418">
        <v>157400.95000000001</v>
      </c>
      <c r="H304" s="418">
        <v>157400.95000000001</v>
      </c>
      <c r="I304" s="418">
        <v>0</v>
      </c>
      <c r="J304" s="413">
        <v>0</v>
      </c>
      <c r="L304" s="418" t="str">
        <f t="shared" si="83"/>
        <v>Projected - Electric</v>
      </c>
      <c r="M304" s="418" t="str">
        <f t="shared" si="84"/>
        <v>E335 HYD Misc, UB Hatchery</v>
      </c>
      <c r="N304" s="418" t="str">
        <f t="shared" si="80"/>
        <v>Projected</v>
      </c>
      <c r="O304" s="418" t="str">
        <f t="shared" si="85"/>
        <v>101-E335</v>
      </c>
      <c r="P304" s="418">
        <f t="shared" si="86"/>
        <v>0</v>
      </c>
      <c r="Q304" s="418">
        <f t="shared" si="87"/>
        <v>157400.95000000001</v>
      </c>
      <c r="R304" s="418">
        <f t="shared" si="88"/>
        <v>157400.95000000001</v>
      </c>
      <c r="S304" s="418">
        <f t="shared" si="89"/>
        <v>157400.95000000001</v>
      </c>
      <c r="T304" s="418">
        <f t="shared" si="90"/>
        <v>0</v>
      </c>
      <c r="V304" s="418" t="str">
        <f t="shared" si="91"/>
        <v>Projected - Electric</v>
      </c>
      <c r="W304" s="418" t="str">
        <f t="shared" si="92"/>
        <v>E335 HYD Misc, UB Hatchery</v>
      </c>
      <c r="X304" s="418" t="str">
        <f t="shared" si="81"/>
        <v>Projected</v>
      </c>
      <c r="Y304" s="418" t="str">
        <f t="shared" si="93"/>
        <v>101-E335</v>
      </c>
      <c r="Z304" s="418">
        <f t="shared" si="94"/>
        <v>0</v>
      </c>
      <c r="AA304" s="418">
        <f t="shared" si="95"/>
        <v>0</v>
      </c>
      <c r="AB304" s="418">
        <f t="shared" si="96"/>
        <v>0</v>
      </c>
      <c r="AC304" s="418">
        <f t="shared" si="97"/>
        <v>0</v>
      </c>
      <c r="AD304" s="418">
        <f t="shared" si="98"/>
        <v>0</v>
      </c>
      <c r="AE304" s="413">
        <f t="shared" si="99"/>
        <v>0</v>
      </c>
    </row>
    <row r="305" spans="1:31" x14ac:dyDescent="0.3">
      <c r="A305" s="415" t="s">
        <v>1604</v>
      </c>
      <c r="B305" s="418" t="s">
        <v>1861</v>
      </c>
      <c r="C305" s="418" t="s">
        <v>26</v>
      </c>
      <c r="D305" s="418" t="str">
        <f t="shared" si="82"/>
        <v>101-E335</v>
      </c>
      <c r="E305" s="418">
        <v>0</v>
      </c>
      <c r="F305" s="418">
        <v>41384.79</v>
      </c>
      <c r="G305" s="418">
        <v>41384.79</v>
      </c>
      <c r="H305" s="418">
        <v>41384.79</v>
      </c>
      <c r="I305" s="418">
        <v>0</v>
      </c>
      <c r="J305" s="413">
        <v>0</v>
      </c>
      <c r="L305" s="418" t="str">
        <f t="shared" si="83"/>
        <v>Projected - Electric</v>
      </c>
      <c r="M305" s="418" t="str">
        <f t="shared" si="84"/>
        <v>E335 HYD Misc, Upper Baker</v>
      </c>
      <c r="N305" s="418" t="str">
        <f t="shared" si="80"/>
        <v>Projected</v>
      </c>
      <c r="O305" s="418" t="str">
        <f t="shared" si="85"/>
        <v>101-E335</v>
      </c>
      <c r="P305" s="418">
        <f t="shared" si="86"/>
        <v>0</v>
      </c>
      <c r="Q305" s="418">
        <f t="shared" si="87"/>
        <v>41384.79</v>
      </c>
      <c r="R305" s="418">
        <f t="shared" si="88"/>
        <v>41384.79</v>
      </c>
      <c r="S305" s="418">
        <f t="shared" si="89"/>
        <v>41384.79</v>
      </c>
      <c r="T305" s="418">
        <f t="shared" si="90"/>
        <v>0</v>
      </c>
      <c r="V305" s="418" t="str">
        <f t="shared" si="91"/>
        <v>Projected - Electric</v>
      </c>
      <c r="W305" s="418" t="str">
        <f t="shared" si="92"/>
        <v>E335 HYD Misc, Upper Baker</v>
      </c>
      <c r="X305" s="418" t="str">
        <f t="shared" si="81"/>
        <v>Projected</v>
      </c>
      <c r="Y305" s="418" t="str">
        <f t="shared" si="93"/>
        <v>101-E335</v>
      </c>
      <c r="Z305" s="418">
        <f t="shared" si="94"/>
        <v>0</v>
      </c>
      <c r="AA305" s="418">
        <f t="shared" si="95"/>
        <v>0</v>
      </c>
      <c r="AB305" s="418">
        <f t="shared" si="96"/>
        <v>0</v>
      </c>
      <c r="AC305" s="418">
        <f t="shared" si="97"/>
        <v>0</v>
      </c>
      <c r="AD305" s="418">
        <f t="shared" si="98"/>
        <v>0</v>
      </c>
      <c r="AE305" s="413">
        <f t="shared" si="99"/>
        <v>0</v>
      </c>
    </row>
    <row r="306" spans="1:31" x14ac:dyDescent="0.3">
      <c r="A306" s="415" t="s">
        <v>1604</v>
      </c>
      <c r="B306" s="418" t="s">
        <v>1860</v>
      </c>
      <c r="C306" s="418" t="s">
        <v>26</v>
      </c>
      <c r="D306" s="418" t="str">
        <f t="shared" si="82"/>
        <v>101-E335</v>
      </c>
      <c r="E306" s="418">
        <v>0</v>
      </c>
      <c r="F306" s="418">
        <v>8681</v>
      </c>
      <c r="G306" s="418">
        <v>8681</v>
      </c>
      <c r="H306" s="418">
        <v>8681</v>
      </c>
      <c r="I306" s="418">
        <v>0</v>
      </c>
      <c r="J306" s="413">
        <v>0</v>
      </c>
      <c r="L306" s="418" t="str">
        <f t="shared" si="83"/>
        <v>Projected - Electric</v>
      </c>
      <c r="M306" s="418" t="str">
        <f t="shared" si="84"/>
        <v>E3351 HYD S/M/Tools, Snoq 1-2013</v>
      </c>
      <c r="N306" s="418" t="str">
        <f t="shared" si="80"/>
        <v>Projected</v>
      </c>
      <c r="O306" s="418" t="str">
        <f t="shared" si="85"/>
        <v>101-E335</v>
      </c>
      <c r="P306" s="418">
        <f t="shared" si="86"/>
        <v>0</v>
      </c>
      <c r="Q306" s="418">
        <f t="shared" si="87"/>
        <v>8681</v>
      </c>
      <c r="R306" s="418">
        <f t="shared" si="88"/>
        <v>8681</v>
      </c>
      <c r="S306" s="418">
        <f t="shared" si="89"/>
        <v>8681</v>
      </c>
      <c r="T306" s="418">
        <f t="shared" si="90"/>
        <v>0</v>
      </c>
      <c r="V306" s="418" t="str">
        <f t="shared" si="91"/>
        <v>Projected - Electric</v>
      </c>
      <c r="W306" s="418" t="str">
        <f t="shared" si="92"/>
        <v>E3351 HYD S/M/Tools, Snoq 1-2013</v>
      </c>
      <c r="X306" s="418" t="str">
        <f t="shared" si="81"/>
        <v>Projected</v>
      </c>
      <c r="Y306" s="418" t="str">
        <f t="shared" si="93"/>
        <v>101-E335</v>
      </c>
      <c r="Z306" s="418">
        <f t="shared" si="94"/>
        <v>0</v>
      </c>
      <c r="AA306" s="418">
        <f t="shared" si="95"/>
        <v>0</v>
      </c>
      <c r="AB306" s="418">
        <f t="shared" si="96"/>
        <v>0</v>
      </c>
      <c r="AC306" s="418">
        <f t="shared" si="97"/>
        <v>0</v>
      </c>
      <c r="AD306" s="418">
        <f t="shared" si="98"/>
        <v>0</v>
      </c>
      <c r="AE306" s="413">
        <f t="shared" si="99"/>
        <v>0</v>
      </c>
    </row>
    <row r="307" spans="1:31" x14ac:dyDescent="0.3">
      <c r="A307" s="415" t="s">
        <v>1604</v>
      </c>
      <c r="B307" s="418" t="s">
        <v>1859</v>
      </c>
      <c r="C307" s="418" t="s">
        <v>26</v>
      </c>
      <c r="D307" s="418" t="str">
        <f t="shared" si="82"/>
        <v>101-E335</v>
      </c>
      <c r="E307" s="418">
        <v>0</v>
      </c>
      <c r="F307" s="418">
        <v>83974.56</v>
      </c>
      <c r="G307" s="418">
        <v>93577.02</v>
      </c>
      <c r="H307" s="418">
        <v>103179.48</v>
      </c>
      <c r="I307" s="418">
        <v>0</v>
      </c>
      <c r="J307" s="413">
        <v>0</v>
      </c>
      <c r="L307" s="418" t="str">
        <f t="shared" si="83"/>
        <v>Projected - Electric</v>
      </c>
      <c r="M307" s="418" t="str">
        <f t="shared" si="84"/>
        <v>E3351 HYD Sta Main Tool, Upper Bker</v>
      </c>
      <c r="N307" s="418" t="str">
        <f t="shared" si="80"/>
        <v>Projected</v>
      </c>
      <c r="O307" s="418" t="str">
        <f t="shared" si="85"/>
        <v>101-E335</v>
      </c>
      <c r="P307" s="418">
        <f t="shared" si="86"/>
        <v>0</v>
      </c>
      <c r="Q307" s="418">
        <f t="shared" si="87"/>
        <v>83974.56</v>
      </c>
      <c r="R307" s="418">
        <f t="shared" si="88"/>
        <v>93577.02</v>
      </c>
      <c r="S307" s="418">
        <f t="shared" si="89"/>
        <v>103179.48</v>
      </c>
      <c r="T307" s="418">
        <f t="shared" si="90"/>
        <v>0</v>
      </c>
      <c r="V307" s="418" t="str">
        <f t="shared" si="91"/>
        <v>Projected - Electric</v>
      </c>
      <c r="W307" s="418" t="str">
        <f t="shared" si="92"/>
        <v>E3351 HYD Sta Main Tool, Upper Bker</v>
      </c>
      <c r="X307" s="418" t="str">
        <f t="shared" si="81"/>
        <v>Projected</v>
      </c>
      <c r="Y307" s="418" t="str">
        <f t="shared" si="93"/>
        <v>101-E335</v>
      </c>
      <c r="Z307" s="418">
        <f t="shared" si="94"/>
        <v>0</v>
      </c>
      <c r="AA307" s="418">
        <f t="shared" si="95"/>
        <v>0</v>
      </c>
      <c r="AB307" s="418">
        <f t="shared" si="96"/>
        <v>0</v>
      </c>
      <c r="AC307" s="418">
        <f t="shared" si="97"/>
        <v>0</v>
      </c>
      <c r="AD307" s="418">
        <f t="shared" si="98"/>
        <v>0</v>
      </c>
      <c r="AE307" s="413">
        <f t="shared" si="99"/>
        <v>0</v>
      </c>
    </row>
    <row r="308" spans="1:31" x14ac:dyDescent="0.3">
      <c r="A308" s="415" t="s">
        <v>1604</v>
      </c>
      <c r="B308" s="418" t="s">
        <v>1858</v>
      </c>
      <c r="C308" s="418" t="s">
        <v>26</v>
      </c>
      <c r="D308" s="418" t="str">
        <f t="shared" si="82"/>
        <v>101-E335</v>
      </c>
      <c r="E308" s="418">
        <v>0</v>
      </c>
      <c r="F308" s="418">
        <v>1112.72</v>
      </c>
      <c r="G308" s="418">
        <v>1115.3399999999999</v>
      </c>
      <c r="H308" s="418">
        <v>1178.27</v>
      </c>
      <c r="I308" s="418">
        <v>0</v>
      </c>
      <c r="J308" s="413">
        <v>0</v>
      </c>
      <c r="L308" s="418" t="str">
        <f t="shared" si="83"/>
        <v>Projected - Electric</v>
      </c>
      <c r="M308" s="418" t="str">
        <f t="shared" si="84"/>
        <v>E3351 HYD Sta Main Tools, LB-2013</v>
      </c>
      <c r="N308" s="418" t="str">
        <f t="shared" si="80"/>
        <v>Projected</v>
      </c>
      <c r="O308" s="418" t="str">
        <f t="shared" si="85"/>
        <v>101-E335</v>
      </c>
      <c r="P308" s="418">
        <f t="shared" si="86"/>
        <v>0</v>
      </c>
      <c r="Q308" s="418">
        <f t="shared" si="87"/>
        <v>1112.72</v>
      </c>
      <c r="R308" s="418">
        <f t="shared" si="88"/>
        <v>1115.3399999999999</v>
      </c>
      <c r="S308" s="418">
        <f t="shared" si="89"/>
        <v>1178.27</v>
      </c>
      <c r="T308" s="418">
        <f t="shared" si="90"/>
        <v>0</v>
      </c>
      <c r="V308" s="418" t="str">
        <f t="shared" si="91"/>
        <v>Projected - Electric</v>
      </c>
      <c r="W308" s="418" t="str">
        <f t="shared" si="92"/>
        <v>E3351 HYD Sta Main Tools, LB-2013</v>
      </c>
      <c r="X308" s="418" t="str">
        <f t="shared" si="81"/>
        <v>Projected</v>
      </c>
      <c r="Y308" s="418" t="str">
        <f t="shared" si="93"/>
        <v>101-E335</v>
      </c>
      <c r="Z308" s="418">
        <f t="shared" si="94"/>
        <v>0</v>
      </c>
      <c r="AA308" s="418">
        <f t="shared" si="95"/>
        <v>0</v>
      </c>
      <c r="AB308" s="418">
        <f t="shared" si="96"/>
        <v>0</v>
      </c>
      <c r="AC308" s="418">
        <f t="shared" si="97"/>
        <v>0</v>
      </c>
      <c r="AD308" s="418">
        <f t="shared" si="98"/>
        <v>0</v>
      </c>
      <c r="AE308" s="413">
        <f t="shared" si="99"/>
        <v>0</v>
      </c>
    </row>
    <row r="309" spans="1:31" x14ac:dyDescent="0.3">
      <c r="A309" s="415" t="s">
        <v>1604</v>
      </c>
      <c r="B309" s="418" t="s">
        <v>1857</v>
      </c>
      <c r="C309" s="418" t="s">
        <v>26</v>
      </c>
      <c r="D309" s="418" t="str">
        <f t="shared" si="82"/>
        <v>101-E335</v>
      </c>
      <c r="E309" s="418">
        <v>0</v>
      </c>
      <c r="F309" s="418">
        <v>7966.78</v>
      </c>
      <c r="G309" s="418">
        <v>7985.55</v>
      </c>
      <c r="H309" s="418">
        <v>8436.1</v>
      </c>
      <c r="I309" s="418">
        <v>0</v>
      </c>
      <c r="J309" s="413">
        <v>0</v>
      </c>
      <c r="L309" s="418" t="str">
        <f t="shared" si="83"/>
        <v>Projected - Electric</v>
      </c>
      <c r="M309" s="418" t="str">
        <f t="shared" si="84"/>
        <v>E3351 HYD Sta Main Tools, Lwer Bker</v>
      </c>
      <c r="N309" s="418" t="str">
        <f t="shared" si="80"/>
        <v>Projected</v>
      </c>
      <c r="O309" s="418" t="str">
        <f t="shared" si="85"/>
        <v>101-E335</v>
      </c>
      <c r="P309" s="418">
        <f t="shared" si="86"/>
        <v>0</v>
      </c>
      <c r="Q309" s="418">
        <f t="shared" si="87"/>
        <v>7966.78</v>
      </c>
      <c r="R309" s="418">
        <f t="shared" si="88"/>
        <v>7985.55</v>
      </c>
      <c r="S309" s="418">
        <f t="shared" si="89"/>
        <v>8436.1</v>
      </c>
      <c r="T309" s="418">
        <f t="shared" si="90"/>
        <v>0</v>
      </c>
      <c r="V309" s="418" t="str">
        <f t="shared" si="91"/>
        <v>Projected - Electric</v>
      </c>
      <c r="W309" s="418" t="str">
        <f t="shared" si="92"/>
        <v>E3351 HYD Sta Main Tools, Lwer Bker</v>
      </c>
      <c r="X309" s="418" t="str">
        <f t="shared" si="81"/>
        <v>Projected</v>
      </c>
      <c r="Y309" s="418" t="str">
        <f t="shared" si="93"/>
        <v>101-E335</v>
      </c>
      <c r="Z309" s="418">
        <f t="shared" si="94"/>
        <v>0</v>
      </c>
      <c r="AA309" s="418">
        <f t="shared" si="95"/>
        <v>0</v>
      </c>
      <c r="AB309" s="418">
        <f t="shared" si="96"/>
        <v>0</v>
      </c>
      <c r="AC309" s="418">
        <f t="shared" si="97"/>
        <v>0</v>
      </c>
      <c r="AD309" s="418">
        <f t="shared" si="98"/>
        <v>0</v>
      </c>
      <c r="AE309" s="413">
        <f t="shared" si="99"/>
        <v>0</v>
      </c>
    </row>
    <row r="310" spans="1:31" x14ac:dyDescent="0.3">
      <c r="A310" s="415" t="s">
        <v>1604</v>
      </c>
      <c r="B310" s="418" t="s">
        <v>1856</v>
      </c>
      <c r="C310" s="418" t="s">
        <v>26</v>
      </c>
      <c r="D310" s="418" t="str">
        <f t="shared" si="82"/>
        <v>101-E341</v>
      </c>
      <c r="E310" s="418">
        <v>0</v>
      </c>
      <c r="F310" s="418">
        <v>0</v>
      </c>
      <c r="G310" s="418">
        <v>1413.96</v>
      </c>
      <c r="H310" s="418">
        <v>2827.92</v>
      </c>
      <c r="I310" s="418">
        <v>0</v>
      </c>
      <c r="J310" s="413">
        <v>0</v>
      </c>
      <c r="L310" s="418" t="str">
        <f t="shared" si="83"/>
        <v>Projected - Electric</v>
      </c>
      <c r="M310" s="418" t="str">
        <f t="shared" si="84"/>
        <v>E3410 PRD Str/Impv, Crystal Mtn</v>
      </c>
      <c r="N310" s="418" t="str">
        <f t="shared" si="80"/>
        <v>Projected</v>
      </c>
      <c r="O310" s="418" t="str">
        <f t="shared" si="85"/>
        <v>101-E341</v>
      </c>
      <c r="P310" s="418">
        <f t="shared" si="86"/>
        <v>0</v>
      </c>
      <c r="Q310" s="418">
        <f t="shared" si="87"/>
        <v>0</v>
      </c>
      <c r="R310" s="418">
        <f t="shared" si="88"/>
        <v>1413.96</v>
      </c>
      <c r="S310" s="418">
        <f t="shared" si="89"/>
        <v>2827.92</v>
      </c>
      <c r="T310" s="418">
        <f t="shared" si="90"/>
        <v>0</v>
      </c>
      <c r="V310" s="418" t="str">
        <f t="shared" si="91"/>
        <v>Projected - Electric</v>
      </c>
      <c r="W310" s="418" t="str">
        <f t="shared" si="92"/>
        <v>E3410 PRD Str/Impv, Crystal Mtn</v>
      </c>
      <c r="X310" s="418" t="str">
        <f t="shared" si="81"/>
        <v>Projected</v>
      </c>
      <c r="Y310" s="418" t="str">
        <f t="shared" si="93"/>
        <v>101-E341</v>
      </c>
      <c r="Z310" s="418">
        <f t="shared" si="94"/>
        <v>0</v>
      </c>
      <c r="AA310" s="418">
        <f t="shared" si="95"/>
        <v>0</v>
      </c>
      <c r="AB310" s="418">
        <f t="shared" si="96"/>
        <v>0</v>
      </c>
      <c r="AC310" s="418">
        <f t="shared" si="97"/>
        <v>0</v>
      </c>
      <c r="AD310" s="418">
        <f t="shared" si="98"/>
        <v>0</v>
      </c>
      <c r="AE310" s="413">
        <f t="shared" si="99"/>
        <v>0</v>
      </c>
    </row>
    <row r="311" spans="1:31" x14ac:dyDescent="0.3">
      <c r="A311" s="415" t="s">
        <v>1604</v>
      </c>
      <c r="B311" s="418" t="s">
        <v>1855</v>
      </c>
      <c r="C311" s="418" t="s">
        <v>26</v>
      </c>
      <c r="D311" s="418" t="str">
        <f t="shared" si="82"/>
        <v>101-E341</v>
      </c>
      <c r="E311" s="418">
        <v>0</v>
      </c>
      <c r="F311" s="418">
        <v>40818.36</v>
      </c>
      <c r="G311" s="418">
        <v>46174.559999999998</v>
      </c>
      <c r="H311" s="418">
        <v>55101.54</v>
      </c>
      <c r="I311" s="418">
        <v>0</v>
      </c>
      <c r="J311" s="413">
        <v>0</v>
      </c>
      <c r="L311" s="418" t="str">
        <f t="shared" si="83"/>
        <v>Projected - Electric</v>
      </c>
      <c r="M311" s="418" t="str">
        <f t="shared" si="84"/>
        <v>E3410 PRD Str/Impv, Encogen</v>
      </c>
      <c r="N311" s="418" t="str">
        <f t="shared" si="80"/>
        <v>Projected</v>
      </c>
      <c r="O311" s="418" t="str">
        <f t="shared" si="85"/>
        <v>101-E341</v>
      </c>
      <c r="P311" s="418">
        <f t="shared" si="86"/>
        <v>0</v>
      </c>
      <c r="Q311" s="418">
        <f t="shared" si="87"/>
        <v>40818.36</v>
      </c>
      <c r="R311" s="418">
        <f t="shared" si="88"/>
        <v>46174.559999999998</v>
      </c>
      <c r="S311" s="418">
        <f t="shared" si="89"/>
        <v>55101.54</v>
      </c>
      <c r="T311" s="418">
        <f t="shared" si="90"/>
        <v>0</v>
      </c>
      <c r="V311" s="418" t="str">
        <f t="shared" si="91"/>
        <v>Projected - Electric</v>
      </c>
      <c r="W311" s="418" t="str">
        <f t="shared" si="92"/>
        <v>E3410 PRD Str/Impv, Encogen</v>
      </c>
      <c r="X311" s="418" t="str">
        <f t="shared" si="81"/>
        <v>Projected</v>
      </c>
      <c r="Y311" s="418" t="str">
        <f t="shared" si="93"/>
        <v>101-E341</v>
      </c>
      <c r="Z311" s="418">
        <f t="shared" si="94"/>
        <v>0</v>
      </c>
      <c r="AA311" s="418">
        <f t="shared" si="95"/>
        <v>0</v>
      </c>
      <c r="AB311" s="418">
        <f t="shared" si="96"/>
        <v>0</v>
      </c>
      <c r="AC311" s="418">
        <f t="shared" si="97"/>
        <v>0</v>
      </c>
      <c r="AD311" s="418">
        <f t="shared" si="98"/>
        <v>0</v>
      </c>
      <c r="AE311" s="413">
        <f t="shared" si="99"/>
        <v>0</v>
      </c>
    </row>
    <row r="312" spans="1:31" x14ac:dyDescent="0.3">
      <c r="A312" s="415" t="s">
        <v>1604</v>
      </c>
      <c r="B312" s="418" t="s">
        <v>1854</v>
      </c>
      <c r="C312" s="418" t="s">
        <v>26</v>
      </c>
      <c r="D312" s="418" t="str">
        <f t="shared" si="82"/>
        <v>101-E341</v>
      </c>
      <c r="E312" s="418">
        <v>0</v>
      </c>
      <c r="F312" s="418">
        <v>4894.32</v>
      </c>
      <c r="G312" s="418">
        <v>5689.08</v>
      </c>
      <c r="H312" s="418">
        <v>17854.009999999998</v>
      </c>
      <c r="I312" s="418">
        <v>0</v>
      </c>
      <c r="J312" s="413">
        <v>0</v>
      </c>
      <c r="L312" s="418" t="str">
        <f t="shared" si="83"/>
        <v>Projected - Electric</v>
      </c>
      <c r="M312" s="418" t="str">
        <f t="shared" si="84"/>
        <v>E3410 PRD Str/Impv, Ferndale</v>
      </c>
      <c r="N312" s="418" t="str">
        <f t="shared" si="80"/>
        <v>Projected</v>
      </c>
      <c r="O312" s="418" t="str">
        <f t="shared" si="85"/>
        <v>101-E341</v>
      </c>
      <c r="P312" s="418">
        <f t="shared" si="86"/>
        <v>0</v>
      </c>
      <c r="Q312" s="418">
        <f t="shared" si="87"/>
        <v>4894.32</v>
      </c>
      <c r="R312" s="418">
        <f t="shared" si="88"/>
        <v>5689.08</v>
      </c>
      <c r="S312" s="418">
        <f t="shared" si="89"/>
        <v>17854.009999999998</v>
      </c>
      <c r="T312" s="418">
        <f t="shared" si="90"/>
        <v>0</v>
      </c>
      <c r="V312" s="418" t="str">
        <f t="shared" si="91"/>
        <v>Projected - Electric</v>
      </c>
      <c r="W312" s="418" t="str">
        <f t="shared" si="92"/>
        <v>E3410 PRD Str/Impv, Ferndale</v>
      </c>
      <c r="X312" s="418" t="str">
        <f t="shared" si="81"/>
        <v>Projected</v>
      </c>
      <c r="Y312" s="418" t="str">
        <f t="shared" si="93"/>
        <v>101-E341</v>
      </c>
      <c r="Z312" s="418">
        <f t="shared" si="94"/>
        <v>0</v>
      </c>
      <c r="AA312" s="418">
        <f t="shared" si="95"/>
        <v>0</v>
      </c>
      <c r="AB312" s="418">
        <f t="shared" si="96"/>
        <v>0</v>
      </c>
      <c r="AC312" s="418">
        <f t="shared" si="97"/>
        <v>0</v>
      </c>
      <c r="AD312" s="418">
        <f t="shared" si="98"/>
        <v>0</v>
      </c>
      <c r="AE312" s="413">
        <f t="shared" si="99"/>
        <v>0</v>
      </c>
    </row>
    <row r="313" spans="1:31" x14ac:dyDescent="0.3">
      <c r="A313" s="415" t="s">
        <v>1604</v>
      </c>
      <c r="B313" s="418" t="s">
        <v>1853</v>
      </c>
      <c r="C313" s="418" t="s">
        <v>26</v>
      </c>
      <c r="D313" s="418" t="str">
        <f t="shared" si="82"/>
        <v>101-E341</v>
      </c>
      <c r="E313" s="418">
        <v>0</v>
      </c>
      <c r="F313" s="418">
        <v>591320.98</v>
      </c>
      <c r="G313" s="418">
        <v>622845.05000000005</v>
      </c>
      <c r="H313" s="418">
        <v>654369.1</v>
      </c>
      <c r="I313" s="418">
        <v>0</v>
      </c>
      <c r="J313" s="413">
        <v>0</v>
      </c>
      <c r="L313" s="418" t="str">
        <f t="shared" si="83"/>
        <v>Projected - Electric</v>
      </c>
      <c r="M313" s="418" t="str">
        <f t="shared" si="84"/>
        <v>E3410 PRD Str/Impv, Frederickson</v>
      </c>
      <c r="N313" s="418" t="str">
        <f t="shared" si="80"/>
        <v>Projected</v>
      </c>
      <c r="O313" s="418" t="str">
        <f t="shared" si="85"/>
        <v>101-E341</v>
      </c>
      <c r="P313" s="418">
        <f t="shared" si="86"/>
        <v>0</v>
      </c>
      <c r="Q313" s="418">
        <f t="shared" si="87"/>
        <v>591320.98</v>
      </c>
      <c r="R313" s="418">
        <f t="shared" si="88"/>
        <v>622845.05000000005</v>
      </c>
      <c r="S313" s="418">
        <f t="shared" si="89"/>
        <v>654369.1</v>
      </c>
      <c r="T313" s="418">
        <f t="shared" si="90"/>
        <v>0</v>
      </c>
      <c r="V313" s="418" t="str">
        <f t="shared" si="91"/>
        <v>Projected - Electric</v>
      </c>
      <c r="W313" s="418" t="str">
        <f t="shared" si="92"/>
        <v>E3410 PRD Str/Impv, Frederickson</v>
      </c>
      <c r="X313" s="418" t="str">
        <f t="shared" si="81"/>
        <v>Projected</v>
      </c>
      <c r="Y313" s="418" t="str">
        <f t="shared" si="93"/>
        <v>101-E341</v>
      </c>
      <c r="Z313" s="418">
        <f t="shared" si="94"/>
        <v>0</v>
      </c>
      <c r="AA313" s="418">
        <f t="shared" si="95"/>
        <v>0</v>
      </c>
      <c r="AB313" s="418">
        <f t="shared" si="96"/>
        <v>0</v>
      </c>
      <c r="AC313" s="418">
        <f t="shared" si="97"/>
        <v>0</v>
      </c>
      <c r="AD313" s="418">
        <f t="shared" si="98"/>
        <v>0</v>
      </c>
      <c r="AE313" s="413">
        <f t="shared" si="99"/>
        <v>0</v>
      </c>
    </row>
    <row r="314" spans="1:31" x14ac:dyDescent="0.3">
      <c r="A314" s="415" t="s">
        <v>1604</v>
      </c>
      <c r="B314" s="418" t="s">
        <v>1852</v>
      </c>
      <c r="C314" s="418" t="s">
        <v>26</v>
      </c>
      <c r="D314" s="418" t="str">
        <f t="shared" si="82"/>
        <v>101-E341</v>
      </c>
      <c r="E314" s="418">
        <v>0</v>
      </c>
      <c r="F314" s="418">
        <v>138996.84</v>
      </c>
      <c r="G314" s="418">
        <v>138996.84</v>
      </c>
      <c r="H314" s="418">
        <v>138996.84</v>
      </c>
      <c r="I314" s="418">
        <v>0</v>
      </c>
      <c r="J314" s="413">
        <v>0</v>
      </c>
      <c r="L314" s="418" t="str">
        <f t="shared" si="83"/>
        <v>Projected - Electric</v>
      </c>
      <c r="M314" s="418" t="str">
        <f t="shared" si="84"/>
        <v>E3410 PRD Str/Impv, Fredonia</v>
      </c>
      <c r="N314" s="418" t="str">
        <f t="shared" si="80"/>
        <v>Projected</v>
      </c>
      <c r="O314" s="418" t="str">
        <f t="shared" si="85"/>
        <v>101-E341</v>
      </c>
      <c r="P314" s="418">
        <f t="shared" si="86"/>
        <v>0</v>
      </c>
      <c r="Q314" s="418">
        <f t="shared" si="87"/>
        <v>138996.84</v>
      </c>
      <c r="R314" s="418">
        <f t="shared" si="88"/>
        <v>138996.84</v>
      </c>
      <c r="S314" s="418">
        <f t="shared" si="89"/>
        <v>138996.84</v>
      </c>
      <c r="T314" s="418">
        <f t="shared" si="90"/>
        <v>0</v>
      </c>
      <c r="V314" s="418" t="str">
        <f t="shared" si="91"/>
        <v>Projected - Electric</v>
      </c>
      <c r="W314" s="418" t="str">
        <f t="shared" si="92"/>
        <v>E3410 PRD Str/Impv, Fredonia</v>
      </c>
      <c r="X314" s="418" t="str">
        <f t="shared" si="81"/>
        <v>Projected</v>
      </c>
      <c r="Y314" s="418" t="str">
        <f t="shared" si="93"/>
        <v>101-E341</v>
      </c>
      <c r="Z314" s="418">
        <f t="shared" si="94"/>
        <v>0</v>
      </c>
      <c r="AA314" s="418">
        <f t="shared" si="95"/>
        <v>0</v>
      </c>
      <c r="AB314" s="418">
        <f t="shared" si="96"/>
        <v>0</v>
      </c>
      <c r="AC314" s="418">
        <f t="shared" si="97"/>
        <v>0</v>
      </c>
      <c r="AD314" s="418">
        <f t="shared" si="98"/>
        <v>0</v>
      </c>
      <c r="AE314" s="413">
        <f t="shared" si="99"/>
        <v>0</v>
      </c>
    </row>
    <row r="315" spans="1:31" x14ac:dyDescent="0.3">
      <c r="A315" s="415" t="s">
        <v>1604</v>
      </c>
      <c r="B315" s="418" t="s">
        <v>1851</v>
      </c>
      <c r="C315" s="418" t="s">
        <v>26</v>
      </c>
      <c r="D315" s="418" t="str">
        <f t="shared" si="82"/>
        <v>101-E341</v>
      </c>
      <c r="E315" s="418">
        <v>0</v>
      </c>
      <c r="F315" s="418">
        <v>149657.64000000001</v>
      </c>
      <c r="G315" s="418">
        <v>238193.38</v>
      </c>
      <c r="H315" s="418">
        <v>326729.15999999997</v>
      </c>
      <c r="I315" s="418">
        <v>0</v>
      </c>
      <c r="J315" s="413">
        <v>0</v>
      </c>
      <c r="L315" s="418" t="str">
        <f t="shared" si="83"/>
        <v>Projected - Electric</v>
      </c>
      <c r="M315" s="418" t="str">
        <f t="shared" si="84"/>
        <v>E3410 PRD Str/Impv, Mint Farm</v>
      </c>
      <c r="N315" s="418" t="str">
        <f t="shared" si="80"/>
        <v>Projected</v>
      </c>
      <c r="O315" s="418" t="str">
        <f t="shared" si="85"/>
        <v>101-E341</v>
      </c>
      <c r="P315" s="418">
        <f t="shared" si="86"/>
        <v>0</v>
      </c>
      <c r="Q315" s="418">
        <f t="shared" si="87"/>
        <v>149657.64000000001</v>
      </c>
      <c r="R315" s="418">
        <f t="shared" si="88"/>
        <v>238193.38</v>
      </c>
      <c r="S315" s="418">
        <f t="shared" si="89"/>
        <v>326729.15999999997</v>
      </c>
      <c r="T315" s="418">
        <f t="shared" si="90"/>
        <v>0</v>
      </c>
      <c r="V315" s="418" t="str">
        <f t="shared" si="91"/>
        <v>Projected - Electric</v>
      </c>
      <c r="W315" s="418" t="str">
        <f t="shared" si="92"/>
        <v>E3410 PRD Str/Impv, Mint Farm</v>
      </c>
      <c r="X315" s="418" t="str">
        <f t="shared" si="81"/>
        <v>Projected</v>
      </c>
      <c r="Y315" s="418" t="str">
        <f t="shared" si="93"/>
        <v>101-E341</v>
      </c>
      <c r="Z315" s="418">
        <f t="shared" si="94"/>
        <v>0</v>
      </c>
      <c r="AA315" s="418">
        <f t="shared" si="95"/>
        <v>0</v>
      </c>
      <c r="AB315" s="418">
        <f t="shared" si="96"/>
        <v>0</v>
      </c>
      <c r="AC315" s="418">
        <f t="shared" si="97"/>
        <v>0</v>
      </c>
      <c r="AD315" s="418">
        <f t="shared" si="98"/>
        <v>0</v>
      </c>
      <c r="AE315" s="413">
        <f t="shared" si="99"/>
        <v>0</v>
      </c>
    </row>
    <row r="316" spans="1:31" x14ac:dyDescent="0.3">
      <c r="A316" s="415" t="s">
        <v>1604</v>
      </c>
      <c r="B316" s="418" t="s">
        <v>1850</v>
      </c>
      <c r="C316" s="418" t="s">
        <v>26</v>
      </c>
      <c r="D316" s="418" t="str">
        <f t="shared" si="82"/>
        <v>101-E341</v>
      </c>
      <c r="E316" s="418">
        <v>0</v>
      </c>
      <c r="F316" s="418">
        <v>10411.92</v>
      </c>
      <c r="G316" s="418">
        <v>10411.92</v>
      </c>
      <c r="H316" s="418">
        <v>15614.21</v>
      </c>
      <c r="I316" s="418">
        <v>0</v>
      </c>
      <c r="J316" s="413">
        <v>0</v>
      </c>
      <c r="L316" s="418" t="str">
        <f t="shared" si="83"/>
        <v>Projected - Electric</v>
      </c>
      <c r="M316" s="418" t="str">
        <f t="shared" si="84"/>
        <v>E3410 PRD Str/Impv, Whitehorn 2-3Cm</v>
      </c>
      <c r="N316" s="418" t="str">
        <f t="shared" si="80"/>
        <v>Projected</v>
      </c>
      <c r="O316" s="418" t="str">
        <f t="shared" si="85"/>
        <v>101-E341</v>
      </c>
      <c r="P316" s="418">
        <f t="shared" si="86"/>
        <v>0</v>
      </c>
      <c r="Q316" s="418">
        <f t="shared" si="87"/>
        <v>10411.92</v>
      </c>
      <c r="R316" s="418">
        <f t="shared" si="88"/>
        <v>10411.92</v>
      </c>
      <c r="S316" s="418">
        <f t="shared" si="89"/>
        <v>15614.21</v>
      </c>
      <c r="T316" s="418">
        <f t="shared" si="90"/>
        <v>0</v>
      </c>
      <c r="V316" s="418" t="str">
        <f t="shared" si="91"/>
        <v>Projected - Electric</v>
      </c>
      <c r="W316" s="418" t="str">
        <f t="shared" si="92"/>
        <v>E3410 PRD Str/Impv, Whitehorn 2-3Cm</v>
      </c>
      <c r="X316" s="418" t="str">
        <f t="shared" si="81"/>
        <v>Projected</v>
      </c>
      <c r="Y316" s="418" t="str">
        <f t="shared" si="93"/>
        <v>101-E341</v>
      </c>
      <c r="Z316" s="418">
        <f t="shared" si="94"/>
        <v>0</v>
      </c>
      <c r="AA316" s="418">
        <f t="shared" si="95"/>
        <v>0</v>
      </c>
      <c r="AB316" s="418">
        <f t="shared" si="96"/>
        <v>0</v>
      </c>
      <c r="AC316" s="418">
        <f t="shared" si="97"/>
        <v>0</v>
      </c>
      <c r="AD316" s="418">
        <f t="shared" si="98"/>
        <v>0</v>
      </c>
      <c r="AE316" s="413">
        <f t="shared" si="99"/>
        <v>0</v>
      </c>
    </row>
    <row r="317" spans="1:31" x14ac:dyDescent="0.3">
      <c r="A317" s="415" t="s">
        <v>1604</v>
      </c>
      <c r="B317" s="418" t="s">
        <v>1849</v>
      </c>
      <c r="C317" s="418" t="s">
        <v>26</v>
      </c>
      <c r="D317" s="418" t="str">
        <f t="shared" si="82"/>
        <v>101-E341</v>
      </c>
      <c r="E317" s="418">
        <v>0</v>
      </c>
      <c r="F317" s="418">
        <v>0</v>
      </c>
      <c r="G317" s="418">
        <v>0</v>
      </c>
      <c r="H317" s="418">
        <v>0</v>
      </c>
      <c r="I317" s="418">
        <v>0</v>
      </c>
      <c r="J317" s="413">
        <v>0</v>
      </c>
      <c r="L317" s="418" t="str">
        <f t="shared" si="83"/>
        <v>Projected - Electric</v>
      </c>
      <c r="M317" s="418" t="str">
        <f t="shared" si="84"/>
        <v>E34101 PRD Str/Impv, LSR</v>
      </c>
      <c r="N317" s="418" t="str">
        <f t="shared" si="80"/>
        <v>Projected</v>
      </c>
      <c r="O317" s="418" t="str">
        <f t="shared" si="85"/>
        <v>101-E341</v>
      </c>
      <c r="P317" s="418">
        <f t="shared" si="86"/>
        <v>0</v>
      </c>
      <c r="Q317" s="418">
        <f t="shared" si="87"/>
        <v>0</v>
      </c>
      <c r="R317" s="418">
        <f t="shared" si="88"/>
        <v>0</v>
      </c>
      <c r="S317" s="418">
        <f t="shared" si="89"/>
        <v>0</v>
      </c>
      <c r="T317" s="418">
        <f t="shared" si="90"/>
        <v>0</v>
      </c>
      <c r="V317" s="418" t="str">
        <f t="shared" si="91"/>
        <v>Projected - Electric</v>
      </c>
      <c r="W317" s="418" t="str">
        <f t="shared" si="92"/>
        <v>E34101 PRD Str/Impv, LSR</v>
      </c>
      <c r="X317" s="418" t="str">
        <f t="shared" si="81"/>
        <v>Projected</v>
      </c>
      <c r="Y317" s="418" t="str">
        <f t="shared" si="93"/>
        <v>101-E341</v>
      </c>
      <c r="Z317" s="418">
        <f t="shared" si="94"/>
        <v>0</v>
      </c>
      <c r="AA317" s="418">
        <f t="shared" si="95"/>
        <v>0</v>
      </c>
      <c r="AB317" s="418">
        <f t="shared" si="96"/>
        <v>0</v>
      </c>
      <c r="AC317" s="418">
        <f t="shared" si="97"/>
        <v>0</v>
      </c>
      <c r="AD317" s="418">
        <f t="shared" si="98"/>
        <v>0</v>
      </c>
      <c r="AE317" s="413">
        <f t="shared" si="99"/>
        <v>0</v>
      </c>
    </row>
    <row r="318" spans="1:31" x14ac:dyDescent="0.3">
      <c r="A318" s="415" t="s">
        <v>1604</v>
      </c>
      <c r="B318" s="418" t="s">
        <v>1848</v>
      </c>
      <c r="C318" s="418" t="s">
        <v>26</v>
      </c>
      <c r="D318" s="418" t="str">
        <f t="shared" si="82"/>
        <v>101-E342</v>
      </c>
      <c r="E318" s="418">
        <v>0</v>
      </c>
      <c r="F318" s="418">
        <v>29871.360000000001</v>
      </c>
      <c r="G318" s="418">
        <v>33791.089999999997</v>
      </c>
      <c r="H318" s="418">
        <v>40324.01</v>
      </c>
      <c r="I318" s="418">
        <v>0</v>
      </c>
      <c r="J318" s="413">
        <v>0</v>
      </c>
      <c r="L318" s="418" t="str">
        <f t="shared" si="83"/>
        <v>Projected - Electric</v>
      </c>
      <c r="M318" s="418" t="str">
        <f t="shared" si="84"/>
        <v>E342 PRD Fuel Holder, Encogen</v>
      </c>
      <c r="N318" s="418" t="str">
        <f t="shared" si="80"/>
        <v>Projected</v>
      </c>
      <c r="O318" s="418" t="str">
        <f t="shared" si="85"/>
        <v>101-E342</v>
      </c>
      <c r="P318" s="418">
        <f t="shared" si="86"/>
        <v>0</v>
      </c>
      <c r="Q318" s="418">
        <f t="shared" si="87"/>
        <v>29871.360000000001</v>
      </c>
      <c r="R318" s="418">
        <f t="shared" si="88"/>
        <v>33791.089999999997</v>
      </c>
      <c r="S318" s="418">
        <f t="shared" si="89"/>
        <v>40324.01</v>
      </c>
      <c r="T318" s="418">
        <f t="shared" si="90"/>
        <v>0</v>
      </c>
      <c r="V318" s="418" t="str">
        <f t="shared" si="91"/>
        <v>Projected - Electric</v>
      </c>
      <c r="W318" s="418" t="str">
        <f t="shared" si="92"/>
        <v>E342 PRD Fuel Holder, Encogen</v>
      </c>
      <c r="X318" s="418" t="str">
        <f t="shared" si="81"/>
        <v>Projected</v>
      </c>
      <c r="Y318" s="418" t="str">
        <f t="shared" si="93"/>
        <v>101-E342</v>
      </c>
      <c r="Z318" s="418">
        <f t="shared" si="94"/>
        <v>0</v>
      </c>
      <c r="AA318" s="418">
        <f t="shared" si="95"/>
        <v>0</v>
      </c>
      <c r="AB318" s="418">
        <f t="shared" si="96"/>
        <v>0</v>
      </c>
      <c r="AC318" s="418">
        <f t="shared" si="97"/>
        <v>0</v>
      </c>
      <c r="AD318" s="418">
        <f t="shared" si="98"/>
        <v>0</v>
      </c>
      <c r="AE318" s="413">
        <f t="shared" si="99"/>
        <v>0</v>
      </c>
    </row>
    <row r="319" spans="1:31" x14ac:dyDescent="0.3">
      <c r="A319" s="415" t="s">
        <v>1604</v>
      </c>
      <c r="B319" s="418" t="s">
        <v>1847</v>
      </c>
      <c r="C319" s="418" t="s">
        <v>26</v>
      </c>
      <c r="D319" s="418" t="str">
        <f t="shared" si="82"/>
        <v>101-E342</v>
      </c>
      <c r="E319" s="418">
        <v>0</v>
      </c>
      <c r="F319" s="418">
        <v>26682.12</v>
      </c>
      <c r="G319" s="418">
        <v>31014.9</v>
      </c>
      <c r="H319" s="418">
        <v>97333.86</v>
      </c>
      <c r="I319" s="418">
        <v>0</v>
      </c>
      <c r="J319" s="413">
        <v>0</v>
      </c>
      <c r="L319" s="418" t="str">
        <f t="shared" si="83"/>
        <v>Projected - Electric</v>
      </c>
      <c r="M319" s="418" t="str">
        <f t="shared" si="84"/>
        <v>E342 PRD Fuel Holder, Ferndale</v>
      </c>
      <c r="N319" s="418" t="str">
        <f t="shared" si="80"/>
        <v>Projected</v>
      </c>
      <c r="O319" s="418" t="str">
        <f t="shared" si="85"/>
        <v>101-E342</v>
      </c>
      <c r="P319" s="418">
        <f t="shared" si="86"/>
        <v>0</v>
      </c>
      <c r="Q319" s="418">
        <f t="shared" si="87"/>
        <v>26682.12</v>
      </c>
      <c r="R319" s="418">
        <f t="shared" si="88"/>
        <v>31014.9</v>
      </c>
      <c r="S319" s="418">
        <f t="shared" si="89"/>
        <v>97333.86</v>
      </c>
      <c r="T319" s="418">
        <f t="shared" si="90"/>
        <v>0</v>
      </c>
      <c r="V319" s="418" t="str">
        <f t="shared" si="91"/>
        <v>Projected - Electric</v>
      </c>
      <c r="W319" s="418" t="str">
        <f t="shared" si="92"/>
        <v>E342 PRD Fuel Holder, Ferndale</v>
      </c>
      <c r="X319" s="418" t="str">
        <f t="shared" si="81"/>
        <v>Projected</v>
      </c>
      <c r="Y319" s="418" t="str">
        <f t="shared" si="93"/>
        <v>101-E342</v>
      </c>
      <c r="Z319" s="418">
        <f t="shared" si="94"/>
        <v>0</v>
      </c>
      <c r="AA319" s="418">
        <f t="shared" si="95"/>
        <v>0</v>
      </c>
      <c r="AB319" s="418">
        <f t="shared" si="96"/>
        <v>0</v>
      </c>
      <c r="AC319" s="418">
        <f t="shared" si="97"/>
        <v>0</v>
      </c>
      <c r="AD319" s="418">
        <f t="shared" si="98"/>
        <v>0</v>
      </c>
      <c r="AE319" s="413">
        <f t="shared" si="99"/>
        <v>0</v>
      </c>
    </row>
    <row r="320" spans="1:31" x14ac:dyDescent="0.3">
      <c r="A320" s="415" t="s">
        <v>1604</v>
      </c>
      <c r="B320" s="418" t="s">
        <v>1846</v>
      </c>
      <c r="C320" s="418" t="s">
        <v>26</v>
      </c>
      <c r="D320" s="418" t="str">
        <f t="shared" si="82"/>
        <v>101-E342</v>
      </c>
      <c r="E320" s="418">
        <v>0</v>
      </c>
      <c r="F320" s="418">
        <v>40098.720000000001</v>
      </c>
      <c r="G320" s="418">
        <v>63820.63</v>
      </c>
      <c r="H320" s="418">
        <v>87542.52</v>
      </c>
      <c r="I320" s="418">
        <v>0</v>
      </c>
      <c r="J320" s="413">
        <v>0</v>
      </c>
      <c r="L320" s="418" t="str">
        <f t="shared" si="83"/>
        <v>Projected - Electric</v>
      </c>
      <c r="M320" s="418" t="str">
        <f t="shared" si="84"/>
        <v>E342 PRD Fuel Holder, Mint Farm</v>
      </c>
      <c r="N320" s="418" t="str">
        <f t="shared" si="80"/>
        <v>Projected</v>
      </c>
      <c r="O320" s="418" t="str">
        <f t="shared" si="85"/>
        <v>101-E342</v>
      </c>
      <c r="P320" s="418">
        <f t="shared" si="86"/>
        <v>0</v>
      </c>
      <c r="Q320" s="418">
        <f t="shared" si="87"/>
        <v>40098.720000000001</v>
      </c>
      <c r="R320" s="418">
        <f t="shared" si="88"/>
        <v>63820.63</v>
      </c>
      <c r="S320" s="418">
        <f t="shared" si="89"/>
        <v>87542.52</v>
      </c>
      <c r="T320" s="418">
        <f t="shared" si="90"/>
        <v>0</v>
      </c>
      <c r="V320" s="418" t="str">
        <f t="shared" si="91"/>
        <v>Projected - Electric</v>
      </c>
      <c r="W320" s="418" t="str">
        <f t="shared" si="92"/>
        <v>E342 PRD Fuel Holder, Mint Farm</v>
      </c>
      <c r="X320" s="418" t="str">
        <f t="shared" si="81"/>
        <v>Projected</v>
      </c>
      <c r="Y320" s="418" t="str">
        <f t="shared" si="93"/>
        <v>101-E342</v>
      </c>
      <c r="Z320" s="418">
        <f t="shared" si="94"/>
        <v>0</v>
      </c>
      <c r="AA320" s="418">
        <f t="shared" si="95"/>
        <v>0</v>
      </c>
      <c r="AB320" s="418">
        <f t="shared" si="96"/>
        <v>0</v>
      </c>
      <c r="AC320" s="418">
        <f t="shared" si="97"/>
        <v>0</v>
      </c>
      <c r="AD320" s="418">
        <f t="shared" si="98"/>
        <v>0</v>
      </c>
      <c r="AE320" s="413">
        <f t="shared" si="99"/>
        <v>0</v>
      </c>
    </row>
    <row r="321" spans="1:31" x14ac:dyDescent="0.3">
      <c r="A321" s="415" t="s">
        <v>1604</v>
      </c>
      <c r="B321" s="418" t="s">
        <v>1845</v>
      </c>
      <c r="C321" s="418" t="s">
        <v>26</v>
      </c>
      <c r="D321" s="418" t="str">
        <f t="shared" si="82"/>
        <v>101-E344</v>
      </c>
      <c r="E321" s="418">
        <v>0</v>
      </c>
      <c r="F321" s="418">
        <v>0</v>
      </c>
      <c r="G321" s="418">
        <v>4713.3</v>
      </c>
      <c r="H321" s="418">
        <v>9426.6</v>
      </c>
      <c r="I321" s="418">
        <v>0</v>
      </c>
      <c r="J321" s="413">
        <v>0</v>
      </c>
      <c r="L321" s="418" t="str">
        <f t="shared" si="83"/>
        <v>Projected - Electric</v>
      </c>
      <c r="M321" s="418" t="str">
        <f t="shared" si="84"/>
        <v>E3440 PRD Gen, Crystal Mtn</v>
      </c>
      <c r="N321" s="418" t="str">
        <f t="shared" si="80"/>
        <v>Projected</v>
      </c>
      <c r="O321" s="418" t="str">
        <f t="shared" si="85"/>
        <v>101-E344</v>
      </c>
      <c r="P321" s="418">
        <f t="shared" si="86"/>
        <v>0</v>
      </c>
      <c r="Q321" s="418">
        <f t="shared" si="87"/>
        <v>0</v>
      </c>
      <c r="R321" s="418">
        <f t="shared" si="88"/>
        <v>4713.3</v>
      </c>
      <c r="S321" s="418">
        <f t="shared" si="89"/>
        <v>9426.6</v>
      </c>
      <c r="T321" s="418">
        <f t="shared" si="90"/>
        <v>0</v>
      </c>
      <c r="V321" s="418" t="str">
        <f t="shared" si="91"/>
        <v>Projected - Electric</v>
      </c>
      <c r="W321" s="418" t="str">
        <f t="shared" si="92"/>
        <v>E3440 PRD Gen, Crystal Mtn</v>
      </c>
      <c r="X321" s="418" t="str">
        <f t="shared" si="81"/>
        <v>Projected</v>
      </c>
      <c r="Y321" s="418" t="str">
        <f t="shared" si="93"/>
        <v>101-E344</v>
      </c>
      <c r="Z321" s="418">
        <f t="shared" si="94"/>
        <v>0</v>
      </c>
      <c r="AA321" s="418">
        <f t="shared" si="95"/>
        <v>0</v>
      </c>
      <c r="AB321" s="418">
        <f t="shared" si="96"/>
        <v>0</v>
      </c>
      <c r="AC321" s="418">
        <f t="shared" si="97"/>
        <v>0</v>
      </c>
      <c r="AD321" s="418">
        <f t="shared" si="98"/>
        <v>0</v>
      </c>
      <c r="AE321" s="413">
        <f t="shared" si="99"/>
        <v>0</v>
      </c>
    </row>
    <row r="322" spans="1:31" x14ac:dyDescent="0.3">
      <c r="A322" s="415" t="s">
        <v>1604</v>
      </c>
      <c r="B322" s="418" t="s">
        <v>1844</v>
      </c>
      <c r="C322" s="418" t="s">
        <v>26</v>
      </c>
      <c r="D322" s="418" t="str">
        <f t="shared" si="82"/>
        <v>101-E344</v>
      </c>
      <c r="E322" s="418">
        <v>0</v>
      </c>
      <c r="F322" s="418">
        <v>2872762.91</v>
      </c>
      <c r="G322" s="418">
        <v>2942868.89</v>
      </c>
      <c r="H322" s="418">
        <v>3012974.87</v>
      </c>
      <c r="I322" s="418">
        <v>0</v>
      </c>
      <c r="J322" s="413">
        <v>0</v>
      </c>
      <c r="L322" s="418" t="str">
        <f t="shared" si="83"/>
        <v>Projected - Electric</v>
      </c>
      <c r="M322" s="418" t="str">
        <f t="shared" si="84"/>
        <v>E3440 PRD Gen, Frederickson</v>
      </c>
      <c r="N322" s="418" t="str">
        <f t="shared" si="80"/>
        <v>Projected</v>
      </c>
      <c r="O322" s="418" t="str">
        <f t="shared" si="85"/>
        <v>101-E344</v>
      </c>
      <c r="P322" s="418">
        <f t="shared" si="86"/>
        <v>0</v>
      </c>
      <c r="Q322" s="418">
        <f t="shared" si="87"/>
        <v>2872762.91</v>
      </c>
      <c r="R322" s="418">
        <f t="shared" si="88"/>
        <v>2942868.89</v>
      </c>
      <c r="S322" s="418">
        <f t="shared" si="89"/>
        <v>3012974.87</v>
      </c>
      <c r="T322" s="418">
        <f t="shared" si="90"/>
        <v>0</v>
      </c>
      <c r="V322" s="418" t="str">
        <f t="shared" si="91"/>
        <v>Projected - Electric</v>
      </c>
      <c r="W322" s="418" t="str">
        <f t="shared" si="92"/>
        <v>E3440 PRD Gen, Frederickson</v>
      </c>
      <c r="X322" s="418" t="str">
        <f t="shared" si="81"/>
        <v>Projected</v>
      </c>
      <c r="Y322" s="418" t="str">
        <f t="shared" si="93"/>
        <v>101-E344</v>
      </c>
      <c r="Z322" s="418">
        <f t="shared" si="94"/>
        <v>0</v>
      </c>
      <c r="AA322" s="418">
        <f t="shared" si="95"/>
        <v>0</v>
      </c>
      <c r="AB322" s="418">
        <f t="shared" si="96"/>
        <v>0</v>
      </c>
      <c r="AC322" s="418">
        <f t="shared" si="97"/>
        <v>0</v>
      </c>
      <c r="AD322" s="418">
        <f t="shared" si="98"/>
        <v>0</v>
      </c>
      <c r="AE322" s="413">
        <f t="shared" si="99"/>
        <v>0</v>
      </c>
    </row>
    <row r="323" spans="1:31" x14ac:dyDescent="0.3">
      <c r="A323" s="415" t="s">
        <v>1604</v>
      </c>
      <c r="B323" s="418" t="s">
        <v>1843</v>
      </c>
      <c r="C323" s="418" t="s">
        <v>26</v>
      </c>
      <c r="D323" s="418" t="str">
        <f t="shared" si="82"/>
        <v>101-E344</v>
      </c>
      <c r="E323" s="418">
        <v>0</v>
      </c>
      <c r="F323" s="418">
        <v>1937214.8</v>
      </c>
      <c r="G323" s="418">
        <v>1937214.8</v>
      </c>
      <c r="H323" s="418">
        <v>1937214.8</v>
      </c>
      <c r="I323" s="418">
        <v>0</v>
      </c>
      <c r="J323" s="413">
        <v>0</v>
      </c>
      <c r="L323" s="418" t="str">
        <f t="shared" si="83"/>
        <v>Projected - Electric</v>
      </c>
      <c r="M323" s="418" t="str">
        <f t="shared" si="84"/>
        <v>E3440 PRD Gen, Fredonia</v>
      </c>
      <c r="N323" s="418" t="str">
        <f t="shared" si="80"/>
        <v>Projected</v>
      </c>
      <c r="O323" s="418" t="str">
        <f t="shared" si="85"/>
        <v>101-E344</v>
      </c>
      <c r="P323" s="418">
        <f t="shared" si="86"/>
        <v>0</v>
      </c>
      <c r="Q323" s="418">
        <f t="shared" si="87"/>
        <v>1937214.8</v>
      </c>
      <c r="R323" s="418">
        <f t="shared" si="88"/>
        <v>1937214.8</v>
      </c>
      <c r="S323" s="418">
        <f t="shared" si="89"/>
        <v>1937214.8</v>
      </c>
      <c r="T323" s="418">
        <f t="shared" si="90"/>
        <v>0</v>
      </c>
      <c r="V323" s="418" t="str">
        <f t="shared" si="91"/>
        <v>Projected - Electric</v>
      </c>
      <c r="W323" s="418" t="str">
        <f t="shared" si="92"/>
        <v>E3440 PRD Gen, Fredonia</v>
      </c>
      <c r="X323" s="418" t="str">
        <f t="shared" si="81"/>
        <v>Projected</v>
      </c>
      <c r="Y323" s="418" t="str">
        <f t="shared" si="93"/>
        <v>101-E344</v>
      </c>
      <c r="Z323" s="418">
        <f t="shared" si="94"/>
        <v>0</v>
      </c>
      <c r="AA323" s="418">
        <f t="shared" si="95"/>
        <v>0</v>
      </c>
      <c r="AB323" s="418">
        <f t="shared" si="96"/>
        <v>0</v>
      </c>
      <c r="AC323" s="418">
        <f t="shared" si="97"/>
        <v>0</v>
      </c>
      <c r="AD323" s="418">
        <f t="shared" si="98"/>
        <v>0</v>
      </c>
      <c r="AE323" s="413">
        <f t="shared" si="99"/>
        <v>0</v>
      </c>
    </row>
    <row r="324" spans="1:31" x14ac:dyDescent="0.3">
      <c r="A324" s="415" t="s">
        <v>1604</v>
      </c>
      <c r="B324" s="418" t="s">
        <v>1842</v>
      </c>
      <c r="C324" s="418" t="s">
        <v>26</v>
      </c>
      <c r="D324" s="418" t="str">
        <f t="shared" si="82"/>
        <v>101-E344</v>
      </c>
      <c r="E324" s="418">
        <v>0</v>
      </c>
      <c r="F324" s="418">
        <v>488124.96</v>
      </c>
      <c r="G324" s="418">
        <v>488124.96</v>
      </c>
      <c r="H324" s="418">
        <v>488124.96</v>
      </c>
      <c r="I324" s="418">
        <v>0</v>
      </c>
      <c r="J324" s="413">
        <v>0</v>
      </c>
      <c r="L324" s="418" t="str">
        <f t="shared" si="83"/>
        <v>Projected - Electric</v>
      </c>
      <c r="M324" s="418" t="str">
        <f t="shared" si="84"/>
        <v>E3440 PRD Gen, Fredonia 3&amp;4 OP</v>
      </c>
      <c r="N324" s="418" t="str">
        <f t="shared" ref="N324:N387" si="100">C324</f>
        <v>Projected</v>
      </c>
      <c r="O324" s="418" t="str">
        <f t="shared" si="85"/>
        <v>101-E344</v>
      </c>
      <c r="P324" s="418">
        <f t="shared" si="86"/>
        <v>0</v>
      </c>
      <c r="Q324" s="418">
        <f t="shared" si="87"/>
        <v>488124.96</v>
      </c>
      <c r="R324" s="418">
        <f t="shared" si="88"/>
        <v>488124.96</v>
      </c>
      <c r="S324" s="418">
        <f t="shared" si="89"/>
        <v>488124.96</v>
      </c>
      <c r="T324" s="418">
        <f t="shared" si="90"/>
        <v>0</v>
      </c>
      <c r="V324" s="418" t="str">
        <f t="shared" si="91"/>
        <v>Projected - Electric</v>
      </c>
      <c r="W324" s="418" t="str">
        <f t="shared" si="92"/>
        <v>E3440 PRD Gen, Fredonia 3&amp;4 OP</v>
      </c>
      <c r="X324" s="418" t="str">
        <f t="shared" ref="X324:X387" si="101">C324</f>
        <v>Projected</v>
      </c>
      <c r="Y324" s="418" t="str">
        <f t="shared" si="93"/>
        <v>101-E344</v>
      </c>
      <c r="Z324" s="418">
        <f t="shared" si="94"/>
        <v>0</v>
      </c>
      <c r="AA324" s="418">
        <f t="shared" si="95"/>
        <v>0</v>
      </c>
      <c r="AB324" s="418">
        <f t="shared" si="96"/>
        <v>0</v>
      </c>
      <c r="AC324" s="418">
        <f t="shared" si="97"/>
        <v>0</v>
      </c>
      <c r="AD324" s="418">
        <f t="shared" si="98"/>
        <v>0</v>
      </c>
      <c r="AE324" s="413">
        <f t="shared" si="99"/>
        <v>0</v>
      </c>
    </row>
    <row r="325" spans="1:31" x14ac:dyDescent="0.3">
      <c r="A325" s="415" t="s">
        <v>1604</v>
      </c>
      <c r="B325" s="418" t="s">
        <v>1841</v>
      </c>
      <c r="C325" s="418" t="s">
        <v>26</v>
      </c>
      <c r="D325" s="418" t="str">
        <f t="shared" ref="D325:D388" si="102">"101-"&amp; LEFT(B325,4)</f>
        <v>101-E344</v>
      </c>
      <c r="E325" s="418">
        <v>0</v>
      </c>
      <c r="F325" s="418">
        <v>25353.119999999999</v>
      </c>
      <c r="G325" s="418">
        <v>25353.119999999999</v>
      </c>
      <c r="H325" s="418">
        <v>38020.74</v>
      </c>
      <c r="I325" s="418">
        <v>0</v>
      </c>
      <c r="J325" s="413">
        <v>0</v>
      </c>
      <c r="L325" s="418" t="str">
        <f t="shared" ref="L325:L388" si="103">A325</f>
        <v>Projected - Electric</v>
      </c>
      <c r="M325" s="418" t="str">
        <f t="shared" ref="M325:M388" si="104">B325</f>
        <v>E3440 PRD Gen, Whitehorn 2-3 Com</v>
      </c>
      <c r="N325" s="418" t="str">
        <f t="shared" si="100"/>
        <v>Projected</v>
      </c>
      <c r="O325" s="418" t="str">
        <f t="shared" ref="O325:O388" si="105">D325</f>
        <v>101-E344</v>
      </c>
      <c r="P325" s="418">
        <f t="shared" ref="P325:P388" si="106">IF(MID($O325,5,1)="C",E325*$F$1,IF(MID($O325,5,1)="G",0,E325))</f>
        <v>0</v>
      </c>
      <c r="Q325" s="418">
        <f t="shared" ref="Q325:Q388" si="107">IF(MID($O325,5,1)="C",F325*$F$1,IF(MID($O325,5,1)="G",0,F325))</f>
        <v>25353.119999999999</v>
      </c>
      <c r="R325" s="418">
        <f t="shared" ref="R325:R388" si="108">IF(MID($O325,5,1)="C",G325*$F$1,IF(MID($O325,5,1)="G",0,G325))</f>
        <v>25353.119999999999</v>
      </c>
      <c r="S325" s="418">
        <f t="shared" ref="S325:S388" si="109">IF(MID($O325,5,1)="C",H325*$F$1,IF(MID($O325,5,1)="G",0,H325))</f>
        <v>38020.74</v>
      </c>
      <c r="T325" s="418">
        <f t="shared" ref="T325:T388" si="110">IF(MID($O325,5,1)="C",I325*$F$1,IF(MID($O325,5,1)="G",0,I325))</f>
        <v>0</v>
      </c>
      <c r="V325" s="418" t="str">
        <f t="shared" ref="V325:V388" si="111">A325</f>
        <v>Projected - Electric</v>
      </c>
      <c r="W325" s="418" t="str">
        <f t="shared" ref="W325:W388" si="112">B325</f>
        <v>E3440 PRD Gen, Whitehorn 2-3 Com</v>
      </c>
      <c r="X325" s="418" t="str">
        <f t="shared" si="101"/>
        <v>Projected</v>
      </c>
      <c r="Y325" s="418" t="str">
        <f t="shared" ref="Y325:Y388" si="113">D325</f>
        <v>101-E344</v>
      </c>
      <c r="Z325" s="418">
        <f t="shared" ref="Z325:Z388" si="114">IF(MID($O325,5,1)="C",E325*$D$1,IF(MID($O325,5,1)="E",0,E325))</f>
        <v>0</v>
      </c>
      <c r="AA325" s="418">
        <f t="shared" ref="AA325:AA388" si="115">IF(MID($O325,5,1)="C",F325*$D$1,IF(MID($O325,5,1)="E",0,F325))</f>
        <v>0</v>
      </c>
      <c r="AB325" s="418">
        <f t="shared" ref="AB325:AB388" si="116">IF(MID($O325,5,1)="C",G325*$D$1,IF(MID($O325,5,1)="E",0,G325))</f>
        <v>0</v>
      </c>
      <c r="AC325" s="418">
        <f t="shared" ref="AC325:AC388" si="117">IF(MID($O325,5,1)="C",H325*$D$1,IF(MID($O325,5,1)="E",0,H325))</f>
        <v>0</v>
      </c>
      <c r="AD325" s="418">
        <f t="shared" ref="AD325:AD388" si="118">IF(MID($O325,5,1)="C",I325*$D$1,IF(MID($O325,5,1)="E",0,I325))</f>
        <v>0</v>
      </c>
      <c r="AE325" s="413">
        <f t="shared" ref="AE325:AE388" si="119">SUM(E325:I325)-SUM(P325:T325)-SUM(Z325:AD325)</f>
        <v>0</v>
      </c>
    </row>
    <row r="326" spans="1:31" x14ac:dyDescent="0.3">
      <c r="A326" s="415" t="s">
        <v>1604</v>
      </c>
      <c r="B326" s="418" t="s">
        <v>1840</v>
      </c>
      <c r="C326" s="418" t="s">
        <v>26</v>
      </c>
      <c r="D326" s="418" t="str">
        <f t="shared" si="102"/>
        <v>101-E344</v>
      </c>
      <c r="E326" s="418">
        <v>0</v>
      </c>
      <c r="F326" s="418">
        <v>88731.16</v>
      </c>
      <c r="G326" s="418">
        <v>92554.86</v>
      </c>
      <c r="H326" s="418">
        <v>184419.23</v>
      </c>
      <c r="I326" s="418">
        <v>0</v>
      </c>
      <c r="J326" s="413">
        <v>0</v>
      </c>
      <c r="L326" s="418" t="str">
        <f t="shared" si="103"/>
        <v>Projected - Electric</v>
      </c>
      <c r="M326" s="418" t="str">
        <f t="shared" si="104"/>
        <v>E34401 PRD Gen, Hopkins Expansion</v>
      </c>
      <c r="N326" s="418" t="str">
        <f t="shared" si="100"/>
        <v>Projected</v>
      </c>
      <c r="O326" s="418" t="str">
        <f t="shared" si="105"/>
        <v>101-E344</v>
      </c>
      <c r="P326" s="418">
        <f t="shared" si="106"/>
        <v>0</v>
      </c>
      <c r="Q326" s="418">
        <f t="shared" si="107"/>
        <v>88731.16</v>
      </c>
      <c r="R326" s="418">
        <f t="shared" si="108"/>
        <v>92554.86</v>
      </c>
      <c r="S326" s="418">
        <f t="shared" si="109"/>
        <v>184419.23</v>
      </c>
      <c r="T326" s="418">
        <f t="shared" si="110"/>
        <v>0</v>
      </c>
      <c r="V326" s="418" t="str">
        <f t="shared" si="111"/>
        <v>Projected - Electric</v>
      </c>
      <c r="W326" s="418" t="str">
        <f t="shared" si="112"/>
        <v>E34401 PRD Gen, Hopkins Expansion</v>
      </c>
      <c r="X326" s="418" t="str">
        <f t="shared" si="101"/>
        <v>Projected</v>
      </c>
      <c r="Y326" s="418" t="str">
        <f t="shared" si="113"/>
        <v>101-E344</v>
      </c>
      <c r="Z326" s="418">
        <f t="shared" si="114"/>
        <v>0</v>
      </c>
      <c r="AA326" s="418">
        <f t="shared" si="115"/>
        <v>0</v>
      </c>
      <c r="AB326" s="418">
        <f t="shared" si="116"/>
        <v>0</v>
      </c>
      <c r="AC326" s="418">
        <f t="shared" si="117"/>
        <v>0</v>
      </c>
      <c r="AD326" s="418">
        <f t="shared" si="118"/>
        <v>0</v>
      </c>
      <c r="AE326" s="413">
        <f t="shared" si="119"/>
        <v>0</v>
      </c>
    </row>
    <row r="327" spans="1:31" x14ac:dyDescent="0.3">
      <c r="A327" s="415" t="s">
        <v>1604</v>
      </c>
      <c r="B327" s="418" t="s">
        <v>1839</v>
      </c>
      <c r="C327" s="418" t="s">
        <v>26</v>
      </c>
      <c r="D327" s="418" t="str">
        <f t="shared" si="102"/>
        <v>101-E344</v>
      </c>
      <c r="E327" s="418">
        <v>0</v>
      </c>
      <c r="F327" s="418">
        <v>1504739.63</v>
      </c>
      <c r="G327" s="418">
        <v>1569583.49</v>
      </c>
      <c r="H327" s="418">
        <v>3127457.32</v>
      </c>
      <c r="I327" s="418">
        <v>0</v>
      </c>
      <c r="J327" s="413">
        <v>0</v>
      </c>
      <c r="L327" s="418" t="str">
        <f t="shared" si="103"/>
        <v>Projected - Electric</v>
      </c>
      <c r="M327" s="418" t="str">
        <f t="shared" si="104"/>
        <v>E34401 PRD Gen, Hopkins Ridge</v>
      </c>
      <c r="N327" s="418" t="str">
        <f t="shared" si="100"/>
        <v>Projected</v>
      </c>
      <c r="O327" s="418" t="str">
        <f t="shared" si="105"/>
        <v>101-E344</v>
      </c>
      <c r="P327" s="418">
        <f t="shared" si="106"/>
        <v>0</v>
      </c>
      <c r="Q327" s="418">
        <f t="shared" si="107"/>
        <v>1504739.63</v>
      </c>
      <c r="R327" s="418">
        <f t="shared" si="108"/>
        <v>1569583.49</v>
      </c>
      <c r="S327" s="418">
        <f t="shared" si="109"/>
        <v>3127457.32</v>
      </c>
      <c r="T327" s="418">
        <f t="shared" si="110"/>
        <v>0</v>
      </c>
      <c r="V327" s="418" t="str">
        <f t="shared" si="111"/>
        <v>Projected - Electric</v>
      </c>
      <c r="W327" s="418" t="str">
        <f t="shared" si="112"/>
        <v>E34401 PRD Gen, Hopkins Ridge</v>
      </c>
      <c r="X327" s="418" t="str">
        <f t="shared" si="101"/>
        <v>Projected</v>
      </c>
      <c r="Y327" s="418" t="str">
        <f t="shared" si="113"/>
        <v>101-E344</v>
      </c>
      <c r="Z327" s="418">
        <f t="shared" si="114"/>
        <v>0</v>
      </c>
      <c r="AA327" s="418">
        <f t="shared" si="115"/>
        <v>0</v>
      </c>
      <c r="AB327" s="418">
        <f t="shared" si="116"/>
        <v>0</v>
      </c>
      <c r="AC327" s="418">
        <f t="shared" si="117"/>
        <v>0</v>
      </c>
      <c r="AD327" s="418">
        <f t="shared" si="118"/>
        <v>0</v>
      </c>
      <c r="AE327" s="413">
        <f t="shared" si="119"/>
        <v>0</v>
      </c>
    </row>
    <row r="328" spans="1:31" x14ac:dyDescent="0.3">
      <c r="A328" s="415" t="s">
        <v>1604</v>
      </c>
      <c r="B328" s="418" t="s">
        <v>1838</v>
      </c>
      <c r="C328" s="418" t="s">
        <v>26</v>
      </c>
      <c r="D328" s="418" t="str">
        <f t="shared" si="102"/>
        <v>101-E344</v>
      </c>
      <c r="E328" s="418">
        <v>0</v>
      </c>
      <c r="F328" s="418">
        <v>3139887.72</v>
      </c>
      <c r="G328" s="418">
        <v>4932245.82</v>
      </c>
      <c r="H328" s="418">
        <v>8795523.4199999999</v>
      </c>
      <c r="I328" s="418">
        <v>0</v>
      </c>
      <c r="J328" s="413">
        <v>0</v>
      </c>
      <c r="L328" s="418" t="str">
        <f t="shared" si="103"/>
        <v>Projected - Electric</v>
      </c>
      <c r="M328" s="418" t="str">
        <f t="shared" si="104"/>
        <v>E34401 PRD Gen, LSR</v>
      </c>
      <c r="N328" s="418" t="str">
        <f t="shared" si="100"/>
        <v>Projected</v>
      </c>
      <c r="O328" s="418" t="str">
        <f t="shared" si="105"/>
        <v>101-E344</v>
      </c>
      <c r="P328" s="418">
        <f t="shared" si="106"/>
        <v>0</v>
      </c>
      <c r="Q328" s="418">
        <f t="shared" si="107"/>
        <v>3139887.72</v>
      </c>
      <c r="R328" s="418">
        <f t="shared" si="108"/>
        <v>4932245.82</v>
      </c>
      <c r="S328" s="418">
        <f t="shared" si="109"/>
        <v>8795523.4199999999</v>
      </c>
      <c r="T328" s="418">
        <f t="shared" si="110"/>
        <v>0</v>
      </c>
      <c r="V328" s="418" t="str">
        <f t="shared" si="111"/>
        <v>Projected - Electric</v>
      </c>
      <c r="W328" s="418" t="str">
        <f t="shared" si="112"/>
        <v>E34401 PRD Gen, LSR</v>
      </c>
      <c r="X328" s="418" t="str">
        <f t="shared" si="101"/>
        <v>Projected</v>
      </c>
      <c r="Y328" s="418" t="str">
        <f t="shared" si="113"/>
        <v>101-E344</v>
      </c>
      <c r="Z328" s="418">
        <f t="shared" si="114"/>
        <v>0</v>
      </c>
      <c r="AA328" s="418">
        <f t="shared" si="115"/>
        <v>0</v>
      </c>
      <c r="AB328" s="418">
        <f t="shared" si="116"/>
        <v>0</v>
      </c>
      <c r="AC328" s="418">
        <f t="shared" si="117"/>
        <v>0</v>
      </c>
      <c r="AD328" s="418">
        <f t="shared" si="118"/>
        <v>0</v>
      </c>
      <c r="AE328" s="413">
        <f t="shared" si="119"/>
        <v>0</v>
      </c>
    </row>
    <row r="329" spans="1:31" x14ac:dyDescent="0.3">
      <c r="A329" s="415" t="s">
        <v>1604</v>
      </c>
      <c r="B329" s="418" t="s">
        <v>1837</v>
      </c>
      <c r="C329" s="418" t="s">
        <v>26</v>
      </c>
      <c r="D329" s="418" t="str">
        <f t="shared" si="102"/>
        <v>101-E344</v>
      </c>
      <c r="E329" s="418">
        <v>0</v>
      </c>
      <c r="F329" s="418">
        <v>4111402.44</v>
      </c>
      <c r="G329" s="418">
        <v>5571039.4900000002</v>
      </c>
      <c r="H329" s="418">
        <v>8490313.5700000003</v>
      </c>
      <c r="I329" s="418">
        <v>0</v>
      </c>
      <c r="J329" s="413">
        <v>0</v>
      </c>
      <c r="L329" s="418" t="str">
        <f t="shared" si="103"/>
        <v>Projected - Electric</v>
      </c>
      <c r="M329" s="418" t="str">
        <f t="shared" si="104"/>
        <v>E34401 PRD Gen, Wild Horse Wind</v>
      </c>
      <c r="N329" s="418" t="str">
        <f t="shared" si="100"/>
        <v>Projected</v>
      </c>
      <c r="O329" s="418" t="str">
        <f t="shared" si="105"/>
        <v>101-E344</v>
      </c>
      <c r="P329" s="418">
        <f t="shared" si="106"/>
        <v>0</v>
      </c>
      <c r="Q329" s="418">
        <f t="shared" si="107"/>
        <v>4111402.44</v>
      </c>
      <c r="R329" s="418">
        <f t="shared" si="108"/>
        <v>5571039.4900000002</v>
      </c>
      <c r="S329" s="418">
        <f t="shared" si="109"/>
        <v>8490313.5700000003</v>
      </c>
      <c r="T329" s="418">
        <f t="shared" si="110"/>
        <v>0</v>
      </c>
      <c r="V329" s="418" t="str">
        <f t="shared" si="111"/>
        <v>Projected - Electric</v>
      </c>
      <c r="W329" s="418" t="str">
        <f t="shared" si="112"/>
        <v>E34401 PRD Gen, Wild Horse Wind</v>
      </c>
      <c r="X329" s="418" t="str">
        <f t="shared" si="101"/>
        <v>Projected</v>
      </c>
      <c r="Y329" s="418" t="str">
        <f t="shared" si="113"/>
        <v>101-E344</v>
      </c>
      <c r="Z329" s="418">
        <f t="shared" si="114"/>
        <v>0</v>
      </c>
      <c r="AA329" s="418">
        <f t="shared" si="115"/>
        <v>0</v>
      </c>
      <c r="AB329" s="418">
        <f t="shared" si="116"/>
        <v>0</v>
      </c>
      <c r="AC329" s="418">
        <f t="shared" si="117"/>
        <v>0</v>
      </c>
      <c r="AD329" s="418">
        <f t="shared" si="118"/>
        <v>0</v>
      </c>
      <c r="AE329" s="413">
        <f t="shared" si="119"/>
        <v>0</v>
      </c>
    </row>
    <row r="330" spans="1:31" x14ac:dyDescent="0.3">
      <c r="A330" s="415" t="s">
        <v>1604</v>
      </c>
      <c r="B330" s="418" t="s">
        <v>1836</v>
      </c>
      <c r="C330" s="418" t="s">
        <v>26</v>
      </c>
      <c r="D330" s="418" t="str">
        <f t="shared" si="102"/>
        <v>101-E344</v>
      </c>
      <c r="E330" s="418">
        <v>0</v>
      </c>
      <c r="F330" s="418">
        <v>166484.4</v>
      </c>
      <c r="G330" s="418">
        <v>225589.98</v>
      </c>
      <c r="H330" s="418">
        <v>343801.14</v>
      </c>
      <c r="I330" s="418">
        <v>0</v>
      </c>
      <c r="J330" s="413">
        <v>0</v>
      </c>
      <c r="L330" s="418" t="str">
        <f t="shared" si="103"/>
        <v>Projected - Electric</v>
      </c>
      <c r="M330" s="418" t="str">
        <f t="shared" si="104"/>
        <v>E34401 PRD Gen,Wild Horse Expansion</v>
      </c>
      <c r="N330" s="418" t="str">
        <f t="shared" si="100"/>
        <v>Projected</v>
      </c>
      <c r="O330" s="418" t="str">
        <f t="shared" si="105"/>
        <v>101-E344</v>
      </c>
      <c r="P330" s="418">
        <f t="shared" si="106"/>
        <v>0</v>
      </c>
      <c r="Q330" s="418">
        <f t="shared" si="107"/>
        <v>166484.4</v>
      </c>
      <c r="R330" s="418">
        <f t="shared" si="108"/>
        <v>225589.98</v>
      </c>
      <c r="S330" s="418">
        <f t="shared" si="109"/>
        <v>343801.14</v>
      </c>
      <c r="T330" s="418">
        <f t="shared" si="110"/>
        <v>0</v>
      </c>
      <c r="V330" s="418" t="str">
        <f t="shared" si="111"/>
        <v>Projected - Electric</v>
      </c>
      <c r="W330" s="418" t="str">
        <f t="shared" si="112"/>
        <v>E34401 PRD Gen,Wild Horse Expansion</v>
      </c>
      <c r="X330" s="418" t="str">
        <f t="shared" si="101"/>
        <v>Projected</v>
      </c>
      <c r="Y330" s="418" t="str">
        <f t="shared" si="113"/>
        <v>101-E344</v>
      </c>
      <c r="Z330" s="418">
        <f t="shared" si="114"/>
        <v>0</v>
      </c>
      <c r="AA330" s="418">
        <f t="shared" si="115"/>
        <v>0</v>
      </c>
      <c r="AB330" s="418">
        <f t="shared" si="116"/>
        <v>0</v>
      </c>
      <c r="AC330" s="418">
        <f t="shared" si="117"/>
        <v>0</v>
      </c>
      <c r="AD330" s="418">
        <f t="shared" si="118"/>
        <v>0</v>
      </c>
      <c r="AE330" s="413">
        <f t="shared" si="119"/>
        <v>0</v>
      </c>
    </row>
    <row r="331" spans="1:31" x14ac:dyDescent="0.3">
      <c r="A331" s="415" t="s">
        <v>1604</v>
      </c>
      <c r="B331" s="418" t="s">
        <v>1718</v>
      </c>
      <c r="C331" s="418" t="s">
        <v>26</v>
      </c>
      <c r="D331" s="418" t="str">
        <f t="shared" si="102"/>
        <v>101-E344</v>
      </c>
      <c r="E331" s="418">
        <v>0</v>
      </c>
      <c r="F331" s="418">
        <v>0</v>
      </c>
      <c r="G331" s="418">
        <v>393878.49</v>
      </c>
      <c r="H331" s="418">
        <v>11708396.99</v>
      </c>
      <c r="I331" s="418">
        <v>0</v>
      </c>
      <c r="J331" s="413">
        <v>0</v>
      </c>
      <c r="L331" s="418" t="str">
        <f t="shared" si="103"/>
        <v>Projected - Electric</v>
      </c>
      <c r="M331" s="418" t="str">
        <f t="shared" si="104"/>
        <v>E34402 PRD Gen, Com Solar</v>
      </c>
      <c r="N331" s="418" t="str">
        <f t="shared" si="100"/>
        <v>Projected</v>
      </c>
      <c r="O331" s="418" t="str">
        <f t="shared" si="105"/>
        <v>101-E344</v>
      </c>
      <c r="P331" s="418">
        <f t="shared" si="106"/>
        <v>0</v>
      </c>
      <c r="Q331" s="418">
        <f t="shared" si="107"/>
        <v>0</v>
      </c>
      <c r="R331" s="418">
        <f t="shared" si="108"/>
        <v>393878.49</v>
      </c>
      <c r="S331" s="418">
        <f t="shared" si="109"/>
        <v>11708396.99</v>
      </c>
      <c r="T331" s="418">
        <f t="shared" si="110"/>
        <v>0</v>
      </c>
      <c r="V331" s="418" t="str">
        <f t="shared" si="111"/>
        <v>Projected - Electric</v>
      </c>
      <c r="W331" s="418" t="str">
        <f t="shared" si="112"/>
        <v>E34402 PRD Gen, Com Solar</v>
      </c>
      <c r="X331" s="418" t="str">
        <f t="shared" si="101"/>
        <v>Projected</v>
      </c>
      <c r="Y331" s="418" t="str">
        <f t="shared" si="113"/>
        <v>101-E344</v>
      </c>
      <c r="Z331" s="418">
        <f t="shared" si="114"/>
        <v>0</v>
      </c>
      <c r="AA331" s="418">
        <f t="shared" si="115"/>
        <v>0</v>
      </c>
      <c r="AB331" s="418">
        <f t="shared" si="116"/>
        <v>0</v>
      </c>
      <c r="AC331" s="418">
        <f t="shared" si="117"/>
        <v>0</v>
      </c>
      <c r="AD331" s="418">
        <f t="shared" si="118"/>
        <v>0</v>
      </c>
      <c r="AE331" s="413">
        <f t="shared" si="119"/>
        <v>0</v>
      </c>
    </row>
    <row r="332" spans="1:31" x14ac:dyDescent="0.3">
      <c r="A332" s="415" t="s">
        <v>1604</v>
      </c>
      <c r="B332" s="418" t="s">
        <v>1835</v>
      </c>
      <c r="C332" s="418" t="s">
        <v>26</v>
      </c>
      <c r="D332" s="418" t="str">
        <f t="shared" si="102"/>
        <v>101-E344</v>
      </c>
      <c r="E332" s="418">
        <v>0</v>
      </c>
      <c r="F332" s="418">
        <v>118158.72</v>
      </c>
      <c r="G332" s="418">
        <v>133663.5</v>
      </c>
      <c r="H332" s="418">
        <v>159504.82999999999</v>
      </c>
      <c r="I332" s="418">
        <v>0</v>
      </c>
      <c r="J332" s="413">
        <v>0</v>
      </c>
      <c r="L332" s="418" t="str">
        <f t="shared" si="103"/>
        <v>Projected - Electric</v>
      </c>
      <c r="M332" s="418" t="str">
        <f t="shared" si="104"/>
        <v>E34420 PRD Gen, Encogen</v>
      </c>
      <c r="N332" s="418" t="str">
        <f t="shared" si="100"/>
        <v>Projected</v>
      </c>
      <c r="O332" s="418" t="str">
        <f t="shared" si="105"/>
        <v>101-E344</v>
      </c>
      <c r="P332" s="418">
        <f t="shared" si="106"/>
        <v>0</v>
      </c>
      <c r="Q332" s="418">
        <f t="shared" si="107"/>
        <v>118158.72</v>
      </c>
      <c r="R332" s="418">
        <f t="shared" si="108"/>
        <v>133663.5</v>
      </c>
      <c r="S332" s="418">
        <f t="shared" si="109"/>
        <v>159504.82999999999</v>
      </c>
      <c r="T332" s="418">
        <f t="shared" si="110"/>
        <v>0</v>
      </c>
      <c r="V332" s="418" t="str">
        <f t="shared" si="111"/>
        <v>Projected - Electric</v>
      </c>
      <c r="W332" s="418" t="str">
        <f t="shared" si="112"/>
        <v>E34420 PRD Gen, Encogen</v>
      </c>
      <c r="X332" s="418" t="str">
        <f t="shared" si="101"/>
        <v>Projected</v>
      </c>
      <c r="Y332" s="418" t="str">
        <f t="shared" si="113"/>
        <v>101-E344</v>
      </c>
      <c r="Z332" s="418">
        <f t="shared" si="114"/>
        <v>0</v>
      </c>
      <c r="AA332" s="418">
        <f t="shared" si="115"/>
        <v>0</v>
      </c>
      <c r="AB332" s="418">
        <f t="shared" si="116"/>
        <v>0</v>
      </c>
      <c r="AC332" s="418">
        <f t="shared" si="117"/>
        <v>0</v>
      </c>
      <c r="AD332" s="418">
        <f t="shared" si="118"/>
        <v>0</v>
      </c>
      <c r="AE332" s="413">
        <f t="shared" si="119"/>
        <v>0</v>
      </c>
    </row>
    <row r="333" spans="1:31" x14ac:dyDescent="0.3">
      <c r="A333" s="415" t="s">
        <v>1604</v>
      </c>
      <c r="B333" s="418" t="s">
        <v>1834</v>
      </c>
      <c r="C333" s="418" t="s">
        <v>26</v>
      </c>
      <c r="D333" s="418" t="str">
        <f t="shared" si="102"/>
        <v>101-E344</v>
      </c>
      <c r="E333" s="418">
        <v>0</v>
      </c>
      <c r="F333" s="418">
        <v>908100</v>
      </c>
      <c r="G333" s="418">
        <v>1055562.17</v>
      </c>
      <c r="H333" s="418">
        <v>3312660.58</v>
      </c>
      <c r="I333" s="418">
        <v>0</v>
      </c>
      <c r="J333" s="413">
        <v>0</v>
      </c>
      <c r="L333" s="418" t="str">
        <f t="shared" si="103"/>
        <v>Projected - Electric</v>
      </c>
      <c r="M333" s="418" t="str">
        <f t="shared" si="104"/>
        <v>E34420 PRD Gen, Ferndale</v>
      </c>
      <c r="N333" s="418" t="str">
        <f t="shared" si="100"/>
        <v>Projected</v>
      </c>
      <c r="O333" s="418" t="str">
        <f t="shared" si="105"/>
        <v>101-E344</v>
      </c>
      <c r="P333" s="418">
        <f t="shared" si="106"/>
        <v>0</v>
      </c>
      <c r="Q333" s="418">
        <f t="shared" si="107"/>
        <v>908100</v>
      </c>
      <c r="R333" s="418">
        <f t="shared" si="108"/>
        <v>1055562.17</v>
      </c>
      <c r="S333" s="418">
        <f t="shared" si="109"/>
        <v>3312660.58</v>
      </c>
      <c r="T333" s="418">
        <f t="shared" si="110"/>
        <v>0</v>
      </c>
      <c r="V333" s="418" t="str">
        <f t="shared" si="111"/>
        <v>Projected - Electric</v>
      </c>
      <c r="W333" s="418" t="str">
        <f t="shared" si="112"/>
        <v>E34420 PRD Gen, Ferndale</v>
      </c>
      <c r="X333" s="418" t="str">
        <f t="shared" si="101"/>
        <v>Projected</v>
      </c>
      <c r="Y333" s="418" t="str">
        <f t="shared" si="113"/>
        <v>101-E344</v>
      </c>
      <c r="Z333" s="418">
        <f t="shared" si="114"/>
        <v>0</v>
      </c>
      <c r="AA333" s="418">
        <f t="shared" si="115"/>
        <v>0</v>
      </c>
      <c r="AB333" s="418">
        <f t="shared" si="116"/>
        <v>0</v>
      </c>
      <c r="AC333" s="418">
        <f t="shared" si="117"/>
        <v>0</v>
      </c>
      <c r="AD333" s="418">
        <f t="shared" si="118"/>
        <v>0</v>
      </c>
      <c r="AE333" s="413">
        <f t="shared" si="119"/>
        <v>0</v>
      </c>
    </row>
    <row r="334" spans="1:31" x14ac:dyDescent="0.3">
      <c r="A334" s="415" t="s">
        <v>1604</v>
      </c>
      <c r="B334" s="418" t="s">
        <v>1833</v>
      </c>
      <c r="C334" s="418" t="s">
        <v>26</v>
      </c>
      <c r="D334" s="418" t="str">
        <f t="shared" si="102"/>
        <v>101-E344</v>
      </c>
      <c r="E334" s="418">
        <v>0</v>
      </c>
      <c r="F334" s="418">
        <v>58866.36</v>
      </c>
      <c r="G334" s="418">
        <v>2083681.86</v>
      </c>
      <c r="H334" s="418">
        <v>4108497.36</v>
      </c>
      <c r="I334" s="418">
        <v>0</v>
      </c>
      <c r="J334" s="413">
        <v>0</v>
      </c>
      <c r="L334" s="418" t="str">
        <f t="shared" si="103"/>
        <v>Projected - Electric</v>
      </c>
      <c r="M334" s="418" t="str">
        <f t="shared" si="104"/>
        <v>E34420 PRD Gen, Fred 1/APC</v>
      </c>
      <c r="N334" s="418" t="str">
        <f t="shared" si="100"/>
        <v>Projected</v>
      </c>
      <c r="O334" s="418" t="str">
        <f t="shared" si="105"/>
        <v>101-E344</v>
      </c>
      <c r="P334" s="418">
        <f t="shared" si="106"/>
        <v>0</v>
      </c>
      <c r="Q334" s="418">
        <f t="shared" si="107"/>
        <v>58866.36</v>
      </c>
      <c r="R334" s="418">
        <f t="shared" si="108"/>
        <v>2083681.86</v>
      </c>
      <c r="S334" s="418">
        <f t="shared" si="109"/>
        <v>4108497.36</v>
      </c>
      <c r="T334" s="418">
        <f t="shared" si="110"/>
        <v>0</v>
      </c>
      <c r="V334" s="418" t="str">
        <f t="shared" si="111"/>
        <v>Projected - Electric</v>
      </c>
      <c r="W334" s="418" t="str">
        <f t="shared" si="112"/>
        <v>E34420 PRD Gen, Fred 1/APC</v>
      </c>
      <c r="X334" s="418" t="str">
        <f t="shared" si="101"/>
        <v>Projected</v>
      </c>
      <c r="Y334" s="418" t="str">
        <f t="shared" si="113"/>
        <v>101-E344</v>
      </c>
      <c r="Z334" s="418">
        <f t="shared" si="114"/>
        <v>0</v>
      </c>
      <c r="AA334" s="418">
        <f t="shared" si="115"/>
        <v>0</v>
      </c>
      <c r="AB334" s="418">
        <f t="shared" si="116"/>
        <v>0</v>
      </c>
      <c r="AC334" s="418">
        <f t="shared" si="117"/>
        <v>0</v>
      </c>
      <c r="AD334" s="418">
        <f t="shared" si="118"/>
        <v>0</v>
      </c>
      <c r="AE334" s="413">
        <f t="shared" si="119"/>
        <v>0</v>
      </c>
    </row>
    <row r="335" spans="1:31" x14ac:dyDescent="0.3">
      <c r="A335" s="415" t="s">
        <v>1604</v>
      </c>
      <c r="B335" s="418" t="s">
        <v>1832</v>
      </c>
      <c r="C335" s="418" t="s">
        <v>26</v>
      </c>
      <c r="D335" s="418" t="str">
        <f t="shared" si="102"/>
        <v>101-E344</v>
      </c>
      <c r="E335" s="418">
        <v>0</v>
      </c>
      <c r="F335" s="418">
        <v>478009.92</v>
      </c>
      <c r="G335" s="418">
        <v>478009.92</v>
      </c>
      <c r="H335" s="418">
        <v>478009.92</v>
      </c>
      <c r="I335" s="418">
        <v>0</v>
      </c>
      <c r="J335" s="413">
        <v>0</v>
      </c>
      <c r="L335" s="418" t="str">
        <f t="shared" si="103"/>
        <v>Projected - Electric</v>
      </c>
      <c r="M335" s="418" t="str">
        <f t="shared" si="104"/>
        <v>E34420 PRD Gen, Goldendale</v>
      </c>
      <c r="N335" s="418" t="str">
        <f t="shared" si="100"/>
        <v>Projected</v>
      </c>
      <c r="O335" s="418" t="str">
        <f t="shared" si="105"/>
        <v>101-E344</v>
      </c>
      <c r="P335" s="418">
        <f t="shared" si="106"/>
        <v>0</v>
      </c>
      <c r="Q335" s="418">
        <f t="shared" si="107"/>
        <v>478009.92</v>
      </c>
      <c r="R335" s="418">
        <f t="shared" si="108"/>
        <v>478009.92</v>
      </c>
      <c r="S335" s="418">
        <f t="shared" si="109"/>
        <v>478009.92</v>
      </c>
      <c r="T335" s="418">
        <f t="shared" si="110"/>
        <v>0</v>
      </c>
      <c r="V335" s="418" t="str">
        <f t="shared" si="111"/>
        <v>Projected - Electric</v>
      </c>
      <c r="W335" s="418" t="str">
        <f t="shared" si="112"/>
        <v>E34420 PRD Gen, Goldendale</v>
      </c>
      <c r="X335" s="418" t="str">
        <f t="shared" si="101"/>
        <v>Projected</v>
      </c>
      <c r="Y335" s="418" t="str">
        <f t="shared" si="113"/>
        <v>101-E344</v>
      </c>
      <c r="Z335" s="418">
        <f t="shared" si="114"/>
        <v>0</v>
      </c>
      <c r="AA335" s="418">
        <f t="shared" si="115"/>
        <v>0</v>
      </c>
      <c r="AB335" s="418">
        <f t="shared" si="116"/>
        <v>0</v>
      </c>
      <c r="AC335" s="418">
        <f t="shared" si="117"/>
        <v>0</v>
      </c>
      <c r="AD335" s="418">
        <f t="shared" si="118"/>
        <v>0</v>
      </c>
      <c r="AE335" s="413">
        <f t="shared" si="119"/>
        <v>0</v>
      </c>
    </row>
    <row r="336" spans="1:31" x14ac:dyDescent="0.3">
      <c r="A336" s="415" t="s">
        <v>1604</v>
      </c>
      <c r="B336" s="418" t="s">
        <v>1831</v>
      </c>
      <c r="C336" s="418" t="s">
        <v>26</v>
      </c>
      <c r="D336" s="418" t="str">
        <f t="shared" si="102"/>
        <v>101-E344</v>
      </c>
      <c r="E336" s="418">
        <v>0</v>
      </c>
      <c r="F336" s="418">
        <v>118427.4</v>
      </c>
      <c r="G336" s="418">
        <v>188487.65</v>
      </c>
      <c r="H336" s="418">
        <v>258547.92</v>
      </c>
      <c r="I336" s="418">
        <v>0</v>
      </c>
      <c r="J336" s="413">
        <v>0</v>
      </c>
      <c r="L336" s="418" t="str">
        <f t="shared" si="103"/>
        <v>Projected - Electric</v>
      </c>
      <c r="M336" s="418" t="str">
        <f t="shared" si="104"/>
        <v>E34420 PRD Gen, Mint Farm</v>
      </c>
      <c r="N336" s="418" t="str">
        <f t="shared" si="100"/>
        <v>Projected</v>
      </c>
      <c r="O336" s="418" t="str">
        <f t="shared" si="105"/>
        <v>101-E344</v>
      </c>
      <c r="P336" s="418">
        <f t="shared" si="106"/>
        <v>0</v>
      </c>
      <c r="Q336" s="418">
        <f t="shared" si="107"/>
        <v>118427.4</v>
      </c>
      <c r="R336" s="418">
        <f t="shared" si="108"/>
        <v>188487.65</v>
      </c>
      <c r="S336" s="418">
        <f t="shared" si="109"/>
        <v>258547.92</v>
      </c>
      <c r="T336" s="418">
        <f t="shared" si="110"/>
        <v>0</v>
      </c>
      <c r="V336" s="418" t="str">
        <f t="shared" si="111"/>
        <v>Projected - Electric</v>
      </c>
      <c r="W336" s="418" t="str">
        <f t="shared" si="112"/>
        <v>E34420 PRD Gen, Mint Farm</v>
      </c>
      <c r="X336" s="418" t="str">
        <f t="shared" si="101"/>
        <v>Projected</v>
      </c>
      <c r="Y336" s="418" t="str">
        <f t="shared" si="113"/>
        <v>101-E344</v>
      </c>
      <c r="Z336" s="418">
        <f t="shared" si="114"/>
        <v>0</v>
      </c>
      <c r="AA336" s="418">
        <f t="shared" si="115"/>
        <v>0</v>
      </c>
      <c r="AB336" s="418">
        <f t="shared" si="116"/>
        <v>0</v>
      </c>
      <c r="AC336" s="418">
        <f t="shared" si="117"/>
        <v>0</v>
      </c>
      <c r="AD336" s="418">
        <f t="shared" si="118"/>
        <v>0</v>
      </c>
      <c r="AE336" s="413">
        <f t="shared" si="119"/>
        <v>0</v>
      </c>
    </row>
    <row r="337" spans="1:31" x14ac:dyDescent="0.3">
      <c r="A337" s="415" t="s">
        <v>1604</v>
      </c>
      <c r="B337" s="418" t="s">
        <v>1830</v>
      </c>
      <c r="C337" s="418" t="s">
        <v>26</v>
      </c>
      <c r="D337" s="418" t="str">
        <f t="shared" si="102"/>
        <v>101-E345</v>
      </c>
      <c r="E337" s="418">
        <v>0</v>
      </c>
      <c r="F337" s="418">
        <v>57960.12</v>
      </c>
      <c r="G337" s="418">
        <v>58352.88</v>
      </c>
      <c r="H337" s="418">
        <v>58745.64</v>
      </c>
      <c r="I337" s="418">
        <v>0</v>
      </c>
      <c r="J337" s="413">
        <v>0</v>
      </c>
      <c r="L337" s="418" t="str">
        <f t="shared" si="103"/>
        <v>Projected - Electric</v>
      </c>
      <c r="M337" s="418" t="str">
        <f t="shared" si="104"/>
        <v>E345 PRD Accessory, Cystal Mtn</v>
      </c>
      <c r="N337" s="418" t="str">
        <f t="shared" si="100"/>
        <v>Projected</v>
      </c>
      <c r="O337" s="418" t="str">
        <f t="shared" si="105"/>
        <v>101-E345</v>
      </c>
      <c r="P337" s="418">
        <f t="shared" si="106"/>
        <v>0</v>
      </c>
      <c r="Q337" s="418">
        <f t="shared" si="107"/>
        <v>57960.12</v>
      </c>
      <c r="R337" s="418">
        <f t="shared" si="108"/>
        <v>58352.88</v>
      </c>
      <c r="S337" s="418">
        <f t="shared" si="109"/>
        <v>58745.64</v>
      </c>
      <c r="T337" s="418">
        <f t="shared" si="110"/>
        <v>0</v>
      </c>
      <c r="V337" s="418" t="str">
        <f t="shared" si="111"/>
        <v>Projected - Electric</v>
      </c>
      <c r="W337" s="418" t="str">
        <f t="shared" si="112"/>
        <v>E345 PRD Accessory, Cystal Mtn</v>
      </c>
      <c r="X337" s="418" t="str">
        <f t="shared" si="101"/>
        <v>Projected</v>
      </c>
      <c r="Y337" s="418" t="str">
        <f t="shared" si="113"/>
        <v>101-E345</v>
      </c>
      <c r="Z337" s="418">
        <f t="shared" si="114"/>
        <v>0</v>
      </c>
      <c r="AA337" s="418">
        <f t="shared" si="115"/>
        <v>0</v>
      </c>
      <c r="AB337" s="418">
        <f t="shared" si="116"/>
        <v>0</v>
      </c>
      <c r="AC337" s="418">
        <f t="shared" si="117"/>
        <v>0</v>
      </c>
      <c r="AD337" s="418">
        <f t="shared" si="118"/>
        <v>0</v>
      </c>
      <c r="AE337" s="413">
        <f t="shared" si="119"/>
        <v>0</v>
      </c>
    </row>
    <row r="338" spans="1:31" x14ac:dyDescent="0.3">
      <c r="A338" s="415" t="s">
        <v>1604</v>
      </c>
      <c r="B338" s="418" t="s">
        <v>1829</v>
      </c>
      <c r="C338" s="418" t="s">
        <v>26</v>
      </c>
      <c r="D338" s="418" t="str">
        <f t="shared" si="102"/>
        <v>101-E345</v>
      </c>
      <c r="E338" s="418">
        <v>0</v>
      </c>
      <c r="F338" s="418">
        <v>4414.68</v>
      </c>
      <c r="G338" s="418">
        <v>4993.97</v>
      </c>
      <c r="H338" s="418">
        <v>5959.51</v>
      </c>
      <c r="I338" s="418">
        <v>0</v>
      </c>
      <c r="J338" s="413">
        <v>0</v>
      </c>
      <c r="L338" s="418" t="str">
        <f t="shared" si="103"/>
        <v>Projected - Electric</v>
      </c>
      <c r="M338" s="418" t="str">
        <f t="shared" si="104"/>
        <v>E345 PRD Accessory, Encogen</v>
      </c>
      <c r="N338" s="418" t="str">
        <f t="shared" si="100"/>
        <v>Projected</v>
      </c>
      <c r="O338" s="418" t="str">
        <f t="shared" si="105"/>
        <v>101-E345</v>
      </c>
      <c r="P338" s="418">
        <f t="shared" si="106"/>
        <v>0</v>
      </c>
      <c r="Q338" s="418">
        <f t="shared" si="107"/>
        <v>4414.68</v>
      </c>
      <c r="R338" s="418">
        <f t="shared" si="108"/>
        <v>4993.97</v>
      </c>
      <c r="S338" s="418">
        <f t="shared" si="109"/>
        <v>5959.51</v>
      </c>
      <c r="T338" s="418">
        <f t="shared" si="110"/>
        <v>0</v>
      </c>
      <c r="V338" s="418" t="str">
        <f t="shared" si="111"/>
        <v>Projected - Electric</v>
      </c>
      <c r="W338" s="418" t="str">
        <f t="shared" si="112"/>
        <v>E345 PRD Accessory, Encogen</v>
      </c>
      <c r="X338" s="418" t="str">
        <f t="shared" si="101"/>
        <v>Projected</v>
      </c>
      <c r="Y338" s="418" t="str">
        <f t="shared" si="113"/>
        <v>101-E345</v>
      </c>
      <c r="Z338" s="418">
        <f t="shared" si="114"/>
        <v>0</v>
      </c>
      <c r="AA338" s="418">
        <f t="shared" si="115"/>
        <v>0</v>
      </c>
      <c r="AB338" s="418">
        <f t="shared" si="116"/>
        <v>0</v>
      </c>
      <c r="AC338" s="418">
        <f t="shared" si="117"/>
        <v>0</v>
      </c>
      <c r="AD338" s="418">
        <f t="shared" si="118"/>
        <v>0</v>
      </c>
      <c r="AE338" s="413">
        <f t="shared" si="119"/>
        <v>0</v>
      </c>
    </row>
    <row r="339" spans="1:31" x14ac:dyDescent="0.3">
      <c r="A339" s="415" t="s">
        <v>1604</v>
      </c>
      <c r="B339" s="418" t="s">
        <v>1828</v>
      </c>
      <c r="C339" s="418" t="s">
        <v>26</v>
      </c>
      <c r="D339" s="418" t="str">
        <f t="shared" si="102"/>
        <v>101-E345</v>
      </c>
      <c r="E339" s="418">
        <v>0</v>
      </c>
      <c r="F339" s="418">
        <v>19593.84</v>
      </c>
      <c r="G339" s="418">
        <v>22775.57</v>
      </c>
      <c r="H339" s="418">
        <v>71476.320000000007</v>
      </c>
      <c r="I339" s="418">
        <v>0</v>
      </c>
      <c r="J339" s="413">
        <v>0</v>
      </c>
      <c r="L339" s="418" t="str">
        <f t="shared" si="103"/>
        <v>Projected - Electric</v>
      </c>
      <c r="M339" s="418" t="str">
        <f t="shared" si="104"/>
        <v>E345 PRD Accessory, Ferndale</v>
      </c>
      <c r="N339" s="418" t="str">
        <f t="shared" si="100"/>
        <v>Projected</v>
      </c>
      <c r="O339" s="418" t="str">
        <f t="shared" si="105"/>
        <v>101-E345</v>
      </c>
      <c r="P339" s="418">
        <f t="shared" si="106"/>
        <v>0</v>
      </c>
      <c r="Q339" s="418">
        <f t="shared" si="107"/>
        <v>19593.84</v>
      </c>
      <c r="R339" s="418">
        <f t="shared" si="108"/>
        <v>22775.57</v>
      </c>
      <c r="S339" s="418">
        <f t="shared" si="109"/>
        <v>71476.320000000007</v>
      </c>
      <c r="T339" s="418">
        <f t="shared" si="110"/>
        <v>0</v>
      </c>
      <c r="V339" s="418" t="str">
        <f t="shared" si="111"/>
        <v>Projected - Electric</v>
      </c>
      <c r="W339" s="418" t="str">
        <f t="shared" si="112"/>
        <v>E345 PRD Accessory, Ferndale</v>
      </c>
      <c r="X339" s="418" t="str">
        <f t="shared" si="101"/>
        <v>Projected</v>
      </c>
      <c r="Y339" s="418" t="str">
        <f t="shared" si="113"/>
        <v>101-E345</v>
      </c>
      <c r="Z339" s="418">
        <f t="shared" si="114"/>
        <v>0</v>
      </c>
      <c r="AA339" s="418">
        <f t="shared" si="115"/>
        <v>0</v>
      </c>
      <c r="AB339" s="418">
        <f t="shared" si="116"/>
        <v>0</v>
      </c>
      <c r="AC339" s="418">
        <f t="shared" si="117"/>
        <v>0</v>
      </c>
      <c r="AD339" s="418">
        <f t="shared" si="118"/>
        <v>0</v>
      </c>
      <c r="AE339" s="413">
        <f t="shared" si="119"/>
        <v>0</v>
      </c>
    </row>
    <row r="340" spans="1:31" x14ac:dyDescent="0.3">
      <c r="A340" s="415" t="s">
        <v>1604</v>
      </c>
      <c r="B340" s="418" t="s">
        <v>1827</v>
      </c>
      <c r="C340" s="418" t="s">
        <v>26</v>
      </c>
      <c r="D340" s="418" t="str">
        <f t="shared" si="102"/>
        <v>101-E345</v>
      </c>
      <c r="E340" s="418">
        <v>0</v>
      </c>
      <c r="F340" s="418">
        <v>42864.6</v>
      </c>
      <c r="G340" s="418">
        <v>42864.6</v>
      </c>
      <c r="H340" s="418">
        <v>42864.6</v>
      </c>
      <c r="I340" s="418">
        <v>0</v>
      </c>
      <c r="J340" s="413">
        <v>0</v>
      </c>
      <c r="L340" s="418" t="str">
        <f t="shared" si="103"/>
        <v>Projected - Electric</v>
      </c>
      <c r="M340" s="418" t="str">
        <f t="shared" si="104"/>
        <v>E345 PRD Accessory, Frederickson</v>
      </c>
      <c r="N340" s="418" t="str">
        <f t="shared" si="100"/>
        <v>Projected</v>
      </c>
      <c r="O340" s="418" t="str">
        <f t="shared" si="105"/>
        <v>101-E345</v>
      </c>
      <c r="P340" s="418">
        <f t="shared" si="106"/>
        <v>0</v>
      </c>
      <c r="Q340" s="418">
        <f t="shared" si="107"/>
        <v>42864.6</v>
      </c>
      <c r="R340" s="418">
        <f t="shared" si="108"/>
        <v>42864.6</v>
      </c>
      <c r="S340" s="418">
        <f t="shared" si="109"/>
        <v>42864.6</v>
      </c>
      <c r="T340" s="418">
        <f t="shared" si="110"/>
        <v>0</v>
      </c>
      <c r="V340" s="418" t="str">
        <f t="shared" si="111"/>
        <v>Projected - Electric</v>
      </c>
      <c r="W340" s="418" t="str">
        <f t="shared" si="112"/>
        <v>E345 PRD Accessory, Frederickson</v>
      </c>
      <c r="X340" s="418" t="str">
        <f t="shared" si="101"/>
        <v>Projected</v>
      </c>
      <c r="Y340" s="418" t="str">
        <f t="shared" si="113"/>
        <v>101-E345</v>
      </c>
      <c r="Z340" s="418">
        <f t="shared" si="114"/>
        <v>0</v>
      </c>
      <c r="AA340" s="418">
        <f t="shared" si="115"/>
        <v>0</v>
      </c>
      <c r="AB340" s="418">
        <f t="shared" si="116"/>
        <v>0</v>
      </c>
      <c r="AC340" s="418">
        <f t="shared" si="117"/>
        <v>0</v>
      </c>
      <c r="AD340" s="418">
        <f t="shared" si="118"/>
        <v>0</v>
      </c>
      <c r="AE340" s="413">
        <f t="shared" si="119"/>
        <v>0</v>
      </c>
    </row>
    <row r="341" spans="1:31" x14ac:dyDescent="0.3">
      <c r="A341" s="415" t="s">
        <v>1604</v>
      </c>
      <c r="B341" s="418" t="s">
        <v>1826</v>
      </c>
      <c r="C341" s="418" t="s">
        <v>26</v>
      </c>
      <c r="D341" s="418" t="str">
        <f t="shared" si="102"/>
        <v>101-E345</v>
      </c>
      <c r="E341" s="418">
        <v>0</v>
      </c>
      <c r="F341" s="418">
        <v>397809.47</v>
      </c>
      <c r="G341" s="418">
        <v>397809.47</v>
      </c>
      <c r="H341" s="418">
        <v>397809.47</v>
      </c>
      <c r="I341" s="418">
        <v>0</v>
      </c>
      <c r="J341" s="413">
        <v>0</v>
      </c>
      <c r="L341" s="418" t="str">
        <f t="shared" si="103"/>
        <v>Projected - Electric</v>
      </c>
      <c r="M341" s="418" t="str">
        <f t="shared" si="104"/>
        <v>E345 PRD Accessory, Fredonia</v>
      </c>
      <c r="N341" s="418" t="str">
        <f t="shared" si="100"/>
        <v>Projected</v>
      </c>
      <c r="O341" s="418" t="str">
        <f t="shared" si="105"/>
        <v>101-E345</v>
      </c>
      <c r="P341" s="418">
        <f t="shared" si="106"/>
        <v>0</v>
      </c>
      <c r="Q341" s="418">
        <f t="shared" si="107"/>
        <v>397809.47</v>
      </c>
      <c r="R341" s="418">
        <f t="shared" si="108"/>
        <v>397809.47</v>
      </c>
      <c r="S341" s="418">
        <f t="shared" si="109"/>
        <v>397809.47</v>
      </c>
      <c r="T341" s="418">
        <f t="shared" si="110"/>
        <v>0</v>
      </c>
      <c r="V341" s="418" t="str">
        <f t="shared" si="111"/>
        <v>Projected - Electric</v>
      </c>
      <c r="W341" s="418" t="str">
        <f t="shared" si="112"/>
        <v>E345 PRD Accessory, Fredonia</v>
      </c>
      <c r="X341" s="418" t="str">
        <f t="shared" si="101"/>
        <v>Projected</v>
      </c>
      <c r="Y341" s="418" t="str">
        <f t="shared" si="113"/>
        <v>101-E345</v>
      </c>
      <c r="Z341" s="418">
        <f t="shared" si="114"/>
        <v>0</v>
      </c>
      <c r="AA341" s="418">
        <f t="shared" si="115"/>
        <v>0</v>
      </c>
      <c r="AB341" s="418">
        <f t="shared" si="116"/>
        <v>0</v>
      </c>
      <c r="AC341" s="418">
        <f t="shared" si="117"/>
        <v>0</v>
      </c>
      <c r="AD341" s="418">
        <f t="shared" si="118"/>
        <v>0</v>
      </c>
      <c r="AE341" s="413">
        <f t="shared" si="119"/>
        <v>0</v>
      </c>
    </row>
    <row r="342" spans="1:31" x14ac:dyDescent="0.3">
      <c r="A342" s="415" t="s">
        <v>1604</v>
      </c>
      <c r="B342" s="418" t="s">
        <v>1825</v>
      </c>
      <c r="C342" s="418" t="s">
        <v>26</v>
      </c>
      <c r="D342" s="418" t="str">
        <f t="shared" si="102"/>
        <v>101-E345</v>
      </c>
      <c r="E342" s="418">
        <v>0</v>
      </c>
      <c r="F342" s="418">
        <v>139561.32999999999</v>
      </c>
      <c r="G342" s="418">
        <v>139561.32999999999</v>
      </c>
      <c r="H342" s="418">
        <v>139561.32999999999</v>
      </c>
      <c r="I342" s="418">
        <v>0</v>
      </c>
      <c r="J342" s="413">
        <v>0</v>
      </c>
      <c r="L342" s="418" t="str">
        <f t="shared" si="103"/>
        <v>Projected - Electric</v>
      </c>
      <c r="M342" s="418" t="str">
        <f t="shared" si="104"/>
        <v>E345 PRD Accessory, Fredonia 3&amp;4 OP</v>
      </c>
      <c r="N342" s="418" t="str">
        <f t="shared" si="100"/>
        <v>Projected</v>
      </c>
      <c r="O342" s="418" t="str">
        <f t="shared" si="105"/>
        <v>101-E345</v>
      </c>
      <c r="P342" s="418">
        <f t="shared" si="106"/>
        <v>0</v>
      </c>
      <c r="Q342" s="418">
        <f t="shared" si="107"/>
        <v>139561.32999999999</v>
      </c>
      <c r="R342" s="418">
        <f t="shared" si="108"/>
        <v>139561.32999999999</v>
      </c>
      <c r="S342" s="418">
        <f t="shared" si="109"/>
        <v>139561.32999999999</v>
      </c>
      <c r="T342" s="418">
        <f t="shared" si="110"/>
        <v>0</v>
      </c>
      <c r="V342" s="418" t="str">
        <f t="shared" si="111"/>
        <v>Projected - Electric</v>
      </c>
      <c r="W342" s="418" t="str">
        <f t="shared" si="112"/>
        <v>E345 PRD Accessory, Fredonia 3&amp;4 OP</v>
      </c>
      <c r="X342" s="418" t="str">
        <f t="shared" si="101"/>
        <v>Projected</v>
      </c>
      <c r="Y342" s="418" t="str">
        <f t="shared" si="113"/>
        <v>101-E345</v>
      </c>
      <c r="Z342" s="418">
        <f t="shared" si="114"/>
        <v>0</v>
      </c>
      <c r="AA342" s="418">
        <f t="shared" si="115"/>
        <v>0</v>
      </c>
      <c r="AB342" s="418">
        <f t="shared" si="116"/>
        <v>0</v>
      </c>
      <c r="AC342" s="418">
        <f t="shared" si="117"/>
        <v>0</v>
      </c>
      <c r="AD342" s="418">
        <f t="shared" si="118"/>
        <v>0</v>
      </c>
      <c r="AE342" s="413">
        <f t="shared" si="119"/>
        <v>0</v>
      </c>
    </row>
    <row r="343" spans="1:31" x14ac:dyDescent="0.3">
      <c r="A343" s="415" t="s">
        <v>1604</v>
      </c>
      <c r="B343" s="418" t="s">
        <v>1824</v>
      </c>
      <c r="C343" s="418" t="s">
        <v>26</v>
      </c>
      <c r="D343" s="418" t="str">
        <f t="shared" si="102"/>
        <v>101-E345</v>
      </c>
      <c r="E343" s="418">
        <v>0</v>
      </c>
      <c r="F343" s="418">
        <v>97789.440000000002</v>
      </c>
      <c r="G343" s="418">
        <v>155640.54</v>
      </c>
      <c r="H343" s="418">
        <v>213491.64</v>
      </c>
      <c r="I343" s="418">
        <v>0</v>
      </c>
      <c r="J343" s="413">
        <v>0</v>
      </c>
      <c r="L343" s="418" t="str">
        <f t="shared" si="103"/>
        <v>Projected - Electric</v>
      </c>
      <c r="M343" s="418" t="str">
        <f t="shared" si="104"/>
        <v>E345 PRD Accessory, Mint Farm</v>
      </c>
      <c r="N343" s="418" t="str">
        <f t="shared" si="100"/>
        <v>Projected</v>
      </c>
      <c r="O343" s="418" t="str">
        <f t="shared" si="105"/>
        <v>101-E345</v>
      </c>
      <c r="P343" s="418">
        <f t="shared" si="106"/>
        <v>0</v>
      </c>
      <c r="Q343" s="418">
        <f t="shared" si="107"/>
        <v>97789.440000000002</v>
      </c>
      <c r="R343" s="418">
        <f t="shared" si="108"/>
        <v>155640.54</v>
      </c>
      <c r="S343" s="418">
        <f t="shared" si="109"/>
        <v>213491.64</v>
      </c>
      <c r="T343" s="418">
        <f t="shared" si="110"/>
        <v>0</v>
      </c>
      <c r="V343" s="418" t="str">
        <f t="shared" si="111"/>
        <v>Projected - Electric</v>
      </c>
      <c r="W343" s="418" t="str">
        <f t="shared" si="112"/>
        <v>E345 PRD Accessory, Mint Farm</v>
      </c>
      <c r="X343" s="418" t="str">
        <f t="shared" si="101"/>
        <v>Projected</v>
      </c>
      <c r="Y343" s="418" t="str">
        <f t="shared" si="113"/>
        <v>101-E345</v>
      </c>
      <c r="Z343" s="418">
        <f t="shared" si="114"/>
        <v>0</v>
      </c>
      <c r="AA343" s="418">
        <f t="shared" si="115"/>
        <v>0</v>
      </c>
      <c r="AB343" s="418">
        <f t="shared" si="116"/>
        <v>0</v>
      </c>
      <c r="AC343" s="418">
        <f t="shared" si="117"/>
        <v>0</v>
      </c>
      <c r="AD343" s="418">
        <f t="shared" si="118"/>
        <v>0</v>
      </c>
      <c r="AE343" s="413">
        <f t="shared" si="119"/>
        <v>0</v>
      </c>
    </row>
    <row r="344" spans="1:31" x14ac:dyDescent="0.3">
      <c r="A344" s="415" t="s">
        <v>1604</v>
      </c>
      <c r="B344" s="418" t="s">
        <v>1823</v>
      </c>
      <c r="C344" s="418" t="s">
        <v>26</v>
      </c>
      <c r="D344" s="418" t="str">
        <f t="shared" si="102"/>
        <v>101-E345</v>
      </c>
      <c r="E344" s="418">
        <v>0</v>
      </c>
      <c r="F344" s="418">
        <v>3354.96</v>
      </c>
      <c r="G344" s="418">
        <v>3354.96</v>
      </c>
      <c r="H344" s="418">
        <v>5031.24</v>
      </c>
      <c r="I344" s="418">
        <v>0</v>
      </c>
      <c r="J344" s="413">
        <v>0</v>
      </c>
      <c r="L344" s="418" t="str">
        <f t="shared" si="103"/>
        <v>Projected - Electric</v>
      </c>
      <c r="M344" s="418" t="str">
        <f t="shared" si="104"/>
        <v>E345 PRD Accessory, Whitehorn 2-3 C</v>
      </c>
      <c r="N344" s="418" t="str">
        <f t="shared" si="100"/>
        <v>Projected</v>
      </c>
      <c r="O344" s="418" t="str">
        <f t="shared" si="105"/>
        <v>101-E345</v>
      </c>
      <c r="P344" s="418">
        <f t="shared" si="106"/>
        <v>0</v>
      </c>
      <c r="Q344" s="418">
        <f t="shared" si="107"/>
        <v>3354.96</v>
      </c>
      <c r="R344" s="418">
        <f t="shared" si="108"/>
        <v>3354.96</v>
      </c>
      <c r="S344" s="418">
        <f t="shared" si="109"/>
        <v>5031.24</v>
      </c>
      <c r="T344" s="418">
        <f t="shared" si="110"/>
        <v>0</v>
      </c>
      <c r="V344" s="418" t="str">
        <f t="shared" si="111"/>
        <v>Projected - Electric</v>
      </c>
      <c r="W344" s="418" t="str">
        <f t="shared" si="112"/>
        <v>E345 PRD Accessory, Whitehorn 2-3 C</v>
      </c>
      <c r="X344" s="418" t="str">
        <f t="shared" si="101"/>
        <v>Projected</v>
      </c>
      <c r="Y344" s="418" t="str">
        <f t="shared" si="113"/>
        <v>101-E345</v>
      </c>
      <c r="Z344" s="418">
        <f t="shared" si="114"/>
        <v>0</v>
      </c>
      <c r="AA344" s="418">
        <f t="shared" si="115"/>
        <v>0</v>
      </c>
      <c r="AB344" s="418">
        <f t="shared" si="116"/>
        <v>0</v>
      </c>
      <c r="AC344" s="418">
        <f t="shared" si="117"/>
        <v>0</v>
      </c>
      <c r="AD344" s="418">
        <f t="shared" si="118"/>
        <v>0</v>
      </c>
      <c r="AE344" s="413">
        <f t="shared" si="119"/>
        <v>0</v>
      </c>
    </row>
    <row r="345" spans="1:31" x14ac:dyDescent="0.3">
      <c r="A345" s="415" t="s">
        <v>1604</v>
      </c>
      <c r="B345" s="418" t="s">
        <v>1822</v>
      </c>
      <c r="C345" s="418" t="s">
        <v>26</v>
      </c>
      <c r="D345" s="418" t="str">
        <f t="shared" si="102"/>
        <v>101-E345</v>
      </c>
      <c r="E345" s="418">
        <v>0</v>
      </c>
      <c r="F345" s="418">
        <v>349297.72</v>
      </c>
      <c r="G345" s="418">
        <v>364350.03</v>
      </c>
      <c r="H345" s="418">
        <v>725981.88</v>
      </c>
      <c r="I345" s="418">
        <v>0</v>
      </c>
      <c r="J345" s="413">
        <v>0</v>
      </c>
      <c r="L345" s="418" t="str">
        <f t="shared" si="103"/>
        <v>Projected - Electric</v>
      </c>
      <c r="M345" s="418" t="str">
        <f t="shared" si="104"/>
        <v>E34501 PRD Accessory, Hopkins Ridge</v>
      </c>
      <c r="N345" s="418" t="str">
        <f t="shared" si="100"/>
        <v>Projected</v>
      </c>
      <c r="O345" s="418" t="str">
        <f t="shared" si="105"/>
        <v>101-E345</v>
      </c>
      <c r="P345" s="418">
        <f t="shared" si="106"/>
        <v>0</v>
      </c>
      <c r="Q345" s="418">
        <f t="shared" si="107"/>
        <v>349297.72</v>
      </c>
      <c r="R345" s="418">
        <f t="shared" si="108"/>
        <v>364350.03</v>
      </c>
      <c r="S345" s="418">
        <f t="shared" si="109"/>
        <v>725981.88</v>
      </c>
      <c r="T345" s="418">
        <f t="shared" si="110"/>
        <v>0</v>
      </c>
      <c r="V345" s="418" t="str">
        <f t="shared" si="111"/>
        <v>Projected - Electric</v>
      </c>
      <c r="W345" s="418" t="str">
        <f t="shared" si="112"/>
        <v>E34501 PRD Accessory, Hopkins Ridge</v>
      </c>
      <c r="X345" s="418" t="str">
        <f t="shared" si="101"/>
        <v>Projected</v>
      </c>
      <c r="Y345" s="418" t="str">
        <f t="shared" si="113"/>
        <v>101-E345</v>
      </c>
      <c r="Z345" s="418">
        <f t="shared" si="114"/>
        <v>0</v>
      </c>
      <c r="AA345" s="418">
        <f t="shared" si="115"/>
        <v>0</v>
      </c>
      <c r="AB345" s="418">
        <f t="shared" si="116"/>
        <v>0</v>
      </c>
      <c r="AC345" s="418">
        <f t="shared" si="117"/>
        <v>0</v>
      </c>
      <c r="AD345" s="418">
        <f t="shared" si="118"/>
        <v>0</v>
      </c>
      <c r="AE345" s="413">
        <f t="shared" si="119"/>
        <v>0</v>
      </c>
    </row>
    <row r="346" spans="1:31" x14ac:dyDescent="0.3">
      <c r="A346" s="415" t="s">
        <v>1604</v>
      </c>
      <c r="B346" s="418" t="s">
        <v>1821</v>
      </c>
      <c r="C346" s="418" t="s">
        <v>26</v>
      </c>
      <c r="D346" s="418" t="str">
        <f t="shared" si="102"/>
        <v>101-E345</v>
      </c>
      <c r="E346" s="418">
        <v>0</v>
      </c>
      <c r="F346" s="418">
        <v>930123.84</v>
      </c>
      <c r="G346" s="418">
        <v>1461071.16</v>
      </c>
      <c r="H346" s="418">
        <v>2605483.56</v>
      </c>
      <c r="I346" s="418">
        <v>0</v>
      </c>
      <c r="J346" s="413">
        <v>0</v>
      </c>
      <c r="L346" s="418" t="str">
        <f t="shared" si="103"/>
        <v>Projected - Electric</v>
      </c>
      <c r="M346" s="418" t="str">
        <f t="shared" si="104"/>
        <v>E34501 PRD Accessory, LSR</v>
      </c>
      <c r="N346" s="418" t="str">
        <f t="shared" si="100"/>
        <v>Projected</v>
      </c>
      <c r="O346" s="418" t="str">
        <f t="shared" si="105"/>
        <v>101-E345</v>
      </c>
      <c r="P346" s="418">
        <f t="shared" si="106"/>
        <v>0</v>
      </c>
      <c r="Q346" s="418">
        <f t="shared" si="107"/>
        <v>930123.84</v>
      </c>
      <c r="R346" s="418">
        <f t="shared" si="108"/>
        <v>1461071.16</v>
      </c>
      <c r="S346" s="418">
        <f t="shared" si="109"/>
        <v>2605483.56</v>
      </c>
      <c r="T346" s="418">
        <f t="shared" si="110"/>
        <v>0</v>
      </c>
      <c r="V346" s="418" t="str">
        <f t="shared" si="111"/>
        <v>Projected - Electric</v>
      </c>
      <c r="W346" s="418" t="str">
        <f t="shared" si="112"/>
        <v>E34501 PRD Accessory, LSR</v>
      </c>
      <c r="X346" s="418" t="str">
        <f t="shared" si="101"/>
        <v>Projected</v>
      </c>
      <c r="Y346" s="418" t="str">
        <f t="shared" si="113"/>
        <v>101-E345</v>
      </c>
      <c r="Z346" s="418">
        <f t="shared" si="114"/>
        <v>0</v>
      </c>
      <c r="AA346" s="418">
        <f t="shared" si="115"/>
        <v>0</v>
      </c>
      <c r="AB346" s="418">
        <f t="shared" si="116"/>
        <v>0</v>
      </c>
      <c r="AC346" s="418">
        <f t="shared" si="117"/>
        <v>0</v>
      </c>
      <c r="AD346" s="418">
        <f t="shared" si="118"/>
        <v>0</v>
      </c>
      <c r="AE346" s="413">
        <f t="shared" si="119"/>
        <v>0</v>
      </c>
    </row>
    <row r="347" spans="1:31" x14ac:dyDescent="0.3">
      <c r="A347" s="415" t="s">
        <v>1604</v>
      </c>
      <c r="B347" s="418" t="s">
        <v>1820</v>
      </c>
      <c r="C347" s="418" t="s">
        <v>26</v>
      </c>
      <c r="D347" s="418" t="str">
        <f t="shared" si="102"/>
        <v>101-E345</v>
      </c>
      <c r="E347" s="418">
        <v>0</v>
      </c>
      <c r="F347" s="418">
        <v>1307.76</v>
      </c>
      <c r="G347" s="418">
        <v>1772.04</v>
      </c>
      <c r="H347" s="418">
        <v>2700.6</v>
      </c>
      <c r="I347" s="418">
        <v>0</v>
      </c>
      <c r="J347" s="413">
        <v>0</v>
      </c>
      <c r="L347" s="418" t="str">
        <f t="shared" si="103"/>
        <v>Projected - Electric</v>
      </c>
      <c r="M347" s="418" t="str">
        <f t="shared" si="104"/>
        <v>E34501 PRD Accessory,Wild Horse Exp</v>
      </c>
      <c r="N347" s="418" t="str">
        <f t="shared" si="100"/>
        <v>Projected</v>
      </c>
      <c r="O347" s="418" t="str">
        <f t="shared" si="105"/>
        <v>101-E345</v>
      </c>
      <c r="P347" s="418">
        <f t="shared" si="106"/>
        <v>0</v>
      </c>
      <c r="Q347" s="418">
        <f t="shared" si="107"/>
        <v>1307.76</v>
      </c>
      <c r="R347" s="418">
        <f t="shared" si="108"/>
        <v>1772.04</v>
      </c>
      <c r="S347" s="418">
        <f t="shared" si="109"/>
        <v>2700.6</v>
      </c>
      <c r="T347" s="418">
        <f t="shared" si="110"/>
        <v>0</v>
      </c>
      <c r="V347" s="418" t="str">
        <f t="shared" si="111"/>
        <v>Projected - Electric</v>
      </c>
      <c r="W347" s="418" t="str">
        <f t="shared" si="112"/>
        <v>E34501 PRD Accessory,Wild Horse Exp</v>
      </c>
      <c r="X347" s="418" t="str">
        <f t="shared" si="101"/>
        <v>Projected</v>
      </c>
      <c r="Y347" s="418" t="str">
        <f t="shared" si="113"/>
        <v>101-E345</v>
      </c>
      <c r="Z347" s="418">
        <f t="shared" si="114"/>
        <v>0</v>
      </c>
      <c r="AA347" s="418">
        <f t="shared" si="115"/>
        <v>0</v>
      </c>
      <c r="AB347" s="418">
        <f t="shared" si="116"/>
        <v>0</v>
      </c>
      <c r="AC347" s="418">
        <f t="shared" si="117"/>
        <v>0</v>
      </c>
      <c r="AD347" s="418">
        <f t="shared" si="118"/>
        <v>0</v>
      </c>
      <c r="AE347" s="413">
        <f t="shared" si="119"/>
        <v>0</v>
      </c>
    </row>
    <row r="348" spans="1:31" x14ac:dyDescent="0.3">
      <c r="A348" s="415" t="s">
        <v>1604</v>
      </c>
      <c r="B348" s="418" t="s">
        <v>1819</v>
      </c>
      <c r="C348" s="418" t="s">
        <v>26</v>
      </c>
      <c r="D348" s="418" t="str">
        <f t="shared" si="102"/>
        <v>101-E345</v>
      </c>
      <c r="E348" s="418">
        <v>0</v>
      </c>
      <c r="F348" s="418">
        <v>79835.64</v>
      </c>
      <c r="G348" s="418">
        <v>108179.04</v>
      </c>
      <c r="H348" s="418">
        <v>164865.84</v>
      </c>
      <c r="I348" s="418">
        <v>0</v>
      </c>
      <c r="J348" s="413">
        <v>0</v>
      </c>
      <c r="L348" s="418" t="str">
        <f t="shared" si="103"/>
        <v>Projected - Electric</v>
      </c>
      <c r="M348" s="418" t="str">
        <f t="shared" si="104"/>
        <v>E34501 PRD Accessory,Wild HorseWind</v>
      </c>
      <c r="N348" s="418" t="str">
        <f t="shared" si="100"/>
        <v>Projected</v>
      </c>
      <c r="O348" s="418" t="str">
        <f t="shared" si="105"/>
        <v>101-E345</v>
      </c>
      <c r="P348" s="418">
        <f t="shared" si="106"/>
        <v>0</v>
      </c>
      <c r="Q348" s="418">
        <f t="shared" si="107"/>
        <v>79835.64</v>
      </c>
      <c r="R348" s="418">
        <f t="shared" si="108"/>
        <v>108179.04</v>
      </c>
      <c r="S348" s="418">
        <f t="shared" si="109"/>
        <v>164865.84</v>
      </c>
      <c r="T348" s="418">
        <f t="shared" si="110"/>
        <v>0</v>
      </c>
      <c r="V348" s="418" t="str">
        <f t="shared" si="111"/>
        <v>Projected - Electric</v>
      </c>
      <c r="W348" s="418" t="str">
        <f t="shared" si="112"/>
        <v>E34501 PRD Accessory,Wild HorseWind</v>
      </c>
      <c r="X348" s="418" t="str">
        <f t="shared" si="101"/>
        <v>Projected</v>
      </c>
      <c r="Y348" s="418" t="str">
        <f t="shared" si="113"/>
        <v>101-E345</v>
      </c>
      <c r="Z348" s="418">
        <f t="shared" si="114"/>
        <v>0</v>
      </c>
      <c r="AA348" s="418">
        <f t="shared" si="115"/>
        <v>0</v>
      </c>
      <c r="AB348" s="418">
        <f t="shared" si="116"/>
        <v>0</v>
      </c>
      <c r="AC348" s="418">
        <f t="shared" si="117"/>
        <v>0</v>
      </c>
      <c r="AD348" s="418">
        <f t="shared" si="118"/>
        <v>0</v>
      </c>
      <c r="AE348" s="413">
        <f t="shared" si="119"/>
        <v>0</v>
      </c>
    </row>
    <row r="349" spans="1:31" x14ac:dyDescent="0.3">
      <c r="A349" s="415" t="s">
        <v>1604</v>
      </c>
      <c r="B349" s="418" t="s">
        <v>1818</v>
      </c>
      <c r="C349" s="418" t="s">
        <v>26</v>
      </c>
      <c r="D349" s="418" t="str">
        <f t="shared" si="102"/>
        <v>101-E346</v>
      </c>
      <c r="E349" s="418">
        <v>0</v>
      </c>
      <c r="F349" s="418">
        <v>78452.160000000003</v>
      </c>
      <c r="G349" s="418">
        <v>78452.160000000003</v>
      </c>
      <c r="H349" s="418">
        <v>78452.160000000003</v>
      </c>
      <c r="I349" s="418">
        <v>0</v>
      </c>
      <c r="J349" s="413">
        <v>0</v>
      </c>
      <c r="L349" s="418" t="str">
        <f t="shared" si="103"/>
        <v>Projected - Electric</v>
      </c>
      <c r="M349" s="418" t="str">
        <f t="shared" si="104"/>
        <v>E346 PRD Other, Goldendale</v>
      </c>
      <c r="N349" s="418" t="str">
        <f t="shared" si="100"/>
        <v>Projected</v>
      </c>
      <c r="O349" s="418" t="str">
        <f t="shared" si="105"/>
        <v>101-E346</v>
      </c>
      <c r="P349" s="418">
        <f t="shared" si="106"/>
        <v>0</v>
      </c>
      <c r="Q349" s="418">
        <f t="shared" si="107"/>
        <v>78452.160000000003</v>
      </c>
      <c r="R349" s="418">
        <f t="shared" si="108"/>
        <v>78452.160000000003</v>
      </c>
      <c r="S349" s="418">
        <f t="shared" si="109"/>
        <v>78452.160000000003</v>
      </c>
      <c r="T349" s="418">
        <f t="shared" si="110"/>
        <v>0</v>
      </c>
      <c r="V349" s="418" t="str">
        <f t="shared" si="111"/>
        <v>Projected - Electric</v>
      </c>
      <c r="W349" s="418" t="str">
        <f t="shared" si="112"/>
        <v>E346 PRD Other, Goldendale</v>
      </c>
      <c r="X349" s="418" t="str">
        <f t="shared" si="101"/>
        <v>Projected</v>
      </c>
      <c r="Y349" s="418" t="str">
        <f t="shared" si="113"/>
        <v>101-E346</v>
      </c>
      <c r="Z349" s="418">
        <f t="shared" si="114"/>
        <v>0</v>
      </c>
      <c r="AA349" s="418">
        <f t="shared" si="115"/>
        <v>0</v>
      </c>
      <c r="AB349" s="418">
        <f t="shared" si="116"/>
        <v>0</v>
      </c>
      <c r="AC349" s="418">
        <f t="shared" si="117"/>
        <v>0</v>
      </c>
      <c r="AD349" s="418">
        <f t="shared" si="118"/>
        <v>0</v>
      </c>
      <c r="AE349" s="413">
        <f t="shared" si="119"/>
        <v>0</v>
      </c>
    </row>
    <row r="350" spans="1:31" x14ac:dyDescent="0.3">
      <c r="A350" s="415" t="s">
        <v>1604</v>
      </c>
      <c r="B350" s="418" t="s">
        <v>1817</v>
      </c>
      <c r="C350" s="418" t="s">
        <v>26</v>
      </c>
      <c r="D350" s="418" t="str">
        <f t="shared" si="102"/>
        <v>101-E346</v>
      </c>
      <c r="E350" s="418">
        <v>0</v>
      </c>
      <c r="F350" s="418">
        <v>86980.56</v>
      </c>
      <c r="G350" s="418">
        <v>138437.29999999999</v>
      </c>
      <c r="H350" s="418">
        <v>189894</v>
      </c>
      <c r="I350" s="418">
        <v>0</v>
      </c>
      <c r="J350" s="413">
        <v>0</v>
      </c>
      <c r="L350" s="418" t="str">
        <f t="shared" si="103"/>
        <v>Projected - Electric</v>
      </c>
      <c r="M350" s="418" t="str">
        <f t="shared" si="104"/>
        <v>E346 PRD Other, Mint Farm</v>
      </c>
      <c r="N350" s="418" t="str">
        <f t="shared" si="100"/>
        <v>Projected</v>
      </c>
      <c r="O350" s="418" t="str">
        <f t="shared" si="105"/>
        <v>101-E346</v>
      </c>
      <c r="P350" s="418">
        <f t="shared" si="106"/>
        <v>0</v>
      </c>
      <c r="Q350" s="418">
        <f t="shared" si="107"/>
        <v>86980.56</v>
      </c>
      <c r="R350" s="418">
        <f t="shared" si="108"/>
        <v>138437.29999999999</v>
      </c>
      <c r="S350" s="418">
        <f t="shared" si="109"/>
        <v>189894</v>
      </c>
      <c r="T350" s="418">
        <f t="shared" si="110"/>
        <v>0</v>
      </c>
      <c r="V350" s="418" t="str">
        <f t="shared" si="111"/>
        <v>Projected - Electric</v>
      </c>
      <c r="W350" s="418" t="str">
        <f t="shared" si="112"/>
        <v>E346 PRD Other, Mint Farm</v>
      </c>
      <c r="X350" s="418" t="str">
        <f t="shared" si="101"/>
        <v>Projected</v>
      </c>
      <c r="Y350" s="418" t="str">
        <f t="shared" si="113"/>
        <v>101-E346</v>
      </c>
      <c r="Z350" s="418">
        <f t="shared" si="114"/>
        <v>0</v>
      </c>
      <c r="AA350" s="418">
        <f t="shared" si="115"/>
        <v>0</v>
      </c>
      <c r="AB350" s="418">
        <f t="shared" si="116"/>
        <v>0</v>
      </c>
      <c r="AC350" s="418">
        <f t="shared" si="117"/>
        <v>0</v>
      </c>
      <c r="AD350" s="418">
        <f t="shared" si="118"/>
        <v>0</v>
      </c>
      <c r="AE350" s="413">
        <f t="shared" si="119"/>
        <v>0</v>
      </c>
    </row>
    <row r="351" spans="1:31" x14ac:dyDescent="0.3">
      <c r="A351" s="415" t="s">
        <v>1604</v>
      </c>
      <c r="B351" s="418" t="s">
        <v>1816</v>
      </c>
      <c r="C351" s="418" t="s">
        <v>26</v>
      </c>
      <c r="D351" s="418" t="str">
        <f t="shared" si="102"/>
        <v>101-E346</v>
      </c>
      <c r="E351" s="418">
        <v>0</v>
      </c>
      <c r="F351" s="418">
        <v>0</v>
      </c>
      <c r="G351" s="418">
        <v>0</v>
      </c>
      <c r="H351" s="418">
        <v>0</v>
      </c>
      <c r="I351" s="418">
        <v>0</v>
      </c>
      <c r="J351" s="413">
        <v>0</v>
      </c>
      <c r="L351" s="418" t="str">
        <f t="shared" si="103"/>
        <v>Projected - Electric</v>
      </c>
      <c r="M351" s="418" t="str">
        <f t="shared" si="104"/>
        <v>E34601 PRD Other, LSR</v>
      </c>
      <c r="N351" s="418" t="str">
        <f t="shared" si="100"/>
        <v>Projected</v>
      </c>
      <c r="O351" s="418" t="str">
        <f t="shared" si="105"/>
        <v>101-E346</v>
      </c>
      <c r="P351" s="418">
        <f t="shared" si="106"/>
        <v>0</v>
      </c>
      <c r="Q351" s="418">
        <f t="shared" si="107"/>
        <v>0</v>
      </c>
      <c r="R351" s="418">
        <f t="shared" si="108"/>
        <v>0</v>
      </c>
      <c r="S351" s="418">
        <f t="shared" si="109"/>
        <v>0</v>
      </c>
      <c r="T351" s="418">
        <f t="shared" si="110"/>
        <v>0</v>
      </c>
      <c r="V351" s="418" t="str">
        <f t="shared" si="111"/>
        <v>Projected - Electric</v>
      </c>
      <c r="W351" s="418" t="str">
        <f t="shared" si="112"/>
        <v>E34601 PRD Other, LSR</v>
      </c>
      <c r="X351" s="418" t="str">
        <f t="shared" si="101"/>
        <v>Projected</v>
      </c>
      <c r="Y351" s="418" t="str">
        <f t="shared" si="113"/>
        <v>101-E346</v>
      </c>
      <c r="Z351" s="418">
        <f t="shared" si="114"/>
        <v>0</v>
      </c>
      <c r="AA351" s="418">
        <f t="shared" si="115"/>
        <v>0</v>
      </c>
      <c r="AB351" s="418">
        <f t="shared" si="116"/>
        <v>0</v>
      </c>
      <c r="AC351" s="418">
        <f t="shared" si="117"/>
        <v>0</v>
      </c>
      <c r="AD351" s="418">
        <f t="shared" si="118"/>
        <v>0</v>
      </c>
      <c r="AE351" s="413">
        <f t="shared" si="119"/>
        <v>0</v>
      </c>
    </row>
    <row r="352" spans="1:31" x14ac:dyDescent="0.3">
      <c r="A352" s="415" t="s">
        <v>1604</v>
      </c>
      <c r="B352" s="418" t="s">
        <v>1815</v>
      </c>
      <c r="C352" s="418" t="s">
        <v>26</v>
      </c>
      <c r="D352" s="418" t="str">
        <f t="shared" si="102"/>
        <v>101-E346</v>
      </c>
      <c r="E352" s="418">
        <v>0</v>
      </c>
      <c r="F352" s="418">
        <v>8907.73</v>
      </c>
      <c r="G352" s="418">
        <v>8918.02</v>
      </c>
      <c r="H352" s="418">
        <v>9165.0300000000007</v>
      </c>
      <c r="I352" s="418">
        <v>0</v>
      </c>
      <c r="J352" s="413">
        <v>0</v>
      </c>
      <c r="L352" s="418" t="str">
        <f t="shared" si="103"/>
        <v>Projected - Electric</v>
      </c>
      <c r="M352" s="418" t="str">
        <f t="shared" si="104"/>
        <v>E3461 PRD Sta Main Tools, Encogen</v>
      </c>
      <c r="N352" s="418" t="str">
        <f t="shared" si="100"/>
        <v>Projected</v>
      </c>
      <c r="O352" s="418" t="str">
        <f t="shared" si="105"/>
        <v>101-E346</v>
      </c>
      <c r="P352" s="418">
        <f t="shared" si="106"/>
        <v>0</v>
      </c>
      <c r="Q352" s="418">
        <f t="shared" si="107"/>
        <v>8907.73</v>
      </c>
      <c r="R352" s="418">
        <f t="shared" si="108"/>
        <v>8918.02</v>
      </c>
      <c r="S352" s="418">
        <f t="shared" si="109"/>
        <v>9165.0300000000007</v>
      </c>
      <c r="T352" s="418">
        <f t="shared" si="110"/>
        <v>0</v>
      </c>
      <c r="V352" s="418" t="str">
        <f t="shared" si="111"/>
        <v>Projected - Electric</v>
      </c>
      <c r="W352" s="418" t="str">
        <f t="shared" si="112"/>
        <v>E3461 PRD Sta Main Tools, Encogen</v>
      </c>
      <c r="X352" s="418" t="str">
        <f t="shared" si="101"/>
        <v>Projected</v>
      </c>
      <c r="Y352" s="418" t="str">
        <f t="shared" si="113"/>
        <v>101-E346</v>
      </c>
      <c r="Z352" s="418">
        <f t="shared" si="114"/>
        <v>0</v>
      </c>
      <c r="AA352" s="418">
        <f t="shared" si="115"/>
        <v>0</v>
      </c>
      <c r="AB352" s="418">
        <f t="shared" si="116"/>
        <v>0</v>
      </c>
      <c r="AC352" s="418">
        <f t="shared" si="117"/>
        <v>0</v>
      </c>
      <c r="AD352" s="418">
        <f t="shared" si="118"/>
        <v>0</v>
      </c>
      <c r="AE352" s="413">
        <f t="shared" si="119"/>
        <v>0</v>
      </c>
    </row>
    <row r="353" spans="1:31" x14ac:dyDescent="0.3">
      <c r="A353" s="415" t="s">
        <v>1604</v>
      </c>
      <c r="B353" s="418" t="s">
        <v>1814</v>
      </c>
      <c r="C353" s="418" t="s">
        <v>26</v>
      </c>
      <c r="D353" s="418" t="str">
        <f t="shared" si="102"/>
        <v>101-E346</v>
      </c>
      <c r="E353" s="418">
        <v>0</v>
      </c>
      <c r="F353" s="418">
        <v>8750.11</v>
      </c>
      <c r="G353" s="418">
        <v>8751.2800000000007</v>
      </c>
      <c r="H353" s="418">
        <v>8779.27</v>
      </c>
      <c r="I353" s="418">
        <v>0</v>
      </c>
      <c r="J353" s="413">
        <v>0</v>
      </c>
      <c r="L353" s="418" t="str">
        <f t="shared" si="103"/>
        <v>Projected - Electric</v>
      </c>
      <c r="M353" s="418" t="str">
        <f t="shared" si="104"/>
        <v>E3461 PRD Sta Main Tools, Fredonia</v>
      </c>
      <c r="N353" s="418" t="str">
        <f t="shared" si="100"/>
        <v>Projected</v>
      </c>
      <c r="O353" s="418" t="str">
        <f t="shared" si="105"/>
        <v>101-E346</v>
      </c>
      <c r="P353" s="418">
        <f t="shared" si="106"/>
        <v>0</v>
      </c>
      <c r="Q353" s="418">
        <f t="shared" si="107"/>
        <v>8750.11</v>
      </c>
      <c r="R353" s="418">
        <f t="shared" si="108"/>
        <v>8751.2800000000007</v>
      </c>
      <c r="S353" s="418">
        <f t="shared" si="109"/>
        <v>8779.27</v>
      </c>
      <c r="T353" s="418">
        <f t="shared" si="110"/>
        <v>0</v>
      </c>
      <c r="V353" s="418" t="str">
        <f t="shared" si="111"/>
        <v>Projected - Electric</v>
      </c>
      <c r="W353" s="418" t="str">
        <f t="shared" si="112"/>
        <v>E3461 PRD Sta Main Tools, Fredonia</v>
      </c>
      <c r="X353" s="418" t="str">
        <f t="shared" si="101"/>
        <v>Projected</v>
      </c>
      <c r="Y353" s="418" t="str">
        <f t="shared" si="113"/>
        <v>101-E346</v>
      </c>
      <c r="Z353" s="418">
        <f t="shared" si="114"/>
        <v>0</v>
      </c>
      <c r="AA353" s="418">
        <f t="shared" si="115"/>
        <v>0</v>
      </c>
      <c r="AB353" s="418">
        <f t="shared" si="116"/>
        <v>0</v>
      </c>
      <c r="AC353" s="418">
        <f t="shared" si="117"/>
        <v>0</v>
      </c>
      <c r="AD353" s="418">
        <f t="shared" si="118"/>
        <v>0</v>
      </c>
      <c r="AE353" s="413">
        <f t="shared" si="119"/>
        <v>0</v>
      </c>
    </row>
    <row r="354" spans="1:31" x14ac:dyDescent="0.3">
      <c r="A354" s="415" t="s">
        <v>1604</v>
      </c>
      <c r="B354" s="418" t="s">
        <v>1813</v>
      </c>
      <c r="C354" s="418" t="s">
        <v>26</v>
      </c>
      <c r="D354" s="418" t="str">
        <f t="shared" si="102"/>
        <v>101-E346</v>
      </c>
      <c r="E354" s="418">
        <v>0</v>
      </c>
      <c r="F354" s="418">
        <v>8786.36</v>
      </c>
      <c r="G354" s="418">
        <v>8800.94</v>
      </c>
      <c r="H354" s="418">
        <v>9150.7800000000007</v>
      </c>
      <c r="I354" s="418">
        <v>0</v>
      </c>
      <c r="J354" s="413">
        <v>0</v>
      </c>
      <c r="L354" s="418" t="str">
        <f t="shared" si="103"/>
        <v>Projected - Electric</v>
      </c>
      <c r="M354" s="418" t="str">
        <f t="shared" si="104"/>
        <v>E3461 PRD Sta Main Tools, Mint Farm</v>
      </c>
      <c r="N354" s="418" t="str">
        <f t="shared" si="100"/>
        <v>Projected</v>
      </c>
      <c r="O354" s="418" t="str">
        <f t="shared" si="105"/>
        <v>101-E346</v>
      </c>
      <c r="P354" s="418">
        <f t="shared" si="106"/>
        <v>0</v>
      </c>
      <c r="Q354" s="418">
        <f t="shared" si="107"/>
        <v>8786.36</v>
      </c>
      <c r="R354" s="418">
        <f t="shared" si="108"/>
        <v>8800.94</v>
      </c>
      <c r="S354" s="418">
        <f t="shared" si="109"/>
        <v>9150.7800000000007</v>
      </c>
      <c r="T354" s="418">
        <f t="shared" si="110"/>
        <v>0</v>
      </c>
      <c r="V354" s="418" t="str">
        <f t="shared" si="111"/>
        <v>Projected - Electric</v>
      </c>
      <c r="W354" s="418" t="str">
        <f t="shared" si="112"/>
        <v>E3461 PRD Sta Main Tools, Mint Farm</v>
      </c>
      <c r="X354" s="418" t="str">
        <f t="shared" si="101"/>
        <v>Projected</v>
      </c>
      <c r="Y354" s="418" t="str">
        <f t="shared" si="113"/>
        <v>101-E346</v>
      </c>
      <c r="Z354" s="418">
        <f t="shared" si="114"/>
        <v>0</v>
      </c>
      <c r="AA354" s="418">
        <f t="shared" si="115"/>
        <v>0</v>
      </c>
      <c r="AB354" s="418">
        <f t="shared" si="116"/>
        <v>0</v>
      </c>
      <c r="AC354" s="418">
        <f t="shared" si="117"/>
        <v>0</v>
      </c>
      <c r="AD354" s="418">
        <f t="shared" si="118"/>
        <v>0</v>
      </c>
      <c r="AE354" s="413">
        <f t="shared" si="119"/>
        <v>0</v>
      </c>
    </row>
    <row r="355" spans="1:31" x14ac:dyDescent="0.3">
      <c r="A355" s="415" t="s">
        <v>1604</v>
      </c>
      <c r="B355" s="418" t="s">
        <v>1812</v>
      </c>
      <c r="C355" s="418" t="s">
        <v>26</v>
      </c>
      <c r="D355" s="418" t="str">
        <f t="shared" si="102"/>
        <v>101-E346</v>
      </c>
      <c r="E355" s="418">
        <v>0</v>
      </c>
      <c r="F355" s="418">
        <v>9799.76</v>
      </c>
      <c r="G355" s="418">
        <v>9843.84</v>
      </c>
      <c r="H355" s="418">
        <v>10901.73</v>
      </c>
      <c r="I355" s="418">
        <v>0</v>
      </c>
      <c r="J355" s="413">
        <v>0</v>
      </c>
      <c r="L355" s="418" t="str">
        <f t="shared" si="103"/>
        <v>Projected - Electric</v>
      </c>
      <c r="M355" s="418" t="str">
        <f t="shared" si="104"/>
        <v>E3461 PRD Sta Main Tools, Sumas</v>
      </c>
      <c r="N355" s="418" t="str">
        <f t="shared" si="100"/>
        <v>Projected</v>
      </c>
      <c r="O355" s="418" t="str">
        <f t="shared" si="105"/>
        <v>101-E346</v>
      </c>
      <c r="P355" s="418">
        <f t="shared" si="106"/>
        <v>0</v>
      </c>
      <c r="Q355" s="418">
        <f t="shared" si="107"/>
        <v>9799.76</v>
      </c>
      <c r="R355" s="418">
        <f t="shared" si="108"/>
        <v>9843.84</v>
      </c>
      <c r="S355" s="418">
        <f t="shared" si="109"/>
        <v>10901.73</v>
      </c>
      <c r="T355" s="418">
        <f t="shared" si="110"/>
        <v>0</v>
      </c>
      <c r="V355" s="418" t="str">
        <f t="shared" si="111"/>
        <v>Projected - Electric</v>
      </c>
      <c r="W355" s="418" t="str">
        <f t="shared" si="112"/>
        <v>E3461 PRD Sta Main Tools, Sumas</v>
      </c>
      <c r="X355" s="418" t="str">
        <f t="shared" si="101"/>
        <v>Projected</v>
      </c>
      <c r="Y355" s="418" t="str">
        <f t="shared" si="113"/>
        <v>101-E346</v>
      </c>
      <c r="Z355" s="418">
        <f t="shared" si="114"/>
        <v>0</v>
      </c>
      <c r="AA355" s="418">
        <f t="shared" si="115"/>
        <v>0</v>
      </c>
      <c r="AB355" s="418">
        <f t="shared" si="116"/>
        <v>0</v>
      </c>
      <c r="AC355" s="418">
        <f t="shared" si="117"/>
        <v>0</v>
      </c>
      <c r="AD355" s="418">
        <f t="shared" si="118"/>
        <v>0</v>
      </c>
      <c r="AE355" s="413">
        <f t="shared" si="119"/>
        <v>0</v>
      </c>
    </row>
    <row r="356" spans="1:31" x14ac:dyDescent="0.3">
      <c r="A356" s="415" t="s">
        <v>1604</v>
      </c>
      <c r="B356" s="418" t="s">
        <v>1811</v>
      </c>
      <c r="C356" s="418" t="s">
        <v>26</v>
      </c>
      <c r="D356" s="418" t="str">
        <f t="shared" si="102"/>
        <v>101-E346</v>
      </c>
      <c r="E356" s="418">
        <v>0</v>
      </c>
      <c r="F356" s="418">
        <v>8742.2000000000007</v>
      </c>
      <c r="G356" s="418">
        <v>8742.2000000000007</v>
      </c>
      <c r="H356" s="418">
        <v>8742.2000000000007</v>
      </c>
      <c r="I356" s="418">
        <v>0</v>
      </c>
      <c r="J356" s="413">
        <v>0</v>
      </c>
      <c r="L356" s="418" t="str">
        <f t="shared" si="103"/>
        <v>Projected - Electric</v>
      </c>
      <c r="M356" s="418" t="str">
        <f t="shared" si="104"/>
        <v>E3461 PRD Sta Main Tools,Goldendale</v>
      </c>
      <c r="N356" s="418" t="str">
        <f t="shared" si="100"/>
        <v>Projected</v>
      </c>
      <c r="O356" s="418" t="str">
        <f t="shared" si="105"/>
        <v>101-E346</v>
      </c>
      <c r="P356" s="418">
        <f t="shared" si="106"/>
        <v>0</v>
      </c>
      <c r="Q356" s="418">
        <f t="shared" si="107"/>
        <v>8742.2000000000007</v>
      </c>
      <c r="R356" s="418">
        <f t="shared" si="108"/>
        <v>8742.2000000000007</v>
      </c>
      <c r="S356" s="418">
        <f t="shared" si="109"/>
        <v>8742.2000000000007</v>
      </c>
      <c r="T356" s="418">
        <f t="shared" si="110"/>
        <v>0</v>
      </c>
      <c r="V356" s="418" t="str">
        <f t="shared" si="111"/>
        <v>Projected - Electric</v>
      </c>
      <c r="W356" s="418" t="str">
        <f t="shared" si="112"/>
        <v>E3461 PRD Sta Main Tools,Goldendale</v>
      </c>
      <c r="X356" s="418" t="str">
        <f t="shared" si="101"/>
        <v>Projected</v>
      </c>
      <c r="Y356" s="418" t="str">
        <f t="shared" si="113"/>
        <v>101-E346</v>
      </c>
      <c r="Z356" s="418">
        <f t="shared" si="114"/>
        <v>0</v>
      </c>
      <c r="AA356" s="418">
        <f t="shared" si="115"/>
        <v>0</v>
      </c>
      <c r="AB356" s="418">
        <f t="shared" si="116"/>
        <v>0</v>
      </c>
      <c r="AC356" s="418">
        <f t="shared" si="117"/>
        <v>0</v>
      </c>
      <c r="AD356" s="418">
        <f t="shared" si="118"/>
        <v>0</v>
      </c>
      <c r="AE356" s="413">
        <f t="shared" si="119"/>
        <v>0</v>
      </c>
    </row>
    <row r="357" spans="1:31" x14ac:dyDescent="0.3">
      <c r="A357" s="415" t="s">
        <v>1604</v>
      </c>
      <c r="B357" s="418" t="s">
        <v>1810</v>
      </c>
      <c r="C357" s="418" t="s">
        <v>26</v>
      </c>
      <c r="D357" s="418" t="str">
        <f t="shared" si="102"/>
        <v>101-E346</v>
      </c>
      <c r="E357" s="418">
        <v>0</v>
      </c>
      <c r="F357" s="418">
        <v>8969.99</v>
      </c>
      <c r="G357" s="418">
        <v>8982.1299999999992</v>
      </c>
      <c r="H357" s="418">
        <v>9273.4699999999993</v>
      </c>
      <c r="I357" s="418">
        <v>0</v>
      </c>
      <c r="J357" s="413">
        <v>0</v>
      </c>
      <c r="L357" s="418" t="str">
        <f t="shared" si="103"/>
        <v>Projected - Electric</v>
      </c>
      <c r="M357" s="418" t="str">
        <f t="shared" si="104"/>
        <v>E3461 PRD Sta MainTools, Whitehorn</v>
      </c>
      <c r="N357" s="418" t="str">
        <f t="shared" si="100"/>
        <v>Projected</v>
      </c>
      <c r="O357" s="418" t="str">
        <f t="shared" si="105"/>
        <v>101-E346</v>
      </c>
      <c r="P357" s="418">
        <f t="shared" si="106"/>
        <v>0</v>
      </c>
      <c r="Q357" s="418">
        <f t="shared" si="107"/>
        <v>8969.99</v>
      </c>
      <c r="R357" s="418">
        <f t="shared" si="108"/>
        <v>8982.1299999999992</v>
      </c>
      <c r="S357" s="418">
        <f t="shared" si="109"/>
        <v>9273.4699999999993</v>
      </c>
      <c r="T357" s="418">
        <f t="shared" si="110"/>
        <v>0</v>
      </c>
      <c r="V357" s="418" t="str">
        <f t="shared" si="111"/>
        <v>Projected - Electric</v>
      </c>
      <c r="W357" s="418" t="str">
        <f t="shared" si="112"/>
        <v>E3461 PRD Sta MainTools, Whitehorn</v>
      </c>
      <c r="X357" s="418" t="str">
        <f t="shared" si="101"/>
        <v>Projected</v>
      </c>
      <c r="Y357" s="418" t="str">
        <f t="shared" si="113"/>
        <v>101-E346</v>
      </c>
      <c r="Z357" s="418">
        <f t="shared" si="114"/>
        <v>0</v>
      </c>
      <c r="AA357" s="418">
        <f t="shared" si="115"/>
        <v>0</v>
      </c>
      <c r="AB357" s="418">
        <f t="shared" si="116"/>
        <v>0</v>
      </c>
      <c r="AC357" s="418">
        <f t="shared" si="117"/>
        <v>0</v>
      </c>
      <c r="AD357" s="418">
        <f t="shared" si="118"/>
        <v>0</v>
      </c>
      <c r="AE357" s="413">
        <f t="shared" si="119"/>
        <v>0</v>
      </c>
    </row>
    <row r="358" spans="1:31" x14ac:dyDescent="0.3">
      <c r="A358" s="415" t="s">
        <v>1604</v>
      </c>
      <c r="B358" s="418" t="s">
        <v>1809</v>
      </c>
      <c r="C358" s="418" t="s">
        <v>26</v>
      </c>
      <c r="D358" s="418" t="str">
        <f t="shared" si="102"/>
        <v>101-E346</v>
      </c>
      <c r="E358" s="418">
        <v>0</v>
      </c>
      <c r="F358" s="418">
        <v>9740.0300000000007</v>
      </c>
      <c r="G358" s="418">
        <v>9782.98</v>
      </c>
      <c r="H358" s="418">
        <v>10813.78</v>
      </c>
      <c r="I358" s="418">
        <v>0</v>
      </c>
      <c r="J358" s="413">
        <v>0</v>
      </c>
      <c r="L358" s="418" t="str">
        <f t="shared" si="103"/>
        <v>Projected - Electric</v>
      </c>
      <c r="M358" s="418" t="str">
        <f t="shared" si="104"/>
        <v>E3461 PRD Sta MainTools,Frederickso</v>
      </c>
      <c r="N358" s="418" t="str">
        <f t="shared" si="100"/>
        <v>Projected</v>
      </c>
      <c r="O358" s="418" t="str">
        <f t="shared" si="105"/>
        <v>101-E346</v>
      </c>
      <c r="P358" s="418">
        <f t="shared" si="106"/>
        <v>0</v>
      </c>
      <c r="Q358" s="418">
        <f t="shared" si="107"/>
        <v>9740.0300000000007</v>
      </c>
      <c r="R358" s="418">
        <f t="shared" si="108"/>
        <v>9782.98</v>
      </c>
      <c r="S358" s="418">
        <f t="shared" si="109"/>
        <v>10813.78</v>
      </c>
      <c r="T358" s="418">
        <f t="shared" si="110"/>
        <v>0</v>
      </c>
      <c r="V358" s="418" t="str">
        <f t="shared" si="111"/>
        <v>Projected - Electric</v>
      </c>
      <c r="W358" s="418" t="str">
        <f t="shared" si="112"/>
        <v>E3461 PRD Sta MainTools,Frederickso</v>
      </c>
      <c r="X358" s="418" t="str">
        <f t="shared" si="101"/>
        <v>Projected</v>
      </c>
      <c r="Y358" s="418" t="str">
        <f t="shared" si="113"/>
        <v>101-E346</v>
      </c>
      <c r="Z358" s="418">
        <f t="shared" si="114"/>
        <v>0</v>
      </c>
      <c r="AA358" s="418">
        <f t="shared" si="115"/>
        <v>0</v>
      </c>
      <c r="AB358" s="418">
        <f t="shared" si="116"/>
        <v>0</v>
      </c>
      <c r="AC358" s="418">
        <f t="shared" si="117"/>
        <v>0</v>
      </c>
      <c r="AD358" s="418">
        <f t="shared" si="118"/>
        <v>0</v>
      </c>
      <c r="AE358" s="413">
        <f t="shared" si="119"/>
        <v>0</v>
      </c>
    </row>
    <row r="359" spans="1:31" x14ac:dyDescent="0.3">
      <c r="A359" s="415" t="s">
        <v>1604</v>
      </c>
      <c r="B359" s="418" t="s">
        <v>1808</v>
      </c>
      <c r="C359" s="418" t="s">
        <v>26</v>
      </c>
      <c r="D359" s="418" t="str">
        <f t="shared" si="102"/>
        <v>101-E346</v>
      </c>
      <c r="E359" s="418">
        <v>0</v>
      </c>
      <c r="F359" s="418">
        <v>34133.43</v>
      </c>
      <c r="G359" s="418">
        <v>34135.39</v>
      </c>
      <c r="H359" s="418">
        <v>34182.54</v>
      </c>
      <c r="I359" s="418">
        <v>0</v>
      </c>
      <c r="J359" s="413">
        <v>0</v>
      </c>
      <c r="L359" s="418" t="str">
        <f t="shared" si="103"/>
        <v>Projected - Electric</v>
      </c>
      <c r="M359" s="418" t="str">
        <f t="shared" si="104"/>
        <v>E34611 PRD Sta Main Tools, Hopkins</v>
      </c>
      <c r="N359" s="418" t="str">
        <f t="shared" si="100"/>
        <v>Projected</v>
      </c>
      <c r="O359" s="418" t="str">
        <f t="shared" si="105"/>
        <v>101-E346</v>
      </c>
      <c r="P359" s="418">
        <f t="shared" si="106"/>
        <v>0</v>
      </c>
      <c r="Q359" s="418">
        <f t="shared" si="107"/>
        <v>34133.43</v>
      </c>
      <c r="R359" s="418">
        <f t="shared" si="108"/>
        <v>34135.39</v>
      </c>
      <c r="S359" s="418">
        <f t="shared" si="109"/>
        <v>34182.54</v>
      </c>
      <c r="T359" s="418">
        <f t="shared" si="110"/>
        <v>0</v>
      </c>
      <c r="V359" s="418" t="str">
        <f t="shared" si="111"/>
        <v>Projected - Electric</v>
      </c>
      <c r="W359" s="418" t="str">
        <f t="shared" si="112"/>
        <v>E34611 PRD Sta Main Tools, Hopkins</v>
      </c>
      <c r="X359" s="418" t="str">
        <f t="shared" si="101"/>
        <v>Projected</v>
      </c>
      <c r="Y359" s="418" t="str">
        <f t="shared" si="113"/>
        <v>101-E346</v>
      </c>
      <c r="Z359" s="418">
        <f t="shared" si="114"/>
        <v>0</v>
      </c>
      <c r="AA359" s="418">
        <f t="shared" si="115"/>
        <v>0</v>
      </c>
      <c r="AB359" s="418">
        <f t="shared" si="116"/>
        <v>0</v>
      </c>
      <c r="AC359" s="418">
        <f t="shared" si="117"/>
        <v>0</v>
      </c>
      <c r="AD359" s="418">
        <f t="shared" si="118"/>
        <v>0</v>
      </c>
      <c r="AE359" s="413">
        <f t="shared" si="119"/>
        <v>0</v>
      </c>
    </row>
    <row r="360" spans="1:31" x14ac:dyDescent="0.3">
      <c r="A360" s="415" t="s">
        <v>1604</v>
      </c>
      <c r="B360" s="418" t="s">
        <v>1807</v>
      </c>
      <c r="C360" s="418" t="s">
        <v>26</v>
      </c>
      <c r="D360" s="418" t="str">
        <f t="shared" si="102"/>
        <v>101-E346</v>
      </c>
      <c r="E360" s="418">
        <v>0</v>
      </c>
      <c r="F360" s="418">
        <v>34661.629999999997</v>
      </c>
      <c r="G360" s="418">
        <v>34661.870000000003</v>
      </c>
      <c r="H360" s="418">
        <v>34667.699999999997</v>
      </c>
      <c r="I360" s="418">
        <v>0</v>
      </c>
      <c r="J360" s="413">
        <v>0</v>
      </c>
      <c r="L360" s="418" t="str">
        <f t="shared" si="103"/>
        <v>Projected - Electric</v>
      </c>
      <c r="M360" s="418" t="str">
        <f t="shared" si="104"/>
        <v>E34611 PRD Sta Main Tools, LSR</v>
      </c>
      <c r="N360" s="418" t="str">
        <f t="shared" si="100"/>
        <v>Projected</v>
      </c>
      <c r="O360" s="418" t="str">
        <f t="shared" si="105"/>
        <v>101-E346</v>
      </c>
      <c r="P360" s="418">
        <f t="shared" si="106"/>
        <v>0</v>
      </c>
      <c r="Q360" s="418">
        <f t="shared" si="107"/>
        <v>34661.629999999997</v>
      </c>
      <c r="R360" s="418">
        <f t="shared" si="108"/>
        <v>34661.870000000003</v>
      </c>
      <c r="S360" s="418">
        <f t="shared" si="109"/>
        <v>34667.699999999997</v>
      </c>
      <c r="T360" s="418">
        <f t="shared" si="110"/>
        <v>0</v>
      </c>
      <c r="V360" s="418" t="str">
        <f t="shared" si="111"/>
        <v>Projected - Electric</v>
      </c>
      <c r="W360" s="418" t="str">
        <f t="shared" si="112"/>
        <v>E34611 PRD Sta Main Tools, LSR</v>
      </c>
      <c r="X360" s="418" t="str">
        <f t="shared" si="101"/>
        <v>Projected</v>
      </c>
      <c r="Y360" s="418" t="str">
        <f t="shared" si="113"/>
        <v>101-E346</v>
      </c>
      <c r="Z360" s="418">
        <f t="shared" si="114"/>
        <v>0</v>
      </c>
      <c r="AA360" s="418">
        <f t="shared" si="115"/>
        <v>0</v>
      </c>
      <c r="AB360" s="418">
        <f t="shared" si="116"/>
        <v>0</v>
      </c>
      <c r="AC360" s="418">
        <f t="shared" si="117"/>
        <v>0</v>
      </c>
      <c r="AD360" s="418">
        <f t="shared" si="118"/>
        <v>0</v>
      </c>
      <c r="AE360" s="413">
        <f t="shared" si="119"/>
        <v>0</v>
      </c>
    </row>
    <row r="361" spans="1:31" x14ac:dyDescent="0.3">
      <c r="A361" s="415" t="s">
        <v>1604</v>
      </c>
      <c r="B361" s="418" t="s">
        <v>1806</v>
      </c>
      <c r="C361" s="418" t="s">
        <v>26</v>
      </c>
      <c r="D361" s="418" t="str">
        <f t="shared" si="102"/>
        <v>101-E346</v>
      </c>
      <c r="E361" s="418">
        <v>0</v>
      </c>
      <c r="F361" s="418">
        <v>12690.48</v>
      </c>
      <c r="G361" s="418">
        <v>13223.57</v>
      </c>
      <c r="H361" s="418">
        <v>25533.55</v>
      </c>
      <c r="I361" s="418">
        <v>0</v>
      </c>
      <c r="J361" s="413">
        <v>0</v>
      </c>
      <c r="L361" s="418" t="str">
        <f t="shared" si="103"/>
        <v>Projected - Electric</v>
      </c>
      <c r="M361" s="418" t="str">
        <f t="shared" si="104"/>
        <v>E34611 PRD Sta Main Tools,WildHorse</v>
      </c>
      <c r="N361" s="418" t="str">
        <f t="shared" si="100"/>
        <v>Projected</v>
      </c>
      <c r="O361" s="418" t="str">
        <f t="shared" si="105"/>
        <v>101-E346</v>
      </c>
      <c r="P361" s="418">
        <f t="shared" si="106"/>
        <v>0</v>
      </c>
      <c r="Q361" s="418">
        <f t="shared" si="107"/>
        <v>12690.48</v>
      </c>
      <c r="R361" s="418">
        <f t="shared" si="108"/>
        <v>13223.57</v>
      </c>
      <c r="S361" s="418">
        <f t="shared" si="109"/>
        <v>25533.55</v>
      </c>
      <c r="T361" s="418">
        <f t="shared" si="110"/>
        <v>0</v>
      </c>
      <c r="V361" s="418" t="str">
        <f t="shared" si="111"/>
        <v>Projected - Electric</v>
      </c>
      <c r="W361" s="418" t="str">
        <f t="shared" si="112"/>
        <v>E34611 PRD Sta Main Tools,WildHorse</v>
      </c>
      <c r="X361" s="418" t="str">
        <f t="shared" si="101"/>
        <v>Projected</v>
      </c>
      <c r="Y361" s="418" t="str">
        <f t="shared" si="113"/>
        <v>101-E346</v>
      </c>
      <c r="Z361" s="418">
        <f t="shared" si="114"/>
        <v>0</v>
      </c>
      <c r="AA361" s="418">
        <f t="shared" si="115"/>
        <v>0</v>
      </c>
      <c r="AB361" s="418">
        <f t="shared" si="116"/>
        <v>0</v>
      </c>
      <c r="AC361" s="418">
        <f t="shared" si="117"/>
        <v>0</v>
      </c>
      <c r="AD361" s="418">
        <f t="shared" si="118"/>
        <v>0</v>
      </c>
      <c r="AE361" s="413">
        <f t="shared" si="119"/>
        <v>0</v>
      </c>
    </row>
    <row r="362" spans="1:31" x14ac:dyDescent="0.3">
      <c r="A362" s="415" t="s">
        <v>1604</v>
      </c>
      <c r="B362" s="418" t="s">
        <v>1805</v>
      </c>
      <c r="C362" s="418" t="s">
        <v>26</v>
      </c>
      <c r="D362" s="418" t="str">
        <f t="shared" si="102"/>
        <v>101-E350</v>
      </c>
      <c r="E362" s="418">
        <v>0</v>
      </c>
      <c r="F362" s="418">
        <v>1222.6300000000001</v>
      </c>
      <c r="G362" s="418">
        <v>1348.68</v>
      </c>
      <c r="H362" s="418">
        <v>4366.22</v>
      </c>
      <c r="I362" s="418">
        <v>0</v>
      </c>
      <c r="J362" s="413">
        <v>0</v>
      </c>
      <c r="L362" s="418" t="str">
        <f t="shared" si="103"/>
        <v>Projected - Electric</v>
      </c>
      <c r="M362" s="418" t="str">
        <f t="shared" si="104"/>
        <v>E3500 TSM Land, 3rd AC</v>
      </c>
      <c r="N362" s="418" t="str">
        <f t="shared" si="100"/>
        <v>Projected</v>
      </c>
      <c r="O362" s="418" t="str">
        <f t="shared" si="105"/>
        <v>101-E350</v>
      </c>
      <c r="P362" s="418">
        <f t="shared" si="106"/>
        <v>0</v>
      </c>
      <c r="Q362" s="418">
        <f t="shared" si="107"/>
        <v>1222.6300000000001</v>
      </c>
      <c r="R362" s="418">
        <f t="shared" si="108"/>
        <v>1348.68</v>
      </c>
      <c r="S362" s="418">
        <f t="shared" si="109"/>
        <v>4366.22</v>
      </c>
      <c r="T362" s="418">
        <f t="shared" si="110"/>
        <v>0</v>
      </c>
      <c r="V362" s="418" t="str">
        <f t="shared" si="111"/>
        <v>Projected - Electric</v>
      </c>
      <c r="W362" s="418" t="str">
        <f t="shared" si="112"/>
        <v>E3500 TSM Land, 3rd AC</v>
      </c>
      <c r="X362" s="418" t="str">
        <f t="shared" si="101"/>
        <v>Projected</v>
      </c>
      <c r="Y362" s="418" t="str">
        <f t="shared" si="113"/>
        <v>101-E350</v>
      </c>
      <c r="Z362" s="418">
        <f t="shared" si="114"/>
        <v>0</v>
      </c>
      <c r="AA362" s="418">
        <f t="shared" si="115"/>
        <v>0</v>
      </c>
      <c r="AB362" s="418">
        <f t="shared" si="116"/>
        <v>0</v>
      </c>
      <c r="AC362" s="418">
        <f t="shared" si="117"/>
        <v>0</v>
      </c>
      <c r="AD362" s="418">
        <f t="shared" si="118"/>
        <v>0</v>
      </c>
      <c r="AE362" s="413">
        <f t="shared" si="119"/>
        <v>0</v>
      </c>
    </row>
    <row r="363" spans="1:31" x14ac:dyDescent="0.3">
      <c r="A363" s="415" t="s">
        <v>1604</v>
      </c>
      <c r="B363" s="418" t="s">
        <v>1804</v>
      </c>
      <c r="C363" s="418" t="s">
        <v>26</v>
      </c>
      <c r="D363" s="418" t="str">
        <f t="shared" si="102"/>
        <v>101-E350</v>
      </c>
      <c r="E363" s="418">
        <v>0</v>
      </c>
      <c r="F363" s="418">
        <v>1168.2</v>
      </c>
      <c r="G363" s="418">
        <v>1752.3</v>
      </c>
      <c r="H363" s="418">
        <v>2920.5</v>
      </c>
      <c r="I363" s="418">
        <v>0</v>
      </c>
      <c r="J363" s="413">
        <v>0</v>
      </c>
      <c r="L363" s="418" t="str">
        <f t="shared" si="103"/>
        <v>Projected - Electric</v>
      </c>
      <c r="M363" s="418" t="str">
        <f t="shared" si="104"/>
        <v>E35010 TSM Easement</v>
      </c>
      <c r="N363" s="418" t="str">
        <f t="shared" si="100"/>
        <v>Projected</v>
      </c>
      <c r="O363" s="418" t="str">
        <f t="shared" si="105"/>
        <v>101-E350</v>
      </c>
      <c r="P363" s="418">
        <f t="shared" si="106"/>
        <v>0</v>
      </c>
      <c r="Q363" s="418">
        <f t="shared" si="107"/>
        <v>1168.2</v>
      </c>
      <c r="R363" s="418">
        <f t="shared" si="108"/>
        <v>1752.3</v>
      </c>
      <c r="S363" s="418">
        <f t="shared" si="109"/>
        <v>2920.5</v>
      </c>
      <c r="T363" s="418">
        <f t="shared" si="110"/>
        <v>0</v>
      </c>
      <c r="V363" s="418" t="str">
        <f t="shared" si="111"/>
        <v>Projected - Electric</v>
      </c>
      <c r="W363" s="418" t="str">
        <f t="shared" si="112"/>
        <v>E35010 TSM Easement</v>
      </c>
      <c r="X363" s="418" t="str">
        <f t="shared" si="101"/>
        <v>Projected</v>
      </c>
      <c r="Y363" s="418" t="str">
        <f t="shared" si="113"/>
        <v>101-E350</v>
      </c>
      <c r="Z363" s="418">
        <f t="shared" si="114"/>
        <v>0</v>
      </c>
      <c r="AA363" s="418">
        <f t="shared" si="115"/>
        <v>0</v>
      </c>
      <c r="AB363" s="418">
        <f t="shared" si="116"/>
        <v>0</v>
      </c>
      <c r="AC363" s="418">
        <f t="shared" si="117"/>
        <v>0</v>
      </c>
      <c r="AD363" s="418">
        <f t="shared" si="118"/>
        <v>0</v>
      </c>
      <c r="AE363" s="413">
        <f t="shared" si="119"/>
        <v>0</v>
      </c>
    </row>
    <row r="364" spans="1:31" x14ac:dyDescent="0.3">
      <c r="A364" s="415" t="s">
        <v>1604</v>
      </c>
      <c r="B364" s="418" t="s">
        <v>1803</v>
      </c>
      <c r="C364" s="418" t="s">
        <v>26</v>
      </c>
      <c r="D364" s="418" t="str">
        <f t="shared" si="102"/>
        <v>101-E350</v>
      </c>
      <c r="E364" s="418">
        <v>0</v>
      </c>
      <c r="F364" s="418">
        <v>0.48</v>
      </c>
      <c r="G364" s="418">
        <v>814897.37</v>
      </c>
      <c r="H364" s="418">
        <v>2366167.0499999998</v>
      </c>
      <c r="I364" s="418">
        <v>0</v>
      </c>
      <c r="J364" s="413">
        <v>0</v>
      </c>
      <c r="L364" s="418" t="str">
        <f t="shared" si="103"/>
        <v>Projected - Electric</v>
      </c>
      <c r="M364" s="418" t="str">
        <f t="shared" si="104"/>
        <v>E35016 TSM Easements</v>
      </c>
      <c r="N364" s="418" t="str">
        <f t="shared" si="100"/>
        <v>Projected</v>
      </c>
      <c r="O364" s="418" t="str">
        <f t="shared" si="105"/>
        <v>101-E350</v>
      </c>
      <c r="P364" s="418">
        <f t="shared" si="106"/>
        <v>0</v>
      </c>
      <c r="Q364" s="418">
        <f t="shared" si="107"/>
        <v>0.48</v>
      </c>
      <c r="R364" s="418">
        <f t="shared" si="108"/>
        <v>814897.37</v>
      </c>
      <c r="S364" s="418">
        <f t="shared" si="109"/>
        <v>2366167.0499999998</v>
      </c>
      <c r="T364" s="418">
        <f t="shared" si="110"/>
        <v>0</v>
      </c>
      <c r="V364" s="418" t="str">
        <f t="shared" si="111"/>
        <v>Projected - Electric</v>
      </c>
      <c r="W364" s="418" t="str">
        <f t="shared" si="112"/>
        <v>E35016 TSM Easements</v>
      </c>
      <c r="X364" s="418" t="str">
        <f t="shared" si="101"/>
        <v>Projected</v>
      </c>
      <c r="Y364" s="418" t="str">
        <f t="shared" si="113"/>
        <v>101-E350</v>
      </c>
      <c r="Z364" s="418">
        <f t="shared" si="114"/>
        <v>0</v>
      </c>
      <c r="AA364" s="418">
        <f t="shared" si="115"/>
        <v>0</v>
      </c>
      <c r="AB364" s="418">
        <f t="shared" si="116"/>
        <v>0</v>
      </c>
      <c r="AC364" s="418">
        <f t="shared" si="117"/>
        <v>0</v>
      </c>
      <c r="AD364" s="418">
        <f t="shared" si="118"/>
        <v>0</v>
      </c>
      <c r="AE364" s="413">
        <f t="shared" si="119"/>
        <v>0</v>
      </c>
    </row>
    <row r="365" spans="1:31" x14ac:dyDescent="0.3">
      <c r="A365" s="415" t="s">
        <v>1604</v>
      </c>
      <c r="B365" s="418" t="s">
        <v>1802</v>
      </c>
      <c r="C365" s="418" t="s">
        <v>26</v>
      </c>
      <c r="D365" s="418" t="str">
        <f t="shared" si="102"/>
        <v>101-E352</v>
      </c>
      <c r="E365" s="418">
        <v>0</v>
      </c>
      <c r="F365" s="418">
        <v>0</v>
      </c>
      <c r="G365" s="418">
        <v>57325.01</v>
      </c>
      <c r="H365" s="418">
        <v>91720.01</v>
      </c>
      <c r="I365" s="418">
        <v>0</v>
      </c>
      <c r="J365" s="413">
        <v>0</v>
      </c>
      <c r="L365" s="418" t="str">
        <f t="shared" si="103"/>
        <v>Projected - Electric</v>
      </c>
      <c r="M365" s="418" t="str">
        <f t="shared" si="104"/>
        <v>E352 TSM Structures &amp; Improvement</v>
      </c>
      <c r="N365" s="418" t="str">
        <f t="shared" si="100"/>
        <v>Projected</v>
      </c>
      <c r="O365" s="418" t="str">
        <f t="shared" si="105"/>
        <v>101-E352</v>
      </c>
      <c r="P365" s="418">
        <f t="shared" si="106"/>
        <v>0</v>
      </c>
      <c r="Q365" s="418">
        <f t="shared" si="107"/>
        <v>0</v>
      </c>
      <c r="R365" s="418">
        <f t="shared" si="108"/>
        <v>57325.01</v>
      </c>
      <c r="S365" s="418">
        <f t="shared" si="109"/>
        <v>91720.01</v>
      </c>
      <c r="T365" s="418">
        <f t="shared" si="110"/>
        <v>0</v>
      </c>
      <c r="V365" s="418" t="str">
        <f t="shared" si="111"/>
        <v>Projected - Electric</v>
      </c>
      <c r="W365" s="418" t="str">
        <f t="shared" si="112"/>
        <v>E352 TSM Structures &amp; Improvement</v>
      </c>
      <c r="X365" s="418" t="str">
        <f t="shared" si="101"/>
        <v>Projected</v>
      </c>
      <c r="Y365" s="418" t="str">
        <f t="shared" si="113"/>
        <v>101-E352</v>
      </c>
      <c r="Z365" s="418">
        <f t="shared" si="114"/>
        <v>0</v>
      </c>
      <c r="AA365" s="418">
        <f t="shared" si="115"/>
        <v>0</v>
      </c>
      <c r="AB365" s="418">
        <f t="shared" si="116"/>
        <v>0</v>
      </c>
      <c r="AC365" s="418">
        <f t="shared" si="117"/>
        <v>0</v>
      </c>
      <c r="AD365" s="418">
        <f t="shared" si="118"/>
        <v>0</v>
      </c>
      <c r="AE365" s="413">
        <f t="shared" si="119"/>
        <v>0</v>
      </c>
    </row>
    <row r="366" spans="1:31" x14ac:dyDescent="0.3">
      <c r="A366" s="415" t="s">
        <v>1604</v>
      </c>
      <c r="B366" s="418" t="s">
        <v>1801</v>
      </c>
      <c r="C366" s="418" t="s">
        <v>26</v>
      </c>
      <c r="D366" s="418" t="str">
        <f t="shared" si="102"/>
        <v>101-E352</v>
      </c>
      <c r="E366" s="418">
        <v>0</v>
      </c>
      <c r="F366" s="418">
        <v>0</v>
      </c>
      <c r="G366" s="418">
        <v>0</v>
      </c>
      <c r="H366" s="418">
        <v>0</v>
      </c>
      <c r="I366" s="418">
        <v>0</v>
      </c>
      <c r="J366" s="413">
        <v>0</v>
      </c>
      <c r="L366" s="418" t="str">
        <f t="shared" si="103"/>
        <v>Projected - Electric</v>
      </c>
      <c r="M366" s="418" t="str">
        <f t="shared" si="104"/>
        <v>E3529 (GIF) Struc/Improv, LSR</v>
      </c>
      <c r="N366" s="418" t="str">
        <f t="shared" si="100"/>
        <v>Projected</v>
      </c>
      <c r="O366" s="418" t="str">
        <f t="shared" si="105"/>
        <v>101-E352</v>
      </c>
      <c r="P366" s="418">
        <f t="shared" si="106"/>
        <v>0</v>
      </c>
      <c r="Q366" s="418">
        <f t="shared" si="107"/>
        <v>0</v>
      </c>
      <c r="R366" s="418">
        <f t="shared" si="108"/>
        <v>0</v>
      </c>
      <c r="S366" s="418">
        <f t="shared" si="109"/>
        <v>0</v>
      </c>
      <c r="T366" s="418">
        <f t="shared" si="110"/>
        <v>0</v>
      </c>
      <c r="V366" s="418" t="str">
        <f t="shared" si="111"/>
        <v>Projected - Electric</v>
      </c>
      <c r="W366" s="418" t="str">
        <f t="shared" si="112"/>
        <v>E3529 (GIF) Struc/Improv, LSR</v>
      </c>
      <c r="X366" s="418" t="str">
        <f t="shared" si="101"/>
        <v>Projected</v>
      </c>
      <c r="Y366" s="418" t="str">
        <f t="shared" si="113"/>
        <v>101-E352</v>
      </c>
      <c r="Z366" s="418">
        <f t="shared" si="114"/>
        <v>0</v>
      </c>
      <c r="AA366" s="418">
        <f t="shared" si="115"/>
        <v>0</v>
      </c>
      <c r="AB366" s="418">
        <f t="shared" si="116"/>
        <v>0</v>
      </c>
      <c r="AC366" s="418">
        <f t="shared" si="117"/>
        <v>0</v>
      </c>
      <c r="AD366" s="418">
        <f t="shared" si="118"/>
        <v>0</v>
      </c>
      <c r="AE366" s="413">
        <f t="shared" si="119"/>
        <v>0</v>
      </c>
    </row>
    <row r="367" spans="1:31" x14ac:dyDescent="0.3">
      <c r="A367" s="415" t="s">
        <v>1604</v>
      </c>
      <c r="B367" s="418" t="s">
        <v>1800</v>
      </c>
      <c r="C367" s="418" t="s">
        <v>26</v>
      </c>
      <c r="D367" s="418" t="str">
        <f t="shared" si="102"/>
        <v>101-E353</v>
      </c>
      <c r="E367" s="418">
        <v>0</v>
      </c>
      <c r="F367" s="418">
        <v>405624.15</v>
      </c>
      <c r="G367" s="418">
        <v>447441.78</v>
      </c>
      <c r="H367" s="418">
        <v>1448547.23</v>
      </c>
      <c r="I367" s="418">
        <v>0</v>
      </c>
      <c r="J367" s="413">
        <v>0</v>
      </c>
      <c r="L367" s="418" t="str">
        <f t="shared" si="103"/>
        <v>Projected - Electric</v>
      </c>
      <c r="M367" s="418" t="str">
        <f t="shared" si="104"/>
        <v>E353 TSM Sta Eq, 3rd AC Line</v>
      </c>
      <c r="N367" s="418" t="str">
        <f t="shared" si="100"/>
        <v>Projected</v>
      </c>
      <c r="O367" s="418" t="str">
        <f t="shared" si="105"/>
        <v>101-E353</v>
      </c>
      <c r="P367" s="418">
        <f t="shared" si="106"/>
        <v>0</v>
      </c>
      <c r="Q367" s="418">
        <f t="shared" si="107"/>
        <v>405624.15</v>
      </c>
      <c r="R367" s="418">
        <f t="shared" si="108"/>
        <v>447441.78</v>
      </c>
      <c r="S367" s="418">
        <f t="shared" si="109"/>
        <v>1448547.23</v>
      </c>
      <c r="T367" s="418">
        <f t="shared" si="110"/>
        <v>0</v>
      </c>
      <c r="V367" s="418" t="str">
        <f t="shared" si="111"/>
        <v>Projected - Electric</v>
      </c>
      <c r="W367" s="418" t="str">
        <f t="shared" si="112"/>
        <v>E353 TSM Sta Eq, 3rd AC Line</v>
      </c>
      <c r="X367" s="418" t="str">
        <f t="shared" si="101"/>
        <v>Projected</v>
      </c>
      <c r="Y367" s="418" t="str">
        <f t="shared" si="113"/>
        <v>101-E353</v>
      </c>
      <c r="Z367" s="418">
        <f t="shared" si="114"/>
        <v>0</v>
      </c>
      <c r="AA367" s="418">
        <f t="shared" si="115"/>
        <v>0</v>
      </c>
      <c r="AB367" s="418">
        <f t="shared" si="116"/>
        <v>0</v>
      </c>
      <c r="AC367" s="418">
        <f t="shared" si="117"/>
        <v>0</v>
      </c>
      <c r="AD367" s="418">
        <f t="shared" si="118"/>
        <v>0</v>
      </c>
      <c r="AE367" s="413">
        <f t="shared" si="119"/>
        <v>0</v>
      </c>
    </row>
    <row r="368" spans="1:31" x14ac:dyDescent="0.3">
      <c r="A368" s="415" t="s">
        <v>1604</v>
      </c>
      <c r="B368" s="418" t="s">
        <v>1799</v>
      </c>
      <c r="C368" s="418" t="s">
        <v>26</v>
      </c>
      <c r="D368" s="418" t="str">
        <f t="shared" si="102"/>
        <v>101-E353</v>
      </c>
      <c r="E368" s="418">
        <v>0</v>
      </c>
      <c r="F368" s="418">
        <v>770414.28</v>
      </c>
      <c r="G368" s="418">
        <v>1222001.58</v>
      </c>
      <c r="H368" s="418">
        <v>2736023.71</v>
      </c>
      <c r="I368" s="418">
        <v>0</v>
      </c>
      <c r="J368" s="413">
        <v>0</v>
      </c>
      <c r="L368" s="418" t="str">
        <f t="shared" si="103"/>
        <v>Projected - Electric</v>
      </c>
      <c r="M368" s="418" t="str">
        <f t="shared" si="104"/>
        <v>E353 TSM Sta Eq, Colstrip 3-4</v>
      </c>
      <c r="N368" s="418" t="str">
        <f t="shared" si="100"/>
        <v>Projected</v>
      </c>
      <c r="O368" s="418" t="str">
        <f t="shared" si="105"/>
        <v>101-E353</v>
      </c>
      <c r="P368" s="418">
        <f t="shared" si="106"/>
        <v>0</v>
      </c>
      <c r="Q368" s="418">
        <f t="shared" si="107"/>
        <v>770414.28</v>
      </c>
      <c r="R368" s="418">
        <f t="shared" si="108"/>
        <v>1222001.58</v>
      </c>
      <c r="S368" s="418">
        <f t="shared" si="109"/>
        <v>2736023.71</v>
      </c>
      <c r="T368" s="418">
        <f t="shared" si="110"/>
        <v>0</v>
      </c>
      <c r="V368" s="418" t="str">
        <f t="shared" si="111"/>
        <v>Projected - Electric</v>
      </c>
      <c r="W368" s="418" t="str">
        <f t="shared" si="112"/>
        <v>E353 TSM Sta Eq, Colstrip 3-4</v>
      </c>
      <c r="X368" s="418" t="str">
        <f t="shared" si="101"/>
        <v>Projected</v>
      </c>
      <c r="Y368" s="418" t="str">
        <f t="shared" si="113"/>
        <v>101-E353</v>
      </c>
      <c r="Z368" s="418">
        <f t="shared" si="114"/>
        <v>0</v>
      </c>
      <c r="AA368" s="418">
        <f t="shared" si="115"/>
        <v>0</v>
      </c>
      <c r="AB368" s="418">
        <f t="shared" si="116"/>
        <v>0</v>
      </c>
      <c r="AC368" s="418">
        <f t="shared" si="117"/>
        <v>0</v>
      </c>
      <c r="AD368" s="418">
        <f t="shared" si="118"/>
        <v>0</v>
      </c>
      <c r="AE368" s="413">
        <f t="shared" si="119"/>
        <v>0</v>
      </c>
    </row>
    <row r="369" spans="1:31" x14ac:dyDescent="0.3">
      <c r="A369" s="415" t="s">
        <v>1604</v>
      </c>
      <c r="B369" s="418" t="s">
        <v>1798</v>
      </c>
      <c r="C369" s="418" t="s">
        <v>26</v>
      </c>
      <c r="D369" s="418" t="str">
        <f t="shared" si="102"/>
        <v>101-E353</v>
      </c>
      <c r="E369" s="418">
        <v>0</v>
      </c>
      <c r="F369" s="418">
        <v>951735.67</v>
      </c>
      <c r="G369" s="418">
        <v>3516437.86</v>
      </c>
      <c r="H369" s="418">
        <v>6456571.3899999997</v>
      </c>
      <c r="I369" s="418">
        <v>0</v>
      </c>
      <c r="J369" s="413">
        <v>0</v>
      </c>
      <c r="L369" s="418" t="str">
        <f t="shared" si="103"/>
        <v>Projected - Electric</v>
      </c>
      <c r="M369" s="418" t="str">
        <f t="shared" si="104"/>
        <v>E353 TSM Station Equipment</v>
      </c>
      <c r="N369" s="418" t="str">
        <f t="shared" si="100"/>
        <v>Projected</v>
      </c>
      <c r="O369" s="418" t="str">
        <f t="shared" si="105"/>
        <v>101-E353</v>
      </c>
      <c r="P369" s="418">
        <f t="shared" si="106"/>
        <v>0</v>
      </c>
      <c r="Q369" s="418">
        <f t="shared" si="107"/>
        <v>951735.67</v>
      </c>
      <c r="R369" s="418">
        <f t="shared" si="108"/>
        <v>3516437.86</v>
      </c>
      <c r="S369" s="418">
        <f t="shared" si="109"/>
        <v>6456571.3899999997</v>
      </c>
      <c r="T369" s="418">
        <f t="shared" si="110"/>
        <v>0</v>
      </c>
      <c r="V369" s="418" t="str">
        <f t="shared" si="111"/>
        <v>Projected - Electric</v>
      </c>
      <c r="W369" s="418" t="str">
        <f t="shared" si="112"/>
        <v>E353 TSM Station Equipment</v>
      </c>
      <c r="X369" s="418" t="str">
        <f t="shared" si="101"/>
        <v>Projected</v>
      </c>
      <c r="Y369" s="418" t="str">
        <f t="shared" si="113"/>
        <v>101-E353</v>
      </c>
      <c r="Z369" s="418">
        <f t="shared" si="114"/>
        <v>0</v>
      </c>
      <c r="AA369" s="418">
        <f t="shared" si="115"/>
        <v>0</v>
      </c>
      <c r="AB369" s="418">
        <f t="shared" si="116"/>
        <v>0</v>
      </c>
      <c r="AC369" s="418">
        <f t="shared" si="117"/>
        <v>0</v>
      </c>
      <c r="AD369" s="418">
        <f t="shared" si="118"/>
        <v>0</v>
      </c>
      <c r="AE369" s="413">
        <f t="shared" si="119"/>
        <v>0</v>
      </c>
    </row>
    <row r="370" spans="1:31" x14ac:dyDescent="0.3">
      <c r="A370" s="415" t="s">
        <v>1604</v>
      </c>
      <c r="B370" s="418" t="s">
        <v>1715</v>
      </c>
      <c r="C370" s="418" t="s">
        <v>26</v>
      </c>
      <c r="D370" s="418" t="str">
        <f t="shared" si="102"/>
        <v>101-E353</v>
      </c>
      <c r="E370" s="418">
        <v>0</v>
      </c>
      <c r="F370" s="418">
        <v>22848524.810000002</v>
      </c>
      <c r="G370" s="418">
        <v>21009861.32</v>
      </c>
      <c r="H370" s="418">
        <v>10644951.27</v>
      </c>
      <c r="I370" s="418">
        <v>0</v>
      </c>
      <c r="J370" s="413">
        <v>0</v>
      </c>
      <c r="L370" s="418" t="str">
        <f t="shared" si="103"/>
        <v>Projected - Electric</v>
      </c>
      <c r="M370" s="418" t="str">
        <f t="shared" si="104"/>
        <v>E3536 TSM Substation Equipment</v>
      </c>
      <c r="N370" s="418" t="str">
        <f t="shared" si="100"/>
        <v>Projected</v>
      </c>
      <c r="O370" s="418" t="str">
        <f t="shared" si="105"/>
        <v>101-E353</v>
      </c>
      <c r="P370" s="418">
        <f t="shared" si="106"/>
        <v>0</v>
      </c>
      <c r="Q370" s="418">
        <f t="shared" si="107"/>
        <v>22848524.810000002</v>
      </c>
      <c r="R370" s="418">
        <f t="shared" si="108"/>
        <v>21009861.32</v>
      </c>
      <c r="S370" s="418">
        <f t="shared" si="109"/>
        <v>10644951.27</v>
      </c>
      <c r="T370" s="418">
        <f t="shared" si="110"/>
        <v>0</v>
      </c>
      <c r="V370" s="418" t="str">
        <f t="shared" si="111"/>
        <v>Projected - Electric</v>
      </c>
      <c r="W370" s="418" t="str">
        <f t="shared" si="112"/>
        <v>E3536 TSM Substation Equipment</v>
      </c>
      <c r="X370" s="418" t="str">
        <f t="shared" si="101"/>
        <v>Projected</v>
      </c>
      <c r="Y370" s="418" t="str">
        <f t="shared" si="113"/>
        <v>101-E353</v>
      </c>
      <c r="Z370" s="418">
        <f t="shared" si="114"/>
        <v>0</v>
      </c>
      <c r="AA370" s="418">
        <f t="shared" si="115"/>
        <v>0</v>
      </c>
      <c r="AB370" s="418">
        <f t="shared" si="116"/>
        <v>0</v>
      </c>
      <c r="AC370" s="418">
        <f t="shared" si="117"/>
        <v>0</v>
      </c>
      <c r="AD370" s="418">
        <f t="shared" si="118"/>
        <v>0</v>
      </c>
      <c r="AE370" s="413">
        <f t="shared" si="119"/>
        <v>0</v>
      </c>
    </row>
    <row r="371" spans="1:31" x14ac:dyDescent="0.3">
      <c r="A371" s="415" t="s">
        <v>1604</v>
      </c>
      <c r="B371" s="418" t="s">
        <v>1797</v>
      </c>
      <c r="C371" s="418" t="s">
        <v>26</v>
      </c>
      <c r="D371" s="418" t="str">
        <f t="shared" si="102"/>
        <v>101-E353</v>
      </c>
      <c r="E371" s="418">
        <v>0</v>
      </c>
      <c r="F371" s="418">
        <v>7.08</v>
      </c>
      <c r="G371" s="418">
        <v>10.61</v>
      </c>
      <c r="H371" s="418">
        <v>17.690000000000001</v>
      </c>
      <c r="I371" s="418">
        <v>0</v>
      </c>
      <c r="J371" s="413">
        <v>0</v>
      </c>
      <c r="L371" s="418" t="str">
        <f t="shared" si="103"/>
        <v>Projected - Electric</v>
      </c>
      <c r="M371" s="418" t="str">
        <f t="shared" si="104"/>
        <v>E3537 TSM Substation Equipment</v>
      </c>
      <c r="N371" s="418" t="str">
        <f t="shared" si="100"/>
        <v>Projected</v>
      </c>
      <c r="O371" s="418" t="str">
        <f t="shared" si="105"/>
        <v>101-E353</v>
      </c>
      <c r="P371" s="418">
        <f t="shared" si="106"/>
        <v>0</v>
      </c>
      <c r="Q371" s="418">
        <f t="shared" si="107"/>
        <v>7.08</v>
      </c>
      <c r="R371" s="418">
        <f t="shared" si="108"/>
        <v>10.61</v>
      </c>
      <c r="S371" s="418">
        <f t="shared" si="109"/>
        <v>17.690000000000001</v>
      </c>
      <c r="T371" s="418">
        <f t="shared" si="110"/>
        <v>0</v>
      </c>
      <c r="V371" s="418" t="str">
        <f t="shared" si="111"/>
        <v>Projected - Electric</v>
      </c>
      <c r="W371" s="418" t="str">
        <f t="shared" si="112"/>
        <v>E3537 TSM Substation Equipment</v>
      </c>
      <c r="X371" s="418" t="str">
        <f t="shared" si="101"/>
        <v>Projected</v>
      </c>
      <c r="Y371" s="418" t="str">
        <f t="shared" si="113"/>
        <v>101-E353</v>
      </c>
      <c r="Z371" s="418">
        <f t="shared" si="114"/>
        <v>0</v>
      </c>
      <c r="AA371" s="418">
        <f t="shared" si="115"/>
        <v>0</v>
      </c>
      <c r="AB371" s="418">
        <f t="shared" si="116"/>
        <v>0</v>
      </c>
      <c r="AC371" s="418">
        <f t="shared" si="117"/>
        <v>0</v>
      </c>
      <c r="AD371" s="418">
        <f t="shared" si="118"/>
        <v>0</v>
      </c>
      <c r="AE371" s="413">
        <f t="shared" si="119"/>
        <v>0</v>
      </c>
    </row>
    <row r="372" spans="1:31" x14ac:dyDescent="0.3">
      <c r="A372" s="415" t="s">
        <v>1604</v>
      </c>
      <c r="B372" s="418" t="s">
        <v>1796</v>
      </c>
      <c r="C372" s="418" t="s">
        <v>26</v>
      </c>
      <c r="D372" s="418" t="str">
        <f t="shared" si="102"/>
        <v>101-E353</v>
      </c>
      <c r="E372" s="418">
        <v>0</v>
      </c>
      <c r="F372" s="418">
        <v>2.88</v>
      </c>
      <c r="G372" s="418">
        <v>4.32</v>
      </c>
      <c r="H372" s="418">
        <v>7.2</v>
      </c>
      <c r="I372" s="418">
        <v>0</v>
      </c>
      <c r="J372" s="413">
        <v>0</v>
      </c>
      <c r="L372" s="418" t="str">
        <f t="shared" si="103"/>
        <v>Projected - Electric</v>
      </c>
      <c r="M372" s="418" t="str">
        <f t="shared" si="104"/>
        <v>E3539 (GIF) Sta Eq, Hopkins Ridge</v>
      </c>
      <c r="N372" s="418" t="str">
        <f t="shared" si="100"/>
        <v>Projected</v>
      </c>
      <c r="O372" s="418" t="str">
        <f t="shared" si="105"/>
        <v>101-E353</v>
      </c>
      <c r="P372" s="418">
        <f t="shared" si="106"/>
        <v>0</v>
      </c>
      <c r="Q372" s="418">
        <f t="shared" si="107"/>
        <v>2.88</v>
      </c>
      <c r="R372" s="418">
        <f t="shared" si="108"/>
        <v>4.32</v>
      </c>
      <c r="S372" s="418">
        <f t="shared" si="109"/>
        <v>7.2</v>
      </c>
      <c r="T372" s="418">
        <f t="shared" si="110"/>
        <v>0</v>
      </c>
      <c r="V372" s="418" t="str">
        <f t="shared" si="111"/>
        <v>Projected - Electric</v>
      </c>
      <c r="W372" s="418" t="str">
        <f t="shared" si="112"/>
        <v>E3539 (GIF) Sta Eq, Hopkins Ridge</v>
      </c>
      <c r="X372" s="418" t="str">
        <f t="shared" si="101"/>
        <v>Projected</v>
      </c>
      <c r="Y372" s="418" t="str">
        <f t="shared" si="113"/>
        <v>101-E353</v>
      </c>
      <c r="Z372" s="418">
        <f t="shared" si="114"/>
        <v>0</v>
      </c>
      <c r="AA372" s="418">
        <f t="shared" si="115"/>
        <v>0</v>
      </c>
      <c r="AB372" s="418">
        <f t="shared" si="116"/>
        <v>0</v>
      </c>
      <c r="AC372" s="418">
        <f t="shared" si="117"/>
        <v>0</v>
      </c>
      <c r="AD372" s="418">
        <f t="shared" si="118"/>
        <v>0</v>
      </c>
      <c r="AE372" s="413">
        <f t="shared" si="119"/>
        <v>0</v>
      </c>
    </row>
    <row r="373" spans="1:31" x14ac:dyDescent="0.3">
      <c r="A373" s="415" t="s">
        <v>1604</v>
      </c>
      <c r="B373" s="418" t="s">
        <v>1795</v>
      </c>
      <c r="C373" s="418" t="s">
        <v>26</v>
      </c>
      <c r="D373" s="418" t="str">
        <f t="shared" si="102"/>
        <v>101-E353</v>
      </c>
      <c r="E373" s="418">
        <v>0</v>
      </c>
      <c r="F373" s="418">
        <v>14907.92</v>
      </c>
      <c r="G373" s="418">
        <v>15551.9</v>
      </c>
      <c r="H373" s="418">
        <v>30986.12</v>
      </c>
      <c r="I373" s="418">
        <v>0</v>
      </c>
      <c r="J373" s="413">
        <v>0</v>
      </c>
      <c r="L373" s="418" t="str">
        <f t="shared" si="103"/>
        <v>Projected - Electric</v>
      </c>
      <c r="M373" s="418" t="str">
        <f t="shared" si="104"/>
        <v>E3539 (GIF) Sta Eq, HPK sub@plant</v>
      </c>
      <c r="N373" s="418" t="str">
        <f t="shared" si="100"/>
        <v>Projected</v>
      </c>
      <c r="O373" s="418" t="str">
        <f t="shared" si="105"/>
        <v>101-E353</v>
      </c>
      <c r="P373" s="418">
        <f t="shared" si="106"/>
        <v>0</v>
      </c>
      <c r="Q373" s="418">
        <f t="shared" si="107"/>
        <v>14907.92</v>
      </c>
      <c r="R373" s="418">
        <f t="shared" si="108"/>
        <v>15551.9</v>
      </c>
      <c r="S373" s="418">
        <f t="shared" si="109"/>
        <v>30986.12</v>
      </c>
      <c r="T373" s="418">
        <f t="shared" si="110"/>
        <v>0</v>
      </c>
      <c r="V373" s="418" t="str">
        <f t="shared" si="111"/>
        <v>Projected - Electric</v>
      </c>
      <c r="W373" s="418" t="str">
        <f t="shared" si="112"/>
        <v>E3539 (GIF) Sta Eq, HPK sub@plant</v>
      </c>
      <c r="X373" s="418" t="str">
        <f t="shared" si="101"/>
        <v>Projected</v>
      </c>
      <c r="Y373" s="418" t="str">
        <f t="shared" si="113"/>
        <v>101-E353</v>
      </c>
      <c r="Z373" s="418">
        <f t="shared" si="114"/>
        <v>0</v>
      </c>
      <c r="AA373" s="418">
        <f t="shared" si="115"/>
        <v>0</v>
      </c>
      <c r="AB373" s="418">
        <f t="shared" si="116"/>
        <v>0</v>
      </c>
      <c r="AC373" s="418">
        <f t="shared" si="117"/>
        <v>0</v>
      </c>
      <c r="AD373" s="418">
        <f t="shared" si="118"/>
        <v>0</v>
      </c>
      <c r="AE373" s="413">
        <f t="shared" si="119"/>
        <v>0</v>
      </c>
    </row>
    <row r="374" spans="1:31" x14ac:dyDescent="0.3">
      <c r="A374" s="415" t="s">
        <v>1604</v>
      </c>
      <c r="B374" s="418" t="s">
        <v>1794</v>
      </c>
      <c r="C374" s="418" t="s">
        <v>26</v>
      </c>
      <c r="D374" s="418" t="str">
        <f t="shared" si="102"/>
        <v>101-E353</v>
      </c>
      <c r="E374" s="418">
        <v>0</v>
      </c>
      <c r="F374" s="418">
        <v>0</v>
      </c>
      <c r="G374" s="418">
        <v>0</v>
      </c>
      <c r="H374" s="418">
        <v>0</v>
      </c>
      <c r="I374" s="418">
        <v>0</v>
      </c>
      <c r="J374" s="413">
        <v>0</v>
      </c>
      <c r="L374" s="418" t="str">
        <f t="shared" si="103"/>
        <v>Projected - Electric</v>
      </c>
      <c r="M374" s="418" t="str">
        <f t="shared" si="104"/>
        <v>E3539 (GIF) Sta Eq, LSR</v>
      </c>
      <c r="N374" s="418" t="str">
        <f t="shared" si="100"/>
        <v>Projected</v>
      </c>
      <c r="O374" s="418" t="str">
        <f t="shared" si="105"/>
        <v>101-E353</v>
      </c>
      <c r="P374" s="418">
        <f t="shared" si="106"/>
        <v>0</v>
      </c>
      <c r="Q374" s="418">
        <f t="shared" si="107"/>
        <v>0</v>
      </c>
      <c r="R374" s="418">
        <f t="shared" si="108"/>
        <v>0</v>
      </c>
      <c r="S374" s="418">
        <f t="shared" si="109"/>
        <v>0</v>
      </c>
      <c r="T374" s="418">
        <f t="shared" si="110"/>
        <v>0</v>
      </c>
      <c r="V374" s="418" t="str">
        <f t="shared" si="111"/>
        <v>Projected - Electric</v>
      </c>
      <c r="W374" s="418" t="str">
        <f t="shared" si="112"/>
        <v>E3539 (GIF) Sta Eq, LSR</v>
      </c>
      <c r="X374" s="418" t="str">
        <f t="shared" si="101"/>
        <v>Projected</v>
      </c>
      <c r="Y374" s="418" t="str">
        <f t="shared" si="113"/>
        <v>101-E353</v>
      </c>
      <c r="Z374" s="418">
        <f t="shared" si="114"/>
        <v>0</v>
      </c>
      <c r="AA374" s="418">
        <f t="shared" si="115"/>
        <v>0</v>
      </c>
      <c r="AB374" s="418">
        <f t="shared" si="116"/>
        <v>0</v>
      </c>
      <c r="AC374" s="418">
        <f t="shared" si="117"/>
        <v>0</v>
      </c>
      <c r="AD374" s="418">
        <f t="shared" si="118"/>
        <v>0</v>
      </c>
      <c r="AE374" s="413">
        <f t="shared" si="119"/>
        <v>0</v>
      </c>
    </row>
    <row r="375" spans="1:31" x14ac:dyDescent="0.3">
      <c r="A375" s="415" t="s">
        <v>1604</v>
      </c>
      <c r="B375" s="418" t="s">
        <v>1793</v>
      </c>
      <c r="C375" s="418" t="s">
        <v>26</v>
      </c>
      <c r="D375" s="418" t="str">
        <f t="shared" si="102"/>
        <v>101-E355</v>
      </c>
      <c r="E375" s="418">
        <v>0</v>
      </c>
      <c r="F375" s="418">
        <v>2413891.7399999998</v>
      </c>
      <c r="G375" s="418">
        <v>1985786.96</v>
      </c>
      <c r="H375" s="418">
        <v>16170645.75</v>
      </c>
      <c r="I375" s="418">
        <v>0</v>
      </c>
      <c r="J375" s="413">
        <v>0</v>
      </c>
      <c r="L375" s="418" t="str">
        <f t="shared" si="103"/>
        <v>Projected - Electric</v>
      </c>
      <c r="M375" s="418" t="str">
        <f t="shared" si="104"/>
        <v>E355 TSM Poles &amp; Fixtures</v>
      </c>
      <c r="N375" s="418" t="str">
        <f t="shared" si="100"/>
        <v>Projected</v>
      </c>
      <c r="O375" s="418" t="str">
        <f t="shared" si="105"/>
        <v>101-E355</v>
      </c>
      <c r="P375" s="418">
        <f t="shared" si="106"/>
        <v>0</v>
      </c>
      <c r="Q375" s="418">
        <f t="shared" si="107"/>
        <v>2413891.7399999998</v>
      </c>
      <c r="R375" s="418">
        <f t="shared" si="108"/>
        <v>1985786.96</v>
      </c>
      <c r="S375" s="418">
        <f t="shared" si="109"/>
        <v>16170645.75</v>
      </c>
      <c r="T375" s="418">
        <f t="shared" si="110"/>
        <v>0</v>
      </c>
      <c r="V375" s="418" t="str">
        <f t="shared" si="111"/>
        <v>Projected - Electric</v>
      </c>
      <c r="W375" s="418" t="str">
        <f t="shared" si="112"/>
        <v>E355 TSM Poles &amp; Fixtures</v>
      </c>
      <c r="X375" s="418" t="str">
        <f t="shared" si="101"/>
        <v>Projected</v>
      </c>
      <c r="Y375" s="418" t="str">
        <f t="shared" si="113"/>
        <v>101-E355</v>
      </c>
      <c r="Z375" s="418">
        <f t="shared" si="114"/>
        <v>0</v>
      </c>
      <c r="AA375" s="418">
        <f t="shared" si="115"/>
        <v>0</v>
      </c>
      <c r="AB375" s="418">
        <f t="shared" si="116"/>
        <v>0</v>
      </c>
      <c r="AC375" s="418">
        <f t="shared" si="117"/>
        <v>0</v>
      </c>
      <c r="AD375" s="418">
        <f t="shared" si="118"/>
        <v>0</v>
      </c>
      <c r="AE375" s="413">
        <f t="shared" si="119"/>
        <v>0</v>
      </c>
    </row>
    <row r="376" spans="1:31" x14ac:dyDescent="0.3">
      <c r="A376" s="415" t="s">
        <v>1604</v>
      </c>
      <c r="B376" s="418" t="s">
        <v>1717</v>
      </c>
      <c r="C376" s="418" t="s">
        <v>26</v>
      </c>
      <c r="D376" s="418" t="str">
        <f t="shared" si="102"/>
        <v>101-E355</v>
      </c>
      <c r="E376" s="418">
        <v>0</v>
      </c>
      <c r="F376" s="418">
        <v>5833629.8099999996</v>
      </c>
      <c r="G376" s="418">
        <v>11781988.6</v>
      </c>
      <c r="H376" s="418">
        <v>20152191.009999998</v>
      </c>
      <c r="I376" s="418">
        <v>0</v>
      </c>
      <c r="J376" s="413">
        <v>0</v>
      </c>
      <c r="L376" s="418" t="str">
        <f t="shared" si="103"/>
        <v>Projected - Electric</v>
      </c>
      <c r="M376" s="418" t="str">
        <f t="shared" si="104"/>
        <v>E3556 TSM Poles</v>
      </c>
      <c r="N376" s="418" t="str">
        <f t="shared" si="100"/>
        <v>Projected</v>
      </c>
      <c r="O376" s="418" t="str">
        <f t="shared" si="105"/>
        <v>101-E355</v>
      </c>
      <c r="P376" s="418">
        <f t="shared" si="106"/>
        <v>0</v>
      </c>
      <c r="Q376" s="418">
        <f t="shared" si="107"/>
        <v>5833629.8099999996</v>
      </c>
      <c r="R376" s="418">
        <f t="shared" si="108"/>
        <v>11781988.6</v>
      </c>
      <c r="S376" s="418">
        <f t="shared" si="109"/>
        <v>20152191.009999998</v>
      </c>
      <c r="T376" s="418">
        <f t="shared" si="110"/>
        <v>0</v>
      </c>
      <c r="V376" s="418" t="str">
        <f t="shared" si="111"/>
        <v>Projected - Electric</v>
      </c>
      <c r="W376" s="418" t="str">
        <f t="shared" si="112"/>
        <v>E3556 TSM Poles</v>
      </c>
      <c r="X376" s="418" t="str">
        <f t="shared" si="101"/>
        <v>Projected</v>
      </c>
      <c r="Y376" s="418" t="str">
        <f t="shared" si="113"/>
        <v>101-E355</v>
      </c>
      <c r="Z376" s="418">
        <f t="shared" si="114"/>
        <v>0</v>
      </c>
      <c r="AA376" s="418">
        <f t="shared" si="115"/>
        <v>0</v>
      </c>
      <c r="AB376" s="418">
        <f t="shared" si="116"/>
        <v>0</v>
      </c>
      <c r="AC376" s="418">
        <f t="shared" si="117"/>
        <v>0</v>
      </c>
      <c r="AD376" s="418">
        <f t="shared" si="118"/>
        <v>0</v>
      </c>
      <c r="AE376" s="413">
        <f t="shared" si="119"/>
        <v>0</v>
      </c>
    </row>
    <row r="377" spans="1:31" x14ac:dyDescent="0.3">
      <c r="A377" s="415" t="s">
        <v>1604</v>
      </c>
      <c r="B377" s="418" t="s">
        <v>1792</v>
      </c>
      <c r="C377" s="418" t="s">
        <v>26</v>
      </c>
      <c r="D377" s="418" t="str">
        <f t="shared" si="102"/>
        <v>101-E355</v>
      </c>
      <c r="E377" s="418">
        <v>0</v>
      </c>
      <c r="F377" s="418">
        <v>744.33</v>
      </c>
      <c r="G377" s="418">
        <v>1115.33</v>
      </c>
      <c r="H377" s="418">
        <v>1856.2</v>
      </c>
      <c r="I377" s="418">
        <v>0</v>
      </c>
      <c r="J377" s="413">
        <v>0</v>
      </c>
      <c r="L377" s="418" t="str">
        <f t="shared" si="103"/>
        <v>Projected - Electric</v>
      </c>
      <c r="M377" s="418" t="str">
        <f t="shared" si="104"/>
        <v>E3557 TSM Poles</v>
      </c>
      <c r="N377" s="418" t="str">
        <f t="shared" si="100"/>
        <v>Projected</v>
      </c>
      <c r="O377" s="418" t="str">
        <f t="shared" si="105"/>
        <v>101-E355</v>
      </c>
      <c r="P377" s="418">
        <f t="shared" si="106"/>
        <v>0</v>
      </c>
      <c r="Q377" s="418">
        <f t="shared" si="107"/>
        <v>744.33</v>
      </c>
      <c r="R377" s="418">
        <f t="shared" si="108"/>
        <v>1115.33</v>
      </c>
      <c r="S377" s="418">
        <f t="shared" si="109"/>
        <v>1856.2</v>
      </c>
      <c r="T377" s="418">
        <f t="shared" si="110"/>
        <v>0</v>
      </c>
      <c r="V377" s="418" t="str">
        <f t="shared" si="111"/>
        <v>Projected - Electric</v>
      </c>
      <c r="W377" s="418" t="str">
        <f t="shared" si="112"/>
        <v>E3557 TSM Poles</v>
      </c>
      <c r="X377" s="418" t="str">
        <f t="shared" si="101"/>
        <v>Projected</v>
      </c>
      <c r="Y377" s="418" t="str">
        <f t="shared" si="113"/>
        <v>101-E355</v>
      </c>
      <c r="Z377" s="418">
        <f t="shared" si="114"/>
        <v>0</v>
      </c>
      <c r="AA377" s="418">
        <f t="shared" si="115"/>
        <v>0</v>
      </c>
      <c r="AB377" s="418">
        <f t="shared" si="116"/>
        <v>0</v>
      </c>
      <c r="AC377" s="418">
        <f t="shared" si="117"/>
        <v>0</v>
      </c>
      <c r="AD377" s="418">
        <f t="shared" si="118"/>
        <v>0</v>
      </c>
      <c r="AE377" s="413">
        <f t="shared" si="119"/>
        <v>0</v>
      </c>
    </row>
    <row r="378" spans="1:31" x14ac:dyDescent="0.3">
      <c r="A378" s="415" t="s">
        <v>1604</v>
      </c>
      <c r="B378" s="418" t="s">
        <v>1791</v>
      </c>
      <c r="C378" s="418" t="s">
        <v>26</v>
      </c>
      <c r="D378" s="418" t="str">
        <f t="shared" si="102"/>
        <v>101-E355</v>
      </c>
      <c r="E378" s="418">
        <v>0</v>
      </c>
      <c r="F378" s="418">
        <v>0</v>
      </c>
      <c r="G378" s="418">
        <v>0</v>
      </c>
      <c r="H378" s="418">
        <v>0</v>
      </c>
      <c r="I378" s="418">
        <v>0</v>
      </c>
      <c r="J378" s="413">
        <v>0</v>
      </c>
      <c r="L378" s="418" t="str">
        <f t="shared" si="103"/>
        <v>Projected - Electric</v>
      </c>
      <c r="M378" s="418" t="str">
        <f t="shared" si="104"/>
        <v>E3559 (GIF) TSM Poles, LSR</v>
      </c>
      <c r="N378" s="418" t="str">
        <f t="shared" si="100"/>
        <v>Projected</v>
      </c>
      <c r="O378" s="418" t="str">
        <f t="shared" si="105"/>
        <v>101-E355</v>
      </c>
      <c r="P378" s="418">
        <f t="shared" si="106"/>
        <v>0</v>
      </c>
      <c r="Q378" s="418">
        <f t="shared" si="107"/>
        <v>0</v>
      </c>
      <c r="R378" s="418">
        <f t="shared" si="108"/>
        <v>0</v>
      </c>
      <c r="S378" s="418">
        <f t="shared" si="109"/>
        <v>0</v>
      </c>
      <c r="T378" s="418">
        <f t="shared" si="110"/>
        <v>0</v>
      </c>
      <c r="V378" s="418" t="str">
        <f t="shared" si="111"/>
        <v>Projected - Electric</v>
      </c>
      <c r="W378" s="418" t="str">
        <f t="shared" si="112"/>
        <v>E3559 (GIF) TSM Poles, LSR</v>
      </c>
      <c r="X378" s="418" t="str">
        <f t="shared" si="101"/>
        <v>Projected</v>
      </c>
      <c r="Y378" s="418" t="str">
        <f t="shared" si="113"/>
        <v>101-E355</v>
      </c>
      <c r="Z378" s="418">
        <f t="shared" si="114"/>
        <v>0</v>
      </c>
      <c r="AA378" s="418">
        <f t="shared" si="115"/>
        <v>0</v>
      </c>
      <c r="AB378" s="418">
        <f t="shared" si="116"/>
        <v>0</v>
      </c>
      <c r="AC378" s="418">
        <f t="shared" si="117"/>
        <v>0</v>
      </c>
      <c r="AD378" s="418">
        <f t="shared" si="118"/>
        <v>0</v>
      </c>
      <c r="AE378" s="413">
        <f t="shared" si="119"/>
        <v>0</v>
      </c>
    </row>
    <row r="379" spans="1:31" x14ac:dyDescent="0.3">
      <c r="A379" s="415" t="s">
        <v>1604</v>
      </c>
      <c r="B379" s="418" t="s">
        <v>1790</v>
      </c>
      <c r="C379" s="418" t="s">
        <v>26</v>
      </c>
      <c r="D379" s="418" t="str">
        <f t="shared" si="102"/>
        <v>101-E356</v>
      </c>
      <c r="E379" s="418">
        <v>0</v>
      </c>
      <c r="F379" s="418">
        <v>37265.57</v>
      </c>
      <c r="G379" s="418">
        <v>41107.449999999997</v>
      </c>
      <c r="H379" s="418">
        <v>133081.17000000001</v>
      </c>
      <c r="I379" s="418">
        <v>0</v>
      </c>
      <c r="J379" s="413">
        <v>0</v>
      </c>
      <c r="L379" s="418" t="str">
        <f t="shared" si="103"/>
        <v>Projected - Electric</v>
      </c>
      <c r="M379" s="418" t="str">
        <f t="shared" si="104"/>
        <v>E356 TSM O/H Cond, 3rd AC Line</v>
      </c>
      <c r="N379" s="418" t="str">
        <f t="shared" si="100"/>
        <v>Projected</v>
      </c>
      <c r="O379" s="418" t="str">
        <f t="shared" si="105"/>
        <v>101-E356</v>
      </c>
      <c r="P379" s="418">
        <f t="shared" si="106"/>
        <v>0</v>
      </c>
      <c r="Q379" s="418">
        <f t="shared" si="107"/>
        <v>37265.57</v>
      </c>
      <c r="R379" s="418">
        <f t="shared" si="108"/>
        <v>41107.449999999997</v>
      </c>
      <c r="S379" s="418">
        <f t="shared" si="109"/>
        <v>133081.17000000001</v>
      </c>
      <c r="T379" s="418">
        <f t="shared" si="110"/>
        <v>0</v>
      </c>
      <c r="V379" s="418" t="str">
        <f t="shared" si="111"/>
        <v>Projected - Electric</v>
      </c>
      <c r="W379" s="418" t="str">
        <f t="shared" si="112"/>
        <v>E356 TSM O/H Cond, 3rd AC Line</v>
      </c>
      <c r="X379" s="418" t="str">
        <f t="shared" si="101"/>
        <v>Projected</v>
      </c>
      <c r="Y379" s="418" t="str">
        <f t="shared" si="113"/>
        <v>101-E356</v>
      </c>
      <c r="Z379" s="418">
        <f t="shared" si="114"/>
        <v>0</v>
      </c>
      <c r="AA379" s="418">
        <f t="shared" si="115"/>
        <v>0</v>
      </c>
      <c r="AB379" s="418">
        <f t="shared" si="116"/>
        <v>0</v>
      </c>
      <c r="AC379" s="418">
        <f t="shared" si="117"/>
        <v>0</v>
      </c>
      <c r="AD379" s="418">
        <f t="shared" si="118"/>
        <v>0</v>
      </c>
      <c r="AE379" s="413">
        <f t="shared" si="119"/>
        <v>0</v>
      </c>
    </row>
    <row r="380" spans="1:31" x14ac:dyDescent="0.3">
      <c r="A380" s="415" t="s">
        <v>1604</v>
      </c>
      <c r="B380" s="418" t="s">
        <v>1789</v>
      </c>
      <c r="C380" s="418" t="s">
        <v>26</v>
      </c>
      <c r="D380" s="418" t="str">
        <f t="shared" si="102"/>
        <v>101-E356</v>
      </c>
      <c r="E380" s="418">
        <v>0</v>
      </c>
      <c r="F380" s="418">
        <v>2318688.71</v>
      </c>
      <c r="G380" s="418">
        <v>3281785.08</v>
      </c>
      <c r="H380" s="418">
        <v>8038487.7299999986</v>
      </c>
      <c r="I380" s="418">
        <v>0</v>
      </c>
      <c r="J380" s="413">
        <v>0</v>
      </c>
      <c r="L380" s="418" t="str">
        <f t="shared" si="103"/>
        <v>Projected - Electric</v>
      </c>
      <c r="M380" s="418" t="str">
        <f t="shared" si="104"/>
        <v>E356 TSM O/H Conductor &amp; Devices</v>
      </c>
      <c r="N380" s="418" t="str">
        <f t="shared" si="100"/>
        <v>Projected</v>
      </c>
      <c r="O380" s="418" t="str">
        <f t="shared" si="105"/>
        <v>101-E356</v>
      </c>
      <c r="P380" s="418">
        <f t="shared" si="106"/>
        <v>0</v>
      </c>
      <c r="Q380" s="418">
        <f t="shared" si="107"/>
        <v>2318688.71</v>
      </c>
      <c r="R380" s="418">
        <f t="shared" si="108"/>
        <v>3281785.08</v>
      </c>
      <c r="S380" s="418">
        <f t="shared" si="109"/>
        <v>8038487.7299999986</v>
      </c>
      <c r="T380" s="418">
        <f t="shared" si="110"/>
        <v>0</v>
      </c>
      <c r="V380" s="418" t="str">
        <f t="shared" si="111"/>
        <v>Projected - Electric</v>
      </c>
      <c r="W380" s="418" t="str">
        <f t="shared" si="112"/>
        <v>E356 TSM O/H Conductor &amp; Devices</v>
      </c>
      <c r="X380" s="418" t="str">
        <f t="shared" si="101"/>
        <v>Projected</v>
      </c>
      <c r="Y380" s="418" t="str">
        <f t="shared" si="113"/>
        <v>101-E356</v>
      </c>
      <c r="Z380" s="418">
        <f t="shared" si="114"/>
        <v>0</v>
      </c>
      <c r="AA380" s="418">
        <f t="shared" si="115"/>
        <v>0</v>
      </c>
      <c r="AB380" s="418">
        <f t="shared" si="116"/>
        <v>0</v>
      </c>
      <c r="AC380" s="418">
        <f t="shared" si="117"/>
        <v>0</v>
      </c>
      <c r="AD380" s="418">
        <f t="shared" si="118"/>
        <v>0</v>
      </c>
      <c r="AE380" s="413">
        <f t="shared" si="119"/>
        <v>0</v>
      </c>
    </row>
    <row r="381" spans="1:31" x14ac:dyDescent="0.3">
      <c r="A381" s="415" t="s">
        <v>1604</v>
      </c>
      <c r="B381" s="418" t="s">
        <v>1788</v>
      </c>
      <c r="C381" s="418" t="s">
        <v>26</v>
      </c>
      <c r="D381" s="418" t="str">
        <f t="shared" si="102"/>
        <v>101-E356</v>
      </c>
      <c r="E381" s="418">
        <v>0</v>
      </c>
      <c r="F381" s="418">
        <v>54301.97</v>
      </c>
      <c r="G381" s="418">
        <v>47297.090000000004</v>
      </c>
      <c r="H381" s="418">
        <v>347491.03999999992</v>
      </c>
      <c r="I381" s="418">
        <v>0</v>
      </c>
      <c r="J381" s="413">
        <v>0</v>
      </c>
      <c r="L381" s="418" t="str">
        <f t="shared" si="103"/>
        <v>Projected - Electric</v>
      </c>
      <c r="M381" s="418" t="str">
        <f t="shared" si="104"/>
        <v>E3566 TSM O/H Conductor/Devices</v>
      </c>
      <c r="N381" s="418" t="str">
        <f t="shared" si="100"/>
        <v>Projected</v>
      </c>
      <c r="O381" s="418" t="str">
        <f t="shared" si="105"/>
        <v>101-E356</v>
      </c>
      <c r="P381" s="418">
        <f t="shared" si="106"/>
        <v>0</v>
      </c>
      <c r="Q381" s="418">
        <f t="shared" si="107"/>
        <v>54301.97</v>
      </c>
      <c r="R381" s="418">
        <f t="shared" si="108"/>
        <v>47297.090000000004</v>
      </c>
      <c r="S381" s="418">
        <f t="shared" si="109"/>
        <v>347491.03999999992</v>
      </c>
      <c r="T381" s="418">
        <f t="shared" si="110"/>
        <v>0</v>
      </c>
      <c r="V381" s="418" t="str">
        <f t="shared" si="111"/>
        <v>Projected - Electric</v>
      </c>
      <c r="W381" s="418" t="str">
        <f t="shared" si="112"/>
        <v>E3566 TSM O/H Conductor/Devices</v>
      </c>
      <c r="X381" s="418" t="str">
        <f t="shared" si="101"/>
        <v>Projected</v>
      </c>
      <c r="Y381" s="418" t="str">
        <f t="shared" si="113"/>
        <v>101-E356</v>
      </c>
      <c r="Z381" s="418">
        <f t="shared" si="114"/>
        <v>0</v>
      </c>
      <c r="AA381" s="418">
        <f t="shared" si="115"/>
        <v>0</v>
      </c>
      <c r="AB381" s="418">
        <f t="shared" si="116"/>
        <v>0</v>
      </c>
      <c r="AC381" s="418">
        <f t="shared" si="117"/>
        <v>0</v>
      </c>
      <c r="AD381" s="418">
        <f t="shared" si="118"/>
        <v>0</v>
      </c>
      <c r="AE381" s="413">
        <f t="shared" si="119"/>
        <v>0</v>
      </c>
    </row>
    <row r="382" spans="1:31" x14ac:dyDescent="0.3">
      <c r="A382" s="415" t="s">
        <v>1604</v>
      </c>
      <c r="B382" s="418" t="s">
        <v>1787</v>
      </c>
      <c r="C382" s="418" t="s">
        <v>26</v>
      </c>
      <c r="D382" s="418" t="str">
        <f t="shared" si="102"/>
        <v>101-E356</v>
      </c>
      <c r="E382" s="418">
        <v>0</v>
      </c>
      <c r="F382" s="418">
        <v>265.68</v>
      </c>
      <c r="G382" s="418">
        <v>398.53</v>
      </c>
      <c r="H382" s="418">
        <v>664.21</v>
      </c>
      <c r="I382" s="418">
        <v>0</v>
      </c>
      <c r="J382" s="413">
        <v>0</v>
      </c>
      <c r="L382" s="418" t="str">
        <f t="shared" si="103"/>
        <v>Projected - Electric</v>
      </c>
      <c r="M382" s="418" t="str">
        <f t="shared" si="104"/>
        <v>E3567 TSM O/H Conductor/Devices</v>
      </c>
      <c r="N382" s="418" t="str">
        <f t="shared" si="100"/>
        <v>Projected</v>
      </c>
      <c r="O382" s="418" t="str">
        <f t="shared" si="105"/>
        <v>101-E356</v>
      </c>
      <c r="P382" s="418">
        <f t="shared" si="106"/>
        <v>0</v>
      </c>
      <c r="Q382" s="418">
        <f t="shared" si="107"/>
        <v>265.68</v>
      </c>
      <c r="R382" s="418">
        <f t="shared" si="108"/>
        <v>398.53</v>
      </c>
      <c r="S382" s="418">
        <f t="shared" si="109"/>
        <v>664.21</v>
      </c>
      <c r="T382" s="418">
        <f t="shared" si="110"/>
        <v>0</v>
      </c>
      <c r="V382" s="418" t="str">
        <f t="shared" si="111"/>
        <v>Projected - Electric</v>
      </c>
      <c r="W382" s="418" t="str">
        <f t="shared" si="112"/>
        <v>E3567 TSM O/H Conductor/Devices</v>
      </c>
      <c r="X382" s="418" t="str">
        <f t="shared" si="101"/>
        <v>Projected</v>
      </c>
      <c r="Y382" s="418" t="str">
        <f t="shared" si="113"/>
        <v>101-E356</v>
      </c>
      <c r="Z382" s="418">
        <f t="shared" si="114"/>
        <v>0</v>
      </c>
      <c r="AA382" s="418">
        <f t="shared" si="115"/>
        <v>0</v>
      </c>
      <c r="AB382" s="418">
        <f t="shared" si="116"/>
        <v>0</v>
      </c>
      <c r="AC382" s="418">
        <f t="shared" si="117"/>
        <v>0</v>
      </c>
      <c r="AD382" s="418">
        <f t="shared" si="118"/>
        <v>0</v>
      </c>
      <c r="AE382" s="413">
        <f t="shared" si="119"/>
        <v>0</v>
      </c>
    </row>
    <row r="383" spans="1:31" x14ac:dyDescent="0.3">
      <c r="A383" s="415" t="s">
        <v>1604</v>
      </c>
      <c r="B383" s="418" t="s">
        <v>1786</v>
      </c>
      <c r="C383" s="418" t="s">
        <v>26</v>
      </c>
      <c r="D383" s="418" t="str">
        <f t="shared" si="102"/>
        <v>101-E356</v>
      </c>
      <c r="E383" s="418">
        <v>0</v>
      </c>
      <c r="F383" s="418">
        <v>14612.67</v>
      </c>
      <c r="G383" s="418">
        <v>15242.37</v>
      </c>
      <c r="H383" s="418">
        <v>30371.03</v>
      </c>
      <c r="I383" s="418">
        <v>0</v>
      </c>
      <c r="J383" s="413">
        <v>0</v>
      </c>
      <c r="L383" s="418" t="str">
        <f t="shared" si="103"/>
        <v>Projected - Electric</v>
      </c>
      <c r="M383" s="418" t="str">
        <f t="shared" si="104"/>
        <v>E3569 (GIF) O/H Cond, TLN-HPK@plant</v>
      </c>
      <c r="N383" s="418" t="str">
        <f t="shared" si="100"/>
        <v>Projected</v>
      </c>
      <c r="O383" s="418" t="str">
        <f t="shared" si="105"/>
        <v>101-E356</v>
      </c>
      <c r="P383" s="418">
        <f t="shared" si="106"/>
        <v>0</v>
      </c>
      <c r="Q383" s="418">
        <f t="shared" si="107"/>
        <v>14612.67</v>
      </c>
      <c r="R383" s="418">
        <f t="shared" si="108"/>
        <v>15242.37</v>
      </c>
      <c r="S383" s="418">
        <f t="shared" si="109"/>
        <v>30371.03</v>
      </c>
      <c r="T383" s="418">
        <f t="shared" si="110"/>
        <v>0</v>
      </c>
      <c r="V383" s="418" t="str">
        <f t="shared" si="111"/>
        <v>Projected - Electric</v>
      </c>
      <c r="W383" s="418" t="str">
        <f t="shared" si="112"/>
        <v>E3569 (GIF) O/H Cond, TLN-HPK@plant</v>
      </c>
      <c r="X383" s="418" t="str">
        <f t="shared" si="101"/>
        <v>Projected</v>
      </c>
      <c r="Y383" s="418" t="str">
        <f t="shared" si="113"/>
        <v>101-E356</v>
      </c>
      <c r="Z383" s="418">
        <f t="shared" si="114"/>
        <v>0</v>
      </c>
      <c r="AA383" s="418">
        <f t="shared" si="115"/>
        <v>0</v>
      </c>
      <c r="AB383" s="418">
        <f t="shared" si="116"/>
        <v>0</v>
      </c>
      <c r="AC383" s="418">
        <f t="shared" si="117"/>
        <v>0</v>
      </c>
      <c r="AD383" s="418">
        <f t="shared" si="118"/>
        <v>0</v>
      </c>
      <c r="AE383" s="413">
        <f t="shared" si="119"/>
        <v>0</v>
      </c>
    </row>
    <row r="384" spans="1:31" x14ac:dyDescent="0.3">
      <c r="A384" s="415" t="s">
        <v>1604</v>
      </c>
      <c r="B384" s="418" t="s">
        <v>1785</v>
      </c>
      <c r="C384" s="418" t="s">
        <v>26</v>
      </c>
      <c r="D384" s="418" t="str">
        <f t="shared" si="102"/>
        <v>101-E356</v>
      </c>
      <c r="E384" s="418">
        <v>0</v>
      </c>
      <c r="F384" s="418">
        <v>0</v>
      </c>
      <c r="G384" s="418">
        <v>0</v>
      </c>
      <c r="H384" s="418">
        <v>0</v>
      </c>
      <c r="I384" s="418">
        <v>0</v>
      </c>
      <c r="J384" s="413">
        <v>0</v>
      </c>
      <c r="L384" s="418" t="str">
        <f t="shared" si="103"/>
        <v>Projected - Electric</v>
      </c>
      <c r="M384" s="418" t="str">
        <f t="shared" si="104"/>
        <v>E3569 (GIF) O/H Conductor, LSR</v>
      </c>
      <c r="N384" s="418" t="str">
        <f t="shared" si="100"/>
        <v>Projected</v>
      </c>
      <c r="O384" s="418" t="str">
        <f t="shared" si="105"/>
        <v>101-E356</v>
      </c>
      <c r="P384" s="418">
        <f t="shared" si="106"/>
        <v>0</v>
      </c>
      <c r="Q384" s="418">
        <f t="shared" si="107"/>
        <v>0</v>
      </c>
      <c r="R384" s="418">
        <f t="shared" si="108"/>
        <v>0</v>
      </c>
      <c r="S384" s="418">
        <f t="shared" si="109"/>
        <v>0</v>
      </c>
      <c r="T384" s="418">
        <f t="shared" si="110"/>
        <v>0</v>
      </c>
      <c r="V384" s="418" t="str">
        <f t="shared" si="111"/>
        <v>Projected - Electric</v>
      </c>
      <c r="W384" s="418" t="str">
        <f t="shared" si="112"/>
        <v>E3569 (GIF) O/H Conductor, LSR</v>
      </c>
      <c r="X384" s="418" t="str">
        <f t="shared" si="101"/>
        <v>Projected</v>
      </c>
      <c r="Y384" s="418" t="str">
        <f t="shared" si="113"/>
        <v>101-E356</v>
      </c>
      <c r="Z384" s="418">
        <f t="shared" si="114"/>
        <v>0</v>
      </c>
      <c r="AA384" s="418">
        <f t="shared" si="115"/>
        <v>0</v>
      </c>
      <c r="AB384" s="418">
        <f t="shared" si="116"/>
        <v>0</v>
      </c>
      <c r="AC384" s="418">
        <f t="shared" si="117"/>
        <v>0</v>
      </c>
      <c r="AD384" s="418">
        <f t="shared" si="118"/>
        <v>0</v>
      </c>
      <c r="AE384" s="413">
        <f t="shared" si="119"/>
        <v>0</v>
      </c>
    </row>
    <row r="385" spans="1:31" x14ac:dyDescent="0.3">
      <c r="A385" s="415" t="s">
        <v>1604</v>
      </c>
      <c r="B385" s="418" t="s">
        <v>1784</v>
      </c>
      <c r="C385" s="418" t="s">
        <v>26</v>
      </c>
      <c r="D385" s="418" t="str">
        <f t="shared" si="102"/>
        <v>101-E358</v>
      </c>
      <c r="E385" s="418">
        <v>0</v>
      </c>
      <c r="F385" s="418">
        <v>0</v>
      </c>
      <c r="G385" s="418">
        <v>0</v>
      </c>
      <c r="H385" s="418">
        <v>0</v>
      </c>
      <c r="I385" s="418">
        <v>0</v>
      </c>
      <c r="J385" s="413">
        <v>0</v>
      </c>
      <c r="L385" s="418" t="str">
        <f t="shared" si="103"/>
        <v>Projected - Electric</v>
      </c>
      <c r="M385" s="418" t="str">
        <f t="shared" si="104"/>
        <v>E3589 (GIF) UG Conductor, LSR</v>
      </c>
      <c r="N385" s="418" t="str">
        <f t="shared" si="100"/>
        <v>Projected</v>
      </c>
      <c r="O385" s="418" t="str">
        <f t="shared" si="105"/>
        <v>101-E358</v>
      </c>
      <c r="P385" s="418">
        <f t="shared" si="106"/>
        <v>0</v>
      </c>
      <c r="Q385" s="418">
        <f t="shared" si="107"/>
        <v>0</v>
      </c>
      <c r="R385" s="418">
        <f t="shared" si="108"/>
        <v>0</v>
      </c>
      <c r="S385" s="418">
        <f t="shared" si="109"/>
        <v>0</v>
      </c>
      <c r="T385" s="418">
        <f t="shared" si="110"/>
        <v>0</v>
      </c>
      <c r="V385" s="418" t="str">
        <f t="shared" si="111"/>
        <v>Projected - Electric</v>
      </c>
      <c r="W385" s="418" t="str">
        <f t="shared" si="112"/>
        <v>E3589 (GIF) UG Conductor, LSR</v>
      </c>
      <c r="X385" s="418" t="str">
        <f t="shared" si="101"/>
        <v>Projected</v>
      </c>
      <c r="Y385" s="418" t="str">
        <f t="shared" si="113"/>
        <v>101-E358</v>
      </c>
      <c r="Z385" s="418">
        <f t="shared" si="114"/>
        <v>0</v>
      </c>
      <c r="AA385" s="418">
        <f t="shared" si="115"/>
        <v>0</v>
      </c>
      <c r="AB385" s="418">
        <f t="shared" si="116"/>
        <v>0</v>
      </c>
      <c r="AC385" s="418">
        <f t="shared" si="117"/>
        <v>0</v>
      </c>
      <c r="AD385" s="418">
        <f t="shared" si="118"/>
        <v>0</v>
      </c>
      <c r="AE385" s="413">
        <f t="shared" si="119"/>
        <v>0</v>
      </c>
    </row>
    <row r="386" spans="1:31" x14ac:dyDescent="0.3">
      <c r="A386" s="415" t="s">
        <v>1604</v>
      </c>
      <c r="B386" s="418" t="s">
        <v>1783</v>
      </c>
      <c r="C386" s="418" t="s">
        <v>26</v>
      </c>
      <c r="D386" s="418" t="str">
        <f t="shared" si="102"/>
        <v>101-E359</v>
      </c>
      <c r="E386" s="418">
        <v>0</v>
      </c>
      <c r="F386" s="418">
        <v>41627.53</v>
      </c>
      <c r="G386" s="418">
        <v>45919.1</v>
      </c>
      <c r="H386" s="418">
        <v>148658.41</v>
      </c>
      <c r="I386" s="418">
        <v>0</v>
      </c>
      <c r="J386" s="413">
        <v>0</v>
      </c>
      <c r="L386" s="418" t="str">
        <f t="shared" si="103"/>
        <v>Projected - Electric</v>
      </c>
      <c r="M386" s="418" t="str">
        <f t="shared" si="104"/>
        <v>E3590 TSM Roads, 3rd AC Line</v>
      </c>
      <c r="N386" s="418" t="str">
        <f t="shared" si="100"/>
        <v>Projected</v>
      </c>
      <c r="O386" s="418" t="str">
        <f t="shared" si="105"/>
        <v>101-E359</v>
      </c>
      <c r="P386" s="418">
        <f t="shared" si="106"/>
        <v>0</v>
      </c>
      <c r="Q386" s="418">
        <f t="shared" si="107"/>
        <v>41627.53</v>
      </c>
      <c r="R386" s="418">
        <f t="shared" si="108"/>
        <v>45919.1</v>
      </c>
      <c r="S386" s="418">
        <f t="shared" si="109"/>
        <v>148658.41</v>
      </c>
      <c r="T386" s="418">
        <f t="shared" si="110"/>
        <v>0</v>
      </c>
      <c r="V386" s="418" t="str">
        <f t="shared" si="111"/>
        <v>Projected - Electric</v>
      </c>
      <c r="W386" s="418" t="str">
        <f t="shared" si="112"/>
        <v>E3590 TSM Roads, 3rd AC Line</v>
      </c>
      <c r="X386" s="418" t="str">
        <f t="shared" si="101"/>
        <v>Projected</v>
      </c>
      <c r="Y386" s="418" t="str">
        <f t="shared" si="113"/>
        <v>101-E359</v>
      </c>
      <c r="Z386" s="418">
        <f t="shared" si="114"/>
        <v>0</v>
      </c>
      <c r="AA386" s="418">
        <f t="shared" si="115"/>
        <v>0</v>
      </c>
      <c r="AB386" s="418">
        <f t="shared" si="116"/>
        <v>0</v>
      </c>
      <c r="AC386" s="418">
        <f t="shared" si="117"/>
        <v>0</v>
      </c>
      <c r="AD386" s="418">
        <f t="shared" si="118"/>
        <v>0</v>
      </c>
      <c r="AE386" s="413">
        <f t="shared" si="119"/>
        <v>0</v>
      </c>
    </row>
    <row r="387" spans="1:31" x14ac:dyDescent="0.3">
      <c r="A387" s="415" t="s">
        <v>1604</v>
      </c>
      <c r="B387" s="418" t="s">
        <v>1782</v>
      </c>
      <c r="C387" s="418" t="s">
        <v>26</v>
      </c>
      <c r="D387" s="418" t="str">
        <f t="shared" si="102"/>
        <v>101-E360</v>
      </c>
      <c r="E387" s="418">
        <v>0</v>
      </c>
      <c r="F387" s="418">
        <v>849999.96</v>
      </c>
      <c r="G387" s="418">
        <v>1024999.97</v>
      </c>
      <c r="H387" s="418">
        <v>1200000</v>
      </c>
      <c r="I387" s="418">
        <v>0</v>
      </c>
      <c r="J387" s="413">
        <v>0</v>
      </c>
      <c r="L387" s="418" t="str">
        <f t="shared" si="103"/>
        <v>Projected - Electric</v>
      </c>
      <c r="M387" s="418" t="str">
        <f t="shared" si="104"/>
        <v>E3600 DST Land &amp; Land Rights</v>
      </c>
      <c r="N387" s="418" t="str">
        <f t="shared" si="100"/>
        <v>Projected</v>
      </c>
      <c r="O387" s="418" t="str">
        <f t="shared" si="105"/>
        <v>101-E360</v>
      </c>
      <c r="P387" s="418">
        <f t="shared" si="106"/>
        <v>0</v>
      </c>
      <c r="Q387" s="418">
        <f t="shared" si="107"/>
        <v>849999.96</v>
      </c>
      <c r="R387" s="418">
        <f t="shared" si="108"/>
        <v>1024999.97</v>
      </c>
      <c r="S387" s="418">
        <f t="shared" si="109"/>
        <v>1200000</v>
      </c>
      <c r="T387" s="418">
        <f t="shared" si="110"/>
        <v>0</v>
      </c>
      <c r="V387" s="418" t="str">
        <f t="shared" si="111"/>
        <v>Projected - Electric</v>
      </c>
      <c r="W387" s="418" t="str">
        <f t="shared" si="112"/>
        <v>E3600 DST Land &amp; Land Rights</v>
      </c>
      <c r="X387" s="418" t="str">
        <f t="shared" si="101"/>
        <v>Projected</v>
      </c>
      <c r="Y387" s="418" t="str">
        <f t="shared" si="113"/>
        <v>101-E360</v>
      </c>
      <c r="Z387" s="418">
        <f t="shared" si="114"/>
        <v>0</v>
      </c>
      <c r="AA387" s="418">
        <f t="shared" si="115"/>
        <v>0</v>
      </c>
      <c r="AB387" s="418">
        <f t="shared" si="116"/>
        <v>0</v>
      </c>
      <c r="AC387" s="418">
        <f t="shared" si="117"/>
        <v>0</v>
      </c>
      <c r="AD387" s="418">
        <f t="shared" si="118"/>
        <v>0</v>
      </c>
      <c r="AE387" s="413">
        <f t="shared" si="119"/>
        <v>0</v>
      </c>
    </row>
    <row r="388" spans="1:31" x14ac:dyDescent="0.3">
      <c r="A388" s="415" t="s">
        <v>1604</v>
      </c>
      <c r="B388" s="418" t="s">
        <v>1722</v>
      </c>
      <c r="C388" s="418" t="s">
        <v>26</v>
      </c>
      <c r="D388" s="418" t="str">
        <f t="shared" si="102"/>
        <v>101-E361</v>
      </c>
      <c r="E388" s="418">
        <v>0</v>
      </c>
      <c r="F388" s="418">
        <v>831258.52</v>
      </c>
      <c r="G388" s="418">
        <v>1187365.54</v>
      </c>
      <c r="H388" s="418">
        <v>1901182.67</v>
      </c>
      <c r="I388" s="418">
        <v>0</v>
      </c>
      <c r="J388" s="413">
        <v>0</v>
      </c>
      <c r="L388" s="418" t="str">
        <f t="shared" si="103"/>
        <v>Projected - Electric</v>
      </c>
      <c r="M388" s="418" t="str">
        <f t="shared" si="104"/>
        <v>E3610 DST Structures &amp; Improvement</v>
      </c>
      <c r="N388" s="418" t="str">
        <f t="shared" ref="N388:N451" si="120">C388</f>
        <v>Projected</v>
      </c>
      <c r="O388" s="418" t="str">
        <f t="shared" si="105"/>
        <v>101-E361</v>
      </c>
      <c r="P388" s="418">
        <f t="shared" si="106"/>
        <v>0</v>
      </c>
      <c r="Q388" s="418">
        <f t="shared" si="107"/>
        <v>831258.52</v>
      </c>
      <c r="R388" s="418">
        <f t="shared" si="108"/>
        <v>1187365.54</v>
      </c>
      <c r="S388" s="418">
        <f t="shared" si="109"/>
        <v>1901182.67</v>
      </c>
      <c r="T388" s="418">
        <f t="shared" si="110"/>
        <v>0</v>
      </c>
      <c r="V388" s="418" t="str">
        <f t="shared" si="111"/>
        <v>Projected - Electric</v>
      </c>
      <c r="W388" s="418" t="str">
        <f t="shared" si="112"/>
        <v>E3610 DST Structures &amp; Improvement</v>
      </c>
      <c r="X388" s="418" t="str">
        <f t="shared" ref="X388:X451" si="121">C388</f>
        <v>Projected</v>
      </c>
      <c r="Y388" s="418" t="str">
        <f t="shared" si="113"/>
        <v>101-E361</v>
      </c>
      <c r="Z388" s="418">
        <f t="shared" si="114"/>
        <v>0</v>
      </c>
      <c r="AA388" s="418">
        <f t="shared" si="115"/>
        <v>0</v>
      </c>
      <c r="AB388" s="418">
        <f t="shared" si="116"/>
        <v>0</v>
      </c>
      <c r="AC388" s="418">
        <f t="shared" si="117"/>
        <v>0</v>
      </c>
      <c r="AD388" s="418">
        <f t="shared" si="118"/>
        <v>0</v>
      </c>
      <c r="AE388" s="413">
        <f t="shared" si="119"/>
        <v>0</v>
      </c>
    </row>
    <row r="389" spans="1:31" x14ac:dyDescent="0.3">
      <c r="A389" s="415" t="s">
        <v>1604</v>
      </c>
      <c r="B389" s="418" t="s">
        <v>1781</v>
      </c>
      <c r="C389" s="418" t="s">
        <v>26</v>
      </c>
      <c r="D389" s="418" t="str">
        <f t="shared" ref="D389:D452" si="122">"101-"&amp; LEFT(B389,4)</f>
        <v>101-E362</v>
      </c>
      <c r="E389" s="418">
        <v>0</v>
      </c>
      <c r="F389" s="418">
        <v>96155.3</v>
      </c>
      <c r="G389" s="418">
        <v>526929.09</v>
      </c>
      <c r="H389" s="418">
        <v>1500276.8</v>
      </c>
      <c r="I389" s="418">
        <v>0</v>
      </c>
      <c r="J389" s="413">
        <v>0</v>
      </c>
      <c r="L389" s="418" t="str">
        <f t="shared" ref="L389:L452" si="123">A389</f>
        <v>Projected - Electric</v>
      </c>
      <c r="M389" s="418" t="str">
        <f t="shared" ref="M389:M452" si="124">B389</f>
        <v>E3620 DST Substation Equipment</v>
      </c>
      <c r="N389" s="418" t="str">
        <f t="shared" si="120"/>
        <v>Projected</v>
      </c>
      <c r="O389" s="418" t="str">
        <f t="shared" ref="O389:O452" si="125">D389</f>
        <v>101-E362</v>
      </c>
      <c r="P389" s="418">
        <f t="shared" ref="P389:P452" si="126">IF(MID($O389,5,1)="C",E389*$F$1,IF(MID($O389,5,1)="G",0,E389))</f>
        <v>0</v>
      </c>
      <c r="Q389" s="418">
        <f t="shared" ref="Q389:Q452" si="127">IF(MID($O389,5,1)="C",F389*$F$1,IF(MID($O389,5,1)="G",0,F389))</f>
        <v>96155.3</v>
      </c>
      <c r="R389" s="418">
        <f t="shared" ref="R389:R452" si="128">IF(MID($O389,5,1)="C",G389*$F$1,IF(MID($O389,5,1)="G",0,G389))</f>
        <v>526929.09</v>
      </c>
      <c r="S389" s="418">
        <f t="shared" ref="S389:S452" si="129">IF(MID($O389,5,1)="C",H389*$F$1,IF(MID($O389,5,1)="G",0,H389))</f>
        <v>1500276.8</v>
      </c>
      <c r="T389" s="418">
        <f t="shared" ref="T389:T452" si="130">IF(MID($O389,5,1)="C",I389*$F$1,IF(MID($O389,5,1)="G",0,I389))</f>
        <v>0</v>
      </c>
      <c r="V389" s="418" t="str">
        <f t="shared" ref="V389:V452" si="131">A389</f>
        <v>Projected - Electric</v>
      </c>
      <c r="W389" s="418" t="str">
        <f t="shared" ref="W389:W452" si="132">B389</f>
        <v>E3620 DST Substation Equipment</v>
      </c>
      <c r="X389" s="418" t="str">
        <f t="shared" si="121"/>
        <v>Projected</v>
      </c>
      <c r="Y389" s="418" t="str">
        <f t="shared" ref="Y389:Y452" si="133">D389</f>
        <v>101-E362</v>
      </c>
      <c r="Z389" s="418">
        <f t="shared" ref="Z389:Z452" si="134">IF(MID($O389,5,1)="C",E389*$D$1,IF(MID($O389,5,1)="E",0,E389))</f>
        <v>0</v>
      </c>
      <c r="AA389" s="418">
        <f t="shared" ref="AA389:AA452" si="135">IF(MID($O389,5,1)="C",F389*$D$1,IF(MID($O389,5,1)="E",0,F389))</f>
        <v>0</v>
      </c>
      <c r="AB389" s="418">
        <f t="shared" ref="AB389:AB452" si="136">IF(MID($O389,5,1)="C",G389*$D$1,IF(MID($O389,5,1)="E",0,G389))</f>
        <v>0</v>
      </c>
      <c r="AC389" s="418">
        <f t="shared" ref="AC389:AC452" si="137">IF(MID($O389,5,1)="C",H389*$D$1,IF(MID($O389,5,1)="E",0,H389))</f>
        <v>0</v>
      </c>
      <c r="AD389" s="418">
        <f t="shared" ref="AD389:AD452" si="138">IF(MID($O389,5,1)="C",I389*$D$1,IF(MID($O389,5,1)="E",0,I389))</f>
        <v>0</v>
      </c>
      <c r="AE389" s="413">
        <f t="shared" ref="AE389:AE452" si="139">SUM(E389:I389)-SUM(P389:T389)-SUM(Z389:AD389)</f>
        <v>0</v>
      </c>
    </row>
    <row r="390" spans="1:31" x14ac:dyDescent="0.3">
      <c r="A390" s="415" t="s">
        <v>1604</v>
      </c>
      <c r="B390" s="418" t="s">
        <v>1711</v>
      </c>
      <c r="C390" s="418" t="s">
        <v>26</v>
      </c>
      <c r="D390" s="418" t="str">
        <f t="shared" si="122"/>
        <v>101-E364</v>
      </c>
      <c r="E390" s="418">
        <v>0</v>
      </c>
      <c r="F390" s="418">
        <v>2941992.86</v>
      </c>
      <c r="G390" s="418">
        <v>5390965.0700000003</v>
      </c>
      <c r="H390" s="418">
        <v>10784374.1</v>
      </c>
      <c r="I390" s="418">
        <v>0</v>
      </c>
      <c r="J390" s="413">
        <v>0</v>
      </c>
      <c r="L390" s="418" t="str">
        <f t="shared" si="123"/>
        <v>Projected - Electric</v>
      </c>
      <c r="M390" s="418" t="str">
        <f t="shared" si="124"/>
        <v>E3640 DST Poles/Towers/Fixtures</v>
      </c>
      <c r="N390" s="418" t="str">
        <f t="shared" si="120"/>
        <v>Projected</v>
      </c>
      <c r="O390" s="418" t="str">
        <f t="shared" si="125"/>
        <v>101-E364</v>
      </c>
      <c r="P390" s="418">
        <f t="shared" si="126"/>
        <v>0</v>
      </c>
      <c r="Q390" s="418">
        <f t="shared" si="127"/>
        <v>2941992.86</v>
      </c>
      <c r="R390" s="418">
        <f t="shared" si="128"/>
        <v>5390965.0700000003</v>
      </c>
      <c r="S390" s="418">
        <f t="shared" si="129"/>
        <v>10784374.1</v>
      </c>
      <c r="T390" s="418">
        <f t="shared" si="130"/>
        <v>0</v>
      </c>
      <c r="V390" s="418" t="str">
        <f t="shared" si="131"/>
        <v>Projected - Electric</v>
      </c>
      <c r="W390" s="418" t="str">
        <f t="shared" si="132"/>
        <v>E3640 DST Poles/Towers/Fixtures</v>
      </c>
      <c r="X390" s="418" t="str">
        <f t="shared" si="121"/>
        <v>Projected</v>
      </c>
      <c r="Y390" s="418" t="str">
        <f t="shared" si="133"/>
        <v>101-E364</v>
      </c>
      <c r="Z390" s="418">
        <f t="shared" si="134"/>
        <v>0</v>
      </c>
      <c r="AA390" s="418">
        <f t="shared" si="135"/>
        <v>0</v>
      </c>
      <c r="AB390" s="418">
        <f t="shared" si="136"/>
        <v>0</v>
      </c>
      <c r="AC390" s="418">
        <f t="shared" si="137"/>
        <v>0</v>
      </c>
      <c r="AD390" s="418">
        <f t="shared" si="138"/>
        <v>0</v>
      </c>
      <c r="AE390" s="413">
        <f t="shared" si="139"/>
        <v>0</v>
      </c>
    </row>
    <row r="391" spans="1:31" x14ac:dyDescent="0.3">
      <c r="A391" s="415" t="s">
        <v>1604</v>
      </c>
      <c r="B391" s="418" t="s">
        <v>1720</v>
      </c>
      <c r="C391" s="418" t="s">
        <v>26</v>
      </c>
      <c r="D391" s="418" t="str">
        <f t="shared" si="122"/>
        <v>101-E365</v>
      </c>
      <c r="E391" s="418">
        <v>0</v>
      </c>
      <c r="F391" s="418">
        <v>2674503.88</v>
      </c>
      <c r="G391" s="418">
        <v>4437613.72</v>
      </c>
      <c r="H391" s="418">
        <v>8427872.8399999999</v>
      </c>
      <c r="I391" s="418">
        <v>0</v>
      </c>
      <c r="J391" s="413">
        <v>0</v>
      </c>
      <c r="L391" s="418" t="str">
        <f t="shared" si="123"/>
        <v>Projected - Electric</v>
      </c>
      <c r="M391" s="418" t="str">
        <f t="shared" si="124"/>
        <v>E3650 DST O/H Conductor/Devices</v>
      </c>
      <c r="N391" s="418" t="str">
        <f t="shared" si="120"/>
        <v>Projected</v>
      </c>
      <c r="O391" s="418" t="str">
        <f t="shared" si="125"/>
        <v>101-E365</v>
      </c>
      <c r="P391" s="418">
        <f t="shared" si="126"/>
        <v>0</v>
      </c>
      <c r="Q391" s="418">
        <f t="shared" si="127"/>
        <v>2674503.88</v>
      </c>
      <c r="R391" s="418">
        <f t="shared" si="128"/>
        <v>4437613.72</v>
      </c>
      <c r="S391" s="418">
        <f t="shared" si="129"/>
        <v>8427872.8399999999</v>
      </c>
      <c r="T391" s="418">
        <f t="shared" si="130"/>
        <v>0</v>
      </c>
      <c r="V391" s="418" t="str">
        <f t="shared" si="131"/>
        <v>Projected - Electric</v>
      </c>
      <c r="W391" s="418" t="str">
        <f t="shared" si="132"/>
        <v>E3650 DST O/H Conductor/Devices</v>
      </c>
      <c r="X391" s="418" t="str">
        <f t="shared" si="121"/>
        <v>Projected</v>
      </c>
      <c r="Y391" s="418" t="str">
        <f t="shared" si="133"/>
        <v>101-E365</v>
      </c>
      <c r="Z391" s="418">
        <f t="shared" si="134"/>
        <v>0</v>
      </c>
      <c r="AA391" s="418">
        <f t="shared" si="135"/>
        <v>0</v>
      </c>
      <c r="AB391" s="418">
        <f t="shared" si="136"/>
        <v>0</v>
      </c>
      <c r="AC391" s="418">
        <f t="shared" si="137"/>
        <v>0</v>
      </c>
      <c r="AD391" s="418">
        <f t="shared" si="138"/>
        <v>0</v>
      </c>
      <c r="AE391" s="413">
        <f t="shared" si="139"/>
        <v>0</v>
      </c>
    </row>
    <row r="392" spans="1:31" x14ac:dyDescent="0.3">
      <c r="A392" s="415" t="s">
        <v>1604</v>
      </c>
      <c r="B392" s="418" t="s">
        <v>1710</v>
      </c>
      <c r="C392" s="418" t="s">
        <v>26</v>
      </c>
      <c r="D392" s="418" t="str">
        <f t="shared" si="122"/>
        <v>101-E366</v>
      </c>
      <c r="E392" s="418">
        <v>0</v>
      </c>
      <c r="F392" s="418">
        <v>1464551.72</v>
      </c>
      <c r="G392" s="418">
        <v>1960358.23</v>
      </c>
      <c r="H392" s="418">
        <v>3155025.3</v>
      </c>
      <c r="I392" s="418">
        <v>0</v>
      </c>
      <c r="J392" s="413">
        <v>0</v>
      </c>
      <c r="L392" s="418" t="str">
        <f t="shared" si="123"/>
        <v>Projected - Electric</v>
      </c>
      <c r="M392" s="418" t="str">
        <f t="shared" si="124"/>
        <v>E3660 DST U/G Conduit</v>
      </c>
      <c r="N392" s="418" t="str">
        <f t="shared" si="120"/>
        <v>Projected</v>
      </c>
      <c r="O392" s="418" t="str">
        <f t="shared" si="125"/>
        <v>101-E366</v>
      </c>
      <c r="P392" s="418">
        <f t="shared" si="126"/>
        <v>0</v>
      </c>
      <c r="Q392" s="418">
        <f t="shared" si="127"/>
        <v>1464551.72</v>
      </c>
      <c r="R392" s="418">
        <f t="shared" si="128"/>
        <v>1960358.23</v>
      </c>
      <c r="S392" s="418">
        <f t="shared" si="129"/>
        <v>3155025.3</v>
      </c>
      <c r="T392" s="418">
        <f t="shared" si="130"/>
        <v>0</v>
      </c>
      <c r="V392" s="418" t="str">
        <f t="shared" si="131"/>
        <v>Projected - Electric</v>
      </c>
      <c r="W392" s="418" t="str">
        <f t="shared" si="132"/>
        <v>E3660 DST U/G Conduit</v>
      </c>
      <c r="X392" s="418" t="str">
        <f t="shared" si="121"/>
        <v>Projected</v>
      </c>
      <c r="Y392" s="418" t="str">
        <f t="shared" si="133"/>
        <v>101-E366</v>
      </c>
      <c r="Z392" s="418">
        <f t="shared" si="134"/>
        <v>0</v>
      </c>
      <c r="AA392" s="418">
        <f t="shared" si="135"/>
        <v>0</v>
      </c>
      <c r="AB392" s="418">
        <f t="shared" si="136"/>
        <v>0</v>
      </c>
      <c r="AC392" s="418">
        <f t="shared" si="137"/>
        <v>0</v>
      </c>
      <c r="AD392" s="418">
        <f t="shared" si="138"/>
        <v>0</v>
      </c>
      <c r="AE392" s="413">
        <f t="shared" si="139"/>
        <v>0</v>
      </c>
    </row>
    <row r="393" spans="1:31" x14ac:dyDescent="0.3">
      <c r="A393" s="415" t="s">
        <v>1604</v>
      </c>
      <c r="B393" s="418" t="s">
        <v>1709</v>
      </c>
      <c r="C393" s="418" t="s">
        <v>26</v>
      </c>
      <c r="D393" s="418" t="str">
        <f t="shared" si="122"/>
        <v>101-E367</v>
      </c>
      <c r="E393" s="418">
        <v>0</v>
      </c>
      <c r="F393" s="418">
        <v>133492.53</v>
      </c>
      <c r="G393" s="418">
        <v>201132.78</v>
      </c>
      <c r="H393" s="418">
        <v>376191.77</v>
      </c>
      <c r="I393" s="418">
        <v>0</v>
      </c>
      <c r="J393" s="413">
        <v>0</v>
      </c>
      <c r="L393" s="418" t="str">
        <f t="shared" si="123"/>
        <v>Projected - Electric</v>
      </c>
      <c r="M393" s="418" t="str">
        <f t="shared" si="124"/>
        <v>E3670 DST U/G Conductor/Devices</v>
      </c>
      <c r="N393" s="418" t="str">
        <f t="shared" si="120"/>
        <v>Projected</v>
      </c>
      <c r="O393" s="418" t="str">
        <f t="shared" si="125"/>
        <v>101-E367</v>
      </c>
      <c r="P393" s="418">
        <f t="shared" si="126"/>
        <v>0</v>
      </c>
      <c r="Q393" s="418">
        <f t="shared" si="127"/>
        <v>133492.53</v>
      </c>
      <c r="R393" s="418">
        <f t="shared" si="128"/>
        <v>201132.78</v>
      </c>
      <c r="S393" s="418">
        <f t="shared" si="129"/>
        <v>376191.77</v>
      </c>
      <c r="T393" s="418">
        <f t="shared" si="130"/>
        <v>0</v>
      </c>
      <c r="V393" s="418" t="str">
        <f t="shared" si="131"/>
        <v>Projected - Electric</v>
      </c>
      <c r="W393" s="418" t="str">
        <f t="shared" si="132"/>
        <v>E3670 DST U/G Conductor/Devices</v>
      </c>
      <c r="X393" s="418" t="str">
        <f t="shared" si="121"/>
        <v>Projected</v>
      </c>
      <c r="Y393" s="418" t="str">
        <f t="shared" si="133"/>
        <v>101-E367</v>
      </c>
      <c r="Z393" s="418">
        <f t="shared" si="134"/>
        <v>0</v>
      </c>
      <c r="AA393" s="418">
        <f t="shared" si="135"/>
        <v>0</v>
      </c>
      <c r="AB393" s="418">
        <f t="shared" si="136"/>
        <v>0</v>
      </c>
      <c r="AC393" s="418">
        <f t="shared" si="137"/>
        <v>0</v>
      </c>
      <c r="AD393" s="418">
        <f t="shared" si="138"/>
        <v>0</v>
      </c>
      <c r="AE393" s="413">
        <f t="shared" si="139"/>
        <v>0</v>
      </c>
    </row>
    <row r="394" spans="1:31" x14ac:dyDescent="0.3">
      <c r="A394" s="415" t="s">
        <v>1604</v>
      </c>
      <c r="B394" s="418" t="s">
        <v>1780</v>
      </c>
      <c r="C394" s="418" t="s">
        <v>26</v>
      </c>
      <c r="D394" s="418" t="str">
        <f t="shared" si="122"/>
        <v>101-E368</v>
      </c>
      <c r="E394" s="418">
        <v>0</v>
      </c>
      <c r="F394" s="418">
        <v>825661.94</v>
      </c>
      <c r="G394" s="418">
        <v>2061447.69</v>
      </c>
      <c r="H394" s="418">
        <v>4925690.79</v>
      </c>
      <c r="I394" s="418">
        <v>0</v>
      </c>
      <c r="J394" s="413">
        <v>0</v>
      </c>
      <c r="L394" s="418" t="str">
        <f t="shared" si="123"/>
        <v>Projected - Electric</v>
      </c>
      <c r="M394" s="418" t="str">
        <f t="shared" si="124"/>
        <v>E368 DST Line Transformers</v>
      </c>
      <c r="N394" s="418" t="str">
        <f t="shared" si="120"/>
        <v>Projected</v>
      </c>
      <c r="O394" s="418" t="str">
        <f t="shared" si="125"/>
        <v>101-E368</v>
      </c>
      <c r="P394" s="418">
        <f t="shared" si="126"/>
        <v>0</v>
      </c>
      <c r="Q394" s="418">
        <f t="shared" si="127"/>
        <v>825661.94</v>
      </c>
      <c r="R394" s="418">
        <f t="shared" si="128"/>
        <v>2061447.69</v>
      </c>
      <c r="S394" s="418">
        <f t="shared" si="129"/>
        <v>4925690.79</v>
      </c>
      <c r="T394" s="418">
        <f t="shared" si="130"/>
        <v>0</v>
      </c>
      <c r="V394" s="418" t="str">
        <f t="shared" si="131"/>
        <v>Projected - Electric</v>
      </c>
      <c r="W394" s="418" t="str">
        <f t="shared" si="132"/>
        <v>E368 DST Line Transformers</v>
      </c>
      <c r="X394" s="418" t="str">
        <f t="shared" si="121"/>
        <v>Projected</v>
      </c>
      <c r="Y394" s="418" t="str">
        <f t="shared" si="133"/>
        <v>101-E368</v>
      </c>
      <c r="Z394" s="418">
        <f t="shared" si="134"/>
        <v>0</v>
      </c>
      <c r="AA394" s="418">
        <f t="shared" si="135"/>
        <v>0</v>
      </c>
      <c r="AB394" s="418">
        <f t="shared" si="136"/>
        <v>0</v>
      </c>
      <c r="AC394" s="418">
        <f t="shared" si="137"/>
        <v>0</v>
      </c>
      <c r="AD394" s="418">
        <f t="shared" si="138"/>
        <v>0</v>
      </c>
      <c r="AE394" s="413">
        <f t="shared" si="139"/>
        <v>0</v>
      </c>
    </row>
    <row r="395" spans="1:31" x14ac:dyDescent="0.3">
      <c r="A395" s="415" t="s">
        <v>1604</v>
      </c>
      <c r="B395" s="418" t="s">
        <v>1779</v>
      </c>
      <c r="C395" s="418" t="s">
        <v>26</v>
      </c>
      <c r="D395" s="418" t="str">
        <f t="shared" si="122"/>
        <v>101-E369</v>
      </c>
      <c r="E395" s="418">
        <v>0</v>
      </c>
      <c r="F395" s="418">
        <v>4465.8</v>
      </c>
      <c r="G395" s="418">
        <v>7210.52</v>
      </c>
      <c r="H395" s="418">
        <v>13138.93</v>
      </c>
      <c r="I395" s="418">
        <v>0</v>
      </c>
      <c r="J395" s="413">
        <v>0</v>
      </c>
      <c r="L395" s="418" t="str">
        <f t="shared" si="123"/>
        <v>Projected - Electric</v>
      </c>
      <c r="M395" s="418" t="str">
        <f t="shared" si="124"/>
        <v>E369 DST Services</v>
      </c>
      <c r="N395" s="418" t="str">
        <f t="shared" si="120"/>
        <v>Projected</v>
      </c>
      <c r="O395" s="418" t="str">
        <f t="shared" si="125"/>
        <v>101-E369</v>
      </c>
      <c r="P395" s="418">
        <f t="shared" si="126"/>
        <v>0</v>
      </c>
      <c r="Q395" s="418">
        <f t="shared" si="127"/>
        <v>4465.8</v>
      </c>
      <c r="R395" s="418">
        <f t="shared" si="128"/>
        <v>7210.52</v>
      </c>
      <c r="S395" s="418">
        <f t="shared" si="129"/>
        <v>13138.93</v>
      </c>
      <c r="T395" s="418">
        <f t="shared" si="130"/>
        <v>0</v>
      </c>
      <c r="V395" s="418" t="str">
        <f t="shared" si="131"/>
        <v>Projected - Electric</v>
      </c>
      <c r="W395" s="418" t="str">
        <f t="shared" si="132"/>
        <v>E369 DST Services</v>
      </c>
      <c r="X395" s="418" t="str">
        <f t="shared" si="121"/>
        <v>Projected</v>
      </c>
      <c r="Y395" s="418" t="str">
        <f t="shared" si="133"/>
        <v>101-E369</v>
      </c>
      <c r="Z395" s="418">
        <f t="shared" si="134"/>
        <v>0</v>
      </c>
      <c r="AA395" s="418">
        <f t="shared" si="135"/>
        <v>0</v>
      </c>
      <c r="AB395" s="418">
        <f t="shared" si="136"/>
        <v>0</v>
      </c>
      <c r="AC395" s="418">
        <f t="shared" si="137"/>
        <v>0</v>
      </c>
      <c r="AD395" s="418">
        <f t="shared" si="138"/>
        <v>0</v>
      </c>
      <c r="AE395" s="413">
        <f t="shared" si="139"/>
        <v>0</v>
      </c>
    </row>
    <row r="396" spans="1:31" x14ac:dyDescent="0.3">
      <c r="A396" s="415" t="s">
        <v>1604</v>
      </c>
      <c r="B396" s="418" t="s">
        <v>1778</v>
      </c>
      <c r="C396" s="418" t="s">
        <v>26</v>
      </c>
      <c r="D396" s="418" t="str">
        <f t="shared" si="122"/>
        <v>101-E370</v>
      </c>
      <c r="E396" s="418">
        <v>0</v>
      </c>
      <c r="F396" s="418">
        <v>36669.160000000003</v>
      </c>
      <c r="G396" s="418">
        <v>60627.11</v>
      </c>
      <c r="H396" s="418">
        <v>144322.29999999999</v>
      </c>
      <c r="I396" s="418">
        <v>0</v>
      </c>
      <c r="J396" s="413">
        <v>0</v>
      </c>
      <c r="L396" s="418" t="str">
        <f t="shared" si="123"/>
        <v>Projected - Electric</v>
      </c>
      <c r="M396" s="418" t="str">
        <f t="shared" si="124"/>
        <v>E3701 DST Meters AMI</v>
      </c>
      <c r="N396" s="418" t="str">
        <f t="shared" si="120"/>
        <v>Projected</v>
      </c>
      <c r="O396" s="418" t="str">
        <f t="shared" si="125"/>
        <v>101-E370</v>
      </c>
      <c r="P396" s="418">
        <f t="shared" si="126"/>
        <v>0</v>
      </c>
      <c r="Q396" s="418">
        <f t="shared" si="127"/>
        <v>36669.160000000003</v>
      </c>
      <c r="R396" s="418">
        <f t="shared" si="128"/>
        <v>60627.11</v>
      </c>
      <c r="S396" s="418">
        <f t="shared" si="129"/>
        <v>144322.29999999999</v>
      </c>
      <c r="T396" s="418">
        <f t="shared" si="130"/>
        <v>0</v>
      </c>
      <c r="V396" s="418" t="str">
        <f t="shared" si="131"/>
        <v>Projected - Electric</v>
      </c>
      <c r="W396" s="418" t="str">
        <f t="shared" si="132"/>
        <v>E3701 DST Meters AMI</v>
      </c>
      <c r="X396" s="418" t="str">
        <f t="shared" si="121"/>
        <v>Projected</v>
      </c>
      <c r="Y396" s="418" t="str">
        <f t="shared" si="133"/>
        <v>101-E370</v>
      </c>
      <c r="Z396" s="418">
        <f t="shared" si="134"/>
        <v>0</v>
      </c>
      <c r="AA396" s="418">
        <f t="shared" si="135"/>
        <v>0</v>
      </c>
      <c r="AB396" s="418">
        <f t="shared" si="136"/>
        <v>0</v>
      </c>
      <c r="AC396" s="418">
        <f t="shared" si="137"/>
        <v>0</v>
      </c>
      <c r="AD396" s="418">
        <f t="shared" si="138"/>
        <v>0</v>
      </c>
      <c r="AE396" s="413">
        <f t="shared" si="139"/>
        <v>0</v>
      </c>
    </row>
    <row r="397" spans="1:31" x14ac:dyDescent="0.3">
      <c r="A397" s="415" t="s">
        <v>1604</v>
      </c>
      <c r="B397" s="418" t="s">
        <v>1777</v>
      </c>
      <c r="C397" s="418" t="s">
        <v>26</v>
      </c>
      <c r="D397" s="418" t="str">
        <f t="shared" si="122"/>
        <v>101-E371</v>
      </c>
      <c r="E397" s="418">
        <v>0</v>
      </c>
      <c r="F397" s="418">
        <v>0</v>
      </c>
      <c r="G397" s="418">
        <v>117070.31</v>
      </c>
      <c r="H397" s="418">
        <v>2809687.47</v>
      </c>
      <c r="I397" s="418">
        <v>0</v>
      </c>
      <c r="J397" s="413">
        <v>0</v>
      </c>
      <c r="L397" s="418" t="str">
        <f t="shared" si="123"/>
        <v>Projected - Electric</v>
      </c>
      <c r="M397" s="418" t="str">
        <f t="shared" si="124"/>
        <v>E3711 DST EV Charger Cust Premises</v>
      </c>
      <c r="N397" s="418" t="str">
        <f t="shared" si="120"/>
        <v>Projected</v>
      </c>
      <c r="O397" s="418" t="str">
        <f t="shared" si="125"/>
        <v>101-E371</v>
      </c>
      <c r="P397" s="418">
        <f t="shared" si="126"/>
        <v>0</v>
      </c>
      <c r="Q397" s="418">
        <f t="shared" si="127"/>
        <v>0</v>
      </c>
      <c r="R397" s="418">
        <f t="shared" si="128"/>
        <v>117070.31</v>
      </c>
      <c r="S397" s="418">
        <f t="shared" si="129"/>
        <v>2809687.47</v>
      </c>
      <c r="T397" s="418">
        <f t="shared" si="130"/>
        <v>0</v>
      </c>
      <c r="V397" s="418" t="str">
        <f t="shared" si="131"/>
        <v>Projected - Electric</v>
      </c>
      <c r="W397" s="418" t="str">
        <f t="shared" si="132"/>
        <v>E3711 DST EV Charger Cust Premises</v>
      </c>
      <c r="X397" s="418" t="str">
        <f t="shared" si="121"/>
        <v>Projected</v>
      </c>
      <c r="Y397" s="418" t="str">
        <f t="shared" si="133"/>
        <v>101-E371</v>
      </c>
      <c r="Z397" s="418">
        <f t="shared" si="134"/>
        <v>0</v>
      </c>
      <c r="AA397" s="418">
        <f t="shared" si="135"/>
        <v>0</v>
      </c>
      <c r="AB397" s="418">
        <f t="shared" si="136"/>
        <v>0</v>
      </c>
      <c r="AC397" s="418">
        <f t="shared" si="137"/>
        <v>0</v>
      </c>
      <c r="AD397" s="418">
        <f t="shared" si="138"/>
        <v>0</v>
      </c>
      <c r="AE397" s="413">
        <f t="shared" si="139"/>
        <v>0</v>
      </c>
    </row>
    <row r="398" spans="1:31" x14ac:dyDescent="0.3">
      <c r="A398" s="415" t="s">
        <v>1604</v>
      </c>
      <c r="B398" s="418" t="s">
        <v>1776</v>
      </c>
      <c r="C398" s="418" t="s">
        <v>26</v>
      </c>
      <c r="D398" s="418" t="str">
        <f t="shared" si="122"/>
        <v>101-E373</v>
      </c>
      <c r="E398" s="418">
        <v>0</v>
      </c>
      <c r="F398" s="418">
        <v>3662806.99</v>
      </c>
      <c r="G398" s="418">
        <v>5721046.4800000004</v>
      </c>
      <c r="H398" s="418">
        <v>11110355.91</v>
      </c>
      <c r="I398" s="418">
        <v>0</v>
      </c>
      <c r="J398" s="413">
        <v>0</v>
      </c>
      <c r="L398" s="418" t="str">
        <f t="shared" si="123"/>
        <v>Projected - Electric</v>
      </c>
      <c r="M398" s="418" t="str">
        <f t="shared" si="124"/>
        <v>E373 DST Street Lighting &amp; Signal</v>
      </c>
      <c r="N398" s="418" t="str">
        <f t="shared" si="120"/>
        <v>Projected</v>
      </c>
      <c r="O398" s="418" t="str">
        <f t="shared" si="125"/>
        <v>101-E373</v>
      </c>
      <c r="P398" s="418">
        <f t="shared" si="126"/>
        <v>0</v>
      </c>
      <c r="Q398" s="418">
        <f t="shared" si="127"/>
        <v>3662806.99</v>
      </c>
      <c r="R398" s="418">
        <f t="shared" si="128"/>
        <v>5721046.4800000004</v>
      </c>
      <c r="S398" s="418">
        <f t="shared" si="129"/>
        <v>11110355.91</v>
      </c>
      <c r="T398" s="418">
        <f t="shared" si="130"/>
        <v>0</v>
      </c>
      <c r="V398" s="418" t="str">
        <f t="shared" si="131"/>
        <v>Projected - Electric</v>
      </c>
      <c r="W398" s="418" t="str">
        <f t="shared" si="132"/>
        <v>E373 DST Street Lighting &amp; Signal</v>
      </c>
      <c r="X398" s="418" t="str">
        <f t="shared" si="121"/>
        <v>Projected</v>
      </c>
      <c r="Y398" s="418" t="str">
        <f t="shared" si="133"/>
        <v>101-E373</v>
      </c>
      <c r="Z398" s="418">
        <f t="shared" si="134"/>
        <v>0</v>
      </c>
      <c r="AA398" s="418">
        <f t="shared" si="135"/>
        <v>0</v>
      </c>
      <c r="AB398" s="418">
        <f t="shared" si="136"/>
        <v>0</v>
      </c>
      <c r="AC398" s="418">
        <f t="shared" si="137"/>
        <v>0</v>
      </c>
      <c r="AD398" s="418">
        <f t="shared" si="138"/>
        <v>0</v>
      </c>
      <c r="AE398" s="413">
        <f t="shared" si="139"/>
        <v>0</v>
      </c>
    </row>
    <row r="399" spans="1:31" x14ac:dyDescent="0.3">
      <c r="A399" s="415" t="s">
        <v>1604</v>
      </c>
      <c r="B399" s="418" t="s">
        <v>1775</v>
      </c>
      <c r="C399" s="418" t="s">
        <v>26</v>
      </c>
      <c r="D399" s="418" t="str">
        <f t="shared" si="122"/>
        <v>101-E390</v>
      </c>
      <c r="E399" s="418">
        <v>0</v>
      </c>
      <c r="F399" s="418">
        <v>25255.32</v>
      </c>
      <c r="G399" s="418">
        <v>25255.32</v>
      </c>
      <c r="H399" s="418">
        <v>25255.32</v>
      </c>
      <c r="I399" s="418">
        <v>0</v>
      </c>
      <c r="J399" s="413">
        <v>0</v>
      </c>
      <c r="L399" s="418" t="str">
        <f t="shared" si="123"/>
        <v>Projected - Electric</v>
      </c>
      <c r="M399" s="418" t="str">
        <f t="shared" si="124"/>
        <v>E3900 GEN Str&amp;Impv, Burlington/Skag</v>
      </c>
      <c r="N399" s="418" t="str">
        <f t="shared" si="120"/>
        <v>Projected</v>
      </c>
      <c r="O399" s="418" t="str">
        <f t="shared" si="125"/>
        <v>101-E390</v>
      </c>
      <c r="P399" s="418">
        <f t="shared" si="126"/>
        <v>0</v>
      </c>
      <c r="Q399" s="418">
        <f t="shared" si="127"/>
        <v>25255.32</v>
      </c>
      <c r="R399" s="418">
        <f t="shared" si="128"/>
        <v>25255.32</v>
      </c>
      <c r="S399" s="418">
        <f t="shared" si="129"/>
        <v>25255.32</v>
      </c>
      <c r="T399" s="418">
        <f t="shared" si="130"/>
        <v>0</v>
      </c>
      <c r="V399" s="418" t="str">
        <f t="shared" si="131"/>
        <v>Projected - Electric</v>
      </c>
      <c r="W399" s="418" t="str">
        <f t="shared" si="132"/>
        <v>E3900 GEN Str&amp;Impv, Burlington/Skag</v>
      </c>
      <c r="X399" s="418" t="str">
        <f t="shared" si="121"/>
        <v>Projected</v>
      </c>
      <c r="Y399" s="418" t="str">
        <f t="shared" si="133"/>
        <v>101-E390</v>
      </c>
      <c r="Z399" s="418">
        <f t="shared" si="134"/>
        <v>0</v>
      </c>
      <c r="AA399" s="418">
        <f t="shared" si="135"/>
        <v>0</v>
      </c>
      <c r="AB399" s="418">
        <f t="shared" si="136"/>
        <v>0</v>
      </c>
      <c r="AC399" s="418">
        <f t="shared" si="137"/>
        <v>0</v>
      </c>
      <c r="AD399" s="418">
        <f t="shared" si="138"/>
        <v>0</v>
      </c>
      <c r="AE399" s="413">
        <f t="shared" si="139"/>
        <v>0</v>
      </c>
    </row>
    <row r="400" spans="1:31" x14ac:dyDescent="0.3">
      <c r="A400" s="415" t="s">
        <v>1604</v>
      </c>
      <c r="B400" s="418" t="s">
        <v>1774</v>
      </c>
      <c r="C400" s="418" t="s">
        <v>26</v>
      </c>
      <c r="D400" s="418" t="str">
        <f t="shared" si="122"/>
        <v>101-E390</v>
      </c>
      <c r="E400" s="418">
        <v>0</v>
      </c>
      <c r="F400" s="418">
        <v>18831234.890000001</v>
      </c>
      <c r="G400" s="418">
        <v>15613075.310000001</v>
      </c>
      <c r="H400" s="418">
        <v>4058378.2599999993</v>
      </c>
      <c r="I400" s="418">
        <v>0</v>
      </c>
      <c r="J400" s="413">
        <v>0</v>
      </c>
      <c r="L400" s="418" t="str">
        <f t="shared" si="123"/>
        <v>Projected - Electric</v>
      </c>
      <c r="M400" s="418" t="str">
        <f t="shared" si="124"/>
        <v>E3900 GEN Structures &amp; Improvement</v>
      </c>
      <c r="N400" s="418" t="str">
        <f t="shared" si="120"/>
        <v>Projected</v>
      </c>
      <c r="O400" s="418" t="str">
        <f t="shared" si="125"/>
        <v>101-E390</v>
      </c>
      <c r="P400" s="418">
        <f t="shared" si="126"/>
        <v>0</v>
      </c>
      <c r="Q400" s="418">
        <f t="shared" si="127"/>
        <v>18831234.890000001</v>
      </c>
      <c r="R400" s="418">
        <f t="shared" si="128"/>
        <v>15613075.310000001</v>
      </c>
      <c r="S400" s="418">
        <f t="shared" si="129"/>
        <v>4058378.2599999993</v>
      </c>
      <c r="T400" s="418">
        <f t="shared" si="130"/>
        <v>0</v>
      </c>
      <c r="V400" s="418" t="str">
        <f t="shared" si="131"/>
        <v>Projected - Electric</v>
      </c>
      <c r="W400" s="418" t="str">
        <f t="shared" si="132"/>
        <v>E3900 GEN Structures &amp; Improvement</v>
      </c>
      <c r="X400" s="418" t="str">
        <f t="shared" si="121"/>
        <v>Projected</v>
      </c>
      <c r="Y400" s="418" t="str">
        <f t="shared" si="133"/>
        <v>101-E390</v>
      </c>
      <c r="Z400" s="418">
        <f t="shared" si="134"/>
        <v>0</v>
      </c>
      <c r="AA400" s="418">
        <f t="shared" si="135"/>
        <v>0</v>
      </c>
      <c r="AB400" s="418">
        <f t="shared" si="136"/>
        <v>0</v>
      </c>
      <c r="AC400" s="418">
        <f t="shared" si="137"/>
        <v>0</v>
      </c>
      <c r="AD400" s="418">
        <f t="shared" si="138"/>
        <v>0</v>
      </c>
      <c r="AE400" s="413">
        <f t="shared" si="139"/>
        <v>0</v>
      </c>
    </row>
    <row r="401" spans="1:31" x14ac:dyDescent="0.3">
      <c r="A401" s="415" t="s">
        <v>1604</v>
      </c>
      <c r="B401" s="418" t="s">
        <v>1773</v>
      </c>
      <c r="C401" s="418" t="s">
        <v>26</v>
      </c>
      <c r="D401" s="418" t="str">
        <f t="shared" si="122"/>
        <v>101-E391</v>
      </c>
      <c r="E401" s="418">
        <v>0</v>
      </c>
      <c r="F401" s="418">
        <v>0</v>
      </c>
      <c r="G401" s="418">
        <v>0</v>
      </c>
      <c r="H401" s="418">
        <v>0</v>
      </c>
      <c r="I401" s="418">
        <v>0</v>
      </c>
      <c r="J401" s="413">
        <v>0</v>
      </c>
      <c r="L401" s="418" t="str">
        <f t="shared" si="123"/>
        <v>Projected - Electric</v>
      </c>
      <c r="M401" s="418" t="str">
        <f t="shared" si="124"/>
        <v>E3911 GEN Off Furn &amp; Eq, LSR</v>
      </c>
      <c r="N401" s="418" t="str">
        <f t="shared" si="120"/>
        <v>Projected</v>
      </c>
      <c r="O401" s="418" t="str">
        <f t="shared" si="125"/>
        <v>101-E391</v>
      </c>
      <c r="P401" s="418">
        <f t="shared" si="126"/>
        <v>0</v>
      </c>
      <c r="Q401" s="418">
        <f t="shared" si="127"/>
        <v>0</v>
      </c>
      <c r="R401" s="418">
        <f t="shared" si="128"/>
        <v>0</v>
      </c>
      <c r="S401" s="418">
        <f t="shared" si="129"/>
        <v>0</v>
      </c>
      <c r="T401" s="418">
        <f t="shared" si="130"/>
        <v>0</v>
      </c>
      <c r="V401" s="418" t="str">
        <f t="shared" si="131"/>
        <v>Projected - Electric</v>
      </c>
      <c r="W401" s="418" t="str">
        <f t="shared" si="132"/>
        <v>E3911 GEN Off Furn &amp; Eq, LSR</v>
      </c>
      <c r="X401" s="418" t="str">
        <f t="shared" si="121"/>
        <v>Projected</v>
      </c>
      <c r="Y401" s="418" t="str">
        <f t="shared" si="133"/>
        <v>101-E391</v>
      </c>
      <c r="Z401" s="418">
        <f t="shared" si="134"/>
        <v>0</v>
      </c>
      <c r="AA401" s="418">
        <f t="shared" si="135"/>
        <v>0</v>
      </c>
      <c r="AB401" s="418">
        <f t="shared" si="136"/>
        <v>0</v>
      </c>
      <c r="AC401" s="418">
        <f t="shared" si="137"/>
        <v>0</v>
      </c>
      <c r="AD401" s="418">
        <f t="shared" si="138"/>
        <v>0</v>
      </c>
      <c r="AE401" s="413">
        <f t="shared" si="139"/>
        <v>0</v>
      </c>
    </row>
    <row r="402" spans="1:31" x14ac:dyDescent="0.3">
      <c r="A402" s="415" t="s">
        <v>1604</v>
      </c>
      <c r="B402" s="418" t="s">
        <v>1772</v>
      </c>
      <c r="C402" s="418" t="s">
        <v>26</v>
      </c>
      <c r="D402" s="418" t="str">
        <f t="shared" si="122"/>
        <v>101-E391</v>
      </c>
      <c r="E402" s="418">
        <v>0</v>
      </c>
      <c r="F402" s="418">
        <v>545306.66</v>
      </c>
      <c r="G402" s="418">
        <v>645000.12</v>
      </c>
      <c r="H402" s="418">
        <v>934755.02</v>
      </c>
      <c r="I402" s="418">
        <v>0</v>
      </c>
      <c r="J402" s="413">
        <v>0</v>
      </c>
      <c r="L402" s="418" t="str">
        <f t="shared" si="123"/>
        <v>Projected - Electric</v>
      </c>
      <c r="M402" s="418" t="str">
        <f t="shared" si="124"/>
        <v>E3912 GEN Computer Eq, new</v>
      </c>
      <c r="N402" s="418" t="str">
        <f t="shared" si="120"/>
        <v>Projected</v>
      </c>
      <c r="O402" s="418" t="str">
        <f t="shared" si="125"/>
        <v>101-E391</v>
      </c>
      <c r="P402" s="418">
        <f t="shared" si="126"/>
        <v>0</v>
      </c>
      <c r="Q402" s="418">
        <f t="shared" si="127"/>
        <v>545306.66</v>
      </c>
      <c r="R402" s="418">
        <f t="shared" si="128"/>
        <v>645000.12</v>
      </c>
      <c r="S402" s="418">
        <f t="shared" si="129"/>
        <v>934755.02</v>
      </c>
      <c r="T402" s="418">
        <f t="shared" si="130"/>
        <v>0</v>
      </c>
      <c r="V402" s="418" t="str">
        <f t="shared" si="131"/>
        <v>Projected - Electric</v>
      </c>
      <c r="W402" s="418" t="str">
        <f t="shared" si="132"/>
        <v>E3912 GEN Computer Eq, new</v>
      </c>
      <c r="X402" s="418" t="str">
        <f t="shared" si="121"/>
        <v>Projected</v>
      </c>
      <c r="Y402" s="418" t="str">
        <f t="shared" si="133"/>
        <v>101-E391</v>
      </c>
      <c r="Z402" s="418">
        <f t="shared" si="134"/>
        <v>0</v>
      </c>
      <c r="AA402" s="418">
        <f t="shared" si="135"/>
        <v>0</v>
      </c>
      <c r="AB402" s="418">
        <f t="shared" si="136"/>
        <v>0</v>
      </c>
      <c r="AC402" s="418">
        <f t="shared" si="137"/>
        <v>0</v>
      </c>
      <c r="AD402" s="418">
        <f t="shared" si="138"/>
        <v>0</v>
      </c>
      <c r="AE402" s="413">
        <f t="shared" si="139"/>
        <v>0</v>
      </c>
    </row>
    <row r="403" spans="1:31" x14ac:dyDescent="0.3">
      <c r="A403" s="415" t="s">
        <v>1604</v>
      </c>
      <c r="B403" s="418" t="s">
        <v>1771</v>
      </c>
      <c r="C403" s="418" t="s">
        <v>26</v>
      </c>
      <c r="D403" s="418" t="str">
        <f t="shared" si="122"/>
        <v>101-E392</v>
      </c>
      <c r="E403" s="418">
        <v>0</v>
      </c>
      <c r="F403" s="418">
        <v>330915.67</v>
      </c>
      <c r="G403" s="418">
        <v>345414.25</v>
      </c>
      <c r="H403" s="418">
        <v>698976.71</v>
      </c>
      <c r="I403" s="418">
        <v>0</v>
      </c>
      <c r="J403" s="413">
        <v>0</v>
      </c>
      <c r="L403" s="418" t="str">
        <f t="shared" si="123"/>
        <v>Projected - Electric</v>
      </c>
      <c r="M403" s="418" t="str">
        <f t="shared" si="124"/>
        <v>E392 GEN Trans Equip, new</v>
      </c>
      <c r="N403" s="418" t="str">
        <f t="shared" si="120"/>
        <v>Projected</v>
      </c>
      <c r="O403" s="418" t="str">
        <f t="shared" si="125"/>
        <v>101-E392</v>
      </c>
      <c r="P403" s="418">
        <f t="shared" si="126"/>
        <v>0</v>
      </c>
      <c r="Q403" s="418">
        <f t="shared" si="127"/>
        <v>330915.67</v>
      </c>
      <c r="R403" s="418">
        <f t="shared" si="128"/>
        <v>345414.25</v>
      </c>
      <c r="S403" s="418">
        <f t="shared" si="129"/>
        <v>698976.71</v>
      </c>
      <c r="T403" s="418">
        <f t="shared" si="130"/>
        <v>0</v>
      </c>
      <c r="V403" s="418" t="str">
        <f t="shared" si="131"/>
        <v>Projected - Electric</v>
      </c>
      <c r="W403" s="418" t="str">
        <f t="shared" si="132"/>
        <v>E392 GEN Trans Equip, new</v>
      </c>
      <c r="X403" s="418" t="str">
        <f t="shared" si="121"/>
        <v>Projected</v>
      </c>
      <c r="Y403" s="418" t="str">
        <f t="shared" si="133"/>
        <v>101-E392</v>
      </c>
      <c r="Z403" s="418">
        <f t="shared" si="134"/>
        <v>0</v>
      </c>
      <c r="AA403" s="418">
        <f t="shared" si="135"/>
        <v>0</v>
      </c>
      <c r="AB403" s="418">
        <f t="shared" si="136"/>
        <v>0</v>
      </c>
      <c r="AC403" s="418">
        <f t="shared" si="137"/>
        <v>0</v>
      </c>
      <c r="AD403" s="418">
        <f t="shared" si="138"/>
        <v>0</v>
      </c>
      <c r="AE403" s="413">
        <f t="shared" si="139"/>
        <v>0</v>
      </c>
    </row>
    <row r="404" spans="1:31" x14ac:dyDescent="0.3">
      <c r="A404" s="415" t="s">
        <v>1604</v>
      </c>
      <c r="B404" s="418" t="s">
        <v>1770</v>
      </c>
      <c r="C404" s="418" t="s">
        <v>26</v>
      </c>
      <c r="D404" s="418" t="str">
        <f t="shared" si="122"/>
        <v>101-E393</v>
      </c>
      <c r="E404" s="418">
        <v>0</v>
      </c>
      <c r="F404" s="418">
        <v>83.36</v>
      </c>
      <c r="G404" s="418">
        <v>86.94</v>
      </c>
      <c r="H404" s="418">
        <v>172.91</v>
      </c>
      <c r="I404" s="418">
        <v>0</v>
      </c>
      <c r="J404" s="413">
        <v>0</v>
      </c>
      <c r="L404" s="418" t="str">
        <f t="shared" si="123"/>
        <v>Projected - Electric</v>
      </c>
      <c r="M404" s="418" t="str">
        <f t="shared" si="124"/>
        <v>E3930 GEN Stores Equip, new</v>
      </c>
      <c r="N404" s="418" t="str">
        <f t="shared" si="120"/>
        <v>Projected</v>
      </c>
      <c r="O404" s="418" t="str">
        <f t="shared" si="125"/>
        <v>101-E393</v>
      </c>
      <c r="P404" s="418">
        <f t="shared" si="126"/>
        <v>0</v>
      </c>
      <c r="Q404" s="418">
        <f t="shared" si="127"/>
        <v>83.36</v>
      </c>
      <c r="R404" s="418">
        <f t="shared" si="128"/>
        <v>86.94</v>
      </c>
      <c r="S404" s="418">
        <f t="shared" si="129"/>
        <v>172.91</v>
      </c>
      <c r="T404" s="418">
        <f t="shared" si="130"/>
        <v>0</v>
      </c>
      <c r="V404" s="418" t="str">
        <f t="shared" si="131"/>
        <v>Projected - Electric</v>
      </c>
      <c r="W404" s="418" t="str">
        <f t="shared" si="132"/>
        <v>E3930 GEN Stores Equip, new</v>
      </c>
      <c r="X404" s="418" t="str">
        <f t="shared" si="121"/>
        <v>Projected</v>
      </c>
      <c r="Y404" s="418" t="str">
        <f t="shared" si="133"/>
        <v>101-E393</v>
      </c>
      <c r="Z404" s="418">
        <f t="shared" si="134"/>
        <v>0</v>
      </c>
      <c r="AA404" s="418">
        <f t="shared" si="135"/>
        <v>0</v>
      </c>
      <c r="AB404" s="418">
        <f t="shared" si="136"/>
        <v>0</v>
      </c>
      <c r="AC404" s="418">
        <f t="shared" si="137"/>
        <v>0</v>
      </c>
      <c r="AD404" s="418">
        <f t="shared" si="138"/>
        <v>0</v>
      </c>
      <c r="AE404" s="413">
        <f t="shared" si="139"/>
        <v>0</v>
      </c>
    </row>
    <row r="405" spans="1:31" x14ac:dyDescent="0.3">
      <c r="A405" s="415" t="s">
        <v>1604</v>
      </c>
      <c r="B405" s="418" t="s">
        <v>1769</v>
      </c>
      <c r="C405" s="418" t="s">
        <v>26</v>
      </c>
      <c r="D405" s="418" t="str">
        <f t="shared" si="122"/>
        <v>101-E394</v>
      </c>
      <c r="E405" s="418">
        <v>0</v>
      </c>
      <c r="F405" s="418">
        <v>0</v>
      </c>
      <c r="G405" s="418">
        <v>0</v>
      </c>
      <c r="H405" s="418">
        <v>0</v>
      </c>
      <c r="I405" s="418">
        <v>0</v>
      </c>
      <c r="J405" s="413">
        <v>0</v>
      </c>
      <c r="L405" s="418" t="str">
        <f t="shared" si="123"/>
        <v>Projected - Electric</v>
      </c>
      <c r="M405" s="418" t="str">
        <f t="shared" si="124"/>
        <v>E3940 GEN Tools LSR</v>
      </c>
      <c r="N405" s="418" t="str">
        <f t="shared" si="120"/>
        <v>Projected</v>
      </c>
      <c r="O405" s="418" t="str">
        <f t="shared" si="125"/>
        <v>101-E394</v>
      </c>
      <c r="P405" s="418">
        <f t="shared" si="126"/>
        <v>0</v>
      </c>
      <c r="Q405" s="418">
        <f t="shared" si="127"/>
        <v>0</v>
      </c>
      <c r="R405" s="418">
        <f t="shared" si="128"/>
        <v>0</v>
      </c>
      <c r="S405" s="418">
        <f t="shared" si="129"/>
        <v>0</v>
      </c>
      <c r="T405" s="418">
        <f t="shared" si="130"/>
        <v>0</v>
      </c>
      <c r="V405" s="418" t="str">
        <f t="shared" si="131"/>
        <v>Projected - Electric</v>
      </c>
      <c r="W405" s="418" t="str">
        <f t="shared" si="132"/>
        <v>E3940 GEN Tools LSR</v>
      </c>
      <c r="X405" s="418" t="str">
        <f t="shared" si="121"/>
        <v>Projected</v>
      </c>
      <c r="Y405" s="418" t="str">
        <f t="shared" si="133"/>
        <v>101-E394</v>
      </c>
      <c r="Z405" s="418">
        <f t="shared" si="134"/>
        <v>0</v>
      </c>
      <c r="AA405" s="418">
        <f t="shared" si="135"/>
        <v>0</v>
      </c>
      <c r="AB405" s="418">
        <f t="shared" si="136"/>
        <v>0</v>
      </c>
      <c r="AC405" s="418">
        <f t="shared" si="137"/>
        <v>0</v>
      </c>
      <c r="AD405" s="418">
        <f t="shared" si="138"/>
        <v>0</v>
      </c>
      <c r="AE405" s="413">
        <f t="shared" si="139"/>
        <v>0</v>
      </c>
    </row>
    <row r="406" spans="1:31" x14ac:dyDescent="0.3">
      <c r="A406" s="415" t="s">
        <v>1604</v>
      </c>
      <c r="B406" s="418" t="s">
        <v>1768</v>
      </c>
      <c r="C406" s="418" t="s">
        <v>26</v>
      </c>
      <c r="D406" s="418" t="str">
        <f t="shared" si="122"/>
        <v>101-E394</v>
      </c>
      <c r="E406" s="418">
        <v>0</v>
      </c>
      <c r="F406" s="418">
        <v>2186547.77</v>
      </c>
      <c r="G406" s="418">
        <v>2327891.9700000002</v>
      </c>
      <c r="H406" s="418">
        <v>5655800.3899999997</v>
      </c>
      <c r="I406" s="418">
        <v>0</v>
      </c>
      <c r="J406" s="413">
        <v>0</v>
      </c>
      <c r="L406" s="418" t="str">
        <f t="shared" si="123"/>
        <v>Projected - Electric</v>
      </c>
      <c r="M406" s="418" t="str">
        <f t="shared" si="124"/>
        <v>E3940 GEN Tools/Garage/Shop, new</v>
      </c>
      <c r="N406" s="418" t="str">
        <f t="shared" si="120"/>
        <v>Projected</v>
      </c>
      <c r="O406" s="418" t="str">
        <f t="shared" si="125"/>
        <v>101-E394</v>
      </c>
      <c r="P406" s="418">
        <f t="shared" si="126"/>
        <v>0</v>
      </c>
      <c r="Q406" s="418">
        <f t="shared" si="127"/>
        <v>2186547.77</v>
      </c>
      <c r="R406" s="418">
        <f t="shared" si="128"/>
        <v>2327891.9700000002</v>
      </c>
      <c r="S406" s="418">
        <f t="shared" si="129"/>
        <v>5655800.3899999997</v>
      </c>
      <c r="T406" s="418">
        <f t="shared" si="130"/>
        <v>0</v>
      </c>
      <c r="V406" s="418" t="str">
        <f t="shared" si="131"/>
        <v>Projected - Electric</v>
      </c>
      <c r="W406" s="418" t="str">
        <f t="shared" si="132"/>
        <v>E3940 GEN Tools/Garage/Shop, new</v>
      </c>
      <c r="X406" s="418" t="str">
        <f t="shared" si="121"/>
        <v>Projected</v>
      </c>
      <c r="Y406" s="418" t="str">
        <f t="shared" si="133"/>
        <v>101-E394</v>
      </c>
      <c r="Z406" s="418">
        <f t="shared" si="134"/>
        <v>0</v>
      </c>
      <c r="AA406" s="418">
        <f t="shared" si="135"/>
        <v>0</v>
      </c>
      <c r="AB406" s="418">
        <f t="shared" si="136"/>
        <v>0</v>
      </c>
      <c r="AC406" s="418">
        <f t="shared" si="137"/>
        <v>0</v>
      </c>
      <c r="AD406" s="418">
        <f t="shared" si="138"/>
        <v>0</v>
      </c>
      <c r="AE406" s="413">
        <f t="shared" si="139"/>
        <v>0</v>
      </c>
    </row>
    <row r="407" spans="1:31" x14ac:dyDescent="0.3">
      <c r="A407" s="415" t="s">
        <v>1604</v>
      </c>
      <c r="B407" s="418" t="s">
        <v>1767</v>
      </c>
      <c r="C407" s="418" t="s">
        <v>26</v>
      </c>
      <c r="D407" s="418" t="str">
        <f t="shared" si="122"/>
        <v>101-E395</v>
      </c>
      <c r="E407" s="418">
        <v>0</v>
      </c>
      <c r="F407" s="418">
        <v>206488.62</v>
      </c>
      <c r="G407" s="418">
        <v>215350.43</v>
      </c>
      <c r="H407" s="418">
        <v>428299.66</v>
      </c>
      <c r="I407" s="418">
        <v>0</v>
      </c>
      <c r="J407" s="413">
        <v>0</v>
      </c>
      <c r="L407" s="418" t="str">
        <f t="shared" si="123"/>
        <v>Projected - Electric</v>
      </c>
      <c r="M407" s="418" t="str">
        <f t="shared" si="124"/>
        <v>E3950 GEN Laboratory Equip, new</v>
      </c>
      <c r="N407" s="418" t="str">
        <f t="shared" si="120"/>
        <v>Projected</v>
      </c>
      <c r="O407" s="418" t="str">
        <f t="shared" si="125"/>
        <v>101-E395</v>
      </c>
      <c r="P407" s="418">
        <f t="shared" si="126"/>
        <v>0</v>
      </c>
      <c r="Q407" s="418">
        <f t="shared" si="127"/>
        <v>206488.62</v>
      </c>
      <c r="R407" s="418">
        <f t="shared" si="128"/>
        <v>215350.43</v>
      </c>
      <c r="S407" s="418">
        <f t="shared" si="129"/>
        <v>428299.66</v>
      </c>
      <c r="T407" s="418">
        <f t="shared" si="130"/>
        <v>0</v>
      </c>
      <c r="V407" s="418" t="str">
        <f t="shared" si="131"/>
        <v>Projected - Electric</v>
      </c>
      <c r="W407" s="418" t="str">
        <f t="shared" si="132"/>
        <v>E3950 GEN Laboratory Equip, new</v>
      </c>
      <c r="X407" s="418" t="str">
        <f t="shared" si="121"/>
        <v>Projected</v>
      </c>
      <c r="Y407" s="418" t="str">
        <f t="shared" si="133"/>
        <v>101-E395</v>
      </c>
      <c r="Z407" s="418">
        <f t="shared" si="134"/>
        <v>0</v>
      </c>
      <c r="AA407" s="418">
        <f t="shared" si="135"/>
        <v>0</v>
      </c>
      <c r="AB407" s="418">
        <f t="shared" si="136"/>
        <v>0</v>
      </c>
      <c r="AC407" s="418">
        <f t="shared" si="137"/>
        <v>0</v>
      </c>
      <c r="AD407" s="418">
        <f t="shared" si="138"/>
        <v>0</v>
      </c>
      <c r="AE407" s="413">
        <f t="shared" si="139"/>
        <v>0</v>
      </c>
    </row>
    <row r="408" spans="1:31" x14ac:dyDescent="0.3">
      <c r="A408" s="415" t="s">
        <v>1604</v>
      </c>
      <c r="B408" s="418" t="s">
        <v>1766</v>
      </c>
      <c r="C408" s="418" t="s">
        <v>26</v>
      </c>
      <c r="D408" s="418" t="str">
        <f t="shared" si="122"/>
        <v>101-E396</v>
      </c>
      <c r="E408" s="418">
        <v>0</v>
      </c>
      <c r="F408" s="418">
        <v>170699.74</v>
      </c>
      <c r="G408" s="418">
        <v>178178.7</v>
      </c>
      <c r="H408" s="418">
        <v>360560.58</v>
      </c>
      <c r="I408" s="418">
        <v>0</v>
      </c>
      <c r="J408" s="413">
        <v>0</v>
      </c>
      <c r="L408" s="418" t="str">
        <f t="shared" si="123"/>
        <v>Projected - Electric</v>
      </c>
      <c r="M408" s="418" t="str">
        <f t="shared" si="124"/>
        <v>E396 GEN Power-Op Equip, new</v>
      </c>
      <c r="N408" s="418" t="str">
        <f t="shared" si="120"/>
        <v>Projected</v>
      </c>
      <c r="O408" s="418" t="str">
        <f t="shared" si="125"/>
        <v>101-E396</v>
      </c>
      <c r="P408" s="418">
        <f t="shared" si="126"/>
        <v>0</v>
      </c>
      <c r="Q408" s="418">
        <f t="shared" si="127"/>
        <v>170699.74</v>
      </c>
      <c r="R408" s="418">
        <f t="shared" si="128"/>
        <v>178178.7</v>
      </c>
      <c r="S408" s="418">
        <f t="shared" si="129"/>
        <v>360560.58</v>
      </c>
      <c r="T408" s="418">
        <f t="shared" si="130"/>
        <v>0</v>
      </c>
      <c r="V408" s="418" t="str">
        <f t="shared" si="131"/>
        <v>Projected - Electric</v>
      </c>
      <c r="W408" s="418" t="str">
        <f t="shared" si="132"/>
        <v>E396 GEN Power-Op Equip, new</v>
      </c>
      <c r="X408" s="418" t="str">
        <f t="shared" si="121"/>
        <v>Projected</v>
      </c>
      <c r="Y408" s="418" t="str">
        <f t="shared" si="133"/>
        <v>101-E396</v>
      </c>
      <c r="Z408" s="418">
        <f t="shared" si="134"/>
        <v>0</v>
      </c>
      <c r="AA408" s="418">
        <f t="shared" si="135"/>
        <v>0</v>
      </c>
      <c r="AB408" s="418">
        <f t="shared" si="136"/>
        <v>0</v>
      </c>
      <c r="AC408" s="418">
        <f t="shared" si="137"/>
        <v>0</v>
      </c>
      <c r="AD408" s="418">
        <f t="shared" si="138"/>
        <v>0</v>
      </c>
      <c r="AE408" s="413">
        <f t="shared" si="139"/>
        <v>0</v>
      </c>
    </row>
    <row r="409" spans="1:31" x14ac:dyDescent="0.3">
      <c r="A409" s="415" t="s">
        <v>1604</v>
      </c>
      <c r="B409" s="418" t="s">
        <v>1765</v>
      </c>
      <c r="C409" s="418" t="s">
        <v>26</v>
      </c>
      <c r="D409" s="418" t="str">
        <f t="shared" si="122"/>
        <v>101-E397</v>
      </c>
      <c r="E409" s="418">
        <v>0</v>
      </c>
      <c r="F409" s="418">
        <v>317506.51</v>
      </c>
      <c r="G409" s="418">
        <v>432616.89</v>
      </c>
      <c r="H409" s="418">
        <v>909393.23</v>
      </c>
      <c r="I409" s="418">
        <v>0</v>
      </c>
      <c r="J409" s="413">
        <v>0</v>
      </c>
      <c r="L409" s="418" t="str">
        <f t="shared" si="123"/>
        <v>Projected - Electric</v>
      </c>
      <c r="M409" s="418" t="str">
        <f t="shared" si="124"/>
        <v>E3970 GEN Comm Equip, new</v>
      </c>
      <c r="N409" s="418" t="str">
        <f t="shared" si="120"/>
        <v>Projected</v>
      </c>
      <c r="O409" s="418" t="str">
        <f t="shared" si="125"/>
        <v>101-E397</v>
      </c>
      <c r="P409" s="418">
        <f t="shared" si="126"/>
        <v>0</v>
      </c>
      <c r="Q409" s="418">
        <f t="shared" si="127"/>
        <v>317506.51</v>
      </c>
      <c r="R409" s="418">
        <f t="shared" si="128"/>
        <v>432616.89</v>
      </c>
      <c r="S409" s="418">
        <f t="shared" si="129"/>
        <v>909393.23</v>
      </c>
      <c r="T409" s="418">
        <f t="shared" si="130"/>
        <v>0</v>
      </c>
      <c r="V409" s="418" t="str">
        <f t="shared" si="131"/>
        <v>Projected - Electric</v>
      </c>
      <c r="W409" s="418" t="str">
        <f t="shared" si="132"/>
        <v>E3970 GEN Comm Equip, new</v>
      </c>
      <c r="X409" s="418" t="str">
        <f t="shared" si="121"/>
        <v>Projected</v>
      </c>
      <c r="Y409" s="418" t="str">
        <f t="shared" si="133"/>
        <v>101-E397</v>
      </c>
      <c r="Z409" s="418">
        <f t="shared" si="134"/>
        <v>0</v>
      </c>
      <c r="AA409" s="418">
        <f t="shared" si="135"/>
        <v>0</v>
      </c>
      <c r="AB409" s="418">
        <f t="shared" si="136"/>
        <v>0</v>
      </c>
      <c r="AC409" s="418">
        <f t="shared" si="137"/>
        <v>0</v>
      </c>
      <c r="AD409" s="418">
        <f t="shared" si="138"/>
        <v>0</v>
      </c>
      <c r="AE409" s="413">
        <f t="shared" si="139"/>
        <v>0</v>
      </c>
    </row>
    <row r="410" spans="1:31" x14ac:dyDescent="0.3">
      <c r="A410" s="415" t="s">
        <v>1604</v>
      </c>
      <c r="B410" s="418" t="s">
        <v>1764</v>
      </c>
      <c r="C410" s="418" t="s">
        <v>26</v>
      </c>
      <c r="D410" s="418" t="str">
        <f t="shared" si="122"/>
        <v>101-E397</v>
      </c>
      <c r="E410" s="418">
        <v>0</v>
      </c>
      <c r="F410" s="418">
        <v>8745.52</v>
      </c>
      <c r="G410" s="418">
        <v>9647.14</v>
      </c>
      <c r="H410" s="418">
        <v>31231.63</v>
      </c>
      <c r="I410" s="418">
        <v>0</v>
      </c>
      <c r="J410" s="413">
        <v>0</v>
      </c>
      <c r="L410" s="418" t="str">
        <f t="shared" si="123"/>
        <v>Projected - Electric</v>
      </c>
      <c r="M410" s="418" t="str">
        <f t="shared" si="124"/>
        <v>E3970 GEN CommEq, 3rd AC new</v>
      </c>
      <c r="N410" s="418" t="str">
        <f t="shared" si="120"/>
        <v>Projected</v>
      </c>
      <c r="O410" s="418" t="str">
        <f t="shared" si="125"/>
        <v>101-E397</v>
      </c>
      <c r="P410" s="418">
        <f t="shared" si="126"/>
        <v>0</v>
      </c>
      <c r="Q410" s="418">
        <f t="shared" si="127"/>
        <v>8745.52</v>
      </c>
      <c r="R410" s="418">
        <f t="shared" si="128"/>
        <v>9647.14</v>
      </c>
      <c r="S410" s="418">
        <f t="shared" si="129"/>
        <v>31231.63</v>
      </c>
      <c r="T410" s="418">
        <f t="shared" si="130"/>
        <v>0</v>
      </c>
      <c r="V410" s="418" t="str">
        <f t="shared" si="131"/>
        <v>Projected - Electric</v>
      </c>
      <c r="W410" s="418" t="str">
        <f t="shared" si="132"/>
        <v>E3970 GEN CommEq, 3rd AC new</v>
      </c>
      <c r="X410" s="418" t="str">
        <f t="shared" si="121"/>
        <v>Projected</v>
      </c>
      <c r="Y410" s="418" t="str">
        <f t="shared" si="133"/>
        <v>101-E397</v>
      </c>
      <c r="Z410" s="418">
        <f t="shared" si="134"/>
        <v>0</v>
      </c>
      <c r="AA410" s="418">
        <f t="shared" si="135"/>
        <v>0</v>
      </c>
      <c r="AB410" s="418">
        <f t="shared" si="136"/>
        <v>0</v>
      </c>
      <c r="AC410" s="418">
        <f t="shared" si="137"/>
        <v>0</v>
      </c>
      <c r="AD410" s="418">
        <f t="shared" si="138"/>
        <v>0</v>
      </c>
      <c r="AE410" s="413">
        <f t="shared" si="139"/>
        <v>0</v>
      </c>
    </row>
    <row r="411" spans="1:31" x14ac:dyDescent="0.3">
      <c r="A411" s="415" t="s">
        <v>1604</v>
      </c>
      <c r="B411" s="418" t="s">
        <v>1763</v>
      </c>
      <c r="C411" s="418" t="s">
        <v>26</v>
      </c>
      <c r="D411" s="418" t="str">
        <f t="shared" si="122"/>
        <v>101-E397</v>
      </c>
      <c r="E411" s="418">
        <v>0</v>
      </c>
      <c r="F411" s="418">
        <v>37717.919999999998</v>
      </c>
      <c r="G411" s="418">
        <v>59826.720000000001</v>
      </c>
      <c r="H411" s="418">
        <v>133950.19</v>
      </c>
      <c r="I411" s="418">
        <v>0</v>
      </c>
      <c r="J411" s="413">
        <v>0</v>
      </c>
      <c r="L411" s="418" t="str">
        <f t="shared" si="123"/>
        <v>Projected - Electric</v>
      </c>
      <c r="M411" s="418" t="str">
        <f t="shared" si="124"/>
        <v>E3970 GEN CommEq, Colstrip 1-4 new</v>
      </c>
      <c r="N411" s="418" t="str">
        <f t="shared" si="120"/>
        <v>Projected</v>
      </c>
      <c r="O411" s="418" t="str">
        <f t="shared" si="125"/>
        <v>101-E397</v>
      </c>
      <c r="P411" s="418">
        <f t="shared" si="126"/>
        <v>0</v>
      </c>
      <c r="Q411" s="418">
        <f t="shared" si="127"/>
        <v>37717.919999999998</v>
      </c>
      <c r="R411" s="418">
        <f t="shared" si="128"/>
        <v>59826.720000000001</v>
      </c>
      <c r="S411" s="418">
        <f t="shared" si="129"/>
        <v>133950.19</v>
      </c>
      <c r="T411" s="418">
        <f t="shared" si="130"/>
        <v>0</v>
      </c>
      <c r="V411" s="418" t="str">
        <f t="shared" si="131"/>
        <v>Projected - Electric</v>
      </c>
      <c r="W411" s="418" t="str">
        <f t="shared" si="132"/>
        <v>E3970 GEN CommEq, Colstrip 1-4 new</v>
      </c>
      <c r="X411" s="418" t="str">
        <f t="shared" si="121"/>
        <v>Projected</v>
      </c>
      <c r="Y411" s="418" t="str">
        <f t="shared" si="133"/>
        <v>101-E397</v>
      </c>
      <c r="Z411" s="418">
        <f t="shared" si="134"/>
        <v>0</v>
      </c>
      <c r="AA411" s="418">
        <f t="shared" si="135"/>
        <v>0</v>
      </c>
      <c r="AB411" s="418">
        <f t="shared" si="136"/>
        <v>0</v>
      </c>
      <c r="AC411" s="418">
        <f t="shared" si="137"/>
        <v>0</v>
      </c>
      <c r="AD411" s="418">
        <f t="shared" si="138"/>
        <v>0</v>
      </c>
      <c r="AE411" s="413">
        <f t="shared" si="139"/>
        <v>0</v>
      </c>
    </row>
    <row r="412" spans="1:31" x14ac:dyDescent="0.3">
      <c r="A412" s="415" t="s">
        <v>1604</v>
      </c>
      <c r="B412" s="418" t="s">
        <v>1762</v>
      </c>
      <c r="C412" s="418" t="s">
        <v>26</v>
      </c>
      <c r="D412" s="418" t="str">
        <f t="shared" si="122"/>
        <v>101-E397</v>
      </c>
      <c r="E412" s="418">
        <v>0</v>
      </c>
      <c r="F412" s="418">
        <v>0</v>
      </c>
      <c r="G412" s="418">
        <v>0</v>
      </c>
      <c r="H412" s="418">
        <v>0</v>
      </c>
      <c r="I412" s="418">
        <v>0</v>
      </c>
      <c r="J412" s="413">
        <v>0</v>
      </c>
      <c r="L412" s="418" t="str">
        <f t="shared" si="123"/>
        <v>Projected - Electric</v>
      </c>
      <c r="M412" s="418" t="str">
        <f t="shared" si="124"/>
        <v>E3970 GEN CommEq, LSR</v>
      </c>
      <c r="N412" s="418" t="str">
        <f t="shared" si="120"/>
        <v>Projected</v>
      </c>
      <c r="O412" s="418" t="str">
        <f t="shared" si="125"/>
        <v>101-E397</v>
      </c>
      <c r="P412" s="418">
        <f t="shared" si="126"/>
        <v>0</v>
      </c>
      <c r="Q412" s="418">
        <f t="shared" si="127"/>
        <v>0</v>
      </c>
      <c r="R412" s="418">
        <f t="shared" si="128"/>
        <v>0</v>
      </c>
      <c r="S412" s="418">
        <f t="shared" si="129"/>
        <v>0</v>
      </c>
      <c r="T412" s="418">
        <f t="shared" si="130"/>
        <v>0</v>
      </c>
      <c r="V412" s="418" t="str">
        <f t="shared" si="131"/>
        <v>Projected - Electric</v>
      </c>
      <c r="W412" s="418" t="str">
        <f t="shared" si="132"/>
        <v>E3970 GEN CommEq, LSR</v>
      </c>
      <c r="X412" s="418" t="str">
        <f t="shared" si="121"/>
        <v>Projected</v>
      </c>
      <c r="Y412" s="418" t="str">
        <f t="shared" si="133"/>
        <v>101-E397</v>
      </c>
      <c r="Z412" s="418">
        <f t="shared" si="134"/>
        <v>0</v>
      </c>
      <c r="AA412" s="418">
        <f t="shared" si="135"/>
        <v>0</v>
      </c>
      <c r="AB412" s="418">
        <f t="shared" si="136"/>
        <v>0</v>
      </c>
      <c r="AC412" s="418">
        <f t="shared" si="137"/>
        <v>0</v>
      </c>
      <c r="AD412" s="418">
        <f t="shared" si="138"/>
        <v>0</v>
      </c>
      <c r="AE412" s="413">
        <f t="shared" si="139"/>
        <v>0</v>
      </c>
    </row>
    <row r="413" spans="1:31" x14ac:dyDescent="0.3">
      <c r="A413" s="415" t="s">
        <v>1604</v>
      </c>
      <c r="B413" s="418" t="s">
        <v>1761</v>
      </c>
      <c r="C413" s="418" t="s">
        <v>26</v>
      </c>
      <c r="D413" s="418" t="str">
        <f t="shared" si="122"/>
        <v>101-E398</v>
      </c>
      <c r="E413" s="418">
        <v>0</v>
      </c>
      <c r="F413" s="418">
        <v>4908</v>
      </c>
      <c r="G413" s="418">
        <v>5552.04</v>
      </c>
      <c r="H413" s="418">
        <v>6625.44</v>
      </c>
      <c r="I413" s="418">
        <v>0</v>
      </c>
      <c r="J413" s="413">
        <v>0</v>
      </c>
      <c r="L413" s="418" t="str">
        <f t="shared" si="123"/>
        <v>Projected - Electric</v>
      </c>
      <c r="M413" s="418" t="str">
        <f t="shared" si="124"/>
        <v>E3980 GEN Misc Equip, Encogen</v>
      </c>
      <c r="N413" s="418" t="str">
        <f t="shared" si="120"/>
        <v>Projected</v>
      </c>
      <c r="O413" s="418" t="str">
        <f t="shared" si="125"/>
        <v>101-E398</v>
      </c>
      <c r="P413" s="418">
        <f t="shared" si="126"/>
        <v>0</v>
      </c>
      <c r="Q413" s="418">
        <f t="shared" si="127"/>
        <v>4908</v>
      </c>
      <c r="R413" s="418">
        <f t="shared" si="128"/>
        <v>5552.04</v>
      </c>
      <c r="S413" s="418">
        <f t="shared" si="129"/>
        <v>6625.44</v>
      </c>
      <c r="T413" s="418">
        <f t="shared" si="130"/>
        <v>0</v>
      </c>
      <c r="V413" s="418" t="str">
        <f t="shared" si="131"/>
        <v>Projected - Electric</v>
      </c>
      <c r="W413" s="418" t="str">
        <f t="shared" si="132"/>
        <v>E3980 GEN Misc Equip, Encogen</v>
      </c>
      <c r="X413" s="418" t="str">
        <f t="shared" si="121"/>
        <v>Projected</v>
      </c>
      <c r="Y413" s="418" t="str">
        <f t="shared" si="133"/>
        <v>101-E398</v>
      </c>
      <c r="Z413" s="418">
        <f t="shared" si="134"/>
        <v>0</v>
      </c>
      <c r="AA413" s="418">
        <f t="shared" si="135"/>
        <v>0</v>
      </c>
      <c r="AB413" s="418">
        <f t="shared" si="136"/>
        <v>0</v>
      </c>
      <c r="AC413" s="418">
        <f t="shared" si="137"/>
        <v>0</v>
      </c>
      <c r="AD413" s="418">
        <f t="shared" si="138"/>
        <v>0</v>
      </c>
      <c r="AE413" s="413">
        <f t="shared" si="139"/>
        <v>0</v>
      </c>
    </row>
    <row r="414" spans="1:31" x14ac:dyDescent="0.3">
      <c r="A414" s="415" t="s">
        <v>1604</v>
      </c>
      <c r="B414" s="418" t="s">
        <v>1760</v>
      </c>
      <c r="C414" s="418" t="s">
        <v>26</v>
      </c>
      <c r="D414" s="418" t="str">
        <f t="shared" si="122"/>
        <v>101-E398</v>
      </c>
      <c r="E414" s="418">
        <v>0</v>
      </c>
      <c r="F414" s="418">
        <v>27777.39</v>
      </c>
      <c r="G414" s="418">
        <v>28969.5</v>
      </c>
      <c r="H414" s="418">
        <v>57615.99</v>
      </c>
      <c r="I414" s="418">
        <v>0</v>
      </c>
      <c r="J414" s="413">
        <v>0</v>
      </c>
      <c r="L414" s="418" t="str">
        <f t="shared" si="123"/>
        <v>Projected - Electric</v>
      </c>
      <c r="M414" s="418" t="str">
        <f t="shared" si="124"/>
        <v>E3980 GEN Misc Equipment, new</v>
      </c>
      <c r="N414" s="418" t="str">
        <f t="shared" si="120"/>
        <v>Projected</v>
      </c>
      <c r="O414" s="418" t="str">
        <f t="shared" si="125"/>
        <v>101-E398</v>
      </c>
      <c r="P414" s="418">
        <f t="shared" si="126"/>
        <v>0</v>
      </c>
      <c r="Q414" s="418">
        <f t="shared" si="127"/>
        <v>27777.39</v>
      </c>
      <c r="R414" s="418">
        <f t="shared" si="128"/>
        <v>28969.5</v>
      </c>
      <c r="S414" s="418">
        <f t="shared" si="129"/>
        <v>57615.99</v>
      </c>
      <c r="T414" s="418">
        <f t="shared" si="130"/>
        <v>0</v>
      </c>
      <c r="V414" s="418" t="str">
        <f t="shared" si="131"/>
        <v>Projected - Electric</v>
      </c>
      <c r="W414" s="418" t="str">
        <f t="shared" si="132"/>
        <v>E3980 GEN Misc Equipment, new</v>
      </c>
      <c r="X414" s="418" t="str">
        <f t="shared" si="121"/>
        <v>Projected</v>
      </c>
      <c r="Y414" s="418" t="str">
        <f t="shared" si="133"/>
        <v>101-E398</v>
      </c>
      <c r="Z414" s="418">
        <f t="shared" si="134"/>
        <v>0</v>
      </c>
      <c r="AA414" s="418">
        <f t="shared" si="135"/>
        <v>0</v>
      </c>
      <c r="AB414" s="418">
        <f t="shared" si="136"/>
        <v>0</v>
      </c>
      <c r="AC414" s="418">
        <f t="shared" si="137"/>
        <v>0</v>
      </c>
      <c r="AD414" s="418">
        <f t="shared" si="138"/>
        <v>0</v>
      </c>
      <c r="AE414" s="413">
        <f t="shared" si="139"/>
        <v>0</v>
      </c>
    </row>
    <row r="415" spans="1:31" x14ac:dyDescent="0.3">
      <c r="A415" s="415" t="s">
        <v>1603</v>
      </c>
      <c r="B415" s="418" t="s">
        <v>1759</v>
      </c>
      <c r="C415" s="418" t="s">
        <v>26</v>
      </c>
      <c r="D415" s="418" t="str">
        <f t="shared" si="122"/>
        <v>101-G302</v>
      </c>
      <c r="E415" s="418">
        <v>0</v>
      </c>
      <c r="F415" s="418">
        <v>428032.76</v>
      </c>
      <c r="G415" s="418">
        <v>1154060.99</v>
      </c>
      <c r="H415" s="418">
        <v>3023552.86</v>
      </c>
      <c r="I415" s="418">
        <v>0</v>
      </c>
      <c r="J415" s="413">
        <v>0</v>
      </c>
      <c r="L415" s="418" t="str">
        <f t="shared" si="123"/>
        <v>Projected - Gas</v>
      </c>
      <c r="M415" s="418" t="str">
        <f t="shared" si="124"/>
        <v>G302.10 INT Franchises &amp; Consents</v>
      </c>
      <c r="N415" s="418" t="str">
        <f t="shared" si="120"/>
        <v>Projected</v>
      </c>
      <c r="O415" s="418" t="str">
        <f t="shared" si="125"/>
        <v>101-G302</v>
      </c>
      <c r="P415" s="418">
        <f t="shared" si="126"/>
        <v>0</v>
      </c>
      <c r="Q415" s="418">
        <f t="shared" si="127"/>
        <v>0</v>
      </c>
      <c r="R415" s="418">
        <f t="shared" si="128"/>
        <v>0</v>
      </c>
      <c r="S415" s="418">
        <f t="shared" si="129"/>
        <v>0</v>
      </c>
      <c r="T415" s="418">
        <f t="shared" si="130"/>
        <v>0</v>
      </c>
      <c r="V415" s="418" t="str">
        <f t="shared" si="131"/>
        <v>Projected - Gas</v>
      </c>
      <c r="W415" s="418" t="str">
        <f t="shared" si="132"/>
        <v>G302.10 INT Franchises &amp; Consents</v>
      </c>
      <c r="X415" s="418" t="str">
        <f t="shared" si="121"/>
        <v>Projected</v>
      </c>
      <c r="Y415" s="418" t="str">
        <f t="shared" si="133"/>
        <v>101-G302</v>
      </c>
      <c r="Z415" s="418">
        <f t="shared" si="134"/>
        <v>0</v>
      </c>
      <c r="AA415" s="418">
        <f t="shared" si="135"/>
        <v>428032.76</v>
      </c>
      <c r="AB415" s="418">
        <f t="shared" si="136"/>
        <v>1154060.99</v>
      </c>
      <c r="AC415" s="418">
        <f t="shared" si="137"/>
        <v>3023552.86</v>
      </c>
      <c r="AD415" s="418">
        <f t="shared" si="138"/>
        <v>0</v>
      </c>
      <c r="AE415" s="413">
        <f t="shared" si="139"/>
        <v>0</v>
      </c>
    </row>
    <row r="416" spans="1:31" x14ac:dyDescent="0.3">
      <c r="A416" s="415" t="s">
        <v>1603</v>
      </c>
      <c r="B416" s="418" t="s">
        <v>1758</v>
      </c>
      <c r="C416" s="418" t="s">
        <v>26</v>
      </c>
      <c r="D416" s="418" t="str">
        <f t="shared" si="122"/>
        <v>101-G303</v>
      </c>
      <c r="E416" s="418">
        <v>0</v>
      </c>
      <c r="F416" s="418">
        <v>2854876.11</v>
      </c>
      <c r="G416" s="418">
        <v>4625142.03</v>
      </c>
      <c r="H416" s="418">
        <v>6555982.8300000001</v>
      </c>
      <c r="I416" s="418">
        <v>0</v>
      </c>
      <c r="J416" s="413">
        <v>0</v>
      </c>
      <c r="L416" s="418" t="str">
        <f t="shared" si="123"/>
        <v>Projected - Gas</v>
      </c>
      <c r="M416" s="418" t="str">
        <f t="shared" si="124"/>
        <v>G303.10 INT Misc Intangible Plant</v>
      </c>
      <c r="N416" s="418" t="str">
        <f t="shared" si="120"/>
        <v>Projected</v>
      </c>
      <c r="O416" s="418" t="str">
        <f t="shared" si="125"/>
        <v>101-G303</v>
      </c>
      <c r="P416" s="418">
        <f t="shared" si="126"/>
        <v>0</v>
      </c>
      <c r="Q416" s="418">
        <f t="shared" si="127"/>
        <v>0</v>
      </c>
      <c r="R416" s="418">
        <f t="shared" si="128"/>
        <v>0</v>
      </c>
      <c r="S416" s="418">
        <f t="shared" si="129"/>
        <v>0</v>
      </c>
      <c r="T416" s="418">
        <f t="shared" si="130"/>
        <v>0</v>
      </c>
      <c r="V416" s="418" t="str">
        <f t="shared" si="131"/>
        <v>Projected - Gas</v>
      </c>
      <c r="W416" s="418" t="str">
        <f t="shared" si="132"/>
        <v>G303.10 INT Misc Intangible Plant</v>
      </c>
      <c r="X416" s="418" t="str">
        <f t="shared" si="121"/>
        <v>Projected</v>
      </c>
      <c r="Y416" s="418" t="str">
        <f t="shared" si="133"/>
        <v>101-G303</v>
      </c>
      <c r="Z416" s="418">
        <f t="shared" si="134"/>
        <v>0</v>
      </c>
      <c r="AA416" s="418">
        <f t="shared" si="135"/>
        <v>2854876.11</v>
      </c>
      <c r="AB416" s="418">
        <f t="shared" si="136"/>
        <v>4625142.03</v>
      </c>
      <c r="AC416" s="418">
        <f t="shared" si="137"/>
        <v>6555982.8300000001</v>
      </c>
      <c r="AD416" s="418">
        <f t="shared" si="138"/>
        <v>0</v>
      </c>
      <c r="AE416" s="413">
        <f t="shared" si="139"/>
        <v>0</v>
      </c>
    </row>
    <row r="417" spans="1:31" x14ac:dyDescent="0.3">
      <c r="A417" s="415" t="s">
        <v>1603</v>
      </c>
      <c r="B417" s="418" t="s">
        <v>1757</v>
      </c>
      <c r="C417" s="418" t="s">
        <v>26</v>
      </c>
      <c r="D417" s="418" t="str">
        <f t="shared" si="122"/>
        <v>101-G303</v>
      </c>
      <c r="E417" s="418">
        <v>0</v>
      </c>
      <c r="F417" s="418">
        <v>0</v>
      </c>
      <c r="G417" s="418">
        <v>204809.5</v>
      </c>
      <c r="H417" s="418">
        <v>496936.68</v>
      </c>
      <c r="I417" s="418">
        <v>0</v>
      </c>
      <c r="J417" s="413">
        <v>0</v>
      </c>
      <c r="L417" s="418" t="str">
        <f t="shared" si="123"/>
        <v>Projected - Gas</v>
      </c>
      <c r="M417" s="418" t="str">
        <f t="shared" si="124"/>
        <v>G303.3 INT Misc Intangible Plant</v>
      </c>
      <c r="N417" s="418" t="str">
        <f t="shared" si="120"/>
        <v>Projected</v>
      </c>
      <c r="O417" s="418" t="str">
        <f t="shared" si="125"/>
        <v>101-G303</v>
      </c>
      <c r="P417" s="418">
        <f t="shared" si="126"/>
        <v>0</v>
      </c>
      <c r="Q417" s="418">
        <f t="shared" si="127"/>
        <v>0</v>
      </c>
      <c r="R417" s="418">
        <f t="shared" si="128"/>
        <v>0</v>
      </c>
      <c r="S417" s="418">
        <f t="shared" si="129"/>
        <v>0</v>
      </c>
      <c r="T417" s="418">
        <f t="shared" si="130"/>
        <v>0</v>
      </c>
      <c r="V417" s="418" t="str">
        <f t="shared" si="131"/>
        <v>Projected - Gas</v>
      </c>
      <c r="W417" s="418" t="str">
        <f t="shared" si="132"/>
        <v>G303.3 INT Misc Intangible Plant</v>
      </c>
      <c r="X417" s="418" t="str">
        <f t="shared" si="121"/>
        <v>Projected</v>
      </c>
      <c r="Y417" s="418" t="str">
        <f t="shared" si="133"/>
        <v>101-G303</v>
      </c>
      <c r="Z417" s="418">
        <f t="shared" si="134"/>
        <v>0</v>
      </c>
      <c r="AA417" s="418">
        <f t="shared" si="135"/>
        <v>0</v>
      </c>
      <c r="AB417" s="418">
        <f t="shared" si="136"/>
        <v>204809.5</v>
      </c>
      <c r="AC417" s="418">
        <f t="shared" si="137"/>
        <v>496936.68</v>
      </c>
      <c r="AD417" s="418">
        <f t="shared" si="138"/>
        <v>0</v>
      </c>
      <c r="AE417" s="413">
        <f t="shared" si="139"/>
        <v>0</v>
      </c>
    </row>
    <row r="418" spans="1:31" x14ac:dyDescent="0.3">
      <c r="A418" s="415" t="s">
        <v>1603</v>
      </c>
      <c r="B418" s="418" t="s">
        <v>1756</v>
      </c>
      <c r="C418" s="418" t="s">
        <v>26</v>
      </c>
      <c r="D418" s="418" t="str">
        <f t="shared" si="122"/>
        <v>101-G303</v>
      </c>
      <c r="E418" s="418">
        <v>0</v>
      </c>
      <c r="F418" s="418">
        <v>147308.85999999999</v>
      </c>
      <c r="G418" s="418">
        <v>153314.85999999999</v>
      </c>
      <c r="H418" s="418">
        <v>159320.85999999999</v>
      </c>
      <c r="I418" s="418">
        <v>0</v>
      </c>
      <c r="J418" s="413">
        <v>0</v>
      </c>
      <c r="L418" s="418" t="str">
        <f t="shared" si="123"/>
        <v>Projected - Gas</v>
      </c>
      <c r="M418" s="418" t="str">
        <f t="shared" si="124"/>
        <v>G303.5 INT Misc Intangible Plant</v>
      </c>
      <c r="N418" s="418" t="str">
        <f t="shared" si="120"/>
        <v>Projected</v>
      </c>
      <c r="O418" s="418" t="str">
        <f t="shared" si="125"/>
        <v>101-G303</v>
      </c>
      <c r="P418" s="418">
        <f t="shared" si="126"/>
        <v>0</v>
      </c>
      <c r="Q418" s="418">
        <f t="shared" si="127"/>
        <v>0</v>
      </c>
      <c r="R418" s="418">
        <f t="shared" si="128"/>
        <v>0</v>
      </c>
      <c r="S418" s="418">
        <f t="shared" si="129"/>
        <v>0</v>
      </c>
      <c r="T418" s="418">
        <f t="shared" si="130"/>
        <v>0</v>
      </c>
      <c r="V418" s="418" t="str">
        <f t="shared" si="131"/>
        <v>Projected - Gas</v>
      </c>
      <c r="W418" s="418" t="str">
        <f t="shared" si="132"/>
        <v>G303.5 INT Misc Intangible Plant</v>
      </c>
      <c r="X418" s="418" t="str">
        <f t="shared" si="121"/>
        <v>Projected</v>
      </c>
      <c r="Y418" s="418" t="str">
        <f t="shared" si="133"/>
        <v>101-G303</v>
      </c>
      <c r="Z418" s="418">
        <f t="shared" si="134"/>
        <v>0</v>
      </c>
      <c r="AA418" s="418">
        <f t="shared" si="135"/>
        <v>147308.85999999999</v>
      </c>
      <c r="AB418" s="418">
        <f t="shared" si="136"/>
        <v>153314.85999999999</v>
      </c>
      <c r="AC418" s="418">
        <f t="shared" si="137"/>
        <v>159320.85999999999</v>
      </c>
      <c r="AD418" s="418">
        <f t="shared" si="138"/>
        <v>0</v>
      </c>
      <c r="AE418" s="413">
        <f t="shared" si="139"/>
        <v>0</v>
      </c>
    </row>
    <row r="419" spans="1:31" x14ac:dyDescent="0.3">
      <c r="A419" s="415" t="s">
        <v>1603</v>
      </c>
      <c r="B419" s="418" t="s">
        <v>1755</v>
      </c>
      <c r="C419" s="418" t="s">
        <v>26</v>
      </c>
      <c r="D419" s="418" t="str">
        <f t="shared" si="122"/>
        <v>101-G303</v>
      </c>
      <c r="E419" s="418">
        <v>0</v>
      </c>
      <c r="F419" s="418">
        <v>0</v>
      </c>
      <c r="G419" s="418">
        <v>0</v>
      </c>
      <c r="H419" s="418">
        <v>62719.39</v>
      </c>
      <c r="I419" s="418">
        <v>0</v>
      </c>
      <c r="J419" s="413">
        <v>0</v>
      </c>
      <c r="L419" s="418" t="str">
        <f t="shared" si="123"/>
        <v>Projected - Gas</v>
      </c>
      <c r="M419" s="418" t="str">
        <f t="shared" si="124"/>
        <v>G303.7 INT Misc Intangible Plant</v>
      </c>
      <c r="N419" s="418" t="str">
        <f t="shared" si="120"/>
        <v>Projected</v>
      </c>
      <c r="O419" s="418" t="str">
        <f t="shared" si="125"/>
        <v>101-G303</v>
      </c>
      <c r="P419" s="418">
        <f t="shared" si="126"/>
        <v>0</v>
      </c>
      <c r="Q419" s="418">
        <f t="shared" si="127"/>
        <v>0</v>
      </c>
      <c r="R419" s="418">
        <f t="shared" si="128"/>
        <v>0</v>
      </c>
      <c r="S419" s="418">
        <f t="shared" si="129"/>
        <v>0</v>
      </c>
      <c r="T419" s="418">
        <f t="shared" si="130"/>
        <v>0</v>
      </c>
      <c r="V419" s="418" t="str">
        <f t="shared" si="131"/>
        <v>Projected - Gas</v>
      </c>
      <c r="W419" s="418" t="str">
        <f t="shared" si="132"/>
        <v>G303.7 INT Misc Intangible Plant</v>
      </c>
      <c r="X419" s="418" t="str">
        <f t="shared" si="121"/>
        <v>Projected</v>
      </c>
      <c r="Y419" s="418" t="str">
        <f t="shared" si="133"/>
        <v>101-G303</v>
      </c>
      <c r="Z419" s="418">
        <f t="shared" si="134"/>
        <v>0</v>
      </c>
      <c r="AA419" s="418">
        <f t="shared" si="135"/>
        <v>0</v>
      </c>
      <c r="AB419" s="418">
        <f t="shared" si="136"/>
        <v>0</v>
      </c>
      <c r="AC419" s="418">
        <f t="shared" si="137"/>
        <v>62719.39</v>
      </c>
      <c r="AD419" s="418">
        <f t="shared" si="138"/>
        <v>0</v>
      </c>
      <c r="AE419" s="413">
        <f t="shared" si="139"/>
        <v>0</v>
      </c>
    </row>
    <row r="420" spans="1:31" x14ac:dyDescent="0.3">
      <c r="A420" s="415" t="s">
        <v>1603</v>
      </c>
      <c r="B420" s="418" t="s">
        <v>1754</v>
      </c>
      <c r="C420" s="418" t="s">
        <v>26</v>
      </c>
      <c r="D420" s="418" t="str">
        <f t="shared" si="122"/>
        <v>101-G351</v>
      </c>
      <c r="E420" s="418">
        <v>0</v>
      </c>
      <c r="F420" s="418">
        <v>18590.16</v>
      </c>
      <c r="G420" s="418">
        <v>27769.26</v>
      </c>
      <c r="H420" s="418">
        <v>46327.56</v>
      </c>
      <c r="I420" s="418">
        <v>0</v>
      </c>
      <c r="J420" s="413">
        <v>0</v>
      </c>
      <c r="L420" s="418" t="str">
        <f t="shared" si="123"/>
        <v>Projected - Gas</v>
      </c>
      <c r="M420" s="418" t="str">
        <f t="shared" si="124"/>
        <v>G3511 UGS Well Structures</v>
      </c>
      <c r="N420" s="418" t="str">
        <f t="shared" si="120"/>
        <v>Projected</v>
      </c>
      <c r="O420" s="418" t="str">
        <f t="shared" si="125"/>
        <v>101-G351</v>
      </c>
      <c r="P420" s="418">
        <f t="shared" si="126"/>
        <v>0</v>
      </c>
      <c r="Q420" s="418">
        <f t="shared" si="127"/>
        <v>0</v>
      </c>
      <c r="R420" s="418">
        <f t="shared" si="128"/>
        <v>0</v>
      </c>
      <c r="S420" s="418">
        <f t="shared" si="129"/>
        <v>0</v>
      </c>
      <c r="T420" s="418">
        <f t="shared" si="130"/>
        <v>0</v>
      </c>
      <c r="V420" s="418" t="str">
        <f t="shared" si="131"/>
        <v>Projected - Gas</v>
      </c>
      <c r="W420" s="418" t="str">
        <f t="shared" si="132"/>
        <v>G3511 UGS Well Structures</v>
      </c>
      <c r="X420" s="418" t="str">
        <f t="shared" si="121"/>
        <v>Projected</v>
      </c>
      <c r="Y420" s="418" t="str">
        <f t="shared" si="133"/>
        <v>101-G351</v>
      </c>
      <c r="Z420" s="418">
        <f t="shared" si="134"/>
        <v>0</v>
      </c>
      <c r="AA420" s="418">
        <f t="shared" si="135"/>
        <v>18590.16</v>
      </c>
      <c r="AB420" s="418">
        <f t="shared" si="136"/>
        <v>27769.26</v>
      </c>
      <c r="AC420" s="418">
        <f t="shared" si="137"/>
        <v>46327.56</v>
      </c>
      <c r="AD420" s="418">
        <f t="shared" si="138"/>
        <v>0</v>
      </c>
      <c r="AE420" s="413">
        <f t="shared" si="139"/>
        <v>0</v>
      </c>
    </row>
    <row r="421" spans="1:31" x14ac:dyDescent="0.3">
      <c r="A421" s="415" t="s">
        <v>1603</v>
      </c>
      <c r="B421" s="418" t="s">
        <v>1753</v>
      </c>
      <c r="C421" s="418" t="s">
        <v>26</v>
      </c>
      <c r="D421" s="418" t="str">
        <f t="shared" si="122"/>
        <v>101-G351</v>
      </c>
      <c r="E421" s="418">
        <v>0</v>
      </c>
      <c r="F421" s="418">
        <v>23337</v>
      </c>
      <c r="G421" s="418">
        <v>34859.82</v>
      </c>
      <c r="H421" s="418">
        <v>58156.68</v>
      </c>
      <c r="I421" s="418">
        <v>0</v>
      </c>
      <c r="J421" s="413">
        <v>0</v>
      </c>
      <c r="L421" s="418" t="str">
        <f t="shared" si="123"/>
        <v>Projected - Gas</v>
      </c>
      <c r="M421" s="418" t="str">
        <f t="shared" si="124"/>
        <v>G3512 UGS Compressor Sta Structures</v>
      </c>
      <c r="N421" s="418" t="str">
        <f t="shared" si="120"/>
        <v>Projected</v>
      </c>
      <c r="O421" s="418" t="str">
        <f t="shared" si="125"/>
        <v>101-G351</v>
      </c>
      <c r="P421" s="418">
        <f t="shared" si="126"/>
        <v>0</v>
      </c>
      <c r="Q421" s="418">
        <f t="shared" si="127"/>
        <v>0</v>
      </c>
      <c r="R421" s="418">
        <f t="shared" si="128"/>
        <v>0</v>
      </c>
      <c r="S421" s="418">
        <f t="shared" si="129"/>
        <v>0</v>
      </c>
      <c r="T421" s="418">
        <f t="shared" si="130"/>
        <v>0</v>
      </c>
      <c r="V421" s="418" t="str">
        <f t="shared" si="131"/>
        <v>Projected - Gas</v>
      </c>
      <c r="W421" s="418" t="str">
        <f t="shared" si="132"/>
        <v>G3512 UGS Compressor Sta Structures</v>
      </c>
      <c r="X421" s="418" t="str">
        <f t="shared" si="121"/>
        <v>Projected</v>
      </c>
      <c r="Y421" s="418" t="str">
        <f t="shared" si="133"/>
        <v>101-G351</v>
      </c>
      <c r="Z421" s="418">
        <f t="shared" si="134"/>
        <v>0</v>
      </c>
      <c r="AA421" s="418">
        <f t="shared" si="135"/>
        <v>23337</v>
      </c>
      <c r="AB421" s="418">
        <f t="shared" si="136"/>
        <v>34859.82</v>
      </c>
      <c r="AC421" s="418">
        <f t="shared" si="137"/>
        <v>58156.68</v>
      </c>
      <c r="AD421" s="418">
        <f t="shared" si="138"/>
        <v>0</v>
      </c>
      <c r="AE421" s="413">
        <f t="shared" si="139"/>
        <v>0</v>
      </c>
    </row>
    <row r="422" spans="1:31" x14ac:dyDescent="0.3">
      <c r="A422" s="415" t="s">
        <v>1603</v>
      </c>
      <c r="B422" s="418" t="s">
        <v>1752</v>
      </c>
      <c r="C422" s="418" t="s">
        <v>26</v>
      </c>
      <c r="D422" s="418" t="str">
        <f t="shared" si="122"/>
        <v>101-G351</v>
      </c>
      <c r="E422" s="418">
        <v>0</v>
      </c>
      <c r="F422" s="418">
        <v>17658.84</v>
      </c>
      <c r="G422" s="418">
        <v>26378.04</v>
      </c>
      <c r="H422" s="418">
        <v>44006.52</v>
      </c>
      <c r="I422" s="418">
        <v>0</v>
      </c>
      <c r="J422" s="413">
        <v>0</v>
      </c>
      <c r="L422" s="418" t="str">
        <f t="shared" si="123"/>
        <v>Projected - Gas</v>
      </c>
      <c r="M422" s="418" t="str">
        <f t="shared" si="124"/>
        <v>G3514 UGS Other Structures</v>
      </c>
      <c r="N422" s="418" t="str">
        <f t="shared" si="120"/>
        <v>Projected</v>
      </c>
      <c r="O422" s="418" t="str">
        <f t="shared" si="125"/>
        <v>101-G351</v>
      </c>
      <c r="P422" s="418">
        <f t="shared" si="126"/>
        <v>0</v>
      </c>
      <c r="Q422" s="418">
        <f t="shared" si="127"/>
        <v>0</v>
      </c>
      <c r="R422" s="418">
        <f t="shared" si="128"/>
        <v>0</v>
      </c>
      <c r="S422" s="418">
        <f t="shared" si="129"/>
        <v>0</v>
      </c>
      <c r="T422" s="418">
        <f t="shared" si="130"/>
        <v>0</v>
      </c>
      <c r="V422" s="418" t="str">
        <f t="shared" si="131"/>
        <v>Projected - Gas</v>
      </c>
      <c r="W422" s="418" t="str">
        <f t="shared" si="132"/>
        <v>G3514 UGS Other Structures</v>
      </c>
      <c r="X422" s="418" t="str">
        <f t="shared" si="121"/>
        <v>Projected</v>
      </c>
      <c r="Y422" s="418" t="str">
        <f t="shared" si="133"/>
        <v>101-G351</v>
      </c>
      <c r="Z422" s="418">
        <f t="shared" si="134"/>
        <v>0</v>
      </c>
      <c r="AA422" s="418">
        <f t="shared" si="135"/>
        <v>17658.84</v>
      </c>
      <c r="AB422" s="418">
        <f t="shared" si="136"/>
        <v>26378.04</v>
      </c>
      <c r="AC422" s="418">
        <f t="shared" si="137"/>
        <v>44006.52</v>
      </c>
      <c r="AD422" s="418">
        <f t="shared" si="138"/>
        <v>0</v>
      </c>
      <c r="AE422" s="413">
        <f t="shared" si="139"/>
        <v>0</v>
      </c>
    </row>
    <row r="423" spans="1:31" x14ac:dyDescent="0.3">
      <c r="A423" s="415" t="s">
        <v>1603</v>
      </c>
      <c r="B423" s="418" t="s">
        <v>1751</v>
      </c>
      <c r="C423" s="418" t="s">
        <v>26</v>
      </c>
      <c r="D423" s="418" t="str">
        <f t="shared" si="122"/>
        <v>101-G352</v>
      </c>
      <c r="E423" s="418">
        <v>0</v>
      </c>
      <c r="F423" s="418">
        <v>1038862.56</v>
      </c>
      <c r="G423" s="418">
        <v>1551810.66</v>
      </c>
      <c r="H423" s="418">
        <v>2588889.36</v>
      </c>
      <c r="I423" s="418">
        <v>0</v>
      </c>
      <c r="J423" s="413">
        <v>0</v>
      </c>
      <c r="L423" s="418" t="str">
        <f t="shared" si="123"/>
        <v>Projected - Gas</v>
      </c>
      <c r="M423" s="418" t="str">
        <f t="shared" si="124"/>
        <v>G3520 UGS Wells</v>
      </c>
      <c r="N423" s="418" t="str">
        <f t="shared" si="120"/>
        <v>Projected</v>
      </c>
      <c r="O423" s="418" t="str">
        <f t="shared" si="125"/>
        <v>101-G352</v>
      </c>
      <c r="P423" s="418">
        <f t="shared" si="126"/>
        <v>0</v>
      </c>
      <c r="Q423" s="418">
        <f t="shared" si="127"/>
        <v>0</v>
      </c>
      <c r="R423" s="418">
        <f t="shared" si="128"/>
        <v>0</v>
      </c>
      <c r="S423" s="418">
        <f t="shared" si="129"/>
        <v>0</v>
      </c>
      <c r="T423" s="418">
        <f t="shared" si="130"/>
        <v>0</v>
      </c>
      <c r="V423" s="418" t="str">
        <f t="shared" si="131"/>
        <v>Projected - Gas</v>
      </c>
      <c r="W423" s="418" t="str">
        <f t="shared" si="132"/>
        <v>G3520 UGS Wells</v>
      </c>
      <c r="X423" s="418" t="str">
        <f t="shared" si="121"/>
        <v>Projected</v>
      </c>
      <c r="Y423" s="418" t="str">
        <f t="shared" si="133"/>
        <v>101-G352</v>
      </c>
      <c r="Z423" s="418">
        <f t="shared" si="134"/>
        <v>0</v>
      </c>
      <c r="AA423" s="418">
        <f t="shared" si="135"/>
        <v>1038862.56</v>
      </c>
      <c r="AB423" s="418">
        <f t="shared" si="136"/>
        <v>1551810.66</v>
      </c>
      <c r="AC423" s="418">
        <f t="shared" si="137"/>
        <v>2588889.36</v>
      </c>
      <c r="AD423" s="418">
        <f t="shared" si="138"/>
        <v>0</v>
      </c>
      <c r="AE423" s="413">
        <f t="shared" si="139"/>
        <v>0</v>
      </c>
    </row>
    <row r="424" spans="1:31" x14ac:dyDescent="0.3">
      <c r="A424" s="415" t="s">
        <v>1603</v>
      </c>
      <c r="B424" s="418" t="s">
        <v>1750</v>
      </c>
      <c r="C424" s="418" t="s">
        <v>26</v>
      </c>
      <c r="D424" s="418" t="str">
        <f t="shared" si="122"/>
        <v>101-G353</v>
      </c>
      <c r="E424" s="418">
        <v>0</v>
      </c>
      <c r="F424" s="418">
        <v>111144.24</v>
      </c>
      <c r="G424" s="418">
        <v>166022.76</v>
      </c>
      <c r="H424" s="418">
        <v>276976.2</v>
      </c>
      <c r="I424" s="418">
        <v>0</v>
      </c>
      <c r="J424" s="413">
        <v>0</v>
      </c>
      <c r="L424" s="418" t="str">
        <f t="shared" si="123"/>
        <v>Projected - Gas</v>
      </c>
      <c r="M424" s="418" t="str">
        <f t="shared" si="124"/>
        <v>G353 UGS Lines</v>
      </c>
      <c r="N424" s="418" t="str">
        <f t="shared" si="120"/>
        <v>Projected</v>
      </c>
      <c r="O424" s="418" t="str">
        <f t="shared" si="125"/>
        <v>101-G353</v>
      </c>
      <c r="P424" s="418">
        <f t="shared" si="126"/>
        <v>0</v>
      </c>
      <c r="Q424" s="418">
        <f t="shared" si="127"/>
        <v>0</v>
      </c>
      <c r="R424" s="418">
        <f t="shared" si="128"/>
        <v>0</v>
      </c>
      <c r="S424" s="418">
        <f t="shared" si="129"/>
        <v>0</v>
      </c>
      <c r="T424" s="418">
        <f t="shared" si="130"/>
        <v>0</v>
      </c>
      <c r="V424" s="418" t="str">
        <f t="shared" si="131"/>
        <v>Projected - Gas</v>
      </c>
      <c r="W424" s="418" t="str">
        <f t="shared" si="132"/>
        <v>G353 UGS Lines</v>
      </c>
      <c r="X424" s="418" t="str">
        <f t="shared" si="121"/>
        <v>Projected</v>
      </c>
      <c r="Y424" s="418" t="str">
        <f t="shared" si="133"/>
        <v>101-G353</v>
      </c>
      <c r="Z424" s="418">
        <f t="shared" si="134"/>
        <v>0</v>
      </c>
      <c r="AA424" s="418">
        <f t="shared" si="135"/>
        <v>111144.24</v>
      </c>
      <c r="AB424" s="418">
        <f t="shared" si="136"/>
        <v>166022.76</v>
      </c>
      <c r="AC424" s="418">
        <f t="shared" si="137"/>
        <v>276976.2</v>
      </c>
      <c r="AD424" s="418">
        <f t="shared" si="138"/>
        <v>0</v>
      </c>
      <c r="AE424" s="413">
        <f t="shared" si="139"/>
        <v>0</v>
      </c>
    </row>
    <row r="425" spans="1:31" x14ac:dyDescent="0.3">
      <c r="A425" s="415" t="s">
        <v>1603</v>
      </c>
      <c r="B425" s="418" t="s">
        <v>1749</v>
      </c>
      <c r="C425" s="418" t="s">
        <v>26</v>
      </c>
      <c r="D425" s="418" t="str">
        <f t="shared" si="122"/>
        <v>101-G354</v>
      </c>
      <c r="E425" s="418">
        <v>0</v>
      </c>
      <c r="F425" s="418">
        <v>1160381.3999999999</v>
      </c>
      <c r="G425" s="418">
        <v>1733330.58</v>
      </c>
      <c r="H425" s="418">
        <v>2891719.5</v>
      </c>
      <c r="I425" s="418">
        <v>0</v>
      </c>
      <c r="J425" s="413">
        <v>0</v>
      </c>
      <c r="L425" s="418" t="str">
        <f t="shared" si="123"/>
        <v>Projected - Gas</v>
      </c>
      <c r="M425" s="418" t="str">
        <f t="shared" si="124"/>
        <v>G354 UGS Compressor Station</v>
      </c>
      <c r="N425" s="418" t="str">
        <f t="shared" si="120"/>
        <v>Projected</v>
      </c>
      <c r="O425" s="418" t="str">
        <f t="shared" si="125"/>
        <v>101-G354</v>
      </c>
      <c r="P425" s="418">
        <f t="shared" si="126"/>
        <v>0</v>
      </c>
      <c r="Q425" s="418">
        <f t="shared" si="127"/>
        <v>0</v>
      </c>
      <c r="R425" s="418">
        <f t="shared" si="128"/>
        <v>0</v>
      </c>
      <c r="S425" s="418">
        <f t="shared" si="129"/>
        <v>0</v>
      </c>
      <c r="T425" s="418">
        <f t="shared" si="130"/>
        <v>0</v>
      </c>
      <c r="V425" s="418" t="str">
        <f t="shared" si="131"/>
        <v>Projected - Gas</v>
      </c>
      <c r="W425" s="418" t="str">
        <f t="shared" si="132"/>
        <v>G354 UGS Compressor Station</v>
      </c>
      <c r="X425" s="418" t="str">
        <f t="shared" si="121"/>
        <v>Projected</v>
      </c>
      <c r="Y425" s="418" t="str">
        <f t="shared" si="133"/>
        <v>101-G354</v>
      </c>
      <c r="Z425" s="418">
        <f t="shared" si="134"/>
        <v>0</v>
      </c>
      <c r="AA425" s="418">
        <f t="shared" si="135"/>
        <v>1160381.3999999999</v>
      </c>
      <c r="AB425" s="418">
        <f t="shared" si="136"/>
        <v>1733330.58</v>
      </c>
      <c r="AC425" s="418">
        <f t="shared" si="137"/>
        <v>2891719.5</v>
      </c>
      <c r="AD425" s="418">
        <f t="shared" si="138"/>
        <v>0</v>
      </c>
      <c r="AE425" s="413">
        <f t="shared" si="139"/>
        <v>0</v>
      </c>
    </row>
    <row r="426" spans="1:31" x14ac:dyDescent="0.3">
      <c r="A426" s="415" t="s">
        <v>1603</v>
      </c>
      <c r="B426" s="418" t="s">
        <v>1748</v>
      </c>
      <c r="C426" s="418" t="s">
        <v>26</v>
      </c>
      <c r="D426" s="418" t="str">
        <f t="shared" si="122"/>
        <v>101-G355</v>
      </c>
      <c r="E426" s="418">
        <v>0</v>
      </c>
      <c r="F426" s="418">
        <v>200181.96</v>
      </c>
      <c r="G426" s="418">
        <v>299023.68</v>
      </c>
      <c r="H426" s="418">
        <v>498861.9</v>
      </c>
      <c r="I426" s="418">
        <v>0</v>
      </c>
      <c r="J426" s="413">
        <v>0</v>
      </c>
      <c r="L426" s="418" t="str">
        <f t="shared" si="123"/>
        <v>Projected - Gas</v>
      </c>
      <c r="M426" s="418" t="str">
        <f t="shared" si="124"/>
        <v>G355 UGS Regulating Station</v>
      </c>
      <c r="N426" s="418" t="str">
        <f t="shared" si="120"/>
        <v>Projected</v>
      </c>
      <c r="O426" s="418" t="str">
        <f t="shared" si="125"/>
        <v>101-G355</v>
      </c>
      <c r="P426" s="418">
        <f t="shared" si="126"/>
        <v>0</v>
      </c>
      <c r="Q426" s="418">
        <f t="shared" si="127"/>
        <v>0</v>
      </c>
      <c r="R426" s="418">
        <f t="shared" si="128"/>
        <v>0</v>
      </c>
      <c r="S426" s="418">
        <f t="shared" si="129"/>
        <v>0</v>
      </c>
      <c r="T426" s="418">
        <f t="shared" si="130"/>
        <v>0</v>
      </c>
      <c r="V426" s="418" t="str">
        <f t="shared" si="131"/>
        <v>Projected - Gas</v>
      </c>
      <c r="W426" s="418" t="str">
        <f t="shared" si="132"/>
        <v>G355 UGS Regulating Station</v>
      </c>
      <c r="X426" s="418" t="str">
        <f t="shared" si="121"/>
        <v>Projected</v>
      </c>
      <c r="Y426" s="418" t="str">
        <f t="shared" si="133"/>
        <v>101-G355</v>
      </c>
      <c r="Z426" s="418">
        <f t="shared" si="134"/>
        <v>0</v>
      </c>
      <c r="AA426" s="418">
        <f t="shared" si="135"/>
        <v>200181.96</v>
      </c>
      <c r="AB426" s="418">
        <f t="shared" si="136"/>
        <v>299023.68</v>
      </c>
      <c r="AC426" s="418">
        <f t="shared" si="137"/>
        <v>498861.9</v>
      </c>
      <c r="AD426" s="418">
        <f t="shared" si="138"/>
        <v>0</v>
      </c>
      <c r="AE426" s="413">
        <f t="shared" si="139"/>
        <v>0</v>
      </c>
    </row>
    <row r="427" spans="1:31" x14ac:dyDescent="0.3">
      <c r="A427" s="415" t="s">
        <v>1603</v>
      </c>
      <c r="B427" s="418" t="s">
        <v>1747</v>
      </c>
      <c r="C427" s="418" t="s">
        <v>26</v>
      </c>
      <c r="D427" s="418" t="str">
        <f t="shared" si="122"/>
        <v>101-G356</v>
      </c>
      <c r="E427" s="418">
        <v>0</v>
      </c>
      <c r="F427" s="418">
        <v>45872.160000000003</v>
      </c>
      <c r="G427" s="418">
        <v>68521.98</v>
      </c>
      <c r="H427" s="418">
        <v>114315.41</v>
      </c>
      <c r="I427" s="418">
        <v>0</v>
      </c>
      <c r="J427" s="413">
        <v>0</v>
      </c>
      <c r="L427" s="418" t="str">
        <f t="shared" si="123"/>
        <v>Projected - Gas</v>
      </c>
      <c r="M427" s="418" t="str">
        <f t="shared" si="124"/>
        <v>G356 UGS Purification Equipment</v>
      </c>
      <c r="N427" s="418" t="str">
        <f t="shared" si="120"/>
        <v>Projected</v>
      </c>
      <c r="O427" s="418" t="str">
        <f t="shared" si="125"/>
        <v>101-G356</v>
      </c>
      <c r="P427" s="418">
        <f t="shared" si="126"/>
        <v>0</v>
      </c>
      <c r="Q427" s="418">
        <f t="shared" si="127"/>
        <v>0</v>
      </c>
      <c r="R427" s="418">
        <f t="shared" si="128"/>
        <v>0</v>
      </c>
      <c r="S427" s="418">
        <f t="shared" si="129"/>
        <v>0</v>
      </c>
      <c r="T427" s="418">
        <f t="shared" si="130"/>
        <v>0</v>
      </c>
      <c r="V427" s="418" t="str">
        <f t="shared" si="131"/>
        <v>Projected - Gas</v>
      </c>
      <c r="W427" s="418" t="str">
        <f t="shared" si="132"/>
        <v>G356 UGS Purification Equipment</v>
      </c>
      <c r="X427" s="418" t="str">
        <f t="shared" si="121"/>
        <v>Projected</v>
      </c>
      <c r="Y427" s="418" t="str">
        <f t="shared" si="133"/>
        <v>101-G356</v>
      </c>
      <c r="Z427" s="418">
        <f t="shared" si="134"/>
        <v>0</v>
      </c>
      <c r="AA427" s="418">
        <f t="shared" si="135"/>
        <v>45872.160000000003</v>
      </c>
      <c r="AB427" s="418">
        <f t="shared" si="136"/>
        <v>68521.98</v>
      </c>
      <c r="AC427" s="418">
        <f t="shared" si="137"/>
        <v>114315.41</v>
      </c>
      <c r="AD427" s="418">
        <f t="shared" si="138"/>
        <v>0</v>
      </c>
      <c r="AE427" s="413">
        <f t="shared" si="139"/>
        <v>0</v>
      </c>
    </row>
    <row r="428" spans="1:31" x14ac:dyDescent="0.3">
      <c r="A428" s="415" t="s">
        <v>1603</v>
      </c>
      <c r="B428" s="418" t="s">
        <v>1746</v>
      </c>
      <c r="C428" s="418" t="s">
        <v>26</v>
      </c>
      <c r="D428" s="418" t="str">
        <f t="shared" si="122"/>
        <v>101-G357</v>
      </c>
      <c r="E428" s="418">
        <v>0</v>
      </c>
      <c r="F428" s="418">
        <v>29885.64</v>
      </c>
      <c r="G428" s="418">
        <v>44641.919999999998</v>
      </c>
      <c r="H428" s="418">
        <v>74476.2</v>
      </c>
      <c r="I428" s="418">
        <v>0</v>
      </c>
      <c r="J428" s="413">
        <v>0</v>
      </c>
      <c r="L428" s="418" t="str">
        <f t="shared" si="123"/>
        <v>Projected - Gas</v>
      </c>
      <c r="M428" s="418" t="str">
        <f t="shared" si="124"/>
        <v>G357 UGS Other Equipment</v>
      </c>
      <c r="N428" s="418" t="str">
        <f t="shared" si="120"/>
        <v>Projected</v>
      </c>
      <c r="O428" s="418" t="str">
        <f t="shared" si="125"/>
        <v>101-G357</v>
      </c>
      <c r="P428" s="418">
        <f t="shared" si="126"/>
        <v>0</v>
      </c>
      <c r="Q428" s="418">
        <f t="shared" si="127"/>
        <v>0</v>
      </c>
      <c r="R428" s="418">
        <f t="shared" si="128"/>
        <v>0</v>
      </c>
      <c r="S428" s="418">
        <f t="shared" si="129"/>
        <v>0</v>
      </c>
      <c r="T428" s="418">
        <f t="shared" si="130"/>
        <v>0</v>
      </c>
      <c r="V428" s="418" t="str">
        <f t="shared" si="131"/>
        <v>Projected - Gas</v>
      </c>
      <c r="W428" s="418" t="str">
        <f t="shared" si="132"/>
        <v>G357 UGS Other Equipment</v>
      </c>
      <c r="X428" s="418" t="str">
        <f t="shared" si="121"/>
        <v>Projected</v>
      </c>
      <c r="Y428" s="418" t="str">
        <f t="shared" si="133"/>
        <v>101-G357</v>
      </c>
      <c r="Z428" s="418">
        <f t="shared" si="134"/>
        <v>0</v>
      </c>
      <c r="AA428" s="418">
        <f t="shared" si="135"/>
        <v>29885.64</v>
      </c>
      <c r="AB428" s="418">
        <f t="shared" si="136"/>
        <v>44641.919999999998</v>
      </c>
      <c r="AC428" s="418">
        <f t="shared" si="137"/>
        <v>74476.2</v>
      </c>
      <c r="AD428" s="418">
        <f t="shared" si="138"/>
        <v>0</v>
      </c>
      <c r="AE428" s="413">
        <f t="shared" si="139"/>
        <v>0</v>
      </c>
    </row>
    <row r="429" spans="1:31" x14ac:dyDescent="0.3">
      <c r="A429" s="415" t="s">
        <v>1603</v>
      </c>
      <c r="B429" s="418" t="s">
        <v>1745</v>
      </c>
      <c r="C429" s="418" t="s">
        <v>26</v>
      </c>
      <c r="D429" s="418" t="str">
        <f t="shared" si="122"/>
        <v>101-G375</v>
      </c>
      <c r="E429" s="418">
        <v>0</v>
      </c>
      <c r="F429" s="418">
        <v>1113861.83</v>
      </c>
      <c r="G429" s="418">
        <v>1113861.83</v>
      </c>
      <c r="H429" s="418">
        <v>1113861.83</v>
      </c>
      <c r="I429" s="418">
        <v>0</v>
      </c>
      <c r="J429" s="413">
        <v>0</v>
      </c>
      <c r="L429" s="418" t="str">
        <f t="shared" si="123"/>
        <v>Projected - Gas</v>
      </c>
      <c r="M429" s="418" t="str">
        <f t="shared" si="124"/>
        <v>G3750 DST Structures &amp; Improvements</v>
      </c>
      <c r="N429" s="418" t="str">
        <f t="shared" si="120"/>
        <v>Projected</v>
      </c>
      <c r="O429" s="418" t="str">
        <f t="shared" si="125"/>
        <v>101-G375</v>
      </c>
      <c r="P429" s="418">
        <f t="shared" si="126"/>
        <v>0</v>
      </c>
      <c r="Q429" s="418">
        <f t="shared" si="127"/>
        <v>0</v>
      </c>
      <c r="R429" s="418">
        <f t="shared" si="128"/>
        <v>0</v>
      </c>
      <c r="S429" s="418">
        <f t="shared" si="129"/>
        <v>0</v>
      </c>
      <c r="T429" s="418">
        <f t="shared" si="130"/>
        <v>0</v>
      </c>
      <c r="V429" s="418" t="str">
        <f t="shared" si="131"/>
        <v>Projected - Gas</v>
      </c>
      <c r="W429" s="418" t="str">
        <f t="shared" si="132"/>
        <v>G3750 DST Structures &amp; Improvements</v>
      </c>
      <c r="X429" s="418" t="str">
        <f t="shared" si="121"/>
        <v>Projected</v>
      </c>
      <c r="Y429" s="418" t="str">
        <f t="shared" si="133"/>
        <v>101-G375</v>
      </c>
      <c r="Z429" s="418">
        <f t="shared" si="134"/>
        <v>0</v>
      </c>
      <c r="AA429" s="418">
        <f t="shared" si="135"/>
        <v>1113861.83</v>
      </c>
      <c r="AB429" s="418">
        <f t="shared" si="136"/>
        <v>1113861.83</v>
      </c>
      <c r="AC429" s="418">
        <f t="shared" si="137"/>
        <v>1113861.83</v>
      </c>
      <c r="AD429" s="418">
        <f t="shared" si="138"/>
        <v>0</v>
      </c>
      <c r="AE429" s="413">
        <f t="shared" si="139"/>
        <v>0</v>
      </c>
    </row>
    <row r="430" spans="1:31" x14ac:dyDescent="0.3">
      <c r="A430" s="415" t="s">
        <v>1603</v>
      </c>
      <c r="B430" s="418" t="s">
        <v>1744</v>
      </c>
      <c r="C430" s="418" t="s">
        <v>26</v>
      </c>
      <c r="D430" s="418" t="str">
        <f t="shared" si="122"/>
        <v>101-G376</v>
      </c>
      <c r="E430" s="418">
        <v>0</v>
      </c>
      <c r="F430" s="418">
        <v>3859957.89</v>
      </c>
      <c r="G430" s="418">
        <v>6043440.0800000001</v>
      </c>
      <c r="H430" s="418">
        <v>10237137.689999999</v>
      </c>
      <c r="I430" s="418">
        <v>0</v>
      </c>
      <c r="J430" s="413">
        <v>0</v>
      </c>
      <c r="L430" s="418" t="str">
        <f t="shared" si="123"/>
        <v>Projected - Gas</v>
      </c>
      <c r="M430" s="418" t="str">
        <f t="shared" si="124"/>
        <v>G3762 DST Mains, Plastic</v>
      </c>
      <c r="N430" s="418" t="str">
        <f t="shared" si="120"/>
        <v>Projected</v>
      </c>
      <c r="O430" s="418" t="str">
        <f t="shared" si="125"/>
        <v>101-G376</v>
      </c>
      <c r="P430" s="418">
        <f t="shared" si="126"/>
        <v>0</v>
      </c>
      <c r="Q430" s="418">
        <f t="shared" si="127"/>
        <v>0</v>
      </c>
      <c r="R430" s="418">
        <f t="shared" si="128"/>
        <v>0</v>
      </c>
      <c r="S430" s="418">
        <f t="shared" si="129"/>
        <v>0</v>
      </c>
      <c r="T430" s="418">
        <f t="shared" si="130"/>
        <v>0</v>
      </c>
      <c r="V430" s="418" t="str">
        <f t="shared" si="131"/>
        <v>Projected - Gas</v>
      </c>
      <c r="W430" s="418" t="str">
        <f t="shared" si="132"/>
        <v>G3762 DST Mains, Plastic</v>
      </c>
      <c r="X430" s="418" t="str">
        <f t="shared" si="121"/>
        <v>Projected</v>
      </c>
      <c r="Y430" s="418" t="str">
        <f t="shared" si="133"/>
        <v>101-G376</v>
      </c>
      <c r="Z430" s="418">
        <f t="shared" si="134"/>
        <v>0</v>
      </c>
      <c r="AA430" s="418">
        <f t="shared" si="135"/>
        <v>3859957.89</v>
      </c>
      <c r="AB430" s="418">
        <f t="shared" si="136"/>
        <v>6043440.0800000001</v>
      </c>
      <c r="AC430" s="418">
        <f t="shared" si="137"/>
        <v>10237137.689999999</v>
      </c>
      <c r="AD430" s="418">
        <f t="shared" si="138"/>
        <v>0</v>
      </c>
      <c r="AE430" s="413">
        <f t="shared" si="139"/>
        <v>0</v>
      </c>
    </row>
    <row r="431" spans="1:31" x14ac:dyDescent="0.3">
      <c r="A431" s="415" t="s">
        <v>1603</v>
      </c>
      <c r="B431" s="418" t="s">
        <v>1743</v>
      </c>
      <c r="C431" s="418" t="s">
        <v>26</v>
      </c>
      <c r="D431" s="418" t="str">
        <f t="shared" si="122"/>
        <v>101-G376</v>
      </c>
      <c r="E431" s="418">
        <v>0</v>
      </c>
      <c r="F431" s="418">
        <v>1813477.53</v>
      </c>
      <c r="G431" s="418">
        <v>4718108.72</v>
      </c>
      <c r="H431" s="418">
        <v>9184916.7899999991</v>
      </c>
      <c r="I431" s="418">
        <v>0</v>
      </c>
      <c r="J431" s="413">
        <v>0</v>
      </c>
      <c r="L431" s="418" t="str">
        <f t="shared" si="123"/>
        <v>Projected - Gas</v>
      </c>
      <c r="M431" s="418" t="str">
        <f t="shared" si="124"/>
        <v>G3764 DST Mains, Wrapped Steel</v>
      </c>
      <c r="N431" s="418" t="str">
        <f t="shared" si="120"/>
        <v>Projected</v>
      </c>
      <c r="O431" s="418" t="str">
        <f t="shared" si="125"/>
        <v>101-G376</v>
      </c>
      <c r="P431" s="418">
        <f t="shared" si="126"/>
        <v>0</v>
      </c>
      <c r="Q431" s="418">
        <f t="shared" si="127"/>
        <v>0</v>
      </c>
      <c r="R431" s="418">
        <f t="shared" si="128"/>
        <v>0</v>
      </c>
      <c r="S431" s="418">
        <f t="shared" si="129"/>
        <v>0</v>
      </c>
      <c r="T431" s="418">
        <f t="shared" si="130"/>
        <v>0</v>
      </c>
      <c r="V431" s="418" t="str">
        <f t="shared" si="131"/>
        <v>Projected - Gas</v>
      </c>
      <c r="W431" s="418" t="str">
        <f t="shared" si="132"/>
        <v>G3764 DST Mains, Wrapped Steel</v>
      </c>
      <c r="X431" s="418" t="str">
        <f t="shared" si="121"/>
        <v>Projected</v>
      </c>
      <c r="Y431" s="418" t="str">
        <f t="shared" si="133"/>
        <v>101-G376</v>
      </c>
      <c r="Z431" s="418">
        <f t="shared" si="134"/>
        <v>0</v>
      </c>
      <c r="AA431" s="418">
        <f t="shared" si="135"/>
        <v>1813477.53</v>
      </c>
      <c r="AB431" s="418">
        <f t="shared" si="136"/>
        <v>4718108.72</v>
      </c>
      <c r="AC431" s="418">
        <f t="shared" si="137"/>
        <v>9184916.7899999991</v>
      </c>
      <c r="AD431" s="418">
        <f t="shared" si="138"/>
        <v>0</v>
      </c>
      <c r="AE431" s="413">
        <f t="shared" si="139"/>
        <v>0</v>
      </c>
    </row>
    <row r="432" spans="1:31" x14ac:dyDescent="0.3">
      <c r="A432" s="415" t="s">
        <v>1603</v>
      </c>
      <c r="B432" s="418" t="s">
        <v>1742</v>
      </c>
      <c r="C432" s="418" t="s">
        <v>26</v>
      </c>
      <c r="D432" s="418" t="str">
        <f t="shared" si="122"/>
        <v>101-G376</v>
      </c>
      <c r="E432" s="418">
        <v>0</v>
      </c>
      <c r="F432" s="418">
        <v>382.8</v>
      </c>
      <c r="G432" s="418">
        <v>579.9</v>
      </c>
      <c r="H432" s="418">
        <v>979.98</v>
      </c>
      <c r="I432" s="418">
        <v>0</v>
      </c>
      <c r="J432" s="413">
        <v>0</v>
      </c>
      <c r="L432" s="418" t="str">
        <f t="shared" si="123"/>
        <v>Projected - Gas</v>
      </c>
      <c r="M432" s="418" t="str">
        <f t="shared" si="124"/>
        <v>G3765 DST Mains, Cathodic Protectio</v>
      </c>
      <c r="N432" s="418" t="str">
        <f t="shared" si="120"/>
        <v>Projected</v>
      </c>
      <c r="O432" s="418" t="str">
        <f t="shared" si="125"/>
        <v>101-G376</v>
      </c>
      <c r="P432" s="418">
        <f t="shared" si="126"/>
        <v>0</v>
      </c>
      <c r="Q432" s="418">
        <f t="shared" si="127"/>
        <v>0</v>
      </c>
      <c r="R432" s="418">
        <f t="shared" si="128"/>
        <v>0</v>
      </c>
      <c r="S432" s="418">
        <f t="shared" si="129"/>
        <v>0</v>
      </c>
      <c r="T432" s="418">
        <f t="shared" si="130"/>
        <v>0</v>
      </c>
      <c r="V432" s="418" t="str">
        <f t="shared" si="131"/>
        <v>Projected - Gas</v>
      </c>
      <c r="W432" s="418" t="str">
        <f t="shared" si="132"/>
        <v>G3765 DST Mains, Cathodic Protectio</v>
      </c>
      <c r="X432" s="418" t="str">
        <f t="shared" si="121"/>
        <v>Projected</v>
      </c>
      <c r="Y432" s="418" t="str">
        <f t="shared" si="133"/>
        <v>101-G376</v>
      </c>
      <c r="Z432" s="418">
        <f t="shared" si="134"/>
        <v>0</v>
      </c>
      <c r="AA432" s="418">
        <f t="shared" si="135"/>
        <v>382.8</v>
      </c>
      <c r="AB432" s="418">
        <f t="shared" si="136"/>
        <v>579.9</v>
      </c>
      <c r="AC432" s="418">
        <f t="shared" si="137"/>
        <v>979.98</v>
      </c>
      <c r="AD432" s="418">
        <f t="shared" si="138"/>
        <v>0</v>
      </c>
      <c r="AE432" s="413">
        <f t="shared" si="139"/>
        <v>0</v>
      </c>
    </row>
    <row r="433" spans="1:31" x14ac:dyDescent="0.3">
      <c r="A433" s="415" t="s">
        <v>1603</v>
      </c>
      <c r="B433" s="418" t="s">
        <v>1741</v>
      </c>
      <c r="C433" s="418" t="s">
        <v>26</v>
      </c>
      <c r="D433" s="418" t="str">
        <f t="shared" si="122"/>
        <v>101-G378</v>
      </c>
      <c r="E433" s="418">
        <v>0</v>
      </c>
      <c r="F433" s="418">
        <v>86062.35</v>
      </c>
      <c r="G433" s="418">
        <v>88838.85</v>
      </c>
      <c r="H433" s="418">
        <v>94474.71</v>
      </c>
      <c r="I433" s="418">
        <v>0</v>
      </c>
      <c r="J433" s="413">
        <v>0</v>
      </c>
      <c r="L433" s="418" t="str">
        <f t="shared" si="123"/>
        <v>Projected - Gas</v>
      </c>
      <c r="M433" s="418" t="str">
        <f t="shared" si="124"/>
        <v>G3780 DST Measuring &amp; Reg Station</v>
      </c>
      <c r="N433" s="418" t="str">
        <f t="shared" si="120"/>
        <v>Projected</v>
      </c>
      <c r="O433" s="418" t="str">
        <f t="shared" si="125"/>
        <v>101-G378</v>
      </c>
      <c r="P433" s="418">
        <f t="shared" si="126"/>
        <v>0</v>
      </c>
      <c r="Q433" s="418">
        <f t="shared" si="127"/>
        <v>0</v>
      </c>
      <c r="R433" s="418">
        <f t="shared" si="128"/>
        <v>0</v>
      </c>
      <c r="S433" s="418">
        <f t="shared" si="129"/>
        <v>0</v>
      </c>
      <c r="T433" s="418">
        <f t="shared" si="130"/>
        <v>0</v>
      </c>
      <c r="V433" s="418" t="str">
        <f t="shared" si="131"/>
        <v>Projected - Gas</v>
      </c>
      <c r="W433" s="418" t="str">
        <f t="shared" si="132"/>
        <v>G3780 DST Measuring &amp; Reg Station</v>
      </c>
      <c r="X433" s="418" t="str">
        <f t="shared" si="121"/>
        <v>Projected</v>
      </c>
      <c r="Y433" s="418" t="str">
        <f t="shared" si="133"/>
        <v>101-G378</v>
      </c>
      <c r="Z433" s="418">
        <f t="shared" si="134"/>
        <v>0</v>
      </c>
      <c r="AA433" s="418">
        <f t="shared" si="135"/>
        <v>86062.35</v>
      </c>
      <c r="AB433" s="418">
        <f t="shared" si="136"/>
        <v>88838.85</v>
      </c>
      <c r="AC433" s="418">
        <f t="shared" si="137"/>
        <v>94474.71</v>
      </c>
      <c r="AD433" s="418">
        <f t="shared" si="138"/>
        <v>0</v>
      </c>
      <c r="AE433" s="413">
        <f t="shared" si="139"/>
        <v>0</v>
      </c>
    </row>
    <row r="434" spans="1:31" x14ac:dyDescent="0.3">
      <c r="A434" s="415" t="s">
        <v>1603</v>
      </c>
      <c r="B434" s="418" t="s">
        <v>1740</v>
      </c>
      <c r="C434" s="418" t="s">
        <v>26</v>
      </c>
      <c r="D434" s="418" t="str">
        <f t="shared" si="122"/>
        <v>101-G380</v>
      </c>
      <c r="E434" s="418">
        <v>0</v>
      </c>
      <c r="F434" s="418">
        <v>8717.1</v>
      </c>
      <c r="G434" s="418">
        <v>9195.06</v>
      </c>
      <c r="H434" s="418">
        <v>9917.2199999999993</v>
      </c>
      <c r="I434" s="418">
        <v>0</v>
      </c>
      <c r="J434" s="413">
        <v>0</v>
      </c>
      <c r="L434" s="418" t="str">
        <f t="shared" si="123"/>
        <v>Projected - Gas</v>
      </c>
      <c r="M434" s="418" t="str">
        <f t="shared" si="124"/>
        <v>G3801 DST Services, Cathodic Protec</v>
      </c>
      <c r="N434" s="418" t="str">
        <f t="shared" si="120"/>
        <v>Projected</v>
      </c>
      <c r="O434" s="418" t="str">
        <f t="shared" si="125"/>
        <v>101-G380</v>
      </c>
      <c r="P434" s="418">
        <f t="shared" si="126"/>
        <v>0</v>
      </c>
      <c r="Q434" s="418">
        <f t="shared" si="127"/>
        <v>0</v>
      </c>
      <c r="R434" s="418">
        <f t="shared" si="128"/>
        <v>0</v>
      </c>
      <c r="S434" s="418">
        <f t="shared" si="129"/>
        <v>0</v>
      </c>
      <c r="T434" s="418">
        <f t="shared" si="130"/>
        <v>0</v>
      </c>
      <c r="V434" s="418" t="str">
        <f t="shared" si="131"/>
        <v>Projected - Gas</v>
      </c>
      <c r="W434" s="418" t="str">
        <f t="shared" si="132"/>
        <v>G3801 DST Services, Cathodic Protec</v>
      </c>
      <c r="X434" s="418" t="str">
        <f t="shared" si="121"/>
        <v>Projected</v>
      </c>
      <c r="Y434" s="418" t="str">
        <f t="shared" si="133"/>
        <v>101-G380</v>
      </c>
      <c r="Z434" s="418">
        <f t="shared" si="134"/>
        <v>0</v>
      </c>
      <c r="AA434" s="418">
        <f t="shared" si="135"/>
        <v>8717.1</v>
      </c>
      <c r="AB434" s="418">
        <f t="shared" si="136"/>
        <v>9195.06</v>
      </c>
      <c r="AC434" s="418">
        <f t="shared" si="137"/>
        <v>9917.2199999999993</v>
      </c>
      <c r="AD434" s="418">
        <f t="shared" si="138"/>
        <v>0</v>
      </c>
      <c r="AE434" s="413">
        <f t="shared" si="139"/>
        <v>0</v>
      </c>
    </row>
    <row r="435" spans="1:31" x14ac:dyDescent="0.3">
      <c r="A435" s="415" t="s">
        <v>1603</v>
      </c>
      <c r="B435" s="418" t="s">
        <v>1739</v>
      </c>
      <c r="C435" s="418" t="s">
        <v>26</v>
      </c>
      <c r="D435" s="418" t="str">
        <f t="shared" si="122"/>
        <v>101-G380</v>
      </c>
      <c r="E435" s="418">
        <v>0</v>
      </c>
      <c r="F435" s="418">
        <v>319914.12</v>
      </c>
      <c r="G435" s="418">
        <v>335664.95</v>
      </c>
      <c r="H435" s="418">
        <v>359687.88</v>
      </c>
      <c r="I435" s="418">
        <v>0</v>
      </c>
      <c r="J435" s="413">
        <v>0</v>
      </c>
      <c r="L435" s="418" t="str">
        <f t="shared" si="123"/>
        <v>Projected - Gas</v>
      </c>
      <c r="M435" s="418" t="str">
        <f t="shared" si="124"/>
        <v>G3802 DST Services, Plastic</v>
      </c>
      <c r="N435" s="418" t="str">
        <f t="shared" si="120"/>
        <v>Projected</v>
      </c>
      <c r="O435" s="418" t="str">
        <f t="shared" si="125"/>
        <v>101-G380</v>
      </c>
      <c r="P435" s="418">
        <f t="shared" si="126"/>
        <v>0</v>
      </c>
      <c r="Q435" s="418">
        <f t="shared" si="127"/>
        <v>0</v>
      </c>
      <c r="R435" s="418">
        <f t="shared" si="128"/>
        <v>0</v>
      </c>
      <c r="S435" s="418">
        <f t="shared" si="129"/>
        <v>0</v>
      </c>
      <c r="T435" s="418">
        <f t="shared" si="130"/>
        <v>0</v>
      </c>
      <c r="V435" s="418" t="str">
        <f t="shared" si="131"/>
        <v>Projected - Gas</v>
      </c>
      <c r="W435" s="418" t="str">
        <f t="shared" si="132"/>
        <v>G3802 DST Services, Plastic</v>
      </c>
      <c r="X435" s="418" t="str">
        <f t="shared" si="121"/>
        <v>Projected</v>
      </c>
      <c r="Y435" s="418" t="str">
        <f t="shared" si="133"/>
        <v>101-G380</v>
      </c>
      <c r="Z435" s="418">
        <f t="shared" si="134"/>
        <v>0</v>
      </c>
      <c r="AA435" s="418">
        <f t="shared" si="135"/>
        <v>319914.12</v>
      </c>
      <c r="AB435" s="418">
        <f t="shared" si="136"/>
        <v>335664.95</v>
      </c>
      <c r="AC435" s="418">
        <f t="shared" si="137"/>
        <v>359687.88</v>
      </c>
      <c r="AD435" s="418">
        <f t="shared" si="138"/>
        <v>0</v>
      </c>
      <c r="AE435" s="413">
        <f t="shared" si="139"/>
        <v>0</v>
      </c>
    </row>
    <row r="436" spans="1:31" x14ac:dyDescent="0.3">
      <c r="A436" s="415" t="s">
        <v>1603</v>
      </c>
      <c r="B436" s="418" t="s">
        <v>1738</v>
      </c>
      <c r="C436" s="418" t="s">
        <v>26</v>
      </c>
      <c r="D436" s="418" t="str">
        <f t="shared" si="122"/>
        <v>101-G380</v>
      </c>
      <c r="E436" s="418">
        <v>0</v>
      </c>
      <c r="F436" s="418">
        <v>2868.82</v>
      </c>
      <c r="G436" s="418">
        <v>2892.17</v>
      </c>
      <c r="H436" s="418">
        <v>2938.85</v>
      </c>
      <c r="I436" s="418">
        <v>0</v>
      </c>
      <c r="J436" s="413">
        <v>0</v>
      </c>
      <c r="L436" s="418" t="str">
        <f t="shared" si="123"/>
        <v>Projected - Gas</v>
      </c>
      <c r="M436" s="418" t="str">
        <f t="shared" si="124"/>
        <v>G3803 DST Services, Steel Wrapped</v>
      </c>
      <c r="N436" s="418" t="str">
        <f t="shared" si="120"/>
        <v>Projected</v>
      </c>
      <c r="O436" s="418" t="str">
        <f t="shared" si="125"/>
        <v>101-G380</v>
      </c>
      <c r="P436" s="418">
        <f t="shared" si="126"/>
        <v>0</v>
      </c>
      <c r="Q436" s="418">
        <f t="shared" si="127"/>
        <v>0</v>
      </c>
      <c r="R436" s="418">
        <f t="shared" si="128"/>
        <v>0</v>
      </c>
      <c r="S436" s="418">
        <f t="shared" si="129"/>
        <v>0</v>
      </c>
      <c r="T436" s="418">
        <f t="shared" si="130"/>
        <v>0</v>
      </c>
      <c r="V436" s="418" t="str">
        <f t="shared" si="131"/>
        <v>Projected - Gas</v>
      </c>
      <c r="W436" s="418" t="str">
        <f t="shared" si="132"/>
        <v>G3803 DST Services, Steel Wrapped</v>
      </c>
      <c r="X436" s="418" t="str">
        <f t="shared" si="121"/>
        <v>Projected</v>
      </c>
      <c r="Y436" s="418" t="str">
        <f t="shared" si="133"/>
        <v>101-G380</v>
      </c>
      <c r="Z436" s="418">
        <f t="shared" si="134"/>
        <v>0</v>
      </c>
      <c r="AA436" s="418">
        <f t="shared" si="135"/>
        <v>2868.82</v>
      </c>
      <c r="AB436" s="418">
        <f t="shared" si="136"/>
        <v>2892.17</v>
      </c>
      <c r="AC436" s="418">
        <f t="shared" si="137"/>
        <v>2938.85</v>
      </c>
      <c r="AD436" s="418">
        <f t="shared" si="138"/>
        <v>0</v>
      </c>
      <c r="AE436" s="413">
        <f t="shared" si="139"/>
        <v>0</v>
      </c>
    </row>
    <row r="437" spans="1:31" x14ac:dyDescent="0.3">
      <c r="A437" s="415" t="s">
        <v>1603</v>
      </c>
      <c r="B437" s="418" t="s">
        <v>1737</v>
      </c>
      <c r="C437" s="418" t="s">
        <v>26</v>
      </c>
      <c r="D437" s="418" t="str">
        <f t="shared" si="122"/>
        <v>101-G381</v>
      </c>
      <c r="E437" s="418">
        <v>0</v>
      </c>
      <c r="F437" s="418">
        <v>2186.64</v>
      </c>
      <c r="G437" s="418">
        <v>2399.96</v>
      </c>
      <c r="H437" s="418">
        <v>4586.6000000000004</v>
      </c>
      <c r="I437" s="418">
        <v>0</v>
      </c>
      <c r="J437" s="413">
        <v>0</v>
      </c>
      <c r="L437" s="418" t="str">
        <f t="shared" si="123"/>
        <v>Projected - Gas</v>
      </c>
      <c r="M437" s="418" t="str">
        <f t="shared" si="124"/>
        <v>G3810 DST Meters (AMR)</v>
      </c>
      <c r="N437" s="418" t="str">
        <f t="shared" si="120"/>
        <v>Projected</v>
      </c>
      <c r="O437" s="418" t="str">
        <f t="shared" si="125"/>
        <v>101-G381</v>
      </c>
      <c r="P437" s="418">
        <f t="shared" si="126"/>
        <v>0</v>
      </c>
      <c r="Q437" s="418">
        <f t="shared" si="127"/>
        <v>0</v>
      </c>
      <c r="R437" s="418">
        <f t="shared" si="128"/>
        <v>0</v>
      </c>
      <c r="S437" s="418">
        <f t="shared" si="129"/>
        <v>0</v>
      </c>
      <c r="T437" s="418">
        <f t="shared" si="130"/>
        <v>0</v>
      </c>
      <c r="V437" s="418" t="str">
        <f t="shared" si="131"/>
        <v>Projected - Gas</v>
      </c>
      <c r="W437" s="418" t="str">
        <f t="shared" si="132"/>
        <v>G3810 DST Meters (AMR)</v>
      </c>
      <c r="X437" s="418" t="str">
        <f t="shared" si="121"/>
        <v>Projected</v>
      </c>
      <c r="Y437" s="418" t="str">
        <f t="shared" si="133"/>
        <v>101-G381</v>
      </c>
      <c r="Z437" s="418">
        <f t="shared" si="134"/>
        <v>0</v>
      </c>
      <c r="AA437" s="418">
        <f t="shared" si="135"/>
        <v>2186.64</v>
      </c>
      <c r="AB437" s="418">
        <f t="shared" si="136"/>
        <v>2399.96</v>
      </c>
      <c r="AC437" s="418">
        <f t="shared" si="137"/>
        <v>4586.6000000000004</v>
      </c>
      <c r="AD437" s="418">
        <f t="shared" si="138"/>
        <v>0</v>
      </c>
      <c r="AE437" s="413">
        <f t="shared" si="139"/>
        <v>0</v>
      </c>
    </row>
    <row r="438" spans="1:31" x14ac:dyDescent="0.3">
      <c r="A438" s="415" t="s">
        <v>1603</v>
      </c>
      <c r="B438" s="418" t="s">
        <v>1736</v>
      </c>
      <c r="C438" s="418" t="s">
        <v>26</v>
      </c>
      <c r="D438" s="418" t="str">
        <f t="shared" si="122"/>
        <v>101-G381</v>
      </c>
      <c r="E438" s="418">
        <v>0</v>
      </c>
      <c r="F438" s="418">
        <v>3598.32</v>
      </c>
      <c r="G438" s="418">
        <v>6665.35</v>
      </c>
      <c r="H438" s="418">
        <v>14453.83</v>
      </c>
      <c r="I438" s="418">
        <v>0</v>
      </c>
      <c r="J438" s="413">
        <v>0</v>
      </c>
      <c r="L438" s="418" t="str">
        <f t="shared" si="123"/>
        <v>Projected - Gas</v>
      </c>
      <c r="M438" s="418" t="str">
        <f t="shared" si="124"/>
        <v>G3812 DST Modules, AMI</v>
      </c>
      <c r="N438" s="418" t="str">
        <f t="shared" si="120"/>
        <v>Projected</v>
      </c>
      <c r="O438" s="418" t="str">
        <f t="shared" si="125"/>
        <v>101-G381</v>
      </c>
      <c r="P438" s="418">
        <f t="shared" si="126"/>
        <v>0</v>
      </c>
      <c r="Q438" s="418">
        <f t="shared" si="127"/>
        <v>0</v>
      </c>
      <c r="R438" s="418">
        <f t="shared" si="128"/>
        <v>0</v>
      </c>
      <c r="S438" s="418">
        <f t="shared" si="129"/>
        <v>0</v>
      </c>
      <c r="T438" s="418">
        <f t="shared" si="130"/>
        <v>0</v>
      </c>
      <c r="V438" s="418" t="str">
        <f t="shared" si="131"/>
        <v>Projected - Gas</v>
      </c>
      <c r="W438" s="418" t="str">
        <f t="shared" si="132"/>
        <v>G3812 DST Modules, AMI</v>
      </c>
      <c r="X438" s="418" t="str">
        <f t="shared" si="121"/>
        <v>Projected</v>
      </c>
      <c r="Y438" s="418" t="str">
        <f t="shared" si="133"/>
        <v>101-G381</v>
      </c>
      <c r="Z438" s="418">
        <f t="shared" si="134"/>
        <v>0</v>
      </c>
      <c r="AA438" s="418">
        <f t="shared" si="135"/>
        <v>3598.32</v>
      </c>
      <c r="AB438" s="418">
        <f t="shared" si="136"/>
        <v>6665.35</v>
      </c>
      <c r="AC438" s="418">
        <f t="shared" si="137"/>
        <v>14453.83</v>
      </c>
      <c r="AD438" s="418">
        <f t="shared" si="138"/>
        <v>0</v>
      </c>
      <c r="AE438" s="413">
        <f t="shared" si="139"/>
        <v>0</v>
      </c>
    </row>
    <row r="439" spans="1:31" x14ac:dyDescent="0.3">
      <c r="A439" s="415" t="s">
        <v>1603</v>
      </c>
      <c r="B439" s="418" t="s">
        <v>1735</v>
      </c>
      <c r="C439" s="418" t="s">
        <v>26</v>
      </c>
      <c r="D439" s="418" t="str">
        <f t="shared" si="122"/>
        <v>101-G382</v>
      </c>
      <c r="E439" s="418">
        <v>0</v>
      </c>
      <c r="F439" s="418">
        <v>1126386.72</v>
      </c>
      <c r="G439" s="418">
        <v>1843017.6</v>
      </c>
      <c r="H439" s="418">
        <v>3479979.66</v>
      </c>
      <c r="I439" s="418">
        <v>0</v>
      </c>
      <c r="J439" s="413">
        <v>0</v>
      </c>
      <c r="L439" s="418" t="str">
        <f t="shared" si="123"/>
        <v>Projected - Gas</v>
      </c>
      <c r="M439" s="418" t="str">
        <f t="shared" si="124"/>
        <v>G3820 DST Meter Installations (AMR)</v>
      </c>
      <c r="N439" s="418" t="str">
        <f t="shared" si="120"/>
        <v>Projected</v>
      </c>
      <c r="O439" s="418" t="str">
        <f t="shared" si="125"/>
        <v>101-G382</v>
      </c>
      <c r="P439" s="418">
        <f t="shared" si="126"/>
        <v>0</v>
      </c>
      <c r="Q439" s="418">
        <f t="shared" si="127"/>
        <v>0</v>
      </c>
      <c r="R439" s="418">
        <f t="shared" si="128"/>
        <v>0</v>
      </c>
      <c r="S439" s="418">
        <f t="shared" si="129"/>
        <v>0</v>
      </c>
      <c r="T439" s="418">
        <f t="shared" si="130"/>
        <v>0</v>
      </c>
      <c r="V439" s="418" t="str">
        <f t="shared" si="131"/>
        <v>Projected - Gas</v>
      </c>
      <c r="W439" s="418" t="str">
        <f t="shared" si="132"/>
        <v>G3820 DST Meter Installations (AMR)</v>
      </c>
      <c r="X439" s="418" t="str">
        <f t="shared" si="121"/>
        <v>Projected</v>
      </c>
      <c r="Y439" s="418" t="str">
        <f t="shared" si="133"/>
        <v>101-G382</v>
      </c>
      <c r="Z439" s="418">
        <f t="shared" si="134"/>
        <v>0</v>
      </c>
      <c r="AA439" s="418">
        <f t="shared" si="135"/>
        <v>1126386.72</v>
      </c>
      <c r="AB439" s="418">
        <f t="shared" si="136"/>
        <v>1843017.6</v>
      </c>
      <c r="AC439" s="418">
        <f t="shared" si="137"/>
        <v>3479979.66</v>
      </c>
      <c r="AD439" s="418">
        <f t="shared" si="138"/>
        <v>0</v>
      </c>
      <c r="AE439" s="413">
        <f t="shared" si="139"/>
        <v>0</v>
      </c>
    </row>
    <row r="440" spans="1:31" x14ac:dyDescent="0.3">
      <c r="A440" s="415" t="s">
        <v>1603</v>
      </c>
      <c r="B440" s="418" t="s">
        <v>1734</v>
      </c>
      <c r="C440" s="418" t="s">
        <v>26</v>
      </c>
      <c r="D440" s="418" t="str">
        <f t="shared" si="122"/>
        <v>101-G382</v>
      </c>
      <c r="E440" s="418">
        <v>0</v>
      </c>
      <c r="F440" s="418">
        <v>1310328.3600000001</v>
      </c>
      <c r="G440" s="418">
        <v>1830703.82</v>
      </c>
      <c r="H440" s="418">
        <v>2703103.75</v>
      </c>
      <c r="I440" s="418">
        <v>0</v>
      </c>
      <c r="J440" s="413">
        <v>0</v>
      </c>
      <c r="L440" s="418" t="str">
        <f t="shared" si="123"/>
        <v>Projected - Gas</v>
      </c>
      <c r="M440" s="418" t="str">
        <f t="shared" si="124"/>
        <v>G3822 DST Module Installations, AMI</v>
      </c>
      <c r="N440" s="418" t="str">
        <f t="shared" si="120"/>
        <v>Projected</v>
      </c>
      <c r="O440" s="418" t="str">
        <f t="shared" si="125"/>
        <v>101-G382</v>
      </c>
      <c r="P440" s="418">
        <f t="shared" si="126"/>
        <v>0</v>
      </c>
      <c r="Q440" s="418">
        <f t="shared" si="127"/>
        <v>0</v>
      </c>
      <c r="R440" s="418">
        <f t="shared" si="128"/>
        <v>0</v>
      </c>
      <c r="S440" s="418">
        <f t="shared" si="129"/>
        <v>0</v>
      </c>
      <c r="T440" s="418">
        <f t="shared" si="130"/>
        <v>0</v>
      </c>
      <c r="V440" s="418" t="str">
        <f t="shared" si="131"/>
        <v>Projected - Gas</v>
      </c>
      <c r="W440" s="418" t="str">
        <f t="shared" si="132"/>
        <v>G3822 DST Module Installations, AMI</v>
      </c>
      <c r="X440" s="418" t="str">
        <f t="shared" si="121"/>
        <v>Projected</v>
      </c>
      <c r="Y440" s="418" t="str">
        <f t="shared" si="133"/>
        <v>101-G382</v>
      </c>
      <c r="Z440" s="418">
        <f t="shared" si="134"/>
        <v>0</v>
      </c>
      <c r="AA440" s="418">
        <f t="shared" si="135"/>
        <v>1310328.3600000001</v>
      </c>
      <c r="AB440" s="418">
        <f t="shared" si="136"/>
        <v>1830703.82</v>
      </c>
      <c r="AC440" s="418">
        <f t="shared" si="137"/>
        <v>2703103.75</v>
      </c>
      <c r="AD440" s="418">
        <f t="shared" si="138"/>
        <v>0</v>
      </c>
      <c r="AE440" s="413">
        <f t="shared" si="139"/>
        <v>0</v>
      </c>
    </row>
    <row r="441" spans="1:31" x14ac:dyDescent="0.3">
      <c r="A441" s="415" t="s">
        <v>1603</v>
      </c>
      <c r="B441" s="418" t="s">
        <v>1733</v>
      </c>
      <c r="C441" s="418" t="s">
        <v>26</v>
      </c>
      <c r="D441" s="418" t="str">
        <f t="shared" si="122"/>
        <v>101-G383</v>
      </c>
      <c r="E441" s="418">
        <v>0</v>
      </c>
      <c r="F441" s="418">
        <v>266.64</v>
      </c>
      <c r="G441" s="418">
        <v>399.96</v>
      </c>
      <c r="H441" s="418">
        <v>666.6</v>
      </c>
      <c r="I441" s="418">
        <v>0</v>
      </c>
      <c r="J441" s="413">
        <v>0</v>
      </c>
      <c r="L441" s="418" t="str">
        <f t="shared" si="123"/>
        <v>Projected - Gas</v>
      </c>
      <c r="M441" s="418" t="str">
        <f t="shared" si="124"/>
        <v>G383 DST House Regulators</v>
      </c>
      <c r="N441" s="418" t="str">
        <f t="shared" si="120"/>
        <v>Projected</v>
      </c>
      <c r="O441" s="418" t="str">
        <f t="shared" si="125"/>
        <v>101-G383</v>
      </c>
      <c r="P441" s="418">
        <f t="shared" si="126"/>
        <v>0</v>
      </c>
      <c r="Q441" s="418">
        <f t="shared" si="127"/>
        <v>0</v>
      </c>
      <c r="R441" s="418">
        <f t="shared" si="128"/>
        <v>0</v>
      </c>
      <c r="S441" s="418">
        <f t="shared" si="129"/>
        <v>0</v>
      </c>
      <c r="T441" s="418">
        <f t="shared" si="130"/>
        <v>0</v>
      </c>
      <c r="V441" s="418" t="str">
        <f t="shared" si="131"/>
        <v>Projected - Gas</v>
      </c>
      <c r="W441" s="418" t="str">
        <f t="shared" si="132"/>
        <v>G383 DST House Regulators</v>
      </c>
      <c r="X441" s="418" t="str">
        <f t="shared" si="121"/>
        <v>Projected</v>
      </c>
      <c r="Y441" s="418" t="str">
        <f t="shared" si="133"/>
        <v>101-G383</v>
      </c>
      <c r="Z441" s="418">
        <f t="shared" si="134"/>
        <v>0</v>
      </c>
      <c r="AA441" s="418">
        <f t="shared" si="135"/>
        <v>266.64</v>
      </c>
      <c r="AB441" s="418">
        <f t="shared" si="136"/>
        <v>399.96</v>
      </c>
      <c r="AC441" s="418">
        <f t="shared" si="137"/>
        <v>666.6</v>
      </c>
      <c r="AD441" s="418">
        <f t="shared" si="138"/>
        <v>0</v>
      </c>
      <c r="AE441" s="413">
        <f t="shared" si="139"/>
        <v>0</v>
      </c>
    </row>
    <row r="442" spans="1:31" x14ac:dyDescent="0.3">
      <c r="A442" s="415" t="s">
        <v>1603</v>
      </c>
      <c r="B442" s="418" t="s">
        <v>1732</v>
      </c>
      <c r="C442" s="418" t="s">
        <v>26</v>
      </c>
      <c r="D442" s="418" t="str">
        <f t="shared" si="122"/>
        <v>101-G384</v>
      </c>
      <c r="E442" s="418">
        <v>0</v>
      </c>
      <c r="F442" s="418">
        <v>266.64</v>
      </c>
      <c r="G442" s="418">
        <v>399.96</v>
      </c>
      <c r="H442" s="418">
        <v>666.6</v>
      </c>
      <c r="I442" s="418">
        <v>0</v>
      </c>
      <c r="J442" s="413">
        <v>0</v>
      </c>
      <c r="L442" s="418" t="str">
        <f t="shared" si="123"/>
        <v>Projected - Gas</v>
      </c>
      <c r="M442" s="418" t="str">
        <f t="shared" si="124"/>
        <v>G384 DST House Regulator Installs</v>
      </c>
      <c r="N442" s="418" t="str">
        <f t="shared" si="120"/>
        <v>Projected</v>
      </c>
      <c r="O442" s="418" t="str">
        <f t="shared" si="125"/>
        <v>101-G384</v>
      </c>
      <c r="P442" s="418">
        <f t="shared" si="126"/>
        <v>0</v>
      </c>
      <c r="Q442" s="418">
        <f t="shared" si="127"/>
        <v>0</v>
      </c>
      <c r="R442" s="418">
        <f t="shared" si="128"/>
        <v>0</v>
      </c>
      <c r="S442" s="418">
        <f t="shared" si="129"/>
        <v>0</v>
      </c>
      <c r="T442" s="418">
        <f t="shared" si="130"/>
        <v>0</v>
      </c>
      <c r="V442" s="418" t="str">
        <f t="shared" si="131"/>
        <v>Projected - Gas</v>
      </c>
      <c r="W442" s="418" t="str">
        <f t="shared" si="132"/>
        <v>G384 DST House Regulator Installs</v>
      </c>
      <c r="X442" s="418" t="str">
        <f t="shared" si="121"/>
        <v>Projected</v>
      </c>
      <c r="Y442" s="418" t="str">
        <f t="shared" si="133"/>
        <v>101-G384</v>
      </c>
      <c r="Z442" s="418">
        <f t="shared" si="134"/>
        <v>0</v>
      </c>
      <c r="AA442" s="418">
        <f t="shared" si="135"/>
        <v>266.64</v>
      </c>
      <c r="AB442" s="418">
        <f t="shared" si="136"/>
        <v>399.96</v>
      </c>
      <c r="AC442" s="418">
        <f t="shared" si="137"/>
        <v>666.6</v>
      </c>
      <c r="AD442" s="418">
        <f t="shared" si="138"/>
        <v>0</v>
      </c>
      <c r="AE442" s="413">
        <f t="shared" si="139"/>
        <v>0</v>
      </c>
    </row>
    <row r="443" spans="1:31" x14ac:dyDescent="0.3">
      <c r="A443" s="415" t="s">
        <v>1603</v>
      </c>
      <c r="B443" s="418" t="s">
        <v>1731</v>
      </c>
      <c r="C443" s="418" t="s">
        <v>26</v>
      </c>
      <c r="D443" s="418" t="str">
        <f t="shared" si="122"/>
        <v>101-G385</v>
      </c>
      <c r="E443" s="418">
        <v>0</v>
      </c>
      <c r="F443" s="418">
        <v>355.48</v>
      </c>
      <c r="G443" s="418">
        <v>488.75</v>
      </c>
      <c r="H443" s="418">
        <v>755.27</v>
      </c>
      <c r="I443" s="418">
        <v>0</v>
      </c>
      <c r="J443" s="413">
        <v>0</v>
      </c>
      <c r="L443" s="418" t="str">
        <f t="shared" si="123"/>
        <v>Projected - Gas</v>
      </c>
      <c r="M443" s="418" t="str">
        <f t="shared" si="124"/>
        <v>G385 DST Industrial M&amp;R Sta Eq</v>
      </c>
      <c r="N443" s="418" t="str">
        <f t="shared" si="120"/>
        <v>Projected</v>
      </c>
      <c r="O443" s="418" t="str">
        <f t="shared" si="125"/>
        <v>101-G385</v>
      </c>
      <c r="P443" s="418">
        <f t="shared" si="126"/>
        <v>0</v>
      </c>
      <c r="Q443" s="418">
        <f t="shared" si="127"/>
        <v>0</v>
      </c>
      <c r="R443" s="418">
        <f t="shared" si="128"/>
        <v>0</v>
      </c>
      <c r="S443" s="418">
        <f t="shared" si="129"/>
        <v>0</v>
      </c>
      <c r="T443" s="418">
        <f t="shared" si="130"/>
        <v>0</v>
      </c>
      <c r="V443" s="418" t="str">
        <f t="shared" si="131"/>
        <v>Projected - Gas</v>
      </c>
      <c r="W443" s="418" t="str">
        <f t="shared" si="132"/>
        <v>G385 DST Industrial M&amp;R Sta Eq</v>
      </c>
      <c r="X443" s="418" t="str">
        <f t="shared" si="121"/>
        <v>Projected</v>
      </c>
      <c r="Y443" s="418" t="str">
        <f t="shared" si="133"/>
        <v>101-G385</v>
      </c>
      <c r="Z443" s="418">
        <f t="shared" si="134"/>
        <v>0</v>
      </c>
      <c r="AA443" s="418">
        <f t="shared" si="135"/>
        <v>355.48</v>
      </c>
      <c r="AB443" s="418">
        <f t="shared" si="136"/>
        <v>488.75</v>
      </c>
      <c r="AC443" s="418">
        <f t="shared" si="137"/>
        <v>755.27</v>
      </c>
      <c r="AD443" s="418">
        <f t="shared" si="138"/>
        <v>0</v>
      </c>
      <c r="AE443" s="413">
        <f t="shared" si="139"/>
        <v>0</v>
      </c>
    </row>
    <row r="444" spans="1:31" x14ac:dyDescent="0.3">
      <c r="A444" s="415" t="s">
        <v>1603</v>
      </c>
      <c r="B444" s="418" t="s">
        <v>1730</v>
      </c>
      <c r="C444" s="418" t="s">
        <v>26</v>
      </c>
      <c r="D444" s="418" t="str">
        <f t="shared" si="122"/>
        <v>101-G389</v>
      </c>
      <c r="E444" s="418">
        <v>0</v>
      </c>
      <c r="F444" s="418">
        <v>2500000</v>
      </c>
      <c r="G444" s="418">
        <v>2500000</v>
      </c>
      <c r="H444" s="418">
        <v>2500000</v>
      </c>
      <c r="I444" s="418">
        <v>0</v>
      </c>
      <c r="J444" s="413">
        <v>0</v>
      </c>
      <c r="L444" s="418" t="str">
        <f t="shared" si="123"/>
        <v>Projected - Gas</v>
      </c>
      <c r="M444" s="418" t="str">
        <f t="shared" si="124"/>
        <v>G389 GEN Land &amp; Land Rights</v>
      </c>
      <c r="N444" s="418" t="str">
        <f t="shared" si="120"/>
        <v>Projected</v>
      </c>
      <c r="O444" s="418" t="str">
        <f t="shared" si="125"/>
        <v>101-G389</v>
      </c>
      <c r="P444" s="418">
        <f t="shared" si="126"/>
        <v>0</v>
      </c>
      <c r="Q444" s="418">
        <f t="shared" si="127"/>
        <v>0</v>
      </c>
      <c r="R444" s="418">
        <f t="shared" si="128"/>
        <v>0</v>
      </c>
      <c r="S444" s="418">
        <f t="shared" si="129"/>
        <v>0</v>
      </c>
      <c r="T444" s="418">
        <f t="shared" si="130"/>
        <v>0</v>
      </c>
      <c r="V444" s="418" t="str">
        <f t="shared" si="131"/>
        <v>Projected - Gas</v>
      </c>
      <c r="W444" s="418" t="str">
        <f t="shared" si="132"/>
        <v>G389 GEN Land &amp; Land Rights</v>
      </c>
      <c r="X444" s="418" t="str">
        <f t="shared" si="121"/>
        <v>Projected</v>
      </c>
      <c r="Y444" s="418" t="str">
        <f t="shared" si="133"/>
        <v>101-G389</v>
      </c>
      <c r="Z444" s="418">
        <f t="shared" si="134"/>
        <v>0</v>
      </c>
      <c r="AA444" s="418">
        <f t="shared" si="135"/>
        <v>2500000</v>
      </c>
      <c r="AB444" s="418">
        <f t="shared" si="136"/>
        <v>2500000</v>
      </c>
      <c r="AC444" s="418">
        <f t="shared" si="137"/>
        <v>2500000</v>
      </c>
      <c r="AD444" s="418">
        <f t="shared" si="138"/>
        <v>0</v>
      </c>
      <c r="AE444" s="413">
        <f t="shared" si="139"/>
        <v>0</v>
      </c>
    </row>
    <row r="445" spans="1:31" x14ac:dyDescent="0.3">
      <c r="A445" s="415" t="s">
        <v>1603</v>
      </c>
      <c r="B445" s="418" t="s">
        <v>1729</v>
      </c>
      <c r="C445" s="418" t="s">
        <v>26</v>
      </c>
      <c r="D445" s="418" t="str">
        <f t="shared" si="122"/>
        <v>101-G390</v>
      </c>
      <c r="E445" s="418">
        <v>0</v>
      </c>
      <c r="F445" s="418">
        <v>86330.33</v>
      </c>
      <c r="G445" s="418">
        <v>86330.33</v>
      </c>
      <c r="H445" s="418">
        <v>86330.33</v>
      </c>
      <c r="I445" s="418">
        <v>0</v>
      </c>
      <c r="J445" s="413">
        <v>0</v>
      </c>
      <c r="L445" s="418" t="str">
        <f t="shared" si="123"/>
        <v>Projected - Gas</v>
      </c>
      <c r="M445" s="418" t="str">
        <f t="shared" si="124"/>
        <v>G390 GEN Structures &amp; Improvements</v>
      </c>
      <c r="N445" s="418" t="str">
        <f t="shared" si="120"/>
        <v>Projected</v>
      </c>
      <c r="O445" s="418" t="str">
        <f t="shared" si="125"/>
        <v>101-G390</v>
      </c>
      <c r="P445" s="418">
        <f t="shared" si="126"/>
        <v>0</v>
      </c>
      <c r="Q445" s="418">
        <f t="shared" si="127"/>
        <v>0</v>
      </c>
      <c r="R445" s="418">
        <f t="shared" si="128"/>
        <v>0</v>
      </c>
      <c r="S445" s="418">
        <f t="shared" si="129"/>
        <v>0</v>
      </c>
      <c r="T445" s="418">
        <f t="shared" si="130"/>
        <v>0</v>
      </c>
      <c r="V445" s="418" t="str">
        <f t="shared" si="131"/>
        <v>Projected - Gas</v>
      </c>
      <c r="W445" s="418" t="str">
        <f t="shared" si="132"/>
        <v>G390 GEN Structures &amp; Improvements</v>
      </c>
      <c r="X445" s="418" t="str">
        <f t="shared" si="121"/>
        <v>Projected</v>
      </c>
      <c r="Y445" s="418" t="str">
        <f t="shared" si="133"/>
        <v>101-G390</v>
      </c>
      <c r="Z445" s="418">
        <f t="shared" si="134"/>
        <v>0</v>
      </c>
      <c r="AA445" s="418">
        <f t="shared" si="135"/>
        <v>86330.33</v>
      </c>
      <c r="AB445" s="418">
        <f t="shared" si="136"/>
        <v>86330.33</v>
      </c>
      <c r="AC445" s="418">
        <f t="shared" si="137"/>
        <v>86330.33</v>
      </c>
      <c r="AD445" s="418">
        <f t="shared" si="138"/>
        <v>0</v>
      </c>
      <c r="AE445" s="413">
        <f t="shared" si="139"/>
        <v>0</v>
      </c>
    </row>
    <row r="446" spans="1:31" x14ac:dyDescent="0.3">
      <c r="A446" s="415" t="s">
        <v>1603</v>
      </c>
      <c r="B446" s="418" t="s">
        <v>1728</v>
      </c>
      <c r="C446" s="418" t="s">
        <v>26</v>
      </c>
      <c r="D446" s="418" t="str">
        <f t="shared" si="122"/>
        <v>101-G391</v>
      </c>
      <c r="E446" s="418">
        <v>0</v>
      </c>
      <c r="F446" s="418">
        <v>387016.73</v>
      </c>
      <c r="G446" s="418">
        <v>558269.17000000004</v>
      </c>
      <c r="H446" s="418">
        <v>876398.46</v>
      </c>
      <c r="I446" s="418">
        <v>0</v>
      </c>
      <c r="J446" s="413">
        <v>0</v>
      </c>
      <c r="L446" s="418" t="str">
        <f t="shared" si="123"/>
        <v>Projected - Gas</v>
      </c>
      <c r="M446" s="418" t="str">
        <f t="shared" si="124"/>
        <v>G3912 GEN Computer Eq, new</v>
      </c>
      <c r="N446" s="418" t="str">
        <f t="shared" si="120"/>
        <v>Projected</v>
      </c>
      <c r="O446" s="418" t="str">
        <f t="shared" si="125"/>
        <v>101-G391</v>
      </c>
      <c r="P446" s="418">
        <f t="shared" si="126"/>
        <v>0</v>
      </c>
      <c r="Q446" s="418">
        <f t="shared" si="127"/>
        <v>0</v>
      </c>
      <c r="R446" s="418">
        <f t="shared" si="128"/>
        <v>0</v>
      </c>
      <c r="S446" s="418">
        <f t="shared" si="129"/>
        <v>0</v>
      </c>
      <c r="T446" s="418">
        <f t="shared" si="130"/>
        <v>0</v>
      </c>
      <c r="V446" s="418" t="str">
        <f t="shared" si="131"/>
        <v>Projected - Gas</v>
      </c>
      <c r="W446" s="418" t="str">
        <f t="shared" si="132"/>
        <v>G3912 GEN Computer Eq, new</v>
      </c>
      <c r="X446" s="418" t="str">
        <f t="shared" si="121"/>
        <v>Projected</v>
      </c>
      <c r="Y446" s="418" t="str">
        <f t="shared" si="133"/>
        <v>101-G391</v>
      </c>
      <c r="Z446" s="418">
        <f t="shared" si="134"/>
        <v>0</v>
      </c>
      <c r="AA446" s="418">
        <f t="shared" si="135"/>
        <v>387016.73</v>
      </c>
      <c r="AB446" s="418">
        <f t="shared" si="136"/>
        <v>558269.17000000004</v>
      </c>
      <c r="AC446" s="418">
        <f t="shared" si="137"/>
        <v>876398.46</v>
      </c>
      <c r="AD446" s="418">
        <f t="shared" si="138"/>
        <v>0</v>
      </c>
      <c r="AE446" s="413">
        <f t="shared" si="139"/>
        <v>0</v>
      </c>
    </row>
    <row r="447" spans="1:31" x14ac:dyDescent="0.3">
      <c r="A447" s="415" t="s">
        <v>1603</v>
      </c>
      <c r="B447" s="418" t="s">
        <v>1727</v>
      </c>
      <c r="C447" s="418" t="s">
        <v>26</v>
      </c>
      <c r="D447" s="418" t="str">
        <f t="shared" si="122"/>
        <v>101-G392</v>
      </c>
      <c r="E447" s="418">
        <v>0</v>
      </c>
      <c r="F447" s="418">
        <v>177460.4</v>
      </c>
      <c r="G447" s="418">
        <v>185235.57</v>
      </c>
      <c r="H447" s="418">
        <v>374840.78</v>
      </c>
      <c r="I447" s="418">
        <v>0</v>
      </c>
      <c r="J447" s="413">
        <v>0</v>
      </c>
      <c r="L447" s="418" t="str">
        <f t="shared" si="123"/>
        <v>Projected - Gas</v>
      </c>
      <c r="M447" s="418" t="str">
        <f t="shared" si="124"/>
        <v>G392 GEN Trans Equip, new</v>
      </c>
      <c r="N447" s="418" t="str">
        <f t="shared" si="120"/>
        <v>Projected</v>
      </c>
      <c r="O447" s="418" t="str">
        <f t="shared" si="125"/>
        <v>101-G392</v>
      </c>
      <c r="P447" s="418">
        <f t="shared" si="126"/>
        <v>0</v>
      </c>
      <c r="Q447" s="418">
        <f t="shared" si="127"/>
        <v>0</v>
      </c>
      <c r="R447" s="418">
        <f t="shared" si="128"/>
        <v>0</v>
      </c>
      <c r="S447" s="418">
        <f t="shared" si="129"/>
        <v>0</v>
      </c>
      <c r="T447" s="418">
        <f t="shared" si="130"/>
        <v>0</v>
      </c>
      <c r="V447" s="418" t="str">
        <f t="shared" si="131"/>
        <v>Projected - Gas</v>
      </c>
      <c r="W447" s="418" t="str">
        <f t="shared" si="132"/>
        <v>G392 GEN Trans Equip, new</v>
      </c>
      <c r="X447" s="418" t="str">
        <f t="shared" si="121"/>
        <v>Projected</v>
      </c>
      <c r="Y447" s="418" t="str">
        <f t="shared" si="133"/>
        <v>101-G392</v>
      </c>
      <c r="Z447" s="418">
        <f t="shared" si="134"/>
        <v>0</v>
      </c>
      <c r="AA447" s="418">
        <f t="shared" si="135"/>
        <v>177460.4</v>
      </c>
      <c r="AB447" s="418">
        <f t="shared" si="136"/>
        <v>185235.57</v>
      </c>
      <c r="AC447" s="418">
        <f t="shared" si="137"/>
        <v>374840.78</v>
      </c>
      <c r="AD447" s="418">
        <f t="shared" si="138"/>
        <v>0</v>
      </c>
      <c r="AE447" s="413">
        <f t="shared" si="139"/>
        <v>0</v>
      </c>
    </row>
    <row r="448" spans="1:31" x14ac:dyDescent="0.3">
      <c r="A448" s="415" t="s">
        <v>1603</v>
      </c>
      <c r="B448" s="418" t="s">
        <v>1726</v>
      </c>
      <c r="C448" s="418" t="s">
        <v>26</v>
      </c>
      <c r="D448" s="418" t="str">
        <f t="shared" si="122"/>
        <v>101-G394</v>
      </c>
      <c r="E448" s="418">
        <v>0</v>
      </c>
      <c r="F448" s="418">
        <v>1144313.83</v>
      </c>
      <c r="G448" s="418">
        <v>1193316.73</v>
      </c>
      <c r="H448" s="418">
        <v>2370749.0099999998</v>
      </c>
      <c r="I448" s="418">
        <v>0</v>
      </c>
      <c r="J448" s="413">
        <v>0</v>
      </c>
      <c r="L448" s="418" t="str">
        <f t="shared" si="123"/>
        <v>Projected - Gas</v>
      </c>
      <c r="M448" s="418" t="str">
        <f t="shared" si="124"/>
        <v>G3940 GEN Tools/Garage/Shop, new</v>
      </c>
      <c r="N448" s="418" t="str">
        <f t="shared" si="120"/>
        <v>Projected</v>
      </c>
      <c r="O448" s="418" t="str">
        <f t="shared" si="125"/>
        <v>101-G394</v>
      </c>
      <c r="P448" s="418">
        <f t="shared" si="126"/>
        <v>0</v>
      </c>
      <c r="Q448" s="418">
        <f t="shared" si="127"/>
        <v>0</v>
      </c>
      <c r="R448" s="418">
        <f t="shared" si="128"/>
        <v>0</v>
      </c>
      <c r="S448" s="418">
        <f t="shared" si="129"/>
        <v>0</v>
      </c>
      <c r="T448" s="418">
        <f t="shared" si="130"/>
        <v>0</v>
      </c>
      <c r="V448" s="418" t="str">
        <f t="shared" si="131"/>
        <v>Projected - Gas</v>
      </c>
      <c r="W448" s="418" t="str">
        <f t="shared" si="132"/>
        <v>G3940 GEN Tools/Garage/Shop, new</v>
      </c>
      <c r="X448" s="418" t="str">
        <f t="shared" si="121"/>
        <v>Projected</v>
      </c>
      <c r="Y448" s="418" t="str">
        <f t="shared" si="133"/>
        <v>101-G394</v>
      </c>
      <c r="Z448" s="418">
        <f t="shared" si="134"/>
        <v>0</v>
      </c>
      <c r="AA448" s="418">
        <f t="shared" si="135"/>
        <v>1144313.83</v>
      </c>
      <c r="AB448" s="418">
        <f t="shared" si="136"/>
        <v>1193316.73</v>
      </c>
      <c r="AC448" s="418">
        <f t="shared" si="137"/>
        <v>2370749.0099999998</v>
      </c>
      <c r="AD448" s="418">
        <f t="shared" si="138"/>
        <v>0</v>
      </c>
      <c r="AE448" s="413">
        <f t="shared" si="139"/>
        <v>0</v>
      </c>
    </row>
    <row r="449" spans="1:31" x14ac:dyDescent="0.3">
      <c r="A449" s="415" t="s">
        <v>1603</v>
      </c>
      <c r="B449" s="418" t="s">
        <v>1725</v>
      </c>
      <c r="C449" s="418" t="s">
        <v>26</v>
      </c>
      <c r="D449" s="418" t="str">
        <f t="shared" si="122"/>
        <v>101-G395</v>
      </c>
      <c r="E449" s="418">
        <v>0</v>
      </c>
      <c r="F449" s="418">
        <v>60880.959999999999</v>
      </c>
      <c r="G449" s="418">
        <v>63488.06</v>
      </c>
      <c r="H449" s="418">
        <v>126131.01</v>
      </c>
      <c r="I449" s="418">
        <v>0</v>
      </c>
      <c r="J449" s="413">
        <v>0</v>
      </c>
      <c r="L449" s="418" t="str">
        <f t="shared" si="123"/>
        <v>Projected - Gas</v>
      </c>
      <c r="M449" s="418" t="str">
        <f t="shared" si="124"/>
        <v>G3950 GEN Laboratory Equip, new</v>
      </c>
      <c r="N449" s="418" t="str">
        <f t="shared" si="120"/>
        <v>Projected</v>
      </c>
      <c r="O449" s="418" t="str">
        <f t="shared" si="125"/>
        <v>101-G395</v>
      </c>
      <c r="P449" s="418">
        <f t="shared" si="126"/>
        <v>0</v>
      </c>
      <c r="Q449" s="418">
        <f t="shared" si="127"/>
        <v>0</v>
      </c>
      <c r="R449" s="418">
        <f t="shared" si="128"/>
        <v>0</v>
      </c>
      <c r="S449" s="418">
        <f t="shared" si="129"/>
        <v>0</v>
      </c>
      <c r="T449" s="418">
        <f t="shared" si="130"/>
        <v>0</v>
      </c>
      <c r="V449" s="418" t="str">
        <f t="shared" si="131"/>
        <v>Projected - Gas</v>
      </c>
      <c r="W449" s="418" t="str">
        <f t="shared" si="132"/>
        <v>G3950 GEN Laboratory Equip, new</v>
      </c>
      <c r="X449" s="418" t="str">
        <f t="shared" si="121"/>
        <v>Projected</v>
      </c>
      <c r="Y449" s="418" t="str">
        <f t="shared" si="133"/>
        <v>101-G395</v>
      </c>
      <c r="Z449" s="418">
        <f t="shared" si="134"/>
        <v>0</v>
      </c>
      <c r="AA449" s="418">
        <f t="shared" si="135"/>
        <v>60880.959999999999</v>
      </c>
      <c r="AB449" s="418">
        <f t="shared" si="136"/>
        <v>63488.06</v>
      </c>
      <c r="AC449" s="418">
        <f t="shared" si="137"/>
        <v>126131.01</v>
      </c>
      <c r="AD449" s="418">
        <f t="shared" si="138"/>
        <v>0</v>
      </c>
      <c r="AE449" s="413">
        <f t="shared" si="139"/>
        <v>0</v>
      </c>
    </row>
    <row r="450" spans="1:31" x14ac:dyDescent="0.3">
      <c r="A450" s="415" t="s">
        <v>1603</v>
      </c>
      <c r="B450" s="418" t="s">
        <v>1724</v>
      </c>
      <c r="C450" s="418" t="s">
        <v>26</v>
      </c>
      <c r="D450" s="418" t="str">
        <f t="shared" si="122"/>
        <v>101-G396</v>
      </c>
      <c r="E450" s="418">
        <v>0</v>
      </c>
      <c r="F450" s="418">
        <v>6427.81</v>
      </c>
      <c r="G450" s="418">
        <v>6709.43</v>
      </c>
      <c r="H450" s="418">
        <v>13577.14</v>
      </c>
      <c r="I450" s="418">
        <v>0</v>
      </c>
      <c r="J450" s="413">
        <v>0</v>
      </c>
      <c r="L450" s="418" t="str">
        <f t="shared" si="123"/>
        <v>Projected - Gas</v>
      </c>
      <c r="M450" s="418" t="str">
        <f t="shared" si="124"/>
        <v>G396 GEN Power Op Equip, new</v>
      </c>
      <c r="N450" s="418" t="str">
        <f t="shared" si="120"/>
        <v>Projected</v>
      </c>
      <c r="O450" s="418" t="str">
        <f t="shared" si="125"/>
        <v>101-G396</v>
      </c>
      <c r="P450" s="418">
        <f t="shared" si="126"/>
        <v>0</v>
      </c>
      <c r="Q450" s="418">
        <f t="shared" si="127"/>
        <v>0</v>
      </c>
      <c r="R450" s="418">
        <f t="shared" si="128"/>
        <v>0</v>
      </c>
      <c r="S450" s="418">
        <f t="shared" si="129"/>
        <v>0</v>
      </c>
      <c r="T450" s="418">
        <f t="shared" si="130"/>
        <v>0</v>
      </c>
      <c r="V450" s="418" t="str">
        <f t="shared" si="131"/>
        <v>Projected - Gas</v>
      </c>
      <c r="W450" s="418" t="str">
        <f t="shared" si="132"/>
        <v>G396 GEN Power Op Equip, new</v>
      </c>
      <c r="X450" s="418" t="str">
        <f t="shared" si="121"/>
        <v>Projected</v>
      </c>
      <c r="Y450" s="418" t="str">
        <f t="shared" si="133"/>
        <v>101-G396</v>
      </c>
      <c r="Z450" s="418">
        <f t="shared" si="134"/>
        <v>0</v>
      </c>
      <c r="AA450" s="418">
        <f t="shared" si="135"/>
        <v>6427.81</v>
      </c>
      <c r="AB450" s="418">
        <f t="shared" si="136"/>
        <v>6709.43</v>
      </c>
      <c r="AC450" s="418">
        <f t="shared" si="137"/>
        <v>13577.14</v>
      </c>
      <c r="AD450" s="418">
        <f t="shared" si="138"/>
        <v>0</v>
      </c>
      <c r="AE450" s="413">
        <f t="shared" si="139"/>
        <v>0</v>
      </c>
    </row>
    <row r="451" spans="1:31" x14ac:dyDescent="0.3">
      <c r="A451" s="415" t="s">
        <v>1603</v>
      </c>
      <c r="B451" s="418" t="s">
        <v>1723</v>
      </c>
      <c r="C451" s="418" t="s">
        <v>26</v>
      </c>
      <c r="D451" s="418" t="str">
        <f t="shared" si="122"/>
        <v>101-G397</v>
      </c>
      <c r="E451" s="418">
        <v>0</v>
      </c>
      <c r="F451" s="418">
        <v>3462.89</v>
      </c>
      <c r="G451" s="418">
        <v>3462.89</v>
      </c>
      <c r="H451" s="418">
        <v>3462.89</v>
      </c>
      <c r="I451" s="418">
        <v>0</v>
      </c>
      <c r="J451" s="413">
        <v>0</v>
      </c>
      <c r="L451" s="418" t="str">
        <f t="shared" si="123"/>
        <v>Projected - Gas</v>
      </c>
      <c r="M451" s="418" t="str">
        <f t="shared" si="124"/>
        <v>G3970 GEN Comm Equip, new</v>
      </c>
      <c r="N451" s="418" t="str">
        <f t="shared" si="120"/>
        <v>Projected</v>
      </c>
      <c r="O451" s="418" t="str">
        <f t="shared" si="125"/>
        <v>101-G397</v>
      </c>
      <c r="P451" s="418">
        <f t="shared" si="126"/>
        <v>0</v>
      </c>
      <c r="Q451" s="418">
        <f t="shared" si="127"/>
        <v>0</v>
      </c>
      <c r="R451" s="418">
        <f t="shared" si="128"/>
        <v>0</v>
      </c>
      <c r="S451" s="418">
        <f t="shared" si="129"/>
        <v>0</v>
      </c>
      <c r="T451" s="418">
        <f t="shared" si="130"/>
        <v>0</v>
      </c>
      <c r="V451" s="418" t="str">
        <f t="shared" si="131"/>
        <v>Projected - Gas</v>
      </c>
      <c r="W451" s="418" t="str">
        <f t="shared" si="132"/>
        <v>G3970 GEN Comm Equip, new</v>
      </c>
      <c r="X451" s="418" t="str">
        <f t="shared" si="121"/>
        <v>Projected</v>
      </c>
      <c r="Y451" s="418" t="str">
        <f t="shared" si="133"/>
        <v>101-G397</v>
      </c>
      <c r="Z451" s="418">
        <f t="shared" si="134"/>
        <v>0</v>
      </c>
      <c r="AA451" s="418">
        <f t="shared" si="135"/>
        <v>3462.89</v>
      </c>
      <c r="AB451" s="418">
        <f t="shared" si="136"/>
        <v>3462.89</v>
      </c>
      <c r="AC451" s="418">
        <f t="shared" si="137"/>
        <v>3462.89</v>
      </c>
      <c r="AD451" s="418">
        <f t="shared" si="138"/>
        <v>0</v>
      </c>
      <c r="AE451" s="413">
        <f t="shared" si="139"/>
        <v>0</v>
      </c>
    </row>
    <row r="452" spans="1:31" x14ac:dyDescent="0.3">
      <c r="A452" s="415" t="s">
        <v>31</v>
      </c>
      <c r="B452" s="418" t="s">
        <v>1722</v>
      </c>
      <c r="C452" s="418" t="s">
        <v>1168</v>
      </c>
      <c r="D452" s="418" t="str">
        <f t="shared" si="122"/>
        <v>101-E361</v>
      </c>
      <c r="E452" s="418">
        <v>0</v>
      </c>
      <c r="F452" s="418">
        <v>251281.32</v>
      </c>
      <c r="G452" s="418">
        <v>805938.84</v>
      </c>
      <c r="H452" s="418">
        <v>2528135.15</v>
      </c>
      <c r="I452" s="418">
        <v>0</v>
      </c>
      <c r="J452" s="413">
        <v>0</v>
      </c>
      <c r="L452" s="418" t="str">
        <f t="shared" si="123"/>
        <v>Resilience Enhancement</v>
      </c>
      <c r="M452" s="418" t="str">
        <f t="shared" si="124"/>
        <v>E3610 DST Structures &amp; Improvement</v>
      </c>
      <c r="N452" s="418" t="str">
        <f t="shared" ref="N452:N509" si="140">C452</f>
        <v>Programmatic</v>
      </c>
      <c r="O452" s="418" t="str">
        <f t="shared" si="125"/>
        <v>101-E361</v>
      </c>
      <c r="P452" s="418">
        <f t="shared" si="126"/>
        <v>0</v>
      </c>
      <c r="Q452" s="418">
        <f t="shared" si="127"/>
        <v>251281.32</v>
      </c>
      <c r="R452" s="418">
        <f t="shared" si="128"/>
        <v>805938.84</v>
      </c>
      <c r="S452" s="418">
        <f t="shared" si="129"/>
        <v>2528135.15</v>
      </c>
      <c r="T452" s="418">
        <f t="shared" si="130"/>
        <v>0</v>
      </c>
      <c r="V452" s="418" t="str">
        <f t="shared" si="131"/>
        <v>Resilience Enhancement</v>
      </c>
      <c r="W452" s="418" t="str">
        <f t="shared" si="132"/>
        <v>E3610 DST Structures &amp; Improvement</v>
      </c>
      <c r="X452" s="418" t="str">
        <f t="shared" ref="X452:X509" si="141">C452</f>
        <v>Programmatic</v>
      </c>
      <c r="Y452" s="418" t="str">
        <f t="shared" si="133"/>
        <v>101-E361</v>
      </c>
      <c r="Z452" s="418">
        <f t="shared" si="134"/>
        <v>0</v>
      </c>
      <c r="AA452" s="418">
        <f t="shared" si="135"/>
        <v>0</v>
      </c>
      <c r="AB452" s="418">
        <f t="shared" si="136"/>
        <v>0</v>
      </c>
      <c r="AC452" s="418">
        <f t="shared" si="137"/>
        <v>0</v>
      </c>
      <c r="AD452" s="418">
        <f t="shared" si="138"/>
        <v>0</v>
      </c>
      <c r="AE452" s="413">
        <f t="shared" si="139"/>
        <v>0</v>
      </c>
    </row>
    <row r="453" spans="1:31" x14ac:dyDescent="0.3">
      <c r="A453" s="415" t="s">
        <v>31</v>
      </c>
      <c r="B453" s="418" t="s">
        <v>1721</v>
      </c>
      <c r="C453" s="418" t="s">
        <v>1168</v>
      </c>
      <c r="D453" s="418" t="str">
        <f t="shared" ref="D453:D509" si="142">"101-"&amp; LEFT(B453,4)</f>
        <v>101-E363</v>
      </c>
      <c r="E453" s="418">
        <v>0</v>
      </c>
      <c r="F453" s="418">
        <v>251281.32</v>
      </c>
      <c r="G453" s="418">
        <v>805938.84</v>
      </c>
      <c r="H453" s="418">
        <v>2528135.15</v>
      </c>
      <c r="I453" s="418">
        <v>0</v>
      </c>
      <c r="J453" s="413">
        <v>0</v>
      </c>
      <c r="L453" s="418" t="str">
        <f t="shared" ref="L453:L509" si="143">A453</f>
        <v>Resilience Enhancement</v>
      </c>
      <c r="M453" s="418" t="str">
        <f t="shared" ref="M453:M509" si="144">B453</f>
        <v>E3630 DST Battery Storage Equipment</v>
      </c>
      <c r="N453" s="418" t="str">
        <f t="shared" si="140"/>
        <v>Programmatic</v>
      </c>
      <c r="O453" s="418" t="str">
        <f t="shared" ref="O453:O509" si="145">D453</f>
        <v>101-E363</v>
      </c>
      <c r="P453" s="418">
        <f t="shared" ref="P453:P509" si="146">IF(MID($O453,5,1)="C",E453*$F$1,IF(MID($O453,5,1)="G",0,E453))</f>
        <v>0</v>
      </c>
      <c r="Q453" s="418">
        <f t="shared" ref="Q453:Q509" si="147">IF(MID($O453,5,1)="C",F453*$F$1,IF(MID($O453,5,1)="G",0,F453))</f>
        <v>251281.32</v>
      </c>
      <c r="R453" s="418">
        <f t="shared" ref="R453:R509" si="148">IF(MID($O453,5,1)="C",G453*$F$1,IF(MID($O453,5,1)="G",0,G453))</f>
        <v>805938.84</v>
      </c>
      <c r="S453" s="418">
        <f t="shared" ref="S453:S509" si="149">IF(MID($O453,5,1)="C",H453*$F$1,IF(MID($O453,5,1)="G",0,H453))</f>
        <v>2528135.15</v>
      </c>
      <c r="T453" s="418">
        <f t="shared" ref="T453:T509" si="150">IF(MID($O453,5,1)="C",I453*$F$1,IF(MID($O453,5,1)="G",0,I453))</f>
        <v>0</v>
      </c>
      <c r="V453" s="418" t="str">
        <f t="shared" ref="V453:V509" si="151">A453</f>
        <v>Resilience Enhancement</v>
      </c>
      <c r="W453" s="418" t="str">
        <f t="shared" ref="W453:W509" si="152">B453</f>
        <v>E3630 DST Battery Storage Equipment</v>
      </c>
      <c r="X453" s="418" t="str">
        <f t="shared" si="141"/>
        <v>Programmatic</v>
      </c>
      <c r="Y453" s="418" t="str">
        <f t="shared" ref="Y453:Y509" si="153">D453</f>
        <v>101-E363</v>
      </c>
      <c r="Z453" s="418">
        <f t="shared" ref="Z453:Z509" si="154">IF(MID($O453,5,1)="C",E453*$D$1,IF(MID($O453,5,1)="E",0,E453))</f>
        <v>0</v>
      </c>
      <c r="AA453" s="418">
        <f t="shared" ref="AA453:AA509" si="155">IF(MID($O453,5,1)="C",F453*$D$1,IF(MID($O453,5,1)="E",0,F453))</f>
        <v>0</v>
      </c>
      <c r="AB453" s="418">
        <f t="shared" ref="AB453:AB509" si="156">IF(MID($O453,5,1)="C",G453*$D$1,IF(MID($O453,5,1)="E",0,G453))</f>
        <v>0</v>
      </c>
      <c r="AC453" s="418">
        <f t="shared" ref="AC453:AC509" si="157">IF(MID($O453,5,1)="C",H453*$D$1,IF(MID($O453,5,1)="E",0,H453))</f>
        <v>0</v>
      </c>
      <c r="AD453" s="418">
        <f t="shared" ref="AD453:AD509" si="158">IF(MID($O453,5,1)="C",I453*$D$1,IF(MID($O453,5,1)="E",0,I453))</f>
        <v>0</v>
      </c>
      <c r="AE453" s="413">
        <f t="shared" ref="AE453:AE509" si="159">SUM(E453:I453)-SUM(P453:T453)-SUM(Z453:AD453)</f>
        <v>0</v>
      </c>
    </row>
    <row r="454" spans="1:31" x14ac:dyDescent="0.3">
      <c r="A454" s="415" t="s">
        <v>31</v>
      </c>
      <c r="B454" s="418" t="s">
        <v>1711</v>
      </c>
      <c r="C454" s="418" t="s">
        <v>1168</v>
      </c>
      <c r="D454" s="418" t="str">
        <f t="shared" si="142"/>
        <v>101-E364</v>
      </c>
      <c r="E454" s="418">
        <v>0</v>
      </c>
      <c r="F454" s="418">
        <v>164299.32</v>
      </c>
      <c r="G454" s="418">
        <v>526960.02</v>
      </c>
      <c r="H454" s="418">
        <v>1653011.46</v>
      </c>
      <c r="I454" s="418">
        <v>0</v>
      </c>
      <c r="J454" s="413">
        <v>0</v>
      </c>
      <c r="L454" s="418" t="str">
        <f t="shared" si="143"/>
        <v>Resilience Enhancement</v>
      </c>
      <c r="M454" s="418" t="str">
        <f t="shared" si="144"/>
        <v>E3640 DST Poles/Towers/Fixtures</v>
      </c>
      <c r="N454" s="418" t="str">
        <f t="shared" si="140"/>
        <v>Programmatic</v>
      </c>
      <c r="O454" s="418" t="str">
        <f t="shared" si="145"/>
        <v>101-E364</v>
      </c>
      <c r="P454" s="418">
        <f t="shared" si="146"/>
        <v>0</v>
      </c>
      <c r="Q454" s="418">
        <f t="shared" si="147"/>
        <v>164299.32</v>
      </c>
      <c r="R454" s="418">
        <f t="shared" si="148"/>
        <v>526960.02</v>
      </c>
      <c r="S454" s="418">
        <f t="shared" si="149"/>
        <v>1653011.46</v>
      </c>
      <c r="T454" s="418">
        <f t="shared" si="150"/>
        <v>0</v>
      </c>
      <c r="V454" s="418" t="str">
        <f t="shared" si="151"/>
        <v>Resilience Enhancement</v>
      </c>
      <c r="W454" s="418" t="str">
        <f t="shared" si="152"/>
        <v>E3640 DST Poles/Towers/Fixtures</v>
      </c>
      <c r="X454" s="418" t="str">
        <f t="shared" si="141"/>
        <v>Programmatic</v>
      </c>
      <c r="Y454" s="418" t="str">
        <f t="shared" si="153"/>
        <v>101-E364</v>
      </c>
      <c r="Z454" s="418">
        <f t="shared" si="154"/>
        <v>0</v>
      </c>
      <c r="AA454" s="418">
        <f t="shared" si="155"/>
        <v>0</v>
      </c>
      <c r="AB454" s="418">
        <f t="shared" si="156"/>
        <v>0</v>
      </c>
      <c r="AC454" s="418">
        <f t="shared" si="157"/>
        <v>0</v>
      </c>
      <c r="AD454" s="418">
        <f t="shared" si="158"/>
        <v>0</v>
      </c>
      <c r="AE454" s="413">
        <f t="shared" si="159"/>
        <v>0</v>
      </c>
    </row>
    <row r="455" spans="1:31" x14ac:dyDescent="0.3">
      <c r="A455" s="415" t="s">
        <v>31</v>
      </c>
      <c r="B455" s="418" t="s">
        <v>1720</v>
      </c>
      <c r="C455" s="418" t="s">
        <v>1168</v>
      </c>
      <c r="D455" s="418" t="str">
        <f t="shared" si="142"/>
        <v>101-E365</v>
      </c>
      <c r="E455" s="418">
        <v>0</v>
      </c>
      <c r="F455" s="418">
        <v>299604.59999999998</v>
      </c>
      <c r="G455" s="418">
        <v>960927.07</v>
      </c>
      <c r="H455" s="418">
        <v>3014315.04</v>
      </c>
      <c r="I455" s="418">
        <v>0</v>
      </c>
      <c r="J455" s="413">
        <v>0</v>
      </c>
      <c r="L455" s="418" t="str">
        <f t="shared" si="143"/>
        <v>Resilience Enhancement</v>
      </c>
      <c r="M455" s="418" t="str">
        <f t="shared" si="144"/>
        <v>E3650 DST O/H Conductor/Devices</v>
      </c>
      <c r="N455" s="418" t="str">
        <f t="shared" si="140"/>
        <v>Programmatic</v>
      </c>
      <c r="O455" s="418" t="str">
        <f t="shared" si="145"/>
        <v>101-E365</v>
      </c>
      <c r="P455" s="418">
        <f t="shared" si="146"/>
        <v>0</v>
      </c>
      <c r="Q455" s="418">
        <f t="shared" si="147"/>
        <v>299604.59999999998</v>
      </c>
      <c r="R455" s="418">
        <f t="shared" si="148"/>
        <v>960927.07</v>
      </c>
      <c r="S455" s="418">
        <f t="shared" si="149"/>
        <v>3014315.04</v>
      </c>
      <c r="T455" s="418">
        <f t="shared" si="150"/>
        <v>0</v>
      </c>
      <c r="V455" s="418" t="str">
        <f t="shared" si="151"/>
        <v>Resilience Enhancement</v>
      </c>
      <c r="W455" s="418" t="str">
        <f t="shared" si="152"/>
        <v>E3650 DST O/H Conductor/Devices</v>
      </c>
      <c r="X455" s="418" t="str">
        <f t="shared" si="141"/>
        <v>Programmatic</v>
      </c>
      <c r="Y455" s="418" t="str">
        <f t="shared" si="153"/>
        <v>101-E365</v>
      </c>
      <c r="Z455" s="418">
        <f t="shared" si="154"/>
        <v>0</v>
      </c>
      <c r="AA455" s="418">
        <f t="shared" si="155"/>
        <v>0</v>
      </c>
      <c r="AB455" s="418">
        <f t="shared" si="156"/>
        <v>0</v>
      </c>
      <c r="AC455" s="418">
        <f t="shared" si="157"/>
        <v>0</v>
      </c>
      <c r="AD455" s="418">
        <f t="shared" si="158"/>
        <v>0</v>
      </c>
      <c r="AE455" s="413">
        <f t="shared" si="159"/>
        <v>0</v>
      </c>
    </row>
    <row r="456" spans="1:31" x14ac:dyDescent="0.3">
      <c r="A456" s="415" t="s">
        <v>1602</v>
      </c>
      <c r="B456" s="418" t="s">
        <v>1719</v>
      </c>
      <c r="C456" s="418" t="s">
        <v>1168</v>
      </c>
      <c r="D456" s="418" t="str">
        <f t="shared" si="142"/>
        <v>101-GRNG</v>
      </c>
      <c r="E456" s="418">
        <v>0</v>
      </c>
      <c r="F456" s="418">
        <v>0</v>
      </c>
      <c r="G456" s="418">
        <v>0</v>
      </c>
      <c r="H456" s="418">
        <v>0</v>
      </c>
      <c r="I456" s="418">
        <v>0</v>
      </c>
      <c r="J456" s="413">
        <v>0</v>
      </c>
      <c r="L456" s="418" t="str">
        <f t="shared" si="143"/>
        <v>RNG</v>
      </c>
      <c r="M456" s="418" t="str">
        <f t="shared" si="144"/>
        <v>GRNG New RNG Gas Assets</v>
      </c>
      <c r="N456" s="418" t="str">
        <f t="shared" si="140"/>
        <v>Programmatic</v>
      </c>
      <c r="O456" s="418" t="str">
        <f t="shared" si="145"/>
        <v>101-GRNG</v>
      </c>
      <c r="P456" s="418">
        <f t="shared" si="146"/>
        <v>0</v>
      </c>
      <c r="Q456" s="418">
        <f t="shared" si="147"/>
        <v>0</v>
      </c>
      <c r="R456" s="418">
        <f t="shared" si="148"/>
        <v>0</v>
      </c>
      <c r="S456" s="418">
        <f t="shared" si="149"/>
        <v>0</v>
      </c>
      <c r="T456" s="418">
        <f t="shared" si="150"/>
        <v>0</v>
      </c>
      <c r="V456" s="418" t="str">
        <f t="shared" si="151"/>
        <v>RNG</v>
      </c>
      <c r="W456" s="418" t="str">
        <f t="shared" si="152"/>
        <v>GRNG New RNG Gas Assets</v>
      </c>
      <c r="X456" s="418" t="str">
        <f t="shared" si="141"/>
        <v>Programmatic</v>
      </c>
      <c r="Y456" s="418" t="str">
        <f t="shared" si="153"/>
        <v>101-GRNG</v>
      </c>
      <c r="Z456" s="418">
        <f t="shared" si="154"/>
        <v>0</v>
      </c>
      <c r="AA456" s="418">
        <f t="shared" si="155"/>
        <v>0</v>
      </c>
      <c r="AB456" s="418">
        <f t="shared" si="156"/>
        <v>0</v>
      </c>
      <c r="AC456" s="418">
        <f t="shared" si="157"/>
        <v>0</v>
      </c>
      <c r="AD456" s="418">
        <f t="shared" si="158"/>
        <v>0</v>
      </c>
      <c r="AE456" s="413">
        <f t="shared" si="159"/>
        <v>0</v>
      </c>
    </row>
    <row r="457" spans="1:31" x14ac:dyDescent="0.3">
      <c r="A457" s="415" t="s">
        <v>1601</v>
      </c>
      <c r="B457" s="418" t="s">
        <v>1718</v>
      </c>
      <c r="C457" s="418" t="s">
        <v>1181</v>
      </c>
      <c r="D457" s="418" t="str">
        <f t="shared" si="142"/>
        <v>101-E344</v>
      </c>
      <c r="E457" s="418">
        <v>0</v>
      </c>
      <c r="F457" s="418">
        <v>0</v>
      </c>
      <c r="G457" s="418">
        <v>1690000.02</v>
      </c>
      <c r="H457" s="418">
        <v>5420882.2800000003</v>
      </c>
      <c r="I457" s="418">
        <v>0</v>
      </c>
      <c r="J457" s="413">
        <v>0</v>
      </c>
      <c r="L457" s="418" t="str">
        <f t="shared" si="143"/>
        <v>Rooftop Solar</v>
      </c>
      <c r="M457" s="418" t="str">
        <f t="shared" si="144"/>
        <v>E34402 PRD Gen, Com Solar</v>
      </c>
      <c r="N457" s="418" t="str">
        <f t="shared" si="140"/>
        <v>Specific</v>
      </c>
      <c r="O457" s="418" t="str">
        <f t="shared" si="145"/>
        <v>101-E344</v>
      </c>
      <c r="P457" s="418">
        <f t="shared" si="146"/>
        <v>0</v>
      </c>
      <c r="Q457" s="418">
        <f t="shared" si="147"/>
        <v>0</v>
      </c>
      <c r="R457" s="418">
        <f t="shared" si="148"/>
        <v>1690000.02</v>
      </c>
      <c r="S457" s="418">
        <f t="shared" si="149"/>
        <v>5420882.2800000003</v>
      </c>
      <c r="T457" s="418">
        <f t="shared" si="150"/>
        <v>0</v>
      </c>
      <c r="V457" s="418" t="str">
        <f t="shared" si="151"/>
        <v>Rooftop Solar</v>
      </c>
      <c r="W457" s="418" t="str">
        <f t="shared" si="152"/>
        <v>E34402 PRD Gen, Com Solar</v>
      </c>
      <c r="X457" s="418" t="str">
        <f t="shared" si="141"/>
        <v>Specific</v>
      </c>
      <c r="Y457" s="418" t="str">
        <f t="shared" si="153"/>
        <v>101-E344</v>
      </c>
      <c r="Z457" s="418">
        <f t="shared" si="154"/>
        <v>0</v>
      </c>
      <c r="AA457" s="418">
        <f t="shared" si="155"/>
        <v>0</v>
      </c>
      <c r="AB457" s="418">
        <f t="shared" si="156"/>
        <v>0</v>
      </c>
      <c r="AC457" s="418">
        <f t="shared" si="157"/>
        <v>0</v>
      </c>
      <c r="AD457" s="418">
        <f t="shared" si="158"/>
        <v>0</v>
      </c>
      <c r="AE457" s="413">
        <f t="shared" si="159"/>
        <v>0</v>
      </c>
    </row>
    <row r="458" spans="1:31" x14ac:dyDescent="0.3">
      <c r="A458" s="415" t="s">
        <v>28</v>
      </c>
      <c r="B458" s="418" t="s">
        <v>1715</v>
      </c>
      <c r="C458" s="418" t="s">
        <v>1181</v>
      </c>
      <c r="D458" s="418" t="str">
        <f t="shared" si="142"/>
        <v>101-E353</v>
      </c>
      <c r="E458" s="418">
        <v>0</v>
      </c>
      <c r="F458" s="418">
        <v>11494958.390000001</v>
      </c>
      <c r="G458" s="418">
        <v>13756770.23</v>
      </c>
      <c r="H458" s="418">
        <v>16018582.07</v>
      </c>
      <c r="I458" s="418">
        <v>0</v>
      </c>
      <c r="J458" s="413">
        <v>0</v>
      </c>
      <c r="L458" s="418" t="str">
        <f t="shared" si="143"/>
        <v>Sammamish Juanita 115Kv Tline</v>
      </c>
      <c r="M458" s="418" t="str">
        <f t="shared" si="144"/>
        <v>E3536 TSM Substation Equipment</v>
      </c>
      <c r="N458" s="418" t="str">
        <f t="shared" si="140"/>
        <v>Specific</v>
      </c>
      <c r="O458" s="418" t="str">
        <f t="shared" si="145"/>
        <v>101-E353</v>
      </c>
      <c r="P458" s="418">
        <f t="shared" si="146"/>
        <v>0</v>
      </c>
      <c r="Q458" s="418">
        <f t="shared" si="147"/>
        <v>11494958.390000001</v>
      </c>
      <c r="R458" s="418">
        <f t="shared" si="148"/>
        <v>13756770.23</v>
      </c>
      <c r="S458" s="418">
        <f t="shared" si="149"/>
        <v>16018582.07</v>
      </c>
      <c r="T458" s="418">
        <f t="shared" si="150"/>
        <v>0</v>
      </c>
      <c r="V458" s="418" t="str">
        <f t="shared" si="151"/>
        <v>Sammamish Juanita 115Kv Tline</v>
      </c>
      <c r="W458" s="418" t="str">
        <f t="shared" si="152"/>
        <v>E3536 TSM Substation Equipment</v>
      </c>
      <c r="X458" s="418" t="str">
        <f t="shared" si="141"/>
        <v>Specific</v>
      </c>
      <c r="Y458" s="418" t="str">
        <f t="shared" si="153"/>
        <v>101-E353</v>
      </c>
      <c r="Z458" s="418">
        <f t="shared" si="154"/>
        <v>0</v>
      </c>
      <c r="AA458" s="418">
        <f t="shared" si="155"/>
        <v>0</v>
      </c>
      <c r="AB458" s="418">
        <f t="shared" si="156"/>
        <v>0</v>
      </c>
      <c r="AC458" s="418">
        <f t="shared" si="157"/>
        <v>0</v>
      </c>
      <c r="AD458" s="418">
        <f t="shared" si="158"/>
        <v>0</v>
      </c>
      <c r="AE458" s="413">
        <f t="shared" si="159"/>
        <v>0</v>
      </c>
    </row>
    <row r="459" spans="1:31" x14ac:dyDescent="0.3">
      <c r="A459" s="415" t="s">
        <v>28</v>
      </c>
      <c r="B459" s="418" t="s">
        <v>1717</v>
      </c>
      <c r="C459" s="418" t="s">
        <v>1181</v>
      </c>
      <c r="D459" s="418" t="str">
        <f t="shared" si="142"/>
        <v>101-E355</v>
      </c>
      <c r="E459" s="418">
        <v>0</v>
      </c>
      <c r="F459" s="418">
        <v>11494958.390000001</v>
      </c>
      <c r="G459" s="418">
        <v>13756770.23</v>
      </c>
      <c r="H459" s="418">
        <v>16018582.07</v>
      </c>
      <c r="I459" s="418">
        <v>0</v>
      </c>
      <c r="J459" s="413">
        <v>0</v>
      </c>
      <c r="L459" s="418" t="str">
        <f t="shared" si="143"/>
        <v>Sammamish Juanita 115Kv Tline</v>
      </c>
      <c r="M459" s="418" t="str">
        <f t="shared" si="144"/>
        <v>E3556 TSM Poles</v>
      </c>
      <c r="N459" s="418" t="str">
        <f t="shared" si="140"/>
        <v>Specific</v>
      </c>
      <c r="O459" s="418" t="str">
        <f t="shared" si="145"/>
        <v>101-E355</v>
      </c>
      <c r="P459" s="418">
        <f t="shared" si="146"/>
        <v>0</v>
      </c>
      <c r="Q459" s="418">
        <f t="shared" si="147"/>
        <v>11494958.390000001</v>
      </c>
      <c r="R459" s="418">
        <f t="shared" si="148"/>
        <v>13756770.23</v>
      </c>
      <c r="S459" s="418">
        <f t="shared" si="149"/>
        <v>16018582.07</v>
      </c>
      <c r="T459" s="418">
        <f t="shared" si="150"/>
        <v>0</v>
      </c>
      <c r="V459" s="418" t="str">
        <f t="shared" si="151"/>
        <v>Sammamish Juanita 115Kv Tline</v>
      </c>
      <c r="W459" s="418" t="str">
        <f t="shared" si="152"/>
        <v>E3556 TSM Poles</v>
      </c>
      <c r="X459" s="418" t="str">
        <f t="shared" si="141"/>
        <v>Specific</v>
      </c>
      <c r="Y459" s="418" t="str">
        <f t="shared" si="153"/>
        <v>101-E355</v>
      </c>
      <c r="Z459" s="418">
        <f t="shared" si="154"/>
        <v>0</v>
      </c>
      <c r="AA459" s="418">
        <f t="shared" si="155"/>
        <v>0</v>
      </c>
      <c r="AB459" s="418">
        <f t="shared" si="156"/>
        <v>0</v>
      </c>
      <c r="AC459" s="418">
        <f t="shared" si="157"/>
        <v>0</v>
      </c>
      <c r="AD459" s="418">
        <f t="shared" si="158"/>
        <v>0</v>
      </c>
      <c r="AE459" s="413">
        <f t="shared" si="159"/>
        <v>0</v>
      </c>
    </row>
    <row r="460" spans="1:31" x14ac:dyDescent="0.3">
      <c r="A460" s="415" t="s">
        <v>870</v>
      </c>
      <c r="B460" s="418" t="s">
        <v>1716</v>
      </c>
      <c r="C460" s="418" t="s">
        <v>1181</v>
      </c>
      <c r="D460" s="418" t="str">
        <f t="shared" si="142"/>
        <v>101-C303</v>
      </c>
      <c r="E460" s="418">
        <v>0</v>
      </c>
      <c r="F460" s="418">
        <v>0</v>
      </c>
      <c r="G460" s="418">
        <v>0</v>
      </c>
      <c r="H460" s="418">
        <v>5015395.03</v>
      </c>
      <c r="I460" s="418">
        <v>0</v>
      </c>
      <c r="J460" s="413">
        <v>0</v>
      </c>
      <c r="L460" s="418" t="str">
        <f t="shared" si="143"/>
        <v>SAP S/4 Hana</v>
      </c>
      <c r="M460" s="418" t="str">
        <f t="shared" si="144"/>
        <v>C303.10 INT Misc Intangible Plant</v>
      </c>
      <c r="N460" s="418" t="str">
        <f t="shared" si="140"/>
        <v>Specific</v>
      </c>
      <c r="O460" s="418" t="str">
        <f t="shared" si="145"/>
        <v>101-C303</v>
      </c>
      <c r="P460" s="418">
        <f t="shared" si="146"/>
        <v>0</v>
      </c>
      <c r="Q460" s="418">
        <f t="shared" si="147"/>
        <v>0</v>
      </c>
      <c r="R460" s="418">
        <f t="shared" si="148"/>
        <v>0</v>
      </c>
      <c r="S460" s="418">
        <f t="shared" si="149"/>
        <v>3307151.4827820002</v>
      </c>
      <c r="T460" s="418">
        <f t="shared" si="150"/>
        <v>0</v>
      </c>
      <c r="V460" s="418" t="str">
        <f t="shared" si="151"/>
        <v>SAP S/4 Hana</v>
      </c>
      <c r="W460" s="418" t="str">
        <f t="shared" si="152"/>
        <v>C303.10 INT Misc Intangible Plant</v>
      </c>
      <c r="X460" s="418" t="str">
        <f t="shared" si="141"/>
        <v>Specific</v>
      </c>
      <c r="Y460" s="418" t="str">
        <f t="shared" si="153"/>
        <v>101-C303</v>
      </c>
      <c r="Z460" s="418">
        <f t="shared" si="154"/>
        <v>0</v>
      </c>
      <c r="AA460" s="418">
        <f t="shared" si="155"/>
        <v>0</v>
      </c>
      <c r="AB460" s="418">
        <f t="shared" si="156"/>
        <v>0</v>
      </c>
      <c r="AC460" s="418">
        <f t="shared" si="157"/>
        <v>1708243.5472180001</v>
      </c>
      <c r="AD460" s="418">
        <f t="shared" si="158"/>
        <v>0</v>
      </c>
      <c r="AE460" s="413">
        <f t="shared" si="159"/>
        <v>0</v>
      </c>
    </row>
    <row r="461" spans="1:31" x14ac:dyDescent="0.3">
      <c r="A461" s="418" t="s">
        <v>29</v>
      </c>
      <c r="B461" s="418" t="s">
        <v>1715</v>
      </c>
      <c r="C461" s="418" t="s">
        <v>1181</v>
      </c>
      <c r="D461" s="418" t="str">
        <f t="shared" si="142"/>
        <v>101-E353</v>
      </c>
      <c r="E461" s="418">
        <v>0</v>
      </c>
      <c r="F461" s="418">
        <v>15952966.93</v>
      </c>
      <c r="G461" s="418">
        <v>21039500.23</v>
      </c>
      <c r="H461" s="418">
        <v>26126033.530000001</v>
      </c>
      <c r="I461" s="418">
        <v>0</v>
      </c>
      <c r="J461" s="413">
        <v>0</v>
      </c>
      <c r="L461" s="418" t="str">
        <f t="shared" si="143"/>
        <v>Thurston Transmission Capacity</v>
      </c>
      <c r="M461" s="418" t="str">
        <f t="shared" si="144"/>
        <v>E3536 TSM Substation Equipment</v>
      </c>
      <c r="N461" s="418" t="str">
        <f t="shared" si="140"/>
        <v>Specific</v>
      </c>
      <c r="O461" s="418" t="str">
        <f t="shared" si="145"/>
        <v>101-E353</v>
      </c>
      <c r="P461" s="418">
        <f t="shared" si="146"/>
        <v>0</v>
      </c>
      <c r="Q461" s="418">
        <f t="shared" si="147"/>
        <v>15952966.93</v>
      </c>
      <c r="R461" s="418">
        <f t="shared" si="148"/>
        <v>21039500.23</v>
      </c>
      <c r="S461" s="418">
        <f t="shared" si="149"/>
        <v>26126033.530000001</v>
      </c>
      <c r="T461" s="418">
        <f t="shared" si="150"/>
        <v>0</v>
      </c>
      <c r="V461" s="418" t="str">
        <f t="shared" si="151"/>
        <v>Thurston Transmission Capacity</v>
      </c>
      <c r="W461" s="418" t="str">
        <f t="shared" si="152"/>
        <v>E3536 TSM Substation Equipment</v>
      </c>
      <c r="X461" s="418" t="str">
        <f t="shared" si="141"/>
        <v>Specific</v>
      </c>
      <c r="Y461" s="418" t="str">
        <f t="shared" si="153"/>
        <v>101-E353</v>
      </c>
      <c r="Z461" s="418">
        <f t="shared" si="154"/>
        <v>0</v>
      </c>
      <c r="AA461" s="418">
        <f t="shared" si="155"/>
        <v>0</v>
      </c>
      <c r="AB461" s="418">
        <f t="shared" si="156"/>
        <v>0</v>
      </c>
      <c r="AC461" s="418">
        <f t="shared" si="157"/>
        <v>0</v>
      </c>
      <c r="AD461" s="418">
        <f t="shared" si="158"/>
        <v>0</v>
      </c>
      <c r="AE461" s="413">
        <f t="shared" si="159"/>
        <v>0</v>
      </c>
    </row>
    <row r="462" spans="1:31" x14ac:dyDescent="0.3">
      <c r="A462" s="418" t="s">
        <v>30</v>
      </c>
      <c r="B462" s="418" t="s">
        <v>1714</v>
      </c>
      <c r="C462" s="418" t="s">
        <v>1181</v>
      </c>
      <c r="D462" s="418" t="str">
        <f t="shared" si="142"/>
        <v>101-C303</v>
      </c>
      <c r="E462" s="418">
        <v>0</v>
      </c>
      <c r="F462" s="418">
        <v>0</v>
      </c>
      <c r="G462" s="418">
        <v>0</v>
      </c>
      <c r="H462" s="418">
        <v>246679.2</v>
      </c>
      <c r="I462" s="418">
        <v>0</v>
      </c>
      <c r="J462" s="413">
        <v>0</v>
      </c>
      <c r="L462" s="418" t="str">
        <f t="shared" si="143"/>
        <v>Transport Network Modernization</v>
      </c>
      <c r="M462" s="418" t="str">
        <f t="shared" si="144"/>
        <v>C303.3 INT Misc Intangible Plant</v>
      </c>
      <c r="N462" s="418" t="str">
        <f t="shared" si="140"/>
        <v>Specific</v>
      </c>
      <c r="O462" s="418" t="str">
        <f t="shared" si="145"/>
        <v>101-C303</v>
      </c>
      <c r="P462" s="418">
        <f t="shared" si="146"/>
        <v>0</v>
      </c>
      <c r="Q462" s="418">
        <f t="shared" si="147"/>
        <v>0</v>
      </c>
      <c r="R462" s="418">
        <f t="shared" si="148"/>
        <v>0</v>
      </c>
      <c r="S462" s="418">
        <f t="shared" si="149"/>
        <v>162660.26448000001</v>
      </c>
      <c r="T462" s="418">
        <f t="shared" si="150"/>
        <v>0</v>
      </c>
      <c r="V462" s="418" t="str">
        <f t="shared" si="151"/>
        <v>Transport Network Modernization</v>
      </c>
      <c r="W462" s="418" t="str">
        <f t="shared" si="152"/>
        <v>C303.3 INT Misc Intangible Plant</v>
      </c>
      <c r="X462" s="418" t="str">
        <f t="shared" si="141"/>
        <v>Specific</v>
      </c>
      <c r="Y462" s="418" t="str">
        <f t="shared" si="153"/>
        <v>101-C303</v>
      </c>
      <c r="Z462" s="418">
        <f t="shared" si="154"/>
        <v>0</v>
      </c>
      <c r="AA462" s="418">
        <f t="shared" si="155"/>
        <v>0</v>
      </c>
      <c r="AB462" s="418">
        <f t="shared" si="156"/>
        <v>0</v>
      </c>
      <c r="AC462" s="418">
        <f t="shared" si="157"/>
        <v>84018.935520000014</v>
      </c>
      <c r="AD462" s="418">
        <f t="shared" si="158"/>
        <v>0</v>
      </c>
      <c r="AE462" s="413">
        <f t="shared" si="159"/>
        <v>0</v>
      </c>
    </row>
    <row r="463" spans="1:31" x14ac:dyDescent="0.3">
      <c r="A463" s="418" t="s">
        <v>30</v>
      </c>
      <c r="B463" s="418" t="s">
        <v>1713</v>
      </c>
      <c r="C463" s="418" t="s">
        <v>1181</v>
      </c>
      <c r="D463" s="418" t="str">
        <f t="shared" si="142"/>
        <v>101-C391</v>
      </c>
      <c r="E463" s="418">
        <v>0</v>
      </c>
      <c r="F463" s="418">
        <v>0</v>
      </c>
      <c r="G463" s="418">
        <v>0</v>
      </c>
      <c r="H463" s="418">
        <v>31257.96</v>
      </c>
      <c r="I463" s="418">
        <v>0</v>
      </c>
      <c r="J463" s="413">
        <v>0</v>
      </c>
      <c r="L463" s="418" t="str">
        <f t="shared" si="143"/>
        <v>Transport Network Modernization</v>
      </c>
      <c r="M463" s="418" t="str">
        <f t="shared" si="144"/>
        <v>C3912 CMN Computer Eq, new</v>
      </c>
      <c r="N463" s="418" t="str">
        <f t="shared" si="140"/>
        <v>Specific</v>
      </c>
      <c r="O463" s="418" t="str">
        <f t="shared" si="145"/>
        <v>101-C391</v>
      </c>
      <c r="P463" s="418">
        <f t="shared" si="146"/>
        <v>0</v>
      </c>
      <c r="Q463" s="418">
        <f t="shared" si="147"/>
        <v>0</v>
      </c>
      <c r="R463" s="418">
        <f t="shared" si="148"/>
        <v>0</v>
      </c>
      <c r="S463" s="418">
        <f t="shared" si="149"/>
        <v>20611.498823999998</v>
      </c>
      <c r="T463" s="418">
        <f t="shared" si="150"/>
        <v>0</v>
      </c>
      <c r="V463" s="418" t="str">
        <f t="shared" si="151"/>
        <v>Transport Network Modernization</v>
      </c>
      <c r="W463" s="418" t="str">
        <f t="shared" si="152"/>
        <v>C3912 CMN Computer Eq, new</v>
      </c>
      <c r="X463" s="418" t="str">
        <f t="shared" si="141"/>
        <v>Specific</v>
      </c>
      <c r="Y463" s="418" t="str">
        <f t="shared" si="153"/>
        <v>101-C391</v>
      </c>
      <c r="Z463" s="418">
        <f t="shared" si="154"/>
        <v>0</v>
      </c>
      <c r="AA463" s="418">
        <f t="shared" si="155"/>
        <v>0</v>
      </c>
      <c r="AB463" s="418">
        <f t="shared" si="156"/>
        <v>0</v>
      </c>
      <c r="AC463" s="418">
        <f t="shared" si="157"/>
        <v>10646.461176000001</v>
      </c>
      <c r="AD463" s="418">
        <f t="shared" si="158"/>
        <v>0</v>
      </c>
      <c r="AE463" s="413">
        <f t="shared" si="159"/>
        <v>0</v>
      </c>
    </row>
    <row r="464" spans="1:31" x14ac:dyDescent="0.3">
      <c r="A464" s="418" t="s">
        <v>30</v>
      </c>
      <c r="B464" s="418" t="s">
        <v>1712</v>
      </c>
      <c r="C464" s="418" t="s">
        <v>1181</v>
      </c>
      <c r="D464" s="418" t="str">
        <f t="shared" si="142"/>
        <v>101-C397</v>
      </c>
      <c r="E464" s="418">
        <v>0</v>
      </c>
      <c r="F464" s="418">
        <v>0</v>
      </c>
      <c r="G464" s="418">
        <v>0</v>
      </c>
      <c r="H464" s="418">
        <v>94270.03</v>
      </c>
      <c r="I464" s="418">
        <v>0</v>
      </c>
      <c r="J464" s="413">
        <v>0</v>
      </c>
      <c r="L464" s="418" t="str">
        <f t="shared" si="143"/>
        <v>Transport Network Modernization</v>
      </c>
      <c r="M464" s="418" t="str">
        <f t="shared" si="144"/>
        <v>C3970 CMN Comm Equip, new</v>
      </c>
      <c r="N464" s="418" t="str">
        <f t="shared" si="140"/>
        <v>Specific</v>
      </c>
      <c r="O464" s="418" t="str">
        <f t="shared" si="145"/>
        <v>101-C397</v>
      </c>
      <c r="P464" s="418">
        <f t="shared" si="146"/>
        <v>0</v>
      </c>
      <c r="Q464" s="418">
        <f t="shared" si="147"/>
        <v>0</v>
      </c>
      <c r="R464" s="418">
        <f t="shared" si="148"/>
        <v>0</v>
      </c>
      <c r="S464" s="418">
        <f t="shared" si="149"/>
        <v>62161.657781999995</v>
      </c>
      <c r="T464" s="418">
        <f t="shared" si="150"/>
        <v>0</v>
      </c>
      <c r="V464" s="418" t="str">
        <f t="shared" si="151"/>
        <v>Transport Network Modernization</v>
      </c>
      <c r="W464" s="418" t="str">
        <f t="shared" si="152"/>
        <v>C3970 CMN Comm Equip, new</v>
      </c>
      <c r="X464" s="418" t="str">
        <f t="shared" si="141"/>
        <v>Specific</v>
      </c>
      <c r="Y464" s="418" t="str">
        <f t="shared" si="153"/>
        <v>101-C397</v>
      </c>
      <c r="Z464" s="418">
        <f t="shared" si="154"/>
        <v>0</v>
      </c>
      <c r="AA464" s="418">
        <f t="shared" si="155"/>
        <v>0</v>
      </c>
      <c r="AB464" s="418">
        <f t="shared" si="156"/>
        <v>0</v>
      </c>
      <c r="AC464" s="418">
        <f t="shared" si="157"/>
        <v>32108.372218</v>
      </c>
      <c r="AD464" s="418">
        <f t="shared" si="158"/>
        <v>0</v>
      </c>
      <c r="AE464" s="413">
        <f t="shared" si="159"/>
        <v>0</v>
      </c>
    </row>
    <row r="465" spans="1:31" x14ac:dyDescent="0.3">
      <c r="A465" s="418" t="s">
        <v>1600</v>
      </c>
      <c r="B465" s="418" t="s">
        <v>1711</v>
      </c>
      <c r="C465" s="418" t="s">
        <v>1168</v>
      </c>
      <c r="D465" s="418" t="str">
        <f t="shared" si="142"/>
        <v>101-E364</v>
      </c>
      <c r="E465" s="418">
        <v>0</v>
      </c>
      <c r="F465" s="418">
        <v>0</v>
      </c>
      <c r="G465" s="418">
        <v>1129380.3600000001</v>
      </c>
      <c r="H465" s="418">
        <v>7541061.2999999998</v>
      </c>
      <c r="I465" s="418">
        <v>0</v>
      </c>
      <c r="J465" s="413">
        <v>0</v>
      </c>
      <c r="L465" s="418" t="str">
        <f t="shared" si="143"/>
        <v>UG Feeders</v>
      </c>
      <c r="M465" s="418" t="str">
        <f t="shared" si="144"/>
        <v>E3640 DST Poles/Towers/Fixtures</v>
      </c>
      <c r="N465" s="418" t="str">
        <f t="shared" si="140"/>
        <v>Programmatic</v>
      </c>
      <c r="O465" s="418" t="str">
        <f t="shared" si="145"/>
        <v>101-E364</v>
      </c>
      <c r="P465" s="418">
        <f t="shared" si="146"/>
        <v>0</v>
      </c>
      <c r="Q465" s="418">
        <f t="shared" si="147"/>
        <v>0</v>
      </c>
      <c r="R465" s="418">
        <f t="shared" si="148"/>
        <v>1129380.3600000001</v>
      </c>
      <c r="S465" s="418">
        <f t="shared" si="149"/>
        <v>7541061.2999999998</v>
      </c>
      <c r="T465" s="418">
        <f t="shared" si="150"/>
        <v>0</v>
      </c>
      <c r="V465" s="418" t="str">
        <f t="shared" si="151"/>
        <v>UG Feeders</v>
      </c>
      <c r="W465" s="418" t="str">
        <f t="shared" si="152"/>
        <v>E3640 DST Poles/Towers/Fixtures</v>
      </c>
      <c r="X465" s="418" t="str">
        <f t="shared" si="141"/>
        <v>Programmatic</v>
      </c>
      <c r="Y465" s="418" t="str">
        <f t="shared" si="153"/>
        <v>101-E364</v>
      </c>
      <c r="Z465" s="418">
        <f t="shared" si="154"/>
        <v>0</v>
      </c>
      <c r="AA465" s="418">
        <f t="shared" si="155"/>
        <v>0</v>
      </c>
      <c r="AB465" s="418">
        <f t="shared" si="156"/>
        <v>0</v>
      </c>
      <c r="AC465" s="418">
        <f t="shared" si="157"/>
        <v>0</v>
      </c>
      <c r="AD465" s="418">
        <f t="shared" si="158"/>
        <v>0</v>
      </c>
      <c r="AE465" s="413">
        <f t="shared" si="159"/>
        <v>0</v>
      </c>
    </row>
    <row r="466" spans="1:31" x14ac:dyDescent="0.3">
      <c r="A466" s="418" t="s">
        <v>1600</v>
      </c>
      <c r="B466" s="418" t="s">
        <v>1710</v>
      </c>
      <c r="C466" s="418" t="s">
        <v>1168</v>
      </c>
      <c r="D466" s="418" t="str">
        <f t="shared" si="142"/>
        <v>101-E366</v>
      </c>
      <c r="E466" s="418">
        <v>0</v>
      </c>
      <c r="F466" s="418">
        <v>0</v>
      </c>
      <c r="G466" s="418">
        <v>1694070.54</v>
      </c>
      <c r="H466" s="418">
        <v>11311591.98</v>
      </c>
      <c r="I466" s="418">
        <v>0</v>
      </c>
      <c r="J466" s="413">
        <v>0</v>
      </c>
      <c r="L466" s="418" t="str">
        <f t="shared" si="143"/>
        <v>UG Feeders</v>
      </c>
      <c r="M466" s="418" t="str">
        <f t="shared" si="144"/>
        <v>E3660 DST U/G Conduit</v>
      </c>
      <c r="N466" s="418" t="str">
        <f t="shared" si="140"/>
        <v>Programmatic</v>
      </c>
      <c r="O466" s="418" t="str">
        <f t="shared" si="145"/>
        <v>101-E366</v>
      </c>
      <c r="P466" s="418">
        <f t="shared" si="146"/>
        <v>0</v>
      </c>
      <c r="Q466" s="418">
        <f t="shared" si="147"/>
        <v>0</v>
      </c>
      <c r="R466" s="418">
        <f t="shared" si="148"/>
        <v>1694070.54</v>
      </c>
      <c r="S466" s="418">
        <f t="shared" si="149"/>
        <v>11311591.98</v>
      </c>
      <c r="T466" s="418">
        <f t="shared" si="150"/>
        <v>0</v>
      </c>
      <c r="V466" s="418" t="str">
        <f t="shared" si="151"/>
        <v>UG Feeders</v>
      </c>
      <c r="W466" s="418" t="str">
        <f t="shared" si="152"/>
        <v>E3660 DST U/G Conduit</v>
      </c>
      <c r="X466" s="418" t="str">
        <f t="shared" si="141"/>
        <v>Programmatic</v>
      </c>
      <c r="Y466" s="418" t="str">
        <f t="shared" si="153"/>
        <v>101-E366</v>
      </c>
      <c r="Z466" s="418">
        <f t="shared" si="154"/>
        <v>0</v>
      </c>
      <c r="AA466" s="418">
        <f t="shared" si="155"/>
        <v>0</v>
      </c>
      <c r="AB466" s="418">
        <f t="shared" si="156"/>
        <v>0</v>
      </c>
      <c r="AC466" s="418">
        <f t="shared" si="157"/>
        <v>0</v>
      </c>
      <c r="AD466" s="418">
        <f t="shared" si="158"/>
        <v>0</v>
      </c>
      <c r="AE466" s="413">
        <f t="shared" si="159"/>
        <v>0</v>
      </c>
    </row>
    <row r="467" spans="1:31" x14ac:dyDescent="0.3">
      <c r="A467" s="418" t="s">
        <v>1600</v>
      </c>
      <c r="B467" s="418" t="s">
        <v>1709</v>
      </c>
      <c r="C467" s="418" t="s">
        <v>1168</v>
      </c>
      <c r="D467" s="418" t="str">
        <f t="shared" si="142"/>
        <v>101-E367</v>
      </c>
      <c r="E467" s="418">
        <v>0</v>
      </c>
      <c r="F467" s="418">
        <v>0</v>
      </c>
      <c r="G467" s="418">
        <v>498256.02</v>
      </c>
      <c r="H467" s="418">
        <v>3326938.8</v>
      </c>
      <c r="I467" s="418">
        <v>0</v>
      </c>
      <c r="J467" s="413">
        <v>0</v>
      </c>
      <c r="L467" s="418" t="str">
        <f t="shared" si="143"/>
        <v>UG Feeders</v>
      </c>
      <c r="M467" s="418" t="str">
        <f t="shared" si="144"/>
        <v>E3670 DST U/G Conductor/Devices</v>
      </c>
      <c r="N467" s="418" t="str">
        <f t="shared" si="140"/>
        <v>Programmatic</v>
      </c>
      <c r="O467" s="418" t="str">
        <f t="shared" si="145"/>
        <v>101-E367</v>
      </c>
      <c r="P467" s="418">
        <f t="shared" si="146"/>
        <v>0</v>
      </c>
      <c r="Q467" s="418">
        <f t="shared" si="147"/>
        <v>0</v>
      </c>
      <c r="R467" s="418">
        <f t="shared" si="148"/>
        <v>498256.02</v>
      </c>
      <c r="S467" s="418">
        <f t="shared" si="149"/>
        <v>3326938.8</v>
      </c>
      <c r="T467" s="418">
        <f t="shared" si="150"/>
        <v>0</v>
      </c>
      <c r="V467" s="418" t="str">
        <f t="shared" si="151"/>
        <v>UG Feeders</v>
      </c>
      <c r="W467" s="418" t="str">
        <f t="shared" si="152"/>
        <v>E3670 DST U/G Conductor/Devices</v>
      </c>
      <c r="X467" s="418" t="str">
        <f t="shared" si="141"/>
        <v>Programmatic</v>
      </c>
      <c r="Y467" s="418" t="str">
        <f t="shared" si="153"/>
        <v>101-E367</v>
      </c>
      <c r="Z467" s="418">
        <f t="shared" si="154"/>
        <v>0</v>
      </c>
      <c r="AA467" s="418">
        <f t="shared" si="155"/>
        <v>0</v>
      </c>
      <c r="AB467" s="418">
        <f t="shared" si="156"/>
        <v>0</v>
      </c>
      <c r="AC467" s="418">
        <f t="shared" si="157"/>
        <v>0</v>
      </c>
      <c r="AD467" s="418">
        <f t="shared" si="158"/>
        <v>0</v>
      </c>
      <c r="AE467" s="413">
        <f t="shared" si="159"/>
        <v>0</v>
      </c>
    </row>
    <row r="468" spans="1:31" x14ac:dyDescent="0.3">
      <c r="A468" s="418"/>
      <c r="B468" s="418"/>
      <c r="C468" s="418"/>
      <c r="D468" s="418" t="str">
        <f t="shared" si="142"/>
        <v>101-</v>
      </c>
      <c r="E468" s="418">
        <v>0</v>
      </c>
      <c r="F468" s="418">
        <v>0</v>
      </c>
      <c r="G468" s="418">
        <v>0</v>
      </c>
      <c r="H468" s="418">
        <v>0</v>
      </c>
      <c r="I468" s="418">
        <v>0</v>
      </c>
      <c r="J468" s="413">
        <v>0</v>
      </c>
      <c r="L468" s="418">
        <f t="shared" si="143"/>
        <v>0</v>
      </c>
      <c r="M468" s="418">
        <f t="shared" si="144"/>
        <v>0</v>
      </c>
      <c r="N468" s="418">
        <f t="shared" si="140"/>
        <v>0</v>
      </c>
      <c r="O468" s="418" t="str">
        <f t="shared" si="145"/>
        <v>101-</v>
      </c>
      <c r="P468" s="418">
        <f t="shared" si="146"/>
        <v>0</v>
      </c>
      <c r="Q468" s="418">
        <f t="shared" si="147"/>
        <v>0</v>
      </c>
      <c r="R468" s="418">
        <f t="shared" si="148"/>
        <v>0</v>
      </c>
      <c r="S468" s="418">
        <f t="shared" si="149"/>
        <v>0</v>
      </c>
      <c r="T468" s="418">
        <f t="shared" si="150"/>
        <v>0</v>
      </c>
      <c r="V468" s="418">
        <f t="shared" si="151"/>
        <v>0</v>
      </c>
      <c r="W468" s="418">
        <f t="shared" si="152"/>
        <v>0</v>
      </c>
      <c r="X468" s="418">
        <f t="shared" si="141"/>
        <v>0</v>
      </c>
      <c r="Y468" s="418" t="str">
        <f t="shared" si="153"/>
        <v>101-</v>
      </c>
      <c r="Z468" s="418">
        <f t="shared" si="154"/>
        <v>0</v>
      </c>
      <c r="AA468" s="418">
        <f t="shared" si="155"/>
        <v>0</v>
      </c>
      <c r="AB468" s="418">
        <f t="shared" si="156"/>
        <v>0</v>
      </c>
      <c r="AC468" s="418">
        <f t="shared" si="157"/>
        <v>0</v>
      </c>
      <c r="AD468" s="418">
        <f t="shared" si="158"/>
        <v>0</v>
      </c>
      <c r="AE468" s="413">
        <f t="shared" si="159"/>
        <v>0</v>
      </c>
    </row>
    <row r="469" spans="1:31" x14ac:dyDescent="0.3">
      <c r="A469" s="418"/>
      <c r="B469" s="418"/>
      <c r="C469" s="418"/>
      <c r="D469" s="418" t="str">
        <f t="shared" si="142"/>
        <v>101-</v>
      </c>
      <c r="E469" s="418">
        <v>0</v>
      </c>
      <c r="F469" s="418">
        <v>0</v>
      </c>
      <c r="G469" s="418">
        <v>0</v>
      </c>
      <c r="H469" s="418">
        <v>0</v>
      </c>
      <c r="I469" s="418">
        <v>0</v>
      </c>
      <c r="J469" s="413">
        <v>0</v>
      </c>
      <c r="L469" s="418">
        <f t="shared" si="143"/>
        <v>0</v>
      </c>
      <c r="M469" s="418">
        <f t="shared" si="144"/>
        <v>0</v>
      </c>
      <c r="N469" s="418">
        <f t="shared" si="140"/>
        <v>0</v>
      </c>
      <c r="O469" s="418" t="str">
        <f t="shared" si="145"/>
        <v>101-</v>
      </c>
      <c r="P469" s="418">
        <f t="shared" si="146"/>
        <v>0</v>
      </c>
      <c r="Q469" s="418">
        <f t="shared" si="147"/>
        <v>0</v>
      </c>
      <c r="R469" s="418">
        <f t="shared" si="148"/>
        <v>0</v>
      </c>
      <c r="S469" s="418">
        <f t="shared" si="149"/>
        <v>0</v>
      </c>
      <c r="T469" s="418">
        <f t="shared" si="150"/>
        <v>0</v>
      </c>
      <c r="V469" s="418">
        <f t="shared" si="151"/>
        <v>0</v>
      </c>
      <c r="W469" s="418">
        <f t="shared" si="152"/>
        <v>0</v>
      </c>
      <c r="X469" s="418">
        <f t="shared" si="141"/>
        <v>0</v>
      </c>
      <c r="Y469" s="418" t="str">
        <f t="shared" si="153"/>
        <v>101-</v>
      </c>
      <c r="Z469" s="418">
        <f t="shared" si="154"/>
        <v>0</v>
      </c>
      <c r="AA469" s="418">
        <f t="shared" si="155"/>
        <v>0</v>
      </c>
      <c r="AB469" s="418">
        <f t="shared" si="156"/>
        <v>0</v>
      </c>
      <c r="AC469" s="418">
        <f t="shared" si="157"/>
        <v>0</v>
      </c>
      <c r="AD469" s="418">
        <f t="shared" si="158"/>
        <v>0</v>
      </c>
      <c r="AE469" s="413">
        <f t="shared" si="159"/>
        <v>0</v>
      </c>
    </row>
    <row r="470" spans="1:31" x14ac:dyDescent="0.3">
      <c r="A470" s="418"/>
      <c r="B470" s="418"/>
      <c r="C470" s="418"/>
      <c r="D470" s="418" t="str">
        <f t="shared" si="142"/>
        <v>101-</v>
      </c>
      <c r="E470" s="418">
        <v>0</v>
      </c>
      <c r="F470" s="418">
        <v>0</v>
      </c>
      <c r="G470" s="418">
        <v>0</v>
      </c>
      <c r="H470" s="418">
        <v>0</v>
      </c>
      <c r="I470" s="418">
        <v>0</v>
      </c>
      <c r="J470" s="413">
        <v>0</v>
      </c>
      <c r="L470" s="418">
        <f t="shared" si="143"/>
        <v>0</v>
      </c>
      <c r="M470" s="418">
        <f t="shared" si="144"/>
        <v>0</v>
      </c>
      <c r="N470" s="418">
        <f t="shared" si="140"/>
        <v>0</v>
      </c>
      <c r="O470" s="418" t="str">
        <f t="shared" si="145"/>
        <v>101-</v>
      </c>
      <c r="P470" s="418">
        <f t="shared" si="146"/>
        <v>0</v>
      </c>
      <c r="Q470" s="418">
        <f t="shared" si="147"/>
        <v>0</v>
      </c>
      <c r="R470" s="418">
        <f t="shared" si="148"/>
        <v>0</v>
      </c>
      <c r="S470" s="418">
        <f t="shared" si="149"/>
        <v>0</v>
      </c>
      <c r="T470" s="418">
        <f t="shared" si="150"/>
        <v>0</v>
      </c>
      <c r="V470" s="418">
        <f t="shared" si="151"/>
        <v>0</v>
      </c>
      <c r="W470" s="418">
        <f t="shared" si="152"/>
        <v>0</v>
      </c>
      <c r="X470" s="418">
        <f t="shared" si="141"/>
        <v>0</v>
      </c>
      <c r="Y470" s="418" t="str">
        <f t="shared" si="153"/>
        <v>101-</v>
      </c>
      <c r="Z470" s="418">
        <f t="shared" si="154"/>
        <v>0</v>
      </c>
      <c r="AA470" s="418">
        <f t="shared" si="155"/>
        <v>0</v>
      </c>
      <c r="AB470" s="418">
        <f t="shared" si="156"/>
        <v>0</v>
      </c>
      <c r="AC470" s="418">
        <f t="shared" si="157"/>
        <v>0</v>
      </c>
      <c r="AD470" s="418">
        <f t="shared" si="158"/>
        <v>0</v>
      </c>
      <c r="AE470" s="413">
        <f t="shared" si="159"/>
        <v>0</v>
      </c>
    </row>
    <row r="471" spans="1:31" x14ac:dyDescent="0.3">
      <c r="A471" s="418"/>
      <c r="B471" s="418"/>
      <c r="C471" s="418"/>
      <c r="D471" s="418" t="str">
        <f t="shared" si="142"/>
        <v>101-</v>
      </c>
      <c r="E471" s="418">
        <v>0</v>
      </c>
      <c r="F471" s="418">
        <v>0</v>
      </c>
      <c r="G471" s="418">
        <v>0</v>
      </c>
      <c r="H471" s="418">
        <v>0</v>
      </c>
      <c r="I471" s="418">
        <v>0</v>
      </c>
      <c r="J471" s="413">
        <v>0</v>
      </c>
      <c r="L471" s="418">
        <f t="shared" si="143"/>
        <v>0</v>
      </c>
      <c r="M471" s="418">
        <f t="shared" si="144"/>
        <v>0</v>
      </c>
      <c r="N471" s="418">
        <f t="shared" si="140"/>
        <v>0</v>
      </c>
      <c r="O471" s="418" t="str">
        <f t="shared" si="145"/>
        <v>101-</v>
      </c>
      <c r="P471" s="418">
        <f t="shared" si="146"/>
        <v>0</v>
      </c>
      <c r="Q471" s="418">
        <f t="shared" si="147"/>
        <v>0</v>
      </c>
      <c r="R471" s="418">
        <f t="shared" si="148"/>
        <v>0</v>
      </c>
      <c r="S471" s="418">
        <f t="shared" si="149"/>
        <v>0</v>
      </c>
      <c r="T471" s="418">
        <f t="shared" si="150"/>
        <v>0</v>
      </c>
      <c r="V471" s="418">
        <f t="shared" si="151"/>
        <v>0</v>
      </c>
      <c r="W471" s="418">
        <f t="shared" si="152"/>
        <v>0</v>
      </c>
      <c r="X471" s="418">
        <f t="shared" si="141"/>
        <v>0</v>
      </c>
      <c r="Y471" s="418" t="str">
        <f t="shared" si="153"/>
        <v>101-</v>
      </c>
      <c r="Z471" s="418">
        <f t="shared" si="154"/>
        <v>0</v>
      </c>
      <c r="AA471" s="418">
        <f t="shared" si="155"/>
        <v>0</v>
      </c>
      <c r="AB471" s="418">
        <f t="shared" si="156"/>
        <v>0</v>
      </c>
      <c r="AC471" s="418">
        <f t="shared" si="157"/>
        <v>0</v>
      </c>
      <c r="AD471" s="418">
        <f t="shared" si="158"/>
        <v>0</v>
      </c>
      <c r="AE471" s="413">
        <f t="shared" si="159"/>
        <v>0</v>
      </c>
    </row>
    <row r="472" spans="1:31" x14ac:dyDescent="0.3">
      <c r="A472" s="418"/>
      <c r="B472" s="418"/>
      <c r="C472" s="418"/>
      <c r="D472" s="418" t="str">
        <f t="shared" si="142"/>
        <v>101-</v>
      </c>
      <c r="E472" s="418">
        <v>0</v>
      </c>
      <c r="F472" s="418">
        <v>0</v>
      </c>
      <c r="G472" s="418">
        <v>0</v>
      </c>
      <c r="H472" s="418">
        <v>0</v>
      </c>
      <c r="I472" s="418">
        <v>0</v>
      </c>
      <c r="J472" s="413">
        <v>0</v>
      </c>
      <c r="L472" s="418">
        <f t="shared" si="143"/>
        <v>0</v>
      </c>
      <c r="M472" s="418">
        <f t="shared" si="144"/>
        <v>0</v>
      </c>
      <c r="N472" s="418">
        <f t="shared" si="140"/>
        <v>0</v>
      </c>
      <c r="O472" s="418" t="str">
        <f t="shared" si="145"/>
        <v>101-</v>
      </c>
      <c r="P472" s="418">
        <f t="shared" si="146"/>
        <v>0</v>
      </c>
      <c r="Q472" s="418">
        <f t="shared" si="147"/>
        <v>0</v>
      </c>
      <c r="R472" s="418">
        <f t="shared" si="148"/>
        <v>0</v>
      </c>
      <c r="S472" s="418">
        <f t="shared" si="149"/>
        <v>0</v>
      </c>
      <c r="T472" s="418">
        <f t="shared" si="150"/>
        <v>0</v>
      </c>
      <c r="V472" s="418">
        <f t="shared" si="151"/>
        <v>0</v>
      </c>
      <c r="W472" s="418">
        <f t="shared" si="152"/>
        <v>0</v>
      </c>
      <c r="X472" s="418">
        <f t="shared" si="141"/>
        <v>0</v>
      </c>
      <c r="Y472" s="418" t="str">
        <f t="shared" si="153"/>
        <v>101-</v>
      </c>
      <c r="Z472" s="418">
        <f t="shared" si="154"/>
        <v>0</v>
      </c>
      <c r="AA472" s="418">
        <f t="shared" si="155"/>
        <v>0</v>
      </c>
      <c r="AB472" s="418">
        <f t="shared" si="156"/>
        <v>0</v>
      </c>
      <c r="AC472" s="418">
        <f t="shared" si="157"/>
        <v>0</v>
      </c>
      <c r="AD472" s="418">
        <f t="shared" si="158"/>
        <v>0</v>
      </c>
      <c r="AE472" s="413">
        <f t="shared" si="159"/>
        <v>0</v>
      </c>
    </row>
    <row r="473" spans="1:31" x14ac:dyDescent="0.3">
      <c r="A473" s="418"/>
      <c r="B473" s="418"/>
      <c r="C473" s="418"/>
      <c r="D473" s="418" t="str">
        <f t="shared" si="142"/>
        <v>101-</v>
      </c>
      <c r="E473" s="418">
        <v>0</v>
      </c>
      <c r="F473" s="418">
        <v>0</v>
      </c>
      <c r="G473" s="418">
        <v>0</v>
      </c>
      <c r="H473" s="418">
        <v>0</v>
      </c>
      <c r="I473" s="418">
        <v>0</v>
      </c>
      <c r="J473" s="413">
        <v>0</v>
      </c>
      <c r="L473" s="418">
        <f t="shared" si="143"/>
        <v>0</v>
      </c>
      <c r="M473" s="418">
        <f t="shared" si="144"/>
        <v>0</v>
      </c>
      <c r="N473" s="418">
        <f t="shared" si="140"/>
        <v>0</v>
      </c>
      <c r="O473" s="418" t="str">
        <f t="shared" si="145"/>
        <v>101-</v>
      </c>
      <c r="P473" s="418">
        <f t="shared" si="146"/>
        <v>0</v>
      </c>
      <c r="Q473" s="418">
        <f t="shared" si="147"/>
        <v>0</v>
      </c>
      <c r="R473" s="418">
        <f t="shared" si="148"/>
        <v>0</v>
      </c>
      <c r="S473" s="418">
        <f t="shared" si="149"/>
        <v>0</v>
      </c>
      <c r="T473" s="418">
        <f t="shared" si="150"/>
        <v>0</v>
      </c>
      <c r="V473" s="418">
        <f t="shared" si="151"/>
        <v>0</v>
      </c>
      <c r="W473" s="418">
        <f t="shared" si="152"/>
        <v>0</v>
      </c>
      <c r="X473" s="418">
        <f t="shared" si="141"/>
        <v>0</v>
      </c>
      <c r="Y473" s="418" t="str">
        <f t="shared" si="153"/>
        <v>101-</v>
      </c>
      <c r="Z473" s="418">
        <f t="shared" si="154"/>
        <v>0</v>
      </c>
      <c r="AA473" s="418">
        <f t="shared" si="155"/>
        <v>0</v>
      </c>
      <c r="AB473" s="418">
        <f t="shared" si="156"/>
        <v>0</v>
      </c>
      <c r="AC473" s="418">
        <f t="shared" si="157"/>
        <v>0</v>
      </c>
      <c r="AD473" s="418">
        <f t="shared" si="158"/>
        <v>0</v>
      </c>
      <c r="AE473" s="413">
        <f t="shared" si="159"/>
        <v>0</v>
      </c>
    </row>
    <row r="474" spans="1:31" x14ac:dyDescent="0.3">
      <c r="A474" s="418"/>
      <c r="B474" s="418"/>
      <c r="C474" s="418"/>
      <c r="D474" s="418" t="str">
        <f t="shared" si="142"/>
        <v>101-</v>
      </c>
      <c r="E474" s="418">
        <v>0</v>
      </c>
      <c r="F474" s="418">
        <v>0</v>
      </c>
      <c r="G474" s="418">
        <v>0</v>
      </c>
      <c r="H474" s="418">
        <v>0</v>
      </c>
      <c r="I474" s="418">
        <v>0</v>
      </c>
      <c r="J474" s="413">
        <v>0</v>
      </c>
      <c r="L474" s="418">
        <f t="shared" si="143"/>
        <v>0</v>
      </c>
      <c r="M474" s="418">
        <f t="shared" si="144"/>
        <v>0</v>
      </c>
      <c r="N474" s="418">
        <f t="shared" si="140"/>
        <v>0</v>
      </c>
      <c r="O474" s="418" t="str">
        <f t="shared" si="145"/>
        <v>101-</v>
      </c>
      <c r="P474" s="418">
        <f t="shared" si="146"/>
        <v>0</v>
      </c>
      <c r="Q474" s="418">
        <f t="shared" si="147"/>
        <v>0</v>
      </c>
      <c r="R474" s="418">
        <f t="shared" si="148"/>
        <v>0</v>
      </c>
      <c r="S474" s="418">
        <f t="shared" si="149"/>
        <v>0</v>
      </c>
      <c r="T474" s="418">
        <f t="shared" si="150"/>
        <v>0</v>
      </c>
      <c r="V474" s="418">
        <f t="shared" si="151"/>
        <v>0</v>
      </c>
      <c r="W474" s="418">
        <f t="shared" si="152"/>
        <v>0</v>
      </c>
      <c r="X474" s="418">
        <f t="shared" si="141"/>
        <v>0</v>
      </c>
      <c r="Y474" s="418" t="str">
        <f t="shared" si="153"/>
        <v>101-</v>
      </c>
      <c r="Z474" s="418">
        <f t="shared" si="154"/>
        <v>0</v>
      </c>
      <c r="AA474" s="418">
        <f t="shared" si="155"/>
        <v>0</v>
      </c>
      <c r="AB474" s="418">
        <f t="shared" si="156"/>
        <v>0</v>
      </c>
      <c r="AC474" s="418">
        <f t="shared" si="157"/>
        <v>0</v>
      </c>
      <c r="AD474" s="418">
        <f t="shared" si="158"/>
        <v>0</v>
      </c>
      <c r="AE474" s="413">
        <f t="shared" si="159"/>
        <v>0</v>
      </c>
    </row>
    <row r="475" spans="1:31" x14ac:dyDescent="0.3">
      <c r="A475" s="418"/>
      <c r="B475" s="418"/>
      <c r="C475" s="418"/>
      <c r="D475" s="418" t="str">
        <f t="shared" si="142"/>
        <v>101-</v>
      </c>
      <c r="E475" s="418">
        <v>0</v>
      </c>
      <c r="F475" s="418">
        <v>0</v>
      </c>
      <c r="G475" s="418">
        <v>0</v>
      </c>
      <c r="H475" s="418">
        <v>0</v>
      </c>
      <c r="I475" s="418">
        <v>0</v>
      </c>
      <c r="J475" s="413">
        <v>0</v>
      </c>
      <c r="L475" s="418">
        <f t="shared" si="143"/>
        <v>0</v>
      </c>
      <c r="M475" s="418">
        <f t="shared" si="144"/>
        <v>0</v>
      </c>
      <c r="N475" s="418">
        <f t="shared" si="140"/>
        <v>0</v>
      </c>
      <c r="O475" s="418" t="str">
        <f t="shared" si="145"/>
        <v>101-</v>
      </c>
      <c r="P475" s="418">
        <f t="shared" si="146"/>
        <v>0</v>
      </c>
      <c r="Q475" s="418">
        <f t="shared" si="147"/>
        <v>0</v>
      </c>
      <c r="R475" s="418">
        <f t="shared" si="148"/>
        <v>0</v>
      </c>
      <c r="S475" s="418">
        <f t="shared" si="149"/>
        <v>0</v>
      </c>
      <c r="T475" s="418">
        <f t="shared" si="150"/>
        <v>0</v>
      </c>
      <c r="V475" s="418">
        <f t="shared" si="151"/>
        <v>0</v>
      </c>
      <c r="W475" s="418">
        <f t="shared" si="152"/>
        <v>0</v>
      </c>
      <c r="X475" s="418">
        <f t="shared" si="141"/>
        <v>0</v>
      </c>
      <c r="Y475" s="418" t="str">
        <f t="shared" si="153"/>
        <v>101-</v>
      </c>
      <c r="Z475" s="418">
        <f t="shared" si="154"/>
        <v>0</v>
      </c>
      <c r="AA475" s="418">
        <f t="shared" si="155"/>
        <v>0</v>
      </c>
      <c r="AB475" s="418">
        <f t="shared" si="156"/>
        <v>0</v>
      </c>
      <c r="AC475" s="418">
        <f t="shared" si="157"/>
        <v>0</v>
      </c>
      <c r="AD475" s="418">
        <f t="shared" si="158"/>
        <v>0</v>
      </c>
      <c r="AE475" s="413">
        <f t="shared" si="159"/>
        <v>0</v>
      </c>
    </row>
    <row r="476" spans="1:31" x14ac:dyDescent="0.3">
      <c r="A476" s="418"/>
      <c r="B476" s="418"/>
      <c r="C476" s="418"/>
      <c r="D476" s="418" t="str">
        <f t="shared" si="142"/>
        <v>101-</v>
      </c>
      <c r="E476" s="418">
        <v>0</v>
      </c>
      <c r="F476" s="418">
        <v>0</v>
      </c>
      <c r="G476" s="418">
        <v>0</v>
      </c>
      <c r="H476" s="418">
        <v>0</v>
      </c>
      <c r="I476" s="418">
        <v>0</v>
      </c>
      <c r="J476" s="413">
        <v>0</v>
      </c>
      <c r="L476" s="418">
        <f t="shared" si="143"/>
        <v>0</v>
      </c>
      <c r="M476" s="418">
        <f t="shared" si="144"/>
        <v>0</v>
      </c>
      <c r="N476" s="418">
        <f t="shared" si="140"/>
        <v>0</v>
      </c>
      <c r="O476" s="418" t="str">
        <f t="shared" si="145"/>
        <v>101-</v>
      </c>
      <c r="P476" s="418">
        <f t="shared" si="146"/>
        <v>0</v>
      </c>
      <c r="Q476" s="418">
        <f t="shared" si="147"/>
        <v>0</v>
      </c>
      <c r="R476" s="418">
        <f t="shared" si="148"/>
        <v>0</v>
      </c>
      <c r="S476" s="418">
        <f t="shared" si="149"/>
        <v>0</v>
      </c>
      <c r="T476" s="418">
        <f t="shared" si="150"/>
        <v>0</v>
      </c>
      <c r="V476" s="418">
        <f t="shared" si="151"/>
        <v>0</v>
      </c>
      <c r="W476" s="418">
        <f t="shared" si="152"/>
        <v>0</v>
      </c>
      <c r="X476" s="418">
        <f t="shared" si="141"/>
        <v>0</v>
      </c>
      <c r="Y476" s="418" t="str">
        <f t="shared" si="153"/>
        <v>101-</v>
      </c>
      <c r="Z476" s="418">
        <f t="shared" si="154"/>
        <v>0</v>
      </c>
      <c r="AA476" s="418">
        <f t="shared" si="155"/>
        <v>0</v>
      </c>
      <c r="AB476" s="418">
        <f t="shared" si="156"/>
        <v>0</v>
      </c>
      <c r="AC476" s="418">
        <f t="shared" si="157"/>
        <v>0</v>
      </c>
      <c r="AD476" s="418">
        <f t="shared" si="158"/>
        <v>0</v>
      </c>
      <c r="AE476" s="413">
        <f t="shared" si="159"/>
        <v>0</v>
      </c>
    </row>
    <row r="477" spans="1:31" x14ac:dyDescent="0.3">
      <c r="A477" s="418"/>
      <c r="B477" s="418"/>
      <c r="C477" s="418"/>
      <c r="D477" s="418" t="str">
        <f t="shared" si="142"/>
        <v>101-</v>
      </c>
      <c r="E477" s="418">
        <v>0</v>
      </c>
      <c r="F477" s="418">
        <v>0</v>
      </c>
      <c r="G477" s="418">
        <v>0</v>
      </c>
      <c r="H477" s="418">
        <v>0</v>
      </c>
      <c r="I477" s="418">
        <v>0</v>
      </c>
      <c r="J477" s="413">
        <v>0</v>
      </c>
      <c r="L477" s="418">
        <f t="shared" si="143"/>
        <v>0</v>
      </c>
      <c r="M477" s="418">
        <f t="shared" si="144"/>
        <v>0</v>
      </c>
      <c r="N477" s="418">
        <f t="shared" si="140"/>
        <v>0</v>
      </c>
      <c r="O477" s="418" t="str">
        <f t="shared" si="145"/>
        <v>101-</v>
      </c>
      <c r="P477" s="418">
        <f t="shared" si="146"/>
        <v>0</v>
      </c>
      <c r="Q477" s="418">
        <f t="shared" si="147"/>
        <v>0</v>
      </c>
      <c r="R477" s="418">
        <f t="shared" si="148"/>
        <v>0</v>
      </c>
      <c r="S477" s="418">
        <f t="shared" si="149"/>
        <v>0</v>
      </c>
      <c r="T477" s="418">
        <f t="shared" si="150"/>
        <v>0</v>
      </c>
      <c r="V477" s="418">
        <f t="shared" si="151"/>
        <v>0</v>
      </c>
      <c r="W477" s="418">
        <f t="shared" si="152"/>
        <v>0</v>
      </c>
      <c r="X477" s="418">
        <f t="shared" si="141"/>
        <v>0</v>
      </c>
      <c r="Y477" s="418" t="str">
        <f t="shared" si="153"/>
        <v>101-</v>
      </c>
      <c r="Z477" s="418">
        <f t="shared" si="154"/>
        <v>0</v>
      </c>
      <c r="AA477" s="418">
        <f t="shared" si="155"/>
        <v>0</v>
      </c>
      <c r="AB477" s="418">
        <f t="shared" si="156"/>
        <v>0</v>
      </c>
      <c r="AC477" s="418">
        <f t="shared" si="157"/>
        <v>0</v>
      </c>
      <c r="AD477" s="418">
        <f t="shared" si="158"/>
        <v>0</v>
      </c>
      <c r="AE477" s="413">
        <f t="shared" si="159"/>
        <v>0</v>
      </c>
    </row>
    <row r="478" spans="1:31" x14ac:dyDescent="0.3">
      <c r="A478" s="418"/>
      <c r="B478" s="418"/>
      <c r="C478" s="418"/>
      <c r="D478" s="418" t="str">
        <f t="shared" si="142"/>
        <v>101-</v>
      </c>
      <c r="E478" s="418">
        <v>0</v>
      </c>
      <c r="F478" s="418">
        <v>0</v>
      </c>
      <c r="G478" s="418">
        <v>0</v>
      </c>
      <c r="H478" s="418">
        <v>0</v>
      </c>
      <c r="I478" s="418">
        <v>0</v>
      </c>
      <c r="J478" s="413">
        <v>0</v>
      </c>
      <c r="L478" s="418">
        <f t="shared" si="143"/>
        <v>0</v>
      </c>
      <c r="M478" s="418">
        <f t="shared" si="144"/>
        <v>0</v>
      </c>
      <c r="N478" s="418">
        <f t="shared" si="140"/>
        <v>0</v>
      </c>
      <c r="O478" s="418" t="str">
        <f t="shared" si="145"/>
        <v>101-</v>
      </c>
      <c r="P478" s="418">
        <f t="shared" si="146"/>
        <v>0</v>
      </c>
      <c r="Q478" s="418">
        <f t="shared" si="147"/>
        <v>0</v>
      </c>
      <c r="R478" s="418">
        <f t="shared" si="148"/>
        <v>0</v>
      </c>
      <c r="S478" s="418">
        <f t="shared" si="149"/>
        <v>0</v>
      </c>
      <c r="T478" s="418">
        <f t="shared" si="150"/>
        <v>0</v>
      </c>
      <c r="V478" s="418">
        <f t="shared" si="151"/>
        <v>0</v>
      </c>
      <c r="W478" s="418">
        <f t="shared" si="152"/>
        <v>0</v>
      </c>
      <c r="X478" s="418">
        <f t="shared" si="141"/>
        <v>0</v>
      </c>
      <c r="Y478" s="418" t="str">
        <f t="shared" si="153"/>
        <v>101-</v>
      </c>
      <c r="Z478" s="418">
        <f t="shared" si="154"/>
        <v>0</v>
      </c>
      <c r="AA478" s="418">
        <f t="shared" si="155"/>
        <v>0</v>
      </c>
      <c r="AB478" s="418">
        <f t="shared" si="156"/>
        <v>0</v>
      </c>
      <c r="AC478" s="418">
        <f t="shared" si="157"/>
        <v>0</v>
      </c>
      <c r="AD478" s="418">
        <f t="shared" si="158"/>
        <v>0</v>
      </c>
      <c r="AE478" s="413">
        <f t="shared" si="159"/>
        <v>0</v>
      </c>
    </row>
    <row r="479" spans="1:31" x14ac:dyDescent="0.3">
      <c r="A479" s="418"/>
      <c r="B479" s="418"/>
      <c r="C479" s="418"/>
      <c r="D479" s="418" t="str">
        <f t="shared" si="142"/>
        <v>101-</v>
      </c>
      <c r="E479" s="418">
        <v>0</v>
      </c>
      <c r="F479" s="418">
        <v>0</v>
      </c>
      <c r="G479" s="418">
        <v>0</v>
      </c>
      <c r="H479" s="418">
        <v>0</v>
      </c>
      <c r="I479" s="418">
        <v>0</v>
      </c>
      <c r="J479" s="413">
        <v>0</v>
      </c>
      <c r="L479" s="418">
        <f t="shared" si="143"/>
        <v>0</v>
      </c>
      <c r="M479" s="418">
        <f t="shared" si="144"/>
        <v>0</v>
      </c>
      <c r="N479" s="418">
        <f t="shared" si="140"/>
        <v>0</v>
      </c>
      <c r="O479" s="418" t="str">
        <f t="shared" si="145"/>
        <v>101-</v>
      </c>
      <c r="P479" s="418">
        <f t="shared" si="146"/>
        <v>0</v>
      </c>
      <c r="Q479" s="418">
        <f t="shared" si="147"/>
        <v>0</v>
      </c>
      <c r="R479" s="418">
        <f t="shared" si="148"/>
        <v>0</v>
      </c>
      <c r="S479" s="418">
        <f t="shared" si="149"/>
        <v>0</v>
      </c>
      <c r="T479" s="418">
        <f t="shared" si="150"/>
        <v>0</v>
      </c>
      <c r="V479" s="418">
        <f t="shared" si="151"/>
        <v>0</v>
      </c>
      <c r="W479" s="418">
        <f t="shared" si="152"/>
        <v>0</v>
      </c>
      <c r="X479" s="418">
        <f t="shared" si="141"/>
        <v>0</v>
      </c>
      <c r="Y479" s="418" t="str">
        <f t="shared" si="153"/>
        <v>101-</v>
      </c>
      <c r="Z479" s="418">
        <f t="shared" si="154"/>
        <v>0</v>
      </c>
      <c r="AA479" s="418">
        <f t="shared" si="155"/>
        <v>0</v>
      </c>
      <c r="AB479" s="418">
        <f t="shared" si="156"/>
        <v>0</v>
      </c>
      <c r="AC479" s="418">
        <f t="shared" si="157"/>
        <v>0</v>
      </c>
      <c r="AD479" s="418">
        <f t="shared" si="158"/>
        <v>0</v>
      </c>
      <c r="AE479" s="413">
        <f t="shared" si="159"/>
        <v>0</v>
      </c>
    </row>
    <row r="480" spans="1:31" x14ac:dyDescent="0.3">
      <c r="A480" s="418"/>
      <c r="B480" s="418"/>
      <c r="C480" s="418"/>
      <c r="D480" s="418" t="str">
        <f t="shared" si="142"/>
        <v>101-</v>
      </c>
      <c r="E480" s="418">
        <v>0</v>
      </c>
      <c r="F480" s="418">
        <v>0</v>
      </c>
      <c r="G480" s="418">
        <v>0</v>
      </c>
      <c r="H480" s="418">
        <v>0</v>
      </c>
      <c r="I480" s="418">
        <v>0</v>
      </c>
      <c r="J480" s="413">
        <v>0</v>
      </c>
      <c r="L480" s="418">
        <f t="shared" si="143"/>
        <v>0</v>
      </c>
      <c r="M480" s="418">
        <f t="shared" si="144"/>
        <v>0</v>
      </c>
      <c r="N480" s="418">
        <f t="shared" si="140"/>
        <v>0</v>
      </c>
      <c r="O480" s="418" t="str">
        <f t="shared" si="145"/>
        <v>101-</v>
      </c>
      <c r="P480" s="418">
        <f t="shared" si="146"/>
        <v>0</v>
      </c>
      <c r="Q480" s="418">
        <f t="shared" si="147"/>
        <v>0</v>
      </c>
      <c r="R480" s="418">
        <f t="shared" si="148"/>
        <v>0</v>
      </c>
      <c r="S480" s="418">
        <f t="shared" si="149"/>
        <v>0</v>
      </c>
      <c r="T480" s="418">
        <f t="shared" si="150"/>
        <v>0</v>
      </c>
      <c r="V480" s="418">
        <f t="shared" si="151"/>
        <v>0</v>
      </c>
      <c r="W480" s="418">
        <f t="shared" si="152"/>
        <v>0</v>
      </c>
      <c r="X480" s="418">
        <f t="shared" si="141"/>
        <v>0</v>
      </c>
      <c r="Y480" s="418" t="str">
        <f t="shared" si="153"/>
        <v>101-</v>
      </c>
      <c r="Z480" s="418">
        <f t="shared" si="154"/>
        <v>0</v>
      </c>
      <c r="AA480" s="418">
        <f t="shared" si="155"/>
        <v>0</v>
      </c>
      <c r="AB480" s="418">
        <f t="shared" si="156"/>
        <v>0</v>
      </c>
      <c r="AC480" s="418">
        <f t="shared" si="157"/>
        <v>0</v>
      </c>
      <c r="AD480" s="418">
        <f t="shared" si="158"/>
        <v>0</v>
      </c>
      <c r="AE480" s="413">
        <f t="shared" si="159"/>
        <v>0</v>
      </c>
    </row>
    <row r="481" spans="1:31" x14ac:dyDescent="0.3">
      <c r="A481" s="418"/>
      <c r="B481" s="418"/>
      <c r="C481" s="418"/>
      <c r="D481" s="418" t="str">
        <f t="shared" si="142"/>
        <v>101-</v>
      </c>
      <c r="E481" s="418">
        <v>0</v>
      </c>
      <c r="F481" s="418">
        <v>0</v>
      </c>
      <c r="G481" s="418">
        <v>0</v>
      </c>
      <c r="H481" s="418">
        <v>0</v>
      </c>
      <c r="I481" s="418">
        <v>0</v>
      </c>
      <c r="J481" s="413">
        <v>0</v>
      </c>
      <c r="L481" s="418">
        <f t="shared" si="143"/>
        <v>0</v>
      </c>
      <c r="M481" s="418">
        <f t="shared" si="144"/>
        <v>0</v>
      </c>
      <c r="N481" s="418">
        <f t="shared" si="140"/>
        <v>0</v>
      </c>
      <c r="O481" s="418" t="str">
        <f t="shared" si="145"/>
        <v>101-</v>
      </c>
      <c r="P481" s="418">
        <f t="shared" si="146"/>
        <v>0</v>
      </c>
      <c r="Q481" s="418">
        <f t="shared" si="147"/>
        <v>0</v>
      </c>
      <c r="R481" s="418">
        <f t="shared" si="148"/>
        <v>0</v>
      </c>
      <c r="S481" s="418">
        <f t="shared" si="149"/>
        <v>0</v>
      </c>
      <c r="T481" s="418">
        <f t="shared" si="150"/>
        <v>0</v>
      </c>
      <c r="V481" s="418">
        <f t="shared" si="151"/>
        <v>0</v>
      </c>
      <c r="W481" s="418">
        <f t="shared" si="152"/>
        <v>0</v>
      </c>
      <c r="X481" s="418">
        <f t="shared" si="141"/>
        <v>0</v>
      </c>
      <c r="Y481" s="418" t="str">
        <f t="shared" si="153"/>
        <v>101-</v>
      </c>
      <c r="Z481" s="418">
        <f t="shared" si="154"/>
        <v>0</v>
      </c>
      <c r="AA481" s="418">
        <f t="shared" si="155"/>
        <v>0</v>
      </c>
      <c r="AB481" s="418">
        <f t="shared" si="156"/>
        <v>0</v>
      </c>
      <c r="AC481" s="418">
        <f t="shared" si="157"/>
        <v>0</v>
      </c>
      <c r="AD481" s="418">
        <f t="shared" si="158"/>
        <v>0</v>
      </c>
      <c r="AE481" s="413">
        <f t="shared" si="159"/>
        <v>0</v>
      </c>
    </row>
    <row r="482" spans="1:31" x14ac:dyDescent="0.3">
      <c r="A482" s="418"/>
      <c r="B482" s="418"/>
      <c r="C482" s="418"/>
      <c r="D482" s="418" t="str">
        <f t="shared" si="142"/>
        <v>101-</v>
      </c>
      <c r="E482" s="418">
        <v>0</v>
      </c>
      <c r="F482" s="418">
        <v>0</v>
      </c>
      <c r="G482" s="418">
        <v>0</v>
      </c>
      <c r="H482" s="418">
        <v>0</v>
      </c>
      <c r="I482" s="418">
        <v>0</v>
      </c>
      <c r="J482" s="413">
        <v>0</v>
      </c>
      <c r="L482" s="418">
        <f t="shared" si="143"/>
        <v>0</v>
      </c>
      <c r="M482" s="418">
        <f t="shared" si="144"/>
        <v>0</v>
      </c>
      <c r="N482" s="418">
        <f t="shared" si="140"/>
        <v>0</v>
      </c>
      <c r="O482" s="418" t="str">
        <f t="shared" si="145"/>
        <v>101-</v>
      </c>
      <c r="P482" s="418">
        <f t="shared" si="146"/>
        <v>0</v>
      </c>
      <c r="Q482" s="418">
        <f t="shared" si="147"/>
        <v>0</v>
      </c>
      <c r="R482" s="418">
        <f t="shared" si="148"/>
        <v>0</v>
      </c>
      <c r="S482" s="418">
        <f t="shared" si="149"/>
        <v>0</v>
      </c>
      <c r="T482" s="418">
        <f t="shared" si="150"/>
        <v>0</v>
      </c>
      <c r="V482" s="418">
        <f t="shared" si="151"/>
        <v>0</v>
      </c>
      <c r="W482" s="418">
        <f t="shared" si="152"/>
        <v>0</v>
      </c>
      <c r="X482" s="418">
        <f t="shared" si="141"/>
        <v>0</v>
      </c>
      <c r="Y482" s="418" t="str">
        <f t="shared" si="153"/>
        <v>101-</v>
      </c>
      <c r="Z482" s="418">
        <f t="shared" si="154"/>
        <v>0</v>
      </c>
      <c r="AA482" s="418">
        <f t="shared" si="155"/>
        <v>0</v>
      </c>
      <c r="AB482" s="418">
        <f t="shared" si="156"/>
        <v>0</v>
      </c>
      <c r="AC482" s="418">
        <f t="shared" si="157"/>
        <v>0</v>
      </c>
      <c r="AD482" s="418">
        <f t="shared" si="158"/>
        <v>0</v>
      </c>
      <c r="AE482" s="413">
        <f t="shared" si="159"/>
        <v>0</v>
      </c>
    </row>
    <row r="483" spans="1:31" x14ac:dyDescent="0.3">
      <c r="A483" s="418"/>
      <c r="B483" s="418"/>
      <c r="C483" s="418"/>
      <c r="D483" s="418" t="str">
        <f t="shared" si="142"/>
        <v>101-</v>
      </c>
      <c r="E483" s="418">
        <v>0</v>
      </c>
      <c r="F483" s="418">
        <v>0</v>
      </c>
      <c r="G483" s="418">
        <v>0</v>
      </c>
      <c r="H483" s="418">
        <v>0</v>
      </c>
      <c r="I483" s="418">
        <v>0</v>
      </c>
      <c r="J483" s="413">
        <v>0</v>
      </c>
      <c r="L483" s="418">
        <f t="shared" si="143"/>
        <v>0</v>
      </c>
      <c r="M483" s="418">
        <f t="shared" si="144"/>
        <v>0</v>
      </c>
      <c r="N483" s="418">
        <f t="shared" si="140"/>
        <v>0</v>
      </c>
      <c r="O483" s="418" t="str">
        <f t="shared" si="145"/>
        <v>101-</v>
      </c>
      <c r="P483" s="418">
        <f t="shared" si="146"/>
        <v>0</v>
      </c>
      <c r="Q483" s="418">
        <f t="shared" si="147"/>
        <v>0</v>
      </c>
      <c r="R483" s="418">
        <f t="shared" si="148"/>
        <v>0</v>
      </c>
      <c r="S483" s="418">
        <f t="shared" si="149"/>
        <v>0</v>
      </c>
      <c r="T483" s="418">
        <f t="shared" si="150"/>
        <v>0</v>
      </c>
      <c r="V483" s="418">
        <f t="shared" si="151"/>
        <v>0</v>
      </c>
      <c r="W483" s="418">
        <f t="shared" si="152"/>
        <v>0</v>
      </c>
      <c r="X483" s="418">
        <f t="shared" si="141"/>
        <v>0</v>
      </c>
      <c r="Y483" s="418" t="str">
        <f t="shared" si="153"/>
        <v>101-</v>
      </c>
      <c r="Z483" s="418">
        <f t="shared" si="154"/>
        <v>0</v>
      </c>
      <c r="AA483" s="418">
        <f t="shared" si="155"/>
        <v>0</v>
      </c>
      <c r="AB483" s="418">
        <f t="shared" si="156"/>
        <v>0</v>
      </c>
      <c r="AC483" s="418">
        <f t="shared" si="157"/>
        <v>0</v>
      </c>
      <c r="AD483" s="418">
        <f t="shared" si="158"/>
        <v>0</v>
      </c>
      <c r="AE483" s="413">
        <f t="shared" si="159"/>
        <v>0</v>
      </c>
    </row>
    <row r="484" spans="1:31" x14ac:dyDescent="0.3">
      <c r="A484" s="418"/>
      <c r="B484" s="418"/>
      <c r="C484" s="418"/>
      <c r="D484" s="418" t="str">
        <f t="shared" si="142"/>
        <v>101-</v>
      </c>
      <c r="E484" s="418">
        <v>0</v>
      </c>
      <c r="F484" s="418">
        <v>0</v>
      </c>
      <c r="G484" s="418">
        <v>0</v>
      </c>
      <c r="H484" s="418">
        <v>0</v>
      </c>
      <c r="I484" s="418">
        <v>0</v>
      </c>
      <c r="J484" s="413">
        <v>0</v>
      </c>
      <c r="L484" s="418">
        <f t="shared" si="143"/>
        <v>0</v>
      </c>
      <c r="M484" s="418">
        <f t="shared" si="144"/>
        <v>0</v>
      </c>
      <c r="N484" s="418">
        <f t="shared" si="140"/>
        <v>0</v>
      </c>
      <c r="O484" s="418" t="str">
        <f t="shared" si="145"/>
        <v>101-</v>
      </c>
      <c r="P484" s="418">
        <f t="shared" si="146"/>
        <v>0</v>
      </c>
      <c r="Q484" s="418">
        <f t="shared" si="147"/>
        <v>0</v>
      </c>
      <c r="R484" s="418">
        <f t="shared" si="148"/>
        <v>0</v>
      </c>
      <c r="S484" s="418">
        <f t="shared" si="149"/>
        <v>0</v>
      </c>
      <c r="T484" s="418">
        <f t="shared" si="150"/>
        <v>0</v>
      </c>
      <c r="V484" s="418">
        <f t="shared" si="151"/>
        <v>0</v>
      </c>
      <c r="W484" s="418">
        <f t="shared" si="152"/>
        <v>0</v>
      </c>
      <c r="X484" s="418">
        <f t="shared" si="141"/>
        <v>0</v>
      </c>
      <c r="Y484" s="418" t="str">
        <f t="shared" si="153"/>
        <v>101-</v>
      </c>
      <c r="Z484" s="418">
        <f t="shared" si="154"/>
        <v>0</v>
      </c>
      <c r="AA484" s="418">
        <f t="shared" si="155"/>
        <v>0</v>
      </c>
      <c r="AB484" s="418">
        <f t="shared" si="156"/>
        <v>0</v>
      </c>
      <c r="AC484" s="418">
        <f t="shared" si="157"/>
        <v>0</v>
      </c>
      <c r="AD484" s="418">
        <f t="shared" si="158"/>
        <v>0</v>
      </c>
      <c r="AE484" s="413">
        <f t="shared" si="159"/>
        <v>0</v>
      </c>
    </row>
    <row r="485" spans="1:31" x14ac:dyDescent="0.3">
      <c r="A485" s="418"/>
      <c r="B485" s="418"/>
      <c r="C485" s="418"/>
      <c r="D485" s="418" t="str">
        <f t="shared" si="142"/>
        <v>101-</v>
      </c>
      <c r="E485" s="418">
        <v>0</v>
      </c>
      <c r="F485" s="418">
        <v>0</v>
      </c>
      <c r="G485" s="418">
        <v>0</v>
      </c>
      <c r="H485" s="418">
        <v>0</v>
      </c>
      <c r="I485" s="418">
        <v>0</v>
      </c>
      <c r="J485" s="413">
        <v>0</v>
      </c>
      <c r="L485" s="418">
        <f t="shared" si="143"/>
        <v>0</v>
      </c>
      <c r="M485" s="418">
        <f t="shared" si="144"/>
        <v>0</v>
      </c>
      <c r="N485" s="418">
        <f t="shared" si="140"/>
        <v>0</v>
      </c>
      <c r="O485" s="418" t="str">
        <f t="shared" si="145"/>
        <v>101-</v>
      </c>
      <c r="P485" s="418">
        <f t="shared" si="146"/>
        <v>0</v>
      </c>
      <c r="Q485" s="418">
        <f t="shared" si="147"/>
        <v>0</v>
      </c>
      <c r="R485" s="418">
        <f t="shared" si="148"/>
        <v>0</v>
      </c>
      <c r="S485" s="418">
        <f t="shared" si="149"/>
        <v>0</v>
      </c>
      <c r="T485" s="418">
        <f t="shared" si="150"/>
        <v>0</v>
      </c>
      <c r="V485" s="418">
        <f t="shared" si="151"/>
        <v>0</v>
      </c>
      <c r="W485" s="418">
        <f t="shared" si="152"/>
        <v>0</v>
      </c>
      <c r="X485" s="418">
        <f t="shared" si="141"/>
        <v>0</v>
      </c>
      <c r="Y485" s="418" t="str">
        <f t="shared" si="153"/>
        <v>101-</v>
      </c>
      <c r="Z485" s="418">
        <f t="shared" si="154"/>
        <v>0</v>
      </c>
      <c r="AA485" s="418">
        <f t="shared" si="155"/>
        <v>0</v>
      </c>
      <c r="AB485" s="418">
        <f t="shared" si="156"/>
        <v>0</v>
      </c>
      <c r="AC485" s="418">
        <f t="shared" si="157"/>
        <v>0</v>
      </c>
      <c r="AD485" s="418">
        <f t="shared" si="158"/>
        <v>0</v>
      </c>
      <c r="AE485" s="413">
        <f t="shared" si="159"/>
        <v>0</v>
      </c>
    </row>
    <row r="486" spans="1:31" x14ac:dyDescent="0.3">
      <c r="A486" s="418"/>
      <c r="B486" s="418"/>
      <c r="C486" s="418"/>
      <c r="D486" s="418" t="str">
        <f t="shared" si="142"/>
        <v>101-</v>
      </c>
      <c r="E486" s="418">
        <v>0</v>
      </c>
      <c r="F486" s="418">
        <v>0</v>
      </c>
      <c r="G486" s="418">
        <v>0</v>
      </c>
      <c r="H486" s="418">
        <v>0</v>
      </c>
      <c r="I486" s="418">
        <v>0</v>
      </c>
      <c r="J486" s="413">
        <v>0</v>
      </c>
      <c r="L486" s="418">
        <f t="shared" si="143"/>
        <v>0</v>
      </c>
      <c r="M486" s="418">
        <f t="shared" si="144"/>
        <v>0</v>
      </c>
      <c r="N486" s="418">
        <f t="shared" si="140"/>
        <v>0</v>
      </c>
      <c r="O486" s="418" t="str">
        <f t="shared" si="145"/>
        <v>101-</v>
      </c>
      <c r="P486" s="418">
        <f t="shared" si="146"/>
        <v>0</v>
      </c>
      <c r="Q486" s="418">
        <f t="shared" si="147"/>
        <v>0</v>
      </c>
      <c r="R486" s="418">
        <f t="shared" si="148"/>
        <v>0</v>
      </c>
      <c r="S486" s="418">
        <f t="shared" si="149"/>
        <v>0</v>
      </c>
      <c r="T486" s="418">
        <f t="shared" si="150"/>
        <v>0</v>
      </c>
      <c r="V486" s="418">
        <f t="shared" si="151"/>
        <v>0</v>
      </c>
      <c r="W486" s="418">
        <f t="shared" si="152"/>
        <v>0</v>
      </c>
      <c r="X486" s="418">
        <f t="shared" si="141"/>
        <v>0</v>
      </c>
      <c r="Y486" s="418" t="str">
        <f t="shared" si="153"/>
        <v>101-</v>
      </c>
      <c r="Z486" s="418">
        <f t="shared" si="154"/>
        <v>0</v>
      </c>
      <c r="AA486" s="418">
        <f t="shared" si="155"/>
        <v>0</v>
      </c>
      <c r="AB486" s="418">
        <f t="shared" si="156"/>
        <v>0</v>
      </c>
      <c r="AC486" s="418">
        <f t="shared" si="157"/>
        <v>0</v>
      </c>
      <c r="AD486" s="418">
        <f t="shared" si="158"/>
        <v>0</v>
      </c>
      <c r="AE486" s="413">
        <f t="shared" si="159"/>
        <v>0</v>
      </c>
    </row>
    <row r="487" spans="1:31" x14ac:dyDescent="0.3">
      <c r="A487" s="418"/>
      <c r="B487" s="418"/>
      <c r="C487" s="418"/>
      <c r="D487" s="418" t="str">
        <f t="shared" si="142"/>
        <v>101-</v>
      </c>
      <c r="E487" s="418">
        <v>0</v>
      </c>
      <c r="F487" s="418">
        <v>0</v>
      </c>
      <c r="G487" s="418">
        <v>0</v>
      </c>
      <c r="H487" s="418">
        <v>0</v>
      </c>
      <c r="I487" s="418">
        <v>0</v>
      </c>
      <c r="J487" s="413">
        <v>0</v>
      </c>
      <c r="L487" s="418">
        <f t="shared" si="143"/>
        <v>0</v>
      </c>
      <c r="M487" s="418">
        <f t="shared" si="144"/>
        <v>0</v>
      </c>
      <c r="N487" s="418">
        <f t="shared" si="140"/>
        <v>0</v>
      </c>
      <c r="O487" s="418" t="str">
        <f t="shared" si="145"/>
        <v>101-</v>
      </c>
      <c r="P487" s="418">
        <f t="shared" si="146"/>
        <v>0</v>
      </c>
      <c r="Q487" s="418">
        <f t="shared" si="147"/>
        <v>0</v>
      </c>
      <c r="R487" s="418">
        <f t="shared" si="148"/>
        <v>0</v>
      </c>
      <c r="S487" s="418">
        <f t="shared" si="149"/>
        <v>0</v>
      </c>
      <c r="T487" s="418">
        <f t="shared" si="150"/>
        <v>0</v>
      </c>
      <c r="V487" s="418">
        <f t="shared" si="151"/>
        <v>0</v>
      </c>
      <c r="W487" s="418">
        <f t="shared" si="152"/>
        <v>0</v>
      </c>
      <c r="X487" s="418">
        <f t="shared" si="141"/>
        <v>0</v>
      </c>
      <c r="Y487" s="418" t="str">
        <f t="shared" si="153"/>
        <v>101-</v>
      </c>
      <c r="Z487" s="418">
        <f t="shared" si="154"/>
        <v>0</v>
      </c>
      <c r="AA487" s="418">
        <f t="shared" si="155"/>
        <v>0</v>
      </c>
      <c r="AB487" s="418">
        <f t="shared" si="156"/>
        <v>0</v>
      </c>
      <c r="AC487" s="418">
        <f t="shared" si="157"/>
        <v>0</v>
      </c>
      <c r="AD487" s="418">
        <f t="shared" si="158"/>
        <v>0</v>
      </c>
      <c r="AE487" s="413">
        <f t="shared" si="159"/>
        <v>0</v>
      </c>
    </row>
    <row r="488" spans="1:31" x14ac:dyDescent="0.3">
      <c r="A488" s="418"/>
      <c r="B488" s="418"/>
      <c r="C488" s="418"/>
      <c r="D488" s="418" t="str">
        <f t="shared" si="142"/>
        <v>101-</v>
      </c>
      <c r="E488" s="418">
        <v>0</v>
      </c>
      <c r="F488" s="418">
        <v>0</v>
      </c>
      <c r="G488" s="418">
        <v>0</v>
      </c>
      <c r="H488" s="418">
        <v>0</v>
      </c>
      <c r="I488" s="418">
        <v>0</v>
      </c>
      <c r="J488" s="413">
        <v>0</v>
      </c>
      <c r="L488" s="418">
        <f t="shared" si="143"/>
        <v>0</v>
      </c>
      <c r="M488" s="418">
        <f t="shared" si="144"/>
        <v>0</v>
      </c>
      <c r="N488" s="418">
        <f t="shared" si="140"/>
        <v>0</v>
      </c>
      <c r="O488" s="418" t="str">
        <f t="shared" si="145"/>
        <v>101-</v>
      </c>
      <c r="P488" s="418">
        <f t="shared" si="146"/>
        <v>0</v>
      </c>
      <c r="Q488" s="418">
        <f t="shared" si="147"/>
        <v>0</v>
      </c>
      <c r="R488" s="418">
        <f t="shared" si="148"/>
        <v>0</v>
      </c>
      <c r="S488" s="418">
        <f t="shared" si="149"/>
        <v>0</v>
      </c>
      <c r="T488" s="418">
        <f t="shared" si="150"/>
        <v>0</v>
      </c>
      <c r="V488" s="418">
        <f t="shared" si="151"/>
        <v>0</v>
      </c>
      <c r="W488" s="418">
        <f t="shared" si="152"/>
        <v>0</v>
      </c>
      <c r="X488" s="418">
        <f t="shared" si="141"/>
        <v>0</v>
      </c>
      <c r="Y488" s="418" t="str">
        <f t="shared" si="153"/>
        <v>101-</v>
      </c>
      <c r="Z488" s="418">
        <f t="shared" si="154"/>
        <v>0</v>
      </c>
      <c r="AA488" s="418">
        <f t="shared" si="155"/>
        <v>0</v>
      </c>
      <c r="AB488" s="418">
        <f t="shared" si="156"/>
        <v>0</v>
      </c>
      <c r="AC488" s="418">
        <f t="shared" si="157"/>
        <v>0</v>
      </c>
      <c r="AD488" s="418">
        <f t="shared" si="158"/>
        <v>0</v>
      </c>
      <c r="AE488" s="413">
        <f t="shared" si="159"/>
        <v>0</v>
      </c>
    </row>
    <row r="489" spans="1:31" x14ac:dyDescent="0.3">
      <c r="A489" s="418"/>
      <c r="B489" s="418"/>
      <c r="C489" s="418"/>
      <c r="D489" s="418" t="str">
        <f t="shared" si="142"/>
        <v>101-</v>
      </c>
      <c r="E489" s="418">
        <v>0</v>
      </c>
      <c r="F489" s="418">
        <v>0</v>
      </c>
      <c r="G489" s="418">
        <v>0</v>
      </c>
      <c r="H489" s="418">
        <v>0</v>
      </c>
      <c r="I489" s="418">
        <v>0</v>
      </c>
      <c r="J489" s="413">
        <v>0</v>
      </c>
      <c r="L489" s="418">
        <f t="shared" si="143"/>
        <v>0</v>
      </c>
      <c r="M489" s="418">
        <f t="shared" si="144"/>
        <v>0</v>
      </c>
      <c r="N489" s="418">
        <f t="shared" si="140"/>
        <v>0</v>
      </c>
      <c r="O489" s="418" t="str">
        <f t="shared" si="145"/>
        <v>101-</v>
      </c>
      <c r="P489" s="418">
        <f t="shared" si="146"/>
        <v>0</v>
      </c>
      <c r="Q489" s="418">
        <f t="shared" si="147"/>
        <v>0</v>
      </c>
      <c r="R489" s="418">
        <f t="shared" si="148"/>
        <v>0</v>
      </c>
      <c r="S489" s="418">
        <f t="shared" si="149"/>
        <v>0</v>
      </c>
      <c r="T489" s="418">
        <f t="shared" si="150"/>
        <v>0</v>
      </c>
      <c r="V489" s="418">
        <f t="shared" si="151"/>
        <v>0</v>
      </c>
      <c r="W489" s="418">
        <f t="shared" si="152"/>
        <v>0</v>
      </c>
      <c r="X489" s="418">
        <f t="shared" si="141"/>
        <v>0</v>
      </c>
      <c r="Y489" s="418" t="str">
        <f t="shared" si="153"/>
        <v>101-</v>
      </c>
      <c r="Z489" s="418">
        <f t="shared" si="154"/>
        <v>0</v>
      </c>
      <c r="AA489" s="418">
        <f t="shared" si="155"/>
        <v>0</v>
      </c>
      <c r="AB489" s="418">
        <f t="shared" si="156"/>
        <v>0</v>
      </c>
      <c r="AC489" s="418">
        <f t="shared" si="157"/>
        <v>0</v>
      </c>
      <c r="AD489" s="418">
        <f t="shared" si="158"/>
        <v>0</v>
      </c>
      <c r="AE489" s="413">
        <f t="shared" si="159"/>
        <v>0</v>
      </c>
    </row>
    <row r="490" spans="1:31" x14ac:dyDescent="0.3">
      <c r="A490" s="418"/>
      <c r="B490" s="418"/>
      <c r="C490" s="418"/>
      <c r="D490" s="418" t="str">
        <f t="shared" si="142"/>
        <v>101-</v>
      </c>
      <c r="E490" s="418">
        <v>0</v>
      </c>
      <c r="F490" s="418">
        <v>0</v>
      </c>
      <c r="G490" s="418">
        <v>0</v>
      </c>
      <c r="H490" s="418">
        <v>0</v>
      </c>
      <c r="I490" s="418">
        <v>0</v>
      </c>
      <c r="J490" s="413">
        <v>0</v>
      </c>
      <c r="L490" s="418">
        <f t="shared" si="143"/>
        <v>0</v>
      </c>
      <c r="M490" s="418">
        <f t="shared" si="144"/>
        <v>0</v>
      </c>
      <c r="N490" s="418">
        <f t="shared" si="140"/>
        <v>0</v>
      </c>
      <c r="O490" s="418" t="str">
        <f t="shared" si="145"/>
        <v>101-</v>
      </c>
      <c r="P490" s="418">
        <f t="shared" si="146"/>
        <v>0</v>
      </c>
      <c r="Q490" s="418">
        <f t="shared" si="147"/>
        <v>0</v>
      </c>
      <c r="R490" s="418">
        <f t="shared" si="148"/>
        <v>0</v>
      </c>
      <c r="S490" s="418">
        <f t="shared" si="149"/>
        <v>0</v>
      </c>
      <c r="T490" s="418">
        <f t="shared" si="150"/>
        <v>0</v>
      </c>
      <c r="V490" s="418">
        <f t="shared" si="151"/>
        <v>0</v>
      </c>
      <c r="W490" s="418">
        <f t="shared" si="152"/>
        <v>0</v>
      </c>
      <c r="X490" s="418">
        <f t="shared" si="141"/>
        <v>0</v>
      </c>
      <c r="Y490" s="418" t="str">
        <f t="shared" si="153"/>
        <v>101-</v>
      </c>
      <c r="Z490" s="418">
        <f t="shared" si="154"/>
        <v>0</v>
      </c>
      <c r="AA490" s="418">
        <f t="shared" si="155"/>
        <v>0</v>
      </c>
      <c r="AB490" s="418">
        <f t="shared" si="156"/>
        <v>0</v>
      </c>
      <c r="AC490" s="418">
        <f t="shared" si="157"/>
        <v>0</v>
      </c>
      <c r="AD490" s="418">
        <f t="shared" si="158"/>
        <v>0</v>
      </c>
      <c r="AE490" s="413">
        <f t="shared" si="159"/>
        <v>0</v>
      </c>
    </row>
    <row r="491" spans="1:31" x14ac:dyDescent="0.3">
      <c r="A491" s="418"/>
      <c r="B491" s="418"/>
      <c r="C491" s="418"/>
      <c r="D491" s="418" t="str">
        <f t="shared" si="142"/>
        <v>101-</v>
      </c>
      <c r="E491" s="418">
        <v>0</v>
      </c>
      <c r="F491" s="418">
        <v>0</v>
      </c>
      <c r="G491" s="418">
        <v>0</v>
      </c>
      <c r="H491" s="418">
        <v>0</v>
      </c>
      <c r="I491" s="418">
        <v>0</v>
      </c>
      <c r="J491" s="413">
        <v>0</v>
      </c>
      <c r="L491" s="418">
        <f t="shared" si="143"/>
        <v>0</v>
      </c>
      <c r="M491" s="418">
        <f t="shared" si="144"/>
        <v>0</v>
      </c>
      <c r="N491" s="418">
        <f t="shared" si="140"/>
        <v>0</v>
      </c>
      <c r="O491" s="418" t="str">
        <f t="shared" si="145"/>
        <v>101-</v>
      </c>
      <c r="P491" s="418">
        <f t="shared" si="146"/>
        <v>0</v>
      </c>
      <c r="Q491" s="418">
        <f t="shared" si="147"/>
        <v>0</v>
      </c>
      <c r="R491" s="418">
        <f t="shared" si="148"/>
        <v>0</v>
      </c>
      <c r="S491" s="418">
        <f t="shared" si="149"/>
        <v>0</v>
      </c>
      <c r="T491" s="418">
        <f t="shared" si="150"/>
        <v>0</v>
      </c>
      <c r="V491" s="418">
        <f t="shared" si="151"/>
        <v>0</v>
      </c>
      <c r="W491" s="418">
        <f t="shared" si="152"/>
        <v>0</v>
      </c>
      <c r="X491" s="418">
        <f t="shared" si="141"/>
        <v>0</v>
      </c>
      <c r="Y491" s="418" t="str">
        <f t="shared" si="153"/>
        <v>101-</v>
      </c>
      <c r="Z491" s="418">
        <f t="shared" si="154"/>
        <v>0</v>
      </c>
      <c r="AA491" s="418">
        <f t="shared" si="155"/>
        <v>0</v>
      </c>
      <c r="AB491" s="418">
        <f t="shared" si="156"/>
        <v>0</v>
      </c>
      <c r="AC491" s="418">
        <f t="shared" si="157"/>
        <v>0</v>
      </c>
      <c r="AD491" s="418">
        <f t="shared" si="158"/>
        <v>0</v>
      </c>
      <c r="AE491" s="413">
        <f t="shared" si="159"/>
        <v>0</v>
      </c>
    </row>
    <row r="492" spans="1:31" x14ac:dyDescent="0.3">
      <c r="A492" s="418"/>
      <c r="B492" s="418"/>
      <c r="C492" s="418"/>
      <c r="D492" s="418" t="str">
        <f t="shared" si="142"/>
        <v>101-</v>
      </c>
      <c r="E492" s="418">
        <v>0</v>
      </c>
      <c r="F492" s="418">
        <v>0</v>
      </c>
      <c r="G492" s="418">
        <v>0</v>
      </c>
      <c r="H492" s="418">
        <v>0</v>
      </c>
      <c r="I492" s="418">
        <v>0</v>
      </c>
      <c r="J492" s="413">
        <v>0</v>
      </c>
      <c r="L492" s="418">
        <f t="shared" si="143"/>
        <v>0</v>
      </c>
      <c r="M492" s="418">
        <f t="shared" si="144"/>
        <v>0</v>
      </c>
      <c r="N492" s="418">
        <f t="shared" si="140"/>
        <v>0</v>
      </c>
      <c r="O492" s="418" t="str">
        <f t="shared" si="145"/>
        <v>101-</v>
      </c>
      <c r="P492" s="418">
        <f t="shared" si="146"/>
        <v>0</v>
      </c>
      <c r="Q492" s="418">
        <f t="shared" si="147"/>
        <v>0</v>
      </c>
      <c r="R492" s="418">
        <f t="shared" si="148"/>
        <v>0</v>
      </c>
      <c r="S492" s="418">
        <f t="shared" si="149"/>
        <v>0</v>
      </c>
      <c r="T492" s="418">
        <f t="shared" si="150"/>
        <v>0</v>
      </c>
      <c r="V492" s="418">
        <f t="shared" si="151"/>
        <v>0</v>
      </c>
      <c r="W492" s="418">
        <f t="shared" si="152"/>
        <v>0</v>
      </c>
      <c r="X492" s="418">
        <f t="shared" si="141"/>
        <v>0</v>
      </c>
      <c r="Y492" s="418" t="str">
        <f t="shared" si="153"/>
        <v>101-</v>
      </c>
      <c r="Z492" s="418">
        <f t="shared" si="154"/>
        <v>0</v>
      </c>
      <c r="AA492" s="418">
        <f t="shared" si="155"/>
        <v>0</v>
      </c>
      <c r="AB492" s="418">
        <f t="shared" si="156"/>
        <v>0</v>
      </c>
      <c r="AC492" s="418">
        <f t="shared" si="157"/>
        <v>0</v>
      </c>
      <c r="AD492" s="418">
        <f t="shared" si="158"/>
        <v>0</v>
      </c>
      <c r="AE492" s="413">
        <f t="shared" si="159"/>
        <v>0</v>
      </c>
    </row>
    <row r="493" spans="1:31" x14ac:dyDescent="0.3">
      <c r="A493" s="418"/>
      <c r="B493" s="418"/>
      <c r="C493" s="418"/>
      <c r="D493" s="418" t="str">
        <f t="shared" si="142"/>
        <v>101-</v>
      </c>
      <c r="E493" s="418">
        <v>0</v>
      </c>
      <c r="F493" s="418">
        <v>0</v>
      </c>
      <c r="G493" s="418">
        <v>0</v>
      </c>
      <c r="H493" s="418">
        <v>0</v>
      </c>
      <c r="I493" s="418">
        <v>0</v>
      </c>
      <c r="J493" s="413">
        <v>0</v>
      </c>
      <c r="L493" s="418">
        <f t="shared" si="143"/>
        <v>0</v>
      </c>
      <c r="M493" s="418">
        <f t="shared" si="144"/>
        <v>0</v>
      </c>
      <c r="N493" s="418">
        <f t="shared" si="140"/>
        <v>0</v>
      </c>
      <c r="O493" s="418" t="str">
        <f t="shared" si="145"/>
        <v>101-</v>
      </c>
      <c r="P493" s="418">
        <f t="shared" si="146"/>
        <v>0</v>
      </c>
      <c r="Q493" s="418">
        <f t="shared" si="147"/>
        <v>0</v>
      </c>
      <c r="R493" s="418">
        <f t="shared" si="148"/>
        <v>0</v>
      </c>
      <c r="S493" s="418">
        <f t="shared" si="149"/>
        <v>0</v>
      </c>
      <c r="T493" s="418">
        <f t="shared" si="150"/>
        <v>0</v>
      </c>
      <c r="V493" s="418">
        <f t="shared" si="151"/>
        <v>0</v>
      </c>
      <c r="W493" s="418">
        <f t="shared" si="152"/>
        <v>0</v>
      </c>
      <c r="X493" s="418">
        <f t="shared" si="141"/>
        <v>0</v>
      </c>
      <c r="Y493" s="418" t="str">
        <f t="shared" si="153"/>
        <v>101-</v>
      </c>
      <c r="Z493" s="418">
        <f t="shared" si="154"/>
        <v>0</v>
      </c>
      <c r="AA493" s="418">
        <f t="shared" si="155"/>
        <v>0</v>
      </c>
      <c r="AB493" s="418">
        <f t="shared" si="156"/>
        <v>0</v>
      </c>
      <c r="AC493" s="418">
        <f t="shared" si="157"/>
        <v>0</v>
      </c>
      <c r="AD493" s="418">
        <f t="shared" si="158"/>
        <v>0</v>
      </c>
      <c r="AE493" s="413">
        <f t="shared" si="159"/>
        <v>0</v>
      </c>
    </row>
    <row r="494" spans="1:31" x14ac:dyDescent="0.3">
      <c r="A494" s="418"/>
      <c r="B494" s="418"/>
      <c r="C494" s="418"/>
      <c r="D494" s="418" t="str">
        <f t="shared" si="142"/>
        <v>101-</v>
      </c>
      <c r="E494" s="418">
        <v>0</v>
      </c>
      <c r="F494" s="418">
        <v>0</v>
      </c>
      <c r="G494" s="418">
        <v>0</v>
      </c>
      <c r="H494" s="418">
        <v>0</v>
      </c>
      <c r="I494" s="418">
        <v>0</v>
      </c>
      <c r="J494" s="413">
        <v>0</v>
      </c>
      <c r="L494" s="418">
        <f t="shared" si="143"/>
        <v>0</v>
      </c>
      <c r="M494" s="418">
        <f t="shared" si="144"/>
        <v>0</v>
      </c>
      <c r="N494" s="418">
        <f t="shared" si="140"/>
        <v>0</v>
      </c>
      <c r="O494" s="418" t="str">
        <f t="shared" si="145"/>
        <v>101-</v>
      </c>
      <c r="P494" s="418">
        <f t="shared" si="146"/>
        <v>0</v>
      </c>
      <c r="Q494" s="418">
        <f t="shared" si="147"/>
        <v>0</v>
      </c>
      <c r="R494" s="418">
        <f t="shared" si="148"/>
        <v>0</v>
      </c>
      <c r="S494" s="418">
        <f t="shared" si="149"/>
        <v>0</v>
      </c>
      <c r="T494" s="418">
        <f t="shared" si="150"/>
        <v>0</v>
      </c>
      <c r="V494" s="418">
        <f t="shared" si="151"/>
        <v>0</v>
      </c>
      <c r="W494" s="418">
        <f t="shared" si="152"/>
        <v>0</v>
      </c>
      <c r="X494" s="418">
        <f t="shared" si="141"/>
        <v>0</v>
      </c>
      <c r="Y494" s="418" t="str">
        <f t="shared" si="153"/>
        <v>101-</v>
      </c>
      <c r="Z494" s="418">
        <f t="shared" si="154"/>
        <v>0</v>
      </c>
      <c r="AA494" s="418">
        <f t="shared" si="155"/>
        <v>0</v>
      </c>
      <c r="AB494" s="418">
        <f t="shared" si="156"/>
        <v>0</v>
      </c>
      <c r="AC494" s="418">
        <f t="shared" si="157"/>
        <v>0</v>
      </c>
      <c r="AD494" s="418">
        <f t="shared" si="158"/>
        <v>0</v>
      </c>
      <c r="AE494" s="413">
        <f t="shared" si="159"/>
        <v>0</v>
      </c>
    </row>
    <row r="495" spans="1:31" x14ac:dyDescent="0.3">
      <c r="A495" s="418"/>
      <c r="B495" s="418"/>
      <c r="C495" s="418"/>
      <c r="D495" s="418" t="str">
        <f t="shared" si="142"/>
        <v>101-</v>
      </c>
      <c r="E495" s="418">
        <v>0</v>
      </c>
      <c r="F495" s="418">
        <v>0</v>
      </c>
      <c r="G495" s="418">
        <v>0</v>
      </c>
      <c r="H495" s="418">
        <v>0</v>
      </c>
      <c r="I495" s="418">
        <v>0</v>
      </c>
      <c r="J495" s="413">
        <v>0</v>
      </c>
      <c r="L495" s="418">
        <f t="shared" si="143"/>
        <v>0</v>
      </c>
      <c r="M495" s="418">
        <f t="shared" si="144"/>
        <v>0</v>
      </c>
      <c r="N495" s="418">
        <f t="shared" si="140"/>
        <v>0</v>
      </c>
      <c r="O495" s="418" t="str">
        <f t="shared" si="145"/>
        <v>101-</v>
      </c>
      <c r="P495" s="418">
        <f t="shared" si="146"/>
        <v>0</v>
      </c>
      <c r="Q495" s="418">
        <f t="shared" si="147"/>
        <v>0</v>
      </c>
      <c r="R495" s="418">
        <f t="shared" si="148"/>
        <v>0</v>
      </c>
      <c r="S495" s="418">
        <f t="shared" si="149"/>
        <v>0</v>
      </c>
      <c r="T495" s="418">
        <f t="shared" si="150"/>
        <v>0</v>
      </c>
      <c r="V495" s="418">
        <f t="shared" si="151"/>
        <v>0</v>
      </c>
      <c r="W495" s="418">
        <f t="shared" si="152"/>
        <v>0</v>
      </c>
      <c r="X495" s="418">
        <f t="shared" si="141"/>
        <v>0</v>
      </c>
      <c r="Y495" s="418" t="str">
        <f t="shared" si="153"/>
        <v>101-</v>
      </c>
      <c r="Z495" s="418">
        <f t="shared" si="154"/>
        <v>0</v>
      </c>
      <c r="AA495" s="418">
        <f t="shared" si="155"/>
        <v>0</v>
      </c>
      <c r="AB495" s="418">
        <f t="shared" si="156"/>
        <v>0</v>
      </c>
      <c r="AC495" s="418">
        <f t="shared" si="157"/>
        <v>0</v>
      </c>
      <c r="AD495" s="418">
        <f t="shared" si="158"/>
        <v>0</v>
      </c>
      <c r="AE495" s="413">
        <f t="shared" si="159"/>
        <v>0</v>
      </c>
    </row>
    <row r="496" spans="1:31" x14ac:dyDescent="0.3">
      <c r="A496" s="418"/>
      <c r="B496" s="418"/>
      <c r="C496" s="418"/>
      <c r="D496" s="418" t="str">
        <f t="shared" si="142"/>
        <v>101-</v>
      </c>
      <c r="E496" s="418">
        <v>0</v>
      </c>
      <c r="F496" s="418">
        <v>0</v>
      </c>
      <c r="G496" s="418">
        <v>0</v>
      </c>
      <c r="H496" s="418">
        <v>0</v>
      </c>
      <c r="I496" s="418">
        <v>0</v>
      </c>
      <c r="J496" s="413">
        <v>0</v>
      </c>
      <c r="L496" s="418">
        <f t="shared" si="143"/>
        <v>0</v>
      </c>
      <c r="M496" s="418">
        <f t="shared" si="144"/>
        <v>0</v>
      </c>
      <c r="N496" s="418">
        <f t="shared" si="140"/>
        <v>0</v>
      </c>
      <c r="O496" s="418" t="str">
        <f t="shared" si="145"/>
        <v>101-</v>
      </c>
      <c r="P496" s="418">
        <f t="shared" si="146"/>
        <v>0</v>
      </c>
      <c r="Q496" s="418">
        <f t="shared" si="147"/>
        <v>0</v>
      </c>
      <c r="R496" s="418">
        <f t="shared" si="148"/>
        <v>0</v>
      </c>
      <c r="S496" s="418">
        <f t="shared" si="149"/>
        <v>0</v>
      </c>
      <c r="T496" s="418">
        <f t="shared" si="150"/>
        <v>0</v>
      </c>
      <c r="V496" s="418">
        <f t="shared" si="151"/>
        <v>0</v>
      </c>
      <c r="W496" s="418">
        <f t="shared" si="152"/>
        <v>0</v>
      </c>
      <c r="X496" s="418">
        <f t="shared" si="141"/>
        <v>0</v>
      </c>
      <c r="Y496" s="418" t="str">
        <f t="shared" si="153"/>
        <v>101-</v>
      </c>
      <c r="Z496" s="418">
        <f t="shared" si="154"/>
        <v>0</v>
      </c>
      <c r="AA496" s="418">
        <f t="shared" si="155"/>
        <v>0</v>
      </c>
      <c r="AB496" s="418">
        <f t="shared" si="156"/>
        <v>0</v>
      </c>
      <c r="AC496" s="418">
        <f t="shared" si="157"/>
        <v>0</v>
      </c>
      <c r="AD496" s="418">
        <f t="shared" si="158"/>
        <v>0</v>
      </c>
      <c r="AE496" s="413">
        <f t="shared" si="159"/>
        <v>0</v>
      </c>
    </row>
    <row r="497" spans="1:31" x14ac:dyDescent="0.3">
      <c r="A497" s="418"/>
      <c r="B497" s="418"/>
      <c r="C497" s="418"/>
      <c r="D497" s="418" t="str">
        <f t="shared" si="142"/>
        <v>101-</v>
      </c>
      <c r="E497" s="418">
        <v>0</v>
      </c>
      <c r="F497" s="418">
        <v>0</v>
      </c>
      <c r="G497" s="418">
        <v>0</v>
      </c>
      <c r="H497" s="418">
        <v>0</v>
      </c>
      <c r="I497" s="418">
        <v>0</v>
      </c>
      <c r="J497" s="413">
        <v>0</v>
      </c>
      <c r="L497" s="418">
        <f t="shared" si="143"/>
        <v>0</v>
      </c>
      <c r="M497" s="418">
        <f t="shared" si="144"/>
        <v>0</v>
      </c>
      <c r="N497" s="418">
        <f t="shared" si="140"/>
        <v>0</v>
      </c>
      <c r="O497" s="418" t="str">
        <f t="shared" si="145"/>
        <v>101-</v>
      </c>
      <c r="P497" s="418">
        <f t="shared" si="146"/>
        <v>0</v>
      </c>
      <c r="Q497" s="418">
        <f t="shared" si="147"/>
        <v>0</v>
      </c>
      <c r="R497" s="418">
        <f t="shared" si="148"/>
        <v>0</v>
      </c>
      <c r="S497" s="418">
        <f t="shared" si="149"/>
        <v>0</v>
      </c>
      <c r="T497" s="418">
        <f t="shared" si="150"/>
        <v>0</v>
      </c>
      <c r="V497" s="418">
        <f t="shared" si="151"/>
        <v>0</v>
      </c>
      <c r="W497" s="418">
        <f t="shared" si="152"/>
        <v>0</v>
      </c>
      <c r="X497" s="418">
        <f t="shared" si="141"/>
        <v>0</v>
      </c>
      <c r="Y497" s="418" t="str">
        <f t="shared" si="153"/>
        <v>101-</v>
      </c>
      <c r="Z497" s="418">
        <f t="shared" si="154"/>
        <v>0</v>
      </c>
      <c r="AA497" s="418">
        <f t="shared" si="155"/>
        <v>0</v>
      </c>
      <c r="AB497" s="418">
        <f t="shared" si="156"/>
        <v>0</v>
      </c>
      <c r="AC497" s="418">
        <f t="shared" si="157"/>
        <v>0</v>
      </c>
      <c r="AD497" s="418">
        <f t="shared" si="158"/>
        <v>0</v>
      </c>
      <c r="AE497" s="413">
        <f t="shared" si="159"/>
        <v>0</v>
      </c>
    </row>
    <row r="498" spans="1:31" x14ac:dyDescent="0.3">
      <c r="A498" s="418"/>
      <c r="B498" s="418"/>
      <c r="C498" s="418"/>
      <c r="D498" s="418" t="str">
        <f t="shared" si="142"/>
        <v>101-</v>
      </c>
      <c r="E498" s="418">
        <v>0</v>
      </c>
      <c r="F498" s="418">
        <v>0</v>
      </c>
      <c r="G498" s="418">
        <v>0</v>
      </c>
      <c r="H498" s="418">
        <v>0</v>
      </c>
      <c r="I498" s="418">
        <v>0</v>
      </c>
      <c r="J498" s="413">
        <v>0</v>
      </c>
      <c r="L498" s="418">
        <f t="shared" si="143"/>
        <v>0</v>
      </c>
      <c r="M498" s="418">
        <f t="shared" si="144"/>
        <v>0</v>
      </c>
      <c r="N498" s="418">
        <f t="shared" si="140"/>
        <v>0</v>
      </c>
      <c r="O498" s="418" t="str">
        <f t="shared" si="145"/>
        <v>101-</v>
      </c>
      <c r="P498" s="418">
        <f t="shared" si="146"/>
        <v>0</v>
      </c>
      <c r="Q498" s="418">
        <f t="shared" si="147"/>
        <v>0</v>
      </c>
      <c r="R498" s="418">
        <f t="shared" si="148"/>
        <v>0</v>
      </c>
      <c r="S498" s="418">
        <f t="shared" si="149"/>
        <v>0</v>
      </c>
      <c r="T498" s="418">
        <f t="shared" si="150"/>
        <v>0</v>
      </c>
      <c r="V498" s="418">
        <f t="shared" si="151"/>
        <v>0</v>
      </c>
      <c r="W498" s="418">
        <f t="shared" si="152"/>
        <v>0</v>
      </c>
      <c r="X498" s="418">
        <f t="shared" si="141"/>
        <v>0</v>
      </c>
      <c r="Y498" s="418" t="str">
        <f t="shared" si="153"/>
        <v>101-</v>
      </c>
      <c r="Z498" s="418">
        <f t="shared" si="154"/>
        <v>0</v>
      </c>
      <c r="AA498" s="418">
        <f t="shared" si="155"/>
        <v>0</v>
      </c>
      <c r="AB498" s="418">
        <f t="shared" si="156"/>
        <v>0</v>
      </c>
      <c r="AC498" s="418">
        <f t="shared" si="157"/>
        <v>0</v>
      </c>
      <c r="AD498" s="418">
        <f t="shared" si="158"/>
        <v>0</v>
      </c>
      <c r="AE498" s="413">
        <f t="shared" si="159"/>
        <v>0</v>
      </c>
    </row>
    <row r="499" spans="1:31" x14ac:dyDescent="0.3">
      <c r="A499" s="418"/>
      <c r="B499" s="418"/>
      <c r="C499" s="418"/>
      <c r="D499" s="418" t="str">
        <f t="shared" si="142"/>
        <v>101-</v>
      </c>
      <c r="E499" s="418">
        <v>0</v>
      </c>
      <c r="F499" s="418">
        <v>0</v>
      </c>
      <c r="G499" s="418">
        <v>0</v>
      </c>
      <c r="H499" s="418">
        <v>0</v>
      </c>
      <c r="I499" s="418">
        <v>0</v>
      </c>
      <c r="J499" s="413">
        <v>0</v>
      </c>
      <c r="L499" s="418">
        <f t="shared" si="143"/>
        <v>0</v>
      </c>
      <c r="M499" s="418">
        <f t="shared" si="144"/>
        <v>0</v>
      </c>
      <c r="N499" s="418">
        <f t="shared" si="140"/>
        <v>0</v>
      </c>
      <c r="O499" s="418" t="str">
        <f t="shared" si="145"/>
        <v>101-</v>
      </c>
      <c r="P499" s="418">
        <f t="shared" si="146"/>
        <v>0</v>
      </c>
      <c r="Q499" s="418">
        <f t="shared" si="147"/>
        <v>0</v>
      </c>
      <c r="R499" s="418">
        <f t="shared" si="148"/>
        <v>0</v>
      </c>
      <c r="S499" s="418">
        <f t="shared" si="149"/>
        <v>0</v>
      </c>
      <c r="T499" s="418">
        <f t="shared" si="150"/>
        <v>0</v>
      </c>
      <c r="V499" s="418">
        <f t="shared" si="151"/>
        <v>0</v>
      </c>
      <c r="W499" s="418">
        <f t="shared" si="152"/>
        <v>0</v>
      </c>
      <c r="X499" s="418">
        <f t="shared" si="141"/>
        <v>0</v>
      </c>
      <c r="Y499" s="418" t="str">
        <f t="shared" si="153"/>
        <v>101-</v>
      </c>
      <c r="Z499" s="418">
        <f t="shared" si="154"/>
        <v>0</v>
      </c>
      <c r="AA499" s="418">
        <f t="shared" si="155"/>
        <v>0</v>
      </c>
      <c r="AB499" s="418">
        <f t="shared" si="156"/>
        <v>0</v>
      </c>
      <c r="AC499" s="418">
        <f t="shared" si="157"/>
        <v>0</v>
      </c>
      <c r="AD499" s="418">
        <f t="shared" si="158"/>
        <v>0</v>
      </c>
      <c r="AE499" s="413">
        <f t="shared" si="159"/>
        <v>0</v>
      </c>
    </row>
    <row r="500" spans="1:31" x14ac:dyDescent="0.3">
      <c r="A500" s="418"/>
      <c r="B500" s="418"/>
      <c r="C500" s="418"/>
      <c r="D500" s="418" t="str">
        <f t="shared" si="142"/>
        <v>101-</v>
      </c>
      <c r="E500" s="418">
        <v>0</v>
      </c>
      <c r="F500" s="418">
        <v>0</v>
      </c>
      <c r="G500" s="418">
        <v>0</v>
      </c>
      <c r="H500" s="418">
        <v>0</v>
      </c>
      <c r="I500" s="418">
        <v>0</v>
      </c>
      <c r="J500" s="413">
        <v>0</v>
      </c>
      <c r="L500" s="418">
        <f t="shared" si="143"/>
        <v>0</v>
      </c>
      <c r="M500" s="418">
        <f t="shared" si="144"/>
        <v>0</v>
      </c>
      <c r="N500" s="418">
        <f t="shared" si="140"/>
        <v>0</v>
      </c>
      <c r="O500" s="418" t="str">
        <f t="shared" si="145"/>
        <v>101-</v>
      </c>
      <c r="P500" s="418">
        <f t="shared" si="146"/>
        <v>0</v>
      </c>
      <c r="Q500" s="418">
        <f t="shared" si="147"/>
        <v>0</v>
      </c>
      <c r="R500" s="418">
        <f t="shared" si="148"/>
        <v>0</v>
      </c>
      <c r="S500" s="418">
        <f t="shared" si="149"/>
        <v>0</v>
      </c>
      <c r="T500" s="418">
        <f t="shared" si="150"/>
        <v>0</v>
      </c>
      <c r="V500" s="418">
        <f t="shared" si="151"/>
        <v>0</v>
      </c>
      <c r="W500" s="418">
        <f t="shared" si="152"/>
        <v>0</v>
      </c>
      <c r="X500" s="418">
        <f t="shared" si="141"/>
        <v>0</v>
      </c>
      <c r="Y500" s="418" t="str">
        <f t="shared" si="153"/>
        <v>101-</v>
      </c>
      <c r="Z500" s="418">
        <f t="shared" si="154"/>
        <v>0</v>
      </c>
      <c r="AA500" s="418">
        <f t="shared" si="155"/>
        <v>0</v>
      </c>
      <c r="AB500" s="418">
        <f t="shared" si="156"/>
        <v>0</v>
      </c>
      <c r="AC500" s="418">
        <f t="shared" si="157"/>
        <v>0</v>
      </c>
      <c r="AD500" s="418">
        <f t="shared" si="158"/>
        <v>0</v>
      </c>
      <c r="AE500" s="413">
        <f t="shared" si="159"/>
        <v>0</v>
      </c>
    </row>
    <row r="501" spans="1:31" x14ac:dyDescent="0.3">
      <c r="A501" s="418"/>
      <c r="B501" s="418"/>
      <c r="C501" s="418"/>
      <c r="D501" s="418" t="str">
        <f t="shared" si="142"/>
        <v>101-</v>
      </c>
      <c r="E501" s="418">
        <v>0</v>
      </c>
      <c r="F501" s="418">
        <v>0</v>
      </c>
      <c r="G501" s="418">
        <v>0</v>
      </c>
      <c r="H501" s="418">
        <v>0</v>
      </c>
      <c r="I501" s="418">
        <v>0</v>
      </c>
      <c r="J501" s="413">
        <v>0</v>
      </c>
      <c r="L501" s="418">
        <f t="shared" si="143"/>
        <v>0</v>
      </c>
      <c r="M501" s="418">
        <f t="shared" si="144"/>
        <v>0</v>
      </c>
      <c r="N501" s="418">
        <f t="shared" si="140"/>
        <v>0</v>
      </c>
      <c r="O501" s="418" t="str">
        <f t="shared" si="145"/>
        <v>101-</v>
      </c>
      <c r="P501" s="418">
        <f t="shared" si="146"/>
        <v>0</v>
      </c>
      <c r="Q501" s="418">
        <f t="shared" si="147"/>
        <v>0</v>
      </c>
      <c r="R501" s="418">
        <f t="shared" si="148"/>
        <v>0</v>
      </c>
      <c r="S501" s="418">
        <f t="shared" si="149"/>
        <v>0</v>
      </c>
      <c r="T501" s="418">
        <f t="shared" si="150"/>
        <v>0</v>
      </c>
      <c r="V501" s="418">
        <f t="shared" si="151"/>
        <v>0</v>
      </c>
      <c r="W501" s="418">
        <f t="shared" si="152"/>
        <v>0</v>
      </c>
      <c r="X501" s="418">
        <f t="shared" si="141"/>
        <v>0</v>
      </c>
      <c r="Y501" s="418" t="str">
        <f t="shared" si="153"/>
        <v>101-</v>
      </c>
      <c r="Z501" s="418">
        <f t="shared" si="154"/>
        <v>0</v>
      </c>
      <c r="AA501" s="418">
        <f t="shared" si="155"/>
        <v>0</v>
      </c>
      <c r="AB501" s="418">
        <f t="shared" si="156"/>
        <v>0</v>
      </c>
      <c r="AC501" s="418">
        <f t="shared" si="157"/>
        <v>0</v>
      </c>
      <c r="AD501" s="418">
        <f t="shared" si="158"/>
        <v>0</v>
      </c>
      <c r="AE501" s="413">
        <f t="shared" si="159"/>
        <v>0</v>
      </c>
    </row>
    <row r="502" spans="1:31" x14ac:dyDescent="0.3">
      <c r="A502" s="418"/>
      <c r="B502" s="418"/>
      <c r="C502" s="418"/>
      <c r="D502" s="418" t="str">
        <f t="shared" si="142"/>
        <v>101-</v>
      </c>
      <c r="E502" s="418">
        <v>0</v>
      </c>
      <c r="F502" s="418">
        <v>0</v>
      </c>
      <c r="G502" s="418">
        <v>0</v>
      </c>
      <c r="H502" s="418">
        <v>0</v>
      </c>
      <c r="I502" s="418">
        <v>0</v>
      </c>
      <c r="J502" s="413">
        <v>0</v>
      </c>
      <c r="L502" s="418">
        <f t="shared" si="143"/>
        <v>0</v>
      </c>
      <c r="M502" s="418">
        <f t="shared" si="144"/>
        <v>0</v>
      </c>
      <c r="N502" s="418">
        <f t="shared" si="140"/>
        <v>0</v>
      </c>
      <c r="O502" s="418" t="str">
        <f t="shared" si="145"/>
        <v>101-</v>
      </c>
      <c r="P502" s="418">
        <f t="shared" si="146"/>
        <v>0</v>
      </c>
      <c r="Q502" s="418">
        <f t="shared" si="147"/>
        <v>0</v>
      </c>
      <c r="R502" s="418">
        <f t="shared" si="148"/>
        <v>0</v>
      </c>
      <c r="S502" s="418">
        <f t="shared" si="149"/>
        <v>0</v>
      </c>
      <c r="T502" s="418">
        <f t="shared" si="150"/>
        <v>0</v>
      </c>
      <c r="V502" s="418">
        <f t="shared" si="151"/>
        <v>0</v>
      </c>
      <c r="W502" s="418">
        <f t="shared" si="152"/>
        <v>0</v>
      </c>
      <c r="X502" s="418">
        <f t="shared" si="141"/>
        <v>0</v>
      </c>
      <c r="Y502" s="418" t="str">
        <f t="shared" si="153"/>
        <v>101-</v>
      </c>
      <c r="Z502" s="418">
        <f t="shared" si="154"/>
        <v>0</v>
      </c>
      <c r="AA502" s="418">
        <f t="shared" si="155"/>
        <v>0</v>
      </c>
      <c r="AB502" s="418">
        <f t="shared" si="156"/>
        <v>0</v>
      </c>
      <c r="AC502" s="418">
        <f t="shared" si="157"/>
        <v>0</v>
      </c>
      <c r="AD502" s="418">
        <f t="shared" si="158"/>
        <v>0</v>
      </c>
      <c r="AE502" s="413">
        <f t="shared" si="159"/>
        <v>0</v>
      </c>
    </row>
    <row r="503" spans="1:31" x14ac:dyDescent="0.3">
      <c r="A503" s="418"/>
      <c r="B503" s="418"/>
      <c r="C503" s="418"/>
      <c r="D503" s="418" t="str">
        <f t="shared" si="142"/>
        <v>101-</v>
      </c>
      <c r="E503" s="418">
        <v>0</v>
      </c>
      <c r="F503" s="418">
        <v>0</v>
      </c>
      <c r="G503" s="418">
        <v>0</v>
      </c>
      <c r="H503" s="418">
        <v>0</v>
      </c>
      <c r="I503" s="418">
        <v>0</v>
      </c>
      <c r="J503" s="413">
        <v>0</v>
      </c>
      <c r="L503" s="418">
        <f t="shared" si="143"/>
        <v>0</v>
      </c>
      <c r="M503" s="418">
        <f t="shared" si="144"/>
        <v>0</v>
      </c>
      <c r="N503" s="418">
        <f t="shared" si="140"/>
        <v>0</v>
      </c>
      <c r="O503" s="418" t="str">
        <f t="shared" si="145"/>
        <v>101-</v>
      </c>
      <c r="P503" s="418">
        <f t="shared" si="146"/>
        <v>0</v>
      </c>
      <c r="Q503" s="418">
        <f t="shared" si="147"/>
        <v>0</v>
      </c>
      <c r="R503" s="418">
        <f t="shared" si="148"/>
        <v>0</v>
      </c>
      <c r="S503" s="418">
        <f t="shared" si="149"/>
        <v>0</v>
      </c>
      <c r="T503" s="418">
        <f t="shared" si="150"/>
        <v>0</v>
      </c>
      <c r="V503" s="418">
        <f t="shared" si="151"/>
        <v>0</v>
      </c>
      <c r="W503" s="418">
        <f t="shared" si="152"/>
        <v>0</v>
      </c>
      <c r="X503" s="418">
        <f t="shared" si="141"/>
        <v>0</v>
      </c>
      <c r="Y503" s="418" t="str">
        <f t="shared" si="153"/>
        <v>101-</v>
      </c>
      <c r="Z503" s="418">
        <f t="shared" si="154"/>
        <v>0</v>
      </c>
      <c r="AA503" s="418">
        <f t="shared" si="155"/>
        <v>0</v>
      </c>
      <c r="AB503" s="418">
        <f t="shared" si="156"/>
        <v>0</v>
      </c>
      <c r="AC503" s="418">
        <f t="shared" si="157"/>
        <v>0</v>
      </c>
      <c r="AD503" s="418">
        <f t="shared" si="158"/>
        <v>0</v>
      </c>
      <c r="AE503" s="413">
        <f t="shared" si="159"/>
        <v>0</v>
      </c>
    </row>
    <row r="504" spans="1:31" x14ac:dyDescent="0.3">
      <c r="A504" s="418"/>
      <c r="B504" s="418"/>
      <c r="C504" s="418"/>
      <c r="D504" s="418" t="str">
        <f t="shared" si="142"/>
        <v>101-</v>
      </c>
      <c r="E504" s="418">
        <v>0</v>
      </c>
      <c r="F504" s="418">
        <v>0</v>
      </c>
      <c r="G504" s="418">
        <v>0</v>
      </c>
      <c r="H504" s="418">
        <v>0</v>
      </c>
      <c r="I504" s="418">
        <v>0</v>
      </c>
      <c r="J504" s="413">
        <v>0</v>
      </c>
      <c r="L504" s="418">
        <f t="shared" si="143"/>
        <v>0</v>
      </c>
      <c r="M504" s="418">
        <f t="shared" si="144"/>
        <v>0</v>
      </c>
      <c r="N504" s="418">
        <f t="shared" si="140"/>
        <v>0</v>
      </c>
      <c r="O504" s="418" t="str">
        <f t="shared" si="145"/>
        <v>101-</v>
      </c>
      <c r="P504" s="418">
        <f t="shared" si="146"/>
        <v>0</v>
      </c>
      <c r="Q504" s="418">
        <f t="shared" si="147"/>
        <v>0</v>
      </c>
      <c r="R504" s="418">
        <f t="shared" si="148"/>
        <v>0</v>
      </c>
      <c r="S504" s="418">
        <f t="shared" si="149"/>
        <v>0</v>
      </c>
      <c r="T504" s="418">
        <f t="shared" si="150"/>
        <v>0</v>
      </c>
      <c r="V504" s="418">
        <f t="shared" si="151"/>
        <v>0</v>
      </c>
      <c r="W504" s="418">
        <f t="shared" si="152"/>
        <v>0</v>
      </c>
      <c r="X504" s="418">
        <f t="shared" si="141"/>
        <v>0</v>
      </c>
      <c r="Y504" s="418" t="str">
        <f t="shared" si="153"/>
        <v>101-</v>
      </c>
      <c r="Z504" s="418">
        <f t="shared" si="154"/>
        <v>0</v>
      </c>
      <c r="AA504" s="418">
        <f t="shared" si="155"/>
        <v>0</v>
      </c>
      <c r="AB504" s="418">
        <f t="shared" si="156"/>
        <v>0</v>
      </c>
      <c r="AC504" s="418">
        <f t="shared" si="157"/>
        <v>0</v>
      </c>
      <c r="AD504" s="418">
        <f t="shared" si="158"/>
        <v>0</v>
      </c>
      <c r="AE504" s="413">
        <f t="shared" si="159"/>
        <v>0</v>
      </c>
    </row>
    <row r="505" spans="1:31" x14ac:dyDescent="0.3">
      <c r="A505" s="418"/>
      <c r="B505" s="418"/>
      <c r="C505" s="418"/>
      <c r="D505" s="418" t="str">
        <f t="shared" si="142"/>
        <v>101-</v>
      </c>
      <c r="E505" s="418">
        <v>0</v>
      </c>
      <c r="F505" s="418">
        <v>0</v>
      </c>
      <c r="G505" s="418">
        <v>0</v>
      </c>
      <c r="H505" s="418">
        <v>0</v>
      </c>
      <c r="I505" s="418">
        <v>0</v>
      </c>
      <c r="J505" s="413">
        <v>0</v>
      </c>
      <c r="L505" s="418">
        <f t="shared" si="143"/>
        <v>0</v>
      </c>
      <c r="M505" s="418">
        <f t="shared" si="144"/>
        <v>0</v>
      </c>
      <c r="N505" s="418">
        <f t="shared" si="140"/>
        <v>0</v>
      </c>
      <c r="O505" s="418" t="str">
        <f t="shared" si="145"/>
        <v>101-</v>
      </c>
      <c r="P505" s="418">
        <f t="shared" si="146"/>
        <v>0</v>
      </c>
      <c r="Q505" s="418">
        <f t="shared" si="147"/>
        <v>0</v>
      </c>
      <c r="R505" s="418">
        <f t="shared" si="148"/>
        <v>0</v>
      </c>
      <c r="S505" s="418">
        <f t="shared" si="149"/>
        <v>0</v>
      </c>
      <c r="T505" s="418">
        <f t="shared" si="150"/>
        <v>0</v>
      </c>
      <c r="V505" s="418">
        <f t="shared" si="151"/>
        <v>0</v>
      </c>
      <c r="W505" s="418">
        <f t="shared" si="152"/>
        <v>0</v>
      </c>
      <c r="X505" s="418">
        <f t="shared" si="141"/>
        <v>0</v>
      </c>
      <c r="Y505" s="418" t="str">
        <f t="shared" si="153"/>
        <v>101-</v>
      </c>
      <c r="Z505" s="418">
        <f t="shared" si="154"/>
        <v>0</v>
      </c>
      <c r="AA505" s="418">
        <f t="shared" si="155"/>
        <v>0</v>
      </c>
      <c r="AB505" s="418">
        <f t="shared" si="156"/>
        <v>0</v>
      </c>
      <c r="AC505" s="418">
        <f t="shared" si="157"/>
        <v>0</v>
      </c>
      <c r="AD505" s="418">
        <f t="shared" si="158"/>
        <v>0</v>
      </c>
      <c r="AE505" s="413">
        <f t="shared" si="159"/>
        <v>0</v>
      </c>
    </row>
    <row r="506" spans="1:31" x14ac:dyDescent="0.3">
      <c r="A506" s="418"/>
      <c r="B506" s="418"/>
      <c r="C506" s="418"/>
      <c r="D506" s="418" t="str">
        <f t="shared" si="142"/>
        <v>101-</v>
      </c>
      <c r="E506" s="418">
        <v>0</v>
      </c>
      <c r="F506" s="418">
        <v>0</v>
      </c>
      <c r="G506" s="418">
        <v>0</v>
      </c>
      <c r="H506" s="418">
        <v>0</v>
      </c>
      <c r="I506" s="418">
        <v>0</v>
      </c>
      <c r="J506" s="413">
        <v>0</v>
      </c>
      <c r="L506" s="418">
        <f t="shared" si="143"/>
        <v>0</v>
      </c>
      <c r="M506" s="418">
        <f t="shared" si="144"/>
        <v>0</v>
      </c>
      <c r="N506" s="418">
        <f t="shared" si="140"/>
        <v>0</v>
      </c>
      <c r="O506" s="418" t="str">
        <f t="shared" si="145"/>
        <v>101-</v>
      </c>
      <c r="P506" s="418">
        <f t="shared" si="146"/>
        <v>0</v>
      </c>
      <c r="Q506" s="418">
        <f t="shared" si="147"/>
        <v>0</v>
      </c>
      <c r="R506" s="418">
        <f t="shared" si="148"/>
        <v>0</v>
      </c>
      <c r="S506" s="418">
        <f t="shared" si="149"/>
        <v>0</v>
      </c>
      <c r="T506" s="418">
        <f t="shared" si="150"/>
        <v>0</v>
      </c>
      <c r="V506" s="418">
        <f t="shared" si="151"/>
        <v>0</v>
      </c>
      <c r="W506" s="418">
        <f t="shared" si="152"/>
        <v>0</v>
      </c>
      <c r="X506" s="418">
        <f t="shared" si="141"/>
        <v>0</v>
      </c>
      <c r="Y506" s="418" t="str">
        <f t="shared" si="153"/>
        <v>101-</v>
      </c>
      <c r="Z506" s="418">
        <f t="shared" si="154"/>
        <v>0</v>
      </c>
      <c r="AA506" s="418">
        <f t="shared" si="155"/>
        <v>0</v>
      </c>
      <c r="AB506" s="418">
        <f t="shared" si="156"/>
        <v>0</v>
      </c>
      <c r="AC506" s="418">
        <f t="shared" si="157"/>
        <v>0</v>
      </c>
      <c r="AD506" s="418">
        <f t="shared" si="158"/>
        <v>0</v>
      </c>
      <c r="AE506" s="413">
        <f t="shared" si="159"/>
        <v>0</v>
      </c>
    </row>
    <row r="507" spans="1:31" x14ac:dyDescent="0.3">
      <c r="A507" s="418"/>
      <c r="B507" s="418"/>
      <c r="C507" s="418"/>
      <c r="D507" s="418" t="str">
        <f t="shared" si="142"/>
        <v>101-</v>
      </c>
      <c r="E507" s="418">
        <v>0</v>
      </c>
      <c r="F507" s="418">
        <v>0</v>
      </c>
      <c r="G507" s="418">
        <v>0</v>
      </c>
      <c r="H507" s="418">
        <v>0</v>
      </c>
      <c r="I507" s="418">
        <v>0</v>
      </c>
      <c r="J507" s="413">
        <v>0</v>
      </c>
      <c r="L507" s="418">
        <f t="shared" si="143"/>
        <v>0</v>
      </c>
      <c r="M507" s="418">
        <f t="shared" si="144"/>
        <v>0</v>
      </c>
      <c r="N507" s="418">
        <f t="shared" si="140"/>
        <v>0</v>
      </c>
      <c r="O507" s="418" t="str">
        <f t="shared" si="145"/>
        <v>101-</v>
      </c>
      <c r="P507" s="418">
        <f t="shared" si="146"/>
        <v>0</v>
      </c>
      <c r="Q507" s="418">
        <f t="shared" si="147"/>
        <v>0</v>
      </c>
      <c r="R507" s="418">
        <f t="shared" si="148"/>
        <v>0</v>
      </c>
      <c r="S507" s="418">
        <f t="shared" si="149"/>
        <v>0</v>
      </c>
      <c r="T507" s="418">
        <f t="shared" si="150"/>
        <v>0</v>
      </c>
      <c r="V507" s="418">
        <f t="shared" si="151"/>
        <v>0</v>
      </c>
      <c r="W507" s="418">
        <f t="shared" si="152"/>
        <v>0</v>
      </c>
      <c r="X507" s="418">
        <f t="shared" si="141"/>
        <v>0</v>
      </c>
      <c r="Y507" s="418" t="str">
        <f t="shared" si="153"/>
        <v>101-</v>
      </c>
      <c r="Z507" s="418">
        <f t="shared" si="154"/>
        <v>0</v>
      </c>
      <c r="AA507" s="418">
        <f t="shared" si="155"/>
        <v>0</v>
      </c>
      <c r="AB507" s="418">
        <f t="shared" si="156"/>
        <v>0</v>
      </c>
      <c r="AC507" s="418">
        <f t="shared" si="157"/>
        <v>0</v>
      </c>
      <c r="AD507" s="418">
        <f t="shared" si="158"/>
        <v>0</v>
      </c>
      <c r="AE507" s="413">
        <f t="shared" si="159"/>
        <v>0</v>
      </c>
    </row>
    <row r="508" spans="1:31" x14ac:dyDescent="0.3">
      <c r="A508" s="418"/>
      <c r="B508" s="418"/>
      <c r="C508" s="418"/>
      <c r="D508" s="418" t="str">
        <f t="shared" si="142"/>
        <v>101-</v>
      </c>
      <c r="E508" s="418">
        <v>0</v>
      </c>
      <c r="F508" s="418">
        <v>0</v>
      </c>
      <c r="G508" s="418">
        <v>0</v>
      </c>
      <c r="H508" s="418">
        <v>0</v>
      </c>
      <c r="I508" s="418">
        <v>0</v>
      </c>
      <c r="J508" s="413">
        <v>0</v>
      </c>
      <c r="L508" s="418">
        <f t="shared" si="143"/>
        <v>0</v>
      </c>
      <c r="M508" s="418">
        <f t="shared" si="144"/>
        <v>0</v>
      </c>
      <c r="N508" s="418">
        <f t="shared" si="140"/>
        <v>0</v>
      </c>
      <c r="O508" s="418" t="str">
        <f t="shared" si="145"/>
        <v>101-</v>
      </c>
      <c r="P508" s="418">
        <f t="shared" si="146"/>
        <v>0</v>
      </c>
      <c r="Q508" s="418">
        <f t="shared" si="147"/>
        <v>0</v>
      </c>
      <c r="R508" s="418">
        <f t="shared" si="148"/>
        <v>0</v>
      </c>
      <c r="S508" s="418">
        <f t="shared" si="149"/>
        <v>0</v>
      </c>
      <c r="T508" s="418">
        <f t="shared" si="150"/>
        <v>0</v>
      </c>
      <c r="V508" s="418">
        <f t="shared" si="151"/>
        <v>0</v>
      </c>
      <c r="W508" s="418">
        <f t="shared" si="152"/>
        <v>0</v>
      </c>
      <c r="X508" s="418">
        <f t="shared" si="141"/>
        <v>0</v>
      </c>
      <c r="Y508" s="418" t="str">
        <f t="shared" si="153"/>
        <v>101-</v>
      </c>
      <c r="Z508" s="418">
        <f t="shared" si="154"/>
        <v>0</v>
      </c>
      <c r="AA508" s="418">
        <f t="shared" si="155"/>
        <v>0</v>
      </c>
      <c r="AB508" s="418">
        <f t="shared" si="156"/>
        <v>0</v>
      </c>
      <c r="AC508" s="418">
        <f t="shared" si="157"/>
        <v>0</v>
      </c>
      <c r="AD508" s="418">
        <f t="shared" si="158"/>
        <v>0</v>
      </c>
      <c r="AE508" s="413">
        <f t="shared" si="159"/>
        <v>0</v>
      </c>
    </row>
    <row r="509" spans="1:31" x14ac:dyDescent="0.3">
      <c r="A509" s="418"/>
      <c r="B509" s="418"/>
      <c r="C509" s="418"/>
      <c r="D509" s="418" t="str">
        <f t="shared" si="142"/>
        <v>101-</v>
      </c>
      <c r="E509" s="418">
        <v>0</v>
      </c>
      <c r="F509" s="418">
        <v>0</v>
      </c>
      <c r="G509" s="418">
        <v>0</v>
      </c>
      <c r="H509" s="418">
        <v>0</v>
      </c>
      <c r="I509" s="418">
        <v>0</v>
      </c>
      <c r="J509" s="413">
        <v>0</v>
      </c>
      <c r="K509" s="426"/>
      <c r="L509" s="416">
        <f t="shared" si="143"/>
        <v>0</v>
      </c>
      <c r="M509" s="416">
        <f t="shared" si="144"/>
        <v>0</v>
      </c>
      <c r="N509" s="418">
        <f t="shared" si="140"/>
        <v>0</v>
      </c>
      <c r="O509" s="416" t="str">
        <f t="shared" si="145"/>
        <v>101-</v>
      </c>
      <c r="P509" s="416">
        <f t="shared" si="146"/>
        <v>0</v>
      </c>
      <c r="Q509" s="416">
        <f t="shared" si="147"/>
        <v>0</v>
      </c>
      <c r="R509" s="416">
        <f t="shared" si="148"/>
        <v>0</v>
      </c>
      <c r="S509" s="416">
        <f t="shared" si="149"/>
        <v>0</v>
      </c>
      <c r="T509" s="416">
        <f t="shared" si="150"/>
        <v>0</v>
      </c>
      <c r="U509" s="426"/>
      <c r="V509" s="416">
        <f t="shared" si="151"/>
        <v>0</v>
      </c>
      <c r="W509" s="416">
        <f t="shared" si="152"/>
        <v>0</v>
      </c>
      <c r="X509" s="418">
        <f t="shared" si="141"/>
        <v>0</v>
      </c>
      <c r="Y509" s="416" t="str">
        <f t="shared" si="153"/>
        <v>101-</v>
      </c>
      <c r="Z509" s="416">
        <f t="shared" si="154"/>
        <v>0</v>
      </c>
      <c r="AA509" s="416">
        <f t="shared" si="155"/>
        <v>0</v>
      </c>
      <c r="AB509" s="416">
        <f t="shared" si="156"/>
        <v>0</v>
      </c>
      <c r="AC509" s="416">
        <f t="shared" si="157"/>
        <v>0</v>
      </c>
      <c r="AD509" s="416">
        <f t="shared" si="158"/>
        <v>0</v>
      </c>
      <c r="AE509" s="413">
        <f t="shared" si="159"/>
        <v>0</v>
      </c>
    </row>
    <row r="510" spans="1:31" x14ac:dyDescent="0.3">
      <c r="A510" s="418" t="s">
        <v>828</v>
      </c>
      <c r="E510" s="413">
        <f>SUM(E5:E509)</f>
        <v>0</v>
      </c>
      <c r="F510" s="413">
        <f>SUM(F5:F509)</f>
        <v>764311458.02000034</v>
      </c>
      <c r="G510" s="413">
        <f>SUM(G5:G509)</f>
        <v>1090750198.3300002</v>
      </c>
      <c r="H510" s="413">
        <f>SUM(H5:H509)</f>
        <v>2238500821.6900001</v>
      </c>
      <c r="I510" s="413">
        <f>SUM(I5:I509)</f>
        <v>0</v>
      </c>
      <c r="L510" s="418" t="s">
        <v>828</v>
      </c>
      <c r="P510" s="413">
        <f>SUM(P5:P509)</f>
        <v>0</v>
      </c>
      <c r="Q510" s="413">
        <f>SUM(Q5:Q509)</f>
        <v>489130751.2158702</v>
      </c>
      <c r="R510" s="413">
        <f>SUM(R5:R509)</f>
        <v>731875290.19723868</v>
      </c>
      <c r="S510" s="413">
        <f>SUM(S5:S509)</f>
        <v>1530295552.6361754</v>
      </c>
      <c r="T510" s="413">
        <f>SUM(T5:T509)</f>
        <v>0</v>
      </c>
      <c r="V510" s="418" t="s">
        <v>828</v>
      </c>
      <c r="Z510" s="413">
        <f>SUM(Z5:Z509)</f>
        <v>0</v>
      </c>
      <c r="AA510" s="413">
        <f>SUM(AA5:AA509)</f>
        <v>275180706.80413014</v>
      </c>
      <c r="AB510" s="413">
        <f>SUM(AB5:AB509)</f>
        <v>358874908.1327619</v>
      </c>
      <c r="AC510" s="413">
        <f>SUM(AC5:AC509)</f>
        <v>708205269.05382383</v>
      </c>
      <c r="AD510" s="413">
        <f>SUM(AD5:AD509)</f>
        <v>0</v>
      </c>
    </row>
    <row r="511" spans="1:31" x14ac:dyDescent="0.3">
      <c r="A511" s="418" t="s">
        <v>1708</v>
      </c>
      <c r="E511" s="413">
        <v>0</v>
      </c>
      <c r="F511" s="413">
        <v>0</v>
      </c>
      <c r="G511" s="413">
        <v>0</v>
      </c>
      <c r="H511" s="413">
        <v>0</v>
      </c>
      <c r="I511" s="413">
        <v>0</v>
      </c>
    </row>
    <row r="513" spans="1:30" x14ac:dyDescent="0.3">
      <c r="E513" s="413"/>
    </row>
    <row r="514" spans="1:30" x14ac:dyDescent="0.3">
      <c r="A514" s="433"/>
      <c r="C514" s="433"/>
      <c r="E514" s="413">
        <f>SUMIF($D$5:$D$509,$A514,$E$5:$E$509)+SUMIF($D$5:$D$509,$B514,$E$5:$E$509)*0.35</f>
        <v>0</v>
      </c>
      <c r="O514" s="411" t="s">
        <v>1707</v>
      </c>
      <c r="P514" s="418">
        <f t="shared" ref="P514:T523" si="160">SUMIF($O$5:$O$509,$O514,P$5:P$509)</f>
        <v>0</v>
      </c>
      <c r="Q514" s="418">
        <f t="shared" si="160"/>
        <v>96683.865600000005</v>
      </c>
      <c r="R514" s="418">
        <f t="shared" si="160"/>
        <v>100712.35780199998</v>
      </c>
      <c r="S514" s="418">
        <f t="shared" si="160"/>
        <v>197476.78229999999</v>
      </c>
      <c r="T514" s="418">
        <f t="shared" si="160"/>
        <v>0</v>
      </c>
      <c r="X514" s="433"/>
      <c r="Y514" s="411" t="s">
        <v>1707</v>
      </c>
      <c r="Z514" s="418">
        <f t="shared" ref="Z514:Z552" si="161">SUMIF($Y$5:$Y$509,$Y514,Z$5:Z$509)</f>
        <v>0</v>
      </c>
      <c r="AA514" s="413">
        <f t="shared" ref="AA514:AD533" si="162">SUMIF($Y$5:$Y$509,$V514,AA$5:AA$509)+SUMIF($Y$5:$Y$509,$W514,AA$5:AA$509)+SUMIF($Y$5:$Y$509,$X514,AA$5:AA$509)+SUMIF($Y$5:$Y$509,$Y514,AA$5:AA$509)</f>
        <v>49940.134400000003</v>
      </c>
      <c r="AB514" s="413">
        <f t="shared" si="162"/>
        <v>52020.972197999996</v>
      </c>
      <c r="AC514" s="413">
        <f t="shared" si="162"/>
        <v>102002.71770000001</v>
      </c>
      <c r="AD514" s="413">
        <f t="shared" si="162"/>
        <v>0</v>
      </c>
    </row>
    <row r="515" spans="1:30" x14ac:dyDescent="0.3">
      <c r="A515" s="433"/>
      <c r="C515" s="433"/>
      <c r="O515" s="411" t="s">
        <v>1706</v>
      </c>
      <c r="P515" s="418">
        <f t="shared" si="160"/>
        <v>0</v>
      </c>
      <c r="Q515" s="418">
        <f t="shared" si="160"/>
        <v>33122741.431205995</v>
      </c>
      <c r="R515" s="418">
        <f t="shared" si="160"/>
        <v>51707867.003520004</v>
      </c>
      <c r="S515" s="418">
        <f t="shared" si="160"/>
        <v>117823928.72896799</v>
      </c>
      <c r="T515" s="418">
        <f t="shared" si="160"/>
        <v>0</v>
      </c>
      <c r="X515" s="433"/>
      <c r="Y515" s="411" t="s">
        <v>1706</v>
      </c>
      <c r="Z515" s="418">
        <f t="shared" si="161"/>
        <v>0</v>
      </c>
      <c r="AA515" s="413">
        <f t="shared" si="162"/>
        <v>17108895.558793999</v>
      </c>
      <c r="AB515" s="413">
        <f t="shared" si="162"/>
        <v>26708673.79648</v>
      </c>
      <c r="AC515" s="413">
        <f t="shared" si="162"/>
        <v>60859614.991032004</v>
      </c>
      <c r="AD515" s="413">
        <f t="shared" si="162"/>
        <v>0</v>
      </c>
    </row>
    <row r="516" spans="1:30" x14ac:dyDescent="0.3">
      <c r="A516" s="433"/>
      <c r="C516" s="433"/>
      <c r="O516" s="411" t="s">
        <v>1705</v>
      </c>
      <c r="P516" s="418">
        <f t="shared" si="160"/>
        <v>0</v>
      </c>
      <c r="Q516" s="418">
        <f t="shared" si="160"/>
        <v>0</v>
      </c>
      <c r="R516" s="418">
        <f t="shared" si="160"/>
        <v>1846320.0065939999</v>
      </c>
      <c r="S516" s="418">
        <f t="shared" si="160"/>
        <v>5966646.6223980002</v>
      </c>
      <c r="T516" s="418">
        <f t="shared" si="160"/>
        <v>0</v>
      </c>
      <c r="X516" s="433"/>
      <c r="Y516" s="411" t="s">
        <v>1705</v>
      </c>
      <c r="Z516" s="418">
        <f t="shared" si="161"/>
        <v>0</v>
      </c>
      <c r="AA516" s="413">
        <f t="shared" si="162"/>
        <v>0</v>
      </c>
      <c r="AB516" s="413">
        <f t="shared" si="162"/>
        <v>953680.00340599997</v>
      </c>
      <c r="AC516" s="413">
        <f t="shared" si="162"/>
        <v>3081953.0476020002</v>
      </c>
      <c r="AD516" s="413">
        <f t="shared" si="162"/>
        <v>0</v>
      </c>
    </row>
    <row r="517" spans="1:30" x14ac:dyDescent="0.3">
      <c r="A517" s="433"/>
      <c r="C517" s="433"/>
      <c r="O517" s="411" t="s">
        <v>1704</v>
      </c>
      <c r="P517" s="418">
        <f t="shared" si="160"/>
        <v>0</v>
      </c>
      <c r="Q517" s="418">
        <f t="shared" si="160"/>
        <v>1489249.3214760001</v>
      </c>
      <c r="R517" s="418">
        <f t="shared" si="160"/>
        <v>5740697.8514760006</v>
      </c>
      <c r="S517" s="418">
        <f t="shared" si="160"/>
        <v>13014276.895998001</v>
      </c>
      <c r="T517" s="418">
        <f t="shared" si="160"/>
        <v>0</v>
      </c>
      <c r="X517" s="433"/>
      <c r="Y517" s="411" t="s">
        <v>1704</v>
      </c>
      <c r="Z517" s="418">
        <f t="shared" si="161"/>
        <v>0</v>
      </c>
      <c r="AA517" s="413">
        <f t="shared" si="162"/>
        <v>769242.21852400014</v>
      </c>
      <c r="AB517" s="413">
        <f t="shared" si="162"/>
        <v>2965243.6885240003</v>
      </c>
      <c r="AC517" s="413">
        <f t="shared" si="162"/>
        <v>6722266.7740020007</v>
      </c>
      <c r="AD517" s="413">
        <f t="shared" si="162"/>
        <v>0</v>
      </c>
    </row>
    <row r="518" spans="1:30" x14ac:dyDescent="0.3">
      <c r="A518" s="433"/>
      <c r="C518" s="433"/>
      <c r="O518" s="411" t="s">
        <v>1703</v>
      </c>
      <c r="P518" s="418">
        <f t="shared" si="160"/>
        <v>0</v>
      </c>
      <c r="Q518" s="418">
        <f t="shared" si="160"/>
        <v>2775037.9243439999</v>
      </c>
      <c r="R518" s="418">
        <f t="shared" si="160"/>
        <v>3919815.7296899999</v>
      </c>
      <c r="S518" s="418">
        <f t="shared" si="160"/>
        <v>19601887.316592</v>
      </c>
      <c r="T518" s="418">
        <f t="shared" si="160"/>
        <v>0</v>
      </c>
      <c r="X518" s="433"/>
      <c r="Y518" s="411" t="s">
        <v>1703</v>
      </c>
      <c r="Z518" s="418">
        <f t="shared" si="161"/>
        <v>0</v>
      </c>
      <c r="AA518" s="413">
        <f t="shared" si="162"/>
        <v>1433390.8356559998</v>
      </c>
      <c r="AB518" s="413">
        <f t="shared" si="162"/>
        <v>2024703.1203099999</v>
      </c>
      <c r="AC518" s="413">
        <f t="shared" si="162"/>
        <v>10124966.363408001</v>
      </c>
      <c r="AD518" s="413">
        <f t="shared" si="162"/>
        <v>0</v>
      </c>
    </row>
    <row r="519" spans="1:30" x14ac:dyDescent="0.3">
      <c r="A519" s="433"/>
      <c r="C519" s="433"/>
      <c r="O519" s="411" t="s">
        <v>1702</v>
      </c>
      <c r="P519" s="418">
        <f t="shared" si="160"/>
        <v>0</v>
      </c>
      <c r="Q519" s="418">
        <f t="shared" si="160"/>
        <v>170242.856742</v>
      </c>
      <c r="R519" s="418">
        <f t="shared" si="160"/>
        <v>177701.798316</v>
      </c>
      <c r="S519" s="418">
        <f t="shared" si="160"/>
        <v>359595.52112399996</v>
      </c>
      <c r="T519" s="418">
        <f t="shared" si="160"/>
        <v>0</v>
      </c>
      <c r="X519" s="433"/>
      <c r="Y519" s="411" t="s">
        <v>1702</v>
      </c>
      <c r="Z519" s="418">
        <f t="shared" si="161"/>
        <v>0</v>
      </c>
      <c r="AA519" s="413">
        <f t="shared" si="162"/>
        <v>87935.573258000004</v>
      </c>
      <c r="AB519" s="413">
        <f t="shared" si="162"/>
        <v>91788.341684000014</v>
      </c>
      <c r="AC519" s="413">
        <f t="shared" si="162"/>
        <v>185741.938876</v>
      </c>
      <c r="AD519" s="413">
        <f t="shared" si="162"/>
        <v>0</v>
      </c>
    </row>
    <row r="520" spans="1:30" x14ac:dyDescent="0.3">
      <c r="A520" s="433"/>
      <c r="C520" s="433"/>
      <c r="O520" s="411" t="s">
        <v>1701</v>
      </c>
      <c r="P520" s="418">
        <f t="shared" si="160"/>
        <v>0</v>
      </c>
      <c r="Q520" s="418">
        <f t="shared" si="160"/>
        <v>137471.95597799998</v>
      </c>
      <c r="R520" s="418">
        <f t="shared" si="160"/>
        <v>137471.95597799998</v>
      </c>
      <c r="S520" s="418">
        <f t="shared" si="160"/>
        <v>137471.95597799998</v>
      </c>
      <c r="T520" s="418">
        <f t="shared" si="160"/>
        <v>0</v>
      </c>
      <c r="X520" s="433"/>
      <c r="Y520" s="411" t="s">
        <v>1701</v>
      </c>
      <c r="Z520" s="418">
        <f t="shared" si="161"/>
        <v>0</v>
      </c>
      <c r="AA520" s="413">
        <f t="shared" si="162"/>
        <v>71008.414021999997</v>
      </c>
      <c r="AB520" s="413">
        <f t="shared" si="162"/>
        <v>71008.414021999997</v>
      </c>
      <c r="AC520" s="413">
        <f t="shared" si="162"/>
        <v>71008.414021999997</v>
      </c>
      <c r="AD520" s="413">
        <f t="shared" si="162"/>
        <v>0</v>
      </c>
    </row>
    <row r="521" spans="1:30" x14ac:dyDescent="0.3">
      <c r="A521" s="433"/>
      <c r="C521" s="433"/>
      <c r="O521" s="411" t="s">
        <v>1700</v>
      </c>
      <c r="P521" s="418">
        <f t="shared" si="160"/>
        <v>0</v>
      </c>
      <c r="Q521" s="418">
        <f t="shared" si="160"/>
        <v>4825.4496359999994</v>
      </c>
      <c r="R521" s="418">
        <f t="shared" si="160"/>
        <v>5036.8664639999997</v>
      </c>
      <c r="S521" s="418">
        <f t="shared" si="160"/>
        <v>10192.563402</v>
      </c>
      <c r="T521" s="418">
        <f t="shared" si="160"/>
        <v>0</v>
      </c>
      <c r="X521" s="433"/>
      <c r="Y521" s="411" t="s">
        <v>1700</v>
      </c>
      <c r="Z521" s="418">
        <f t="shared" si="161"/>
        <v>0</v>
      </c>
      <c r="AA521" s="413">
        <f t="shared" si="162"/>
        <v>2492.4903639999998</v>
      </c>
      <c r="AB521" s="413">
        <f t="shared" si="162"/>
        <v>2601.6935360000002</v>
      </c>
      <c r="AC521" s="413">
        <f t="shared" si="162"/>
        <v>5264.7665980000002</v>
      </c>
      <c r="AD521" s="413">
        <f t="shared" si="162"/>
        <v>0</v>
      </c>
    </row>
    <row r="522" spans="1:30" x14ac:dyDescent="0.3">
      <c r="A522" s="433"/>
      <c r="C522" s="433"/>
      <c r="O522" s="411" t="s">
        <v>1699</v>
      </c>
      <c r="P522" s="418">
        <f t="shared" si="160"/>
        <v>0</v>
      </c>
      <c r="Q522" s="418">
        <f t="shared" si="160"/>
        <v>28307956.620887998</v>
      </c>
      <c r="R522" s="418">
        <f t="shared" si="160"/>
        <v>28316201.857398</v>
      </c>
      <c r="S522" s="418">
        <f t="shared" si="160"/>
        <v>28712565.199416</v>
      </c>
      <c r="T522" s="418">
        <f t="shared" si="160"/>
        <v>0</v>
      </c>
      <c r="X522" s="433"/>
      <c r="Y522" s="411" t="s">
        <v>1699</v>
      </c>
      <c r="Z522" s="418">
        <f t="shared" si="161"/>
        <v>0</v>
      </c>
      <c r="AA522" s="413">
        <f t="shared" si="162"/>
        <v>14621913.899112001</v>
      </c>
      <c r="AB522" s="413">
        <f t="shared" si="162"/>
        <v>14626172.812602</v>
      </c>
      <c r="AC522" s="413">
        <f t="shared" si="162"/>
        <v>14830906.440584</v>
      </c>
      <c r="AD522" s="413">
        <f t="shared" si="162"/>
        <v>0</v>
      </c>
    </row>
    <row r="523" spans="1:30" x14ac:dyDescent="0.3">
      <c r="A523" s="433"/>
      <c r="C523" s="433"/>
      <c r="O523" s="411" t="s">
        <v>1698</v>
      </c>
      <c r="P523" s="418">
        <f t="shared" si="160"/>
        <v>0</v>
      </c>
      <c r="Q523" s="418">
        <f t="shared" si="160"/>
        <v>2000236.28</v>
      </c>
      <c r="R523" s="418">
        <f t="shared" si="160"/>
        <v>3793959.98</v>
      </c>
      <c r="S523" s="418">
        <f t="shared" si="160"/>
        <v>8562721.5</v>
      </c>
      <c r="T523" s="418">
        <f t="shared" si="160"/>
        <v>0</v>
      </c>
      <c r="X523" s="433"/>
      <c r="Y523" s="411" t="s">
        <v>1697</v>
      </c>
      <c r="Z523" s="418">
        <f t="shared" si="161"/>
        <v>0</v>
      </c>
      <c r="AA523" s="413">
        <f t="shared" si="162"/>
        <v>428032.76</v>
      </c>
      <c r="AB523" s="413">
        <f t="shared" si="162"/>
        <v>1154060.99</v>
      </c>
      <c r="AC523" s="413">
        <f t="shared" si="162"/>
        <v>3023552.86</v>
      </c>
      <c r="AD523" s="413">
        <f t="shared" si="162"/>
        <v>0</v>
      </c>
    </row>
    <row r="524" spans="1:30" x14ac:dyDescent="0.3">
      <c r="A524" s="433"/>
      <c r="C524" s="433"/>
      <c r="O524" s="411" t="s">
        <v>1696</v>
      </c>
      <c r="P524" s="418">
        <f t="shared" ref="P524:T533" si="163">SUMIF($O$5:$O$509,$O524,P$5:P$509)</f>
        <v>0</v>
      </c>
      <c r="Q524" s="418">
        <f t="shared" si="163"/>
        <v>9637487.5199999996</v>
      </c>
      <c r="R524" s="418">
        <f t="shared" si="163"/>
        <v>16498955.51</v>
      </c>
      <c r="S524" s="418">
        <f t="shared" si="163"/>
        <v>40631294.75</v>
      </c>
      <c r="T524" s="418">
        <f t="shared" si="163"/>
        <v>0</v>
      </c>
      <c r="X524" s="433"/>
      <c r="Y524" s="411" t="s">
        <v>1695</v>
      </c>
      <c r="Z524" s="418">
        <f t="shared" si="161"/>
        <v>0</v>
      </c>
      <c r="AA524" s="413">
        <f t="shared" si="162"/>
        <v>3015138.2499999995</v>
      </c>
      <c r="AB524" s="413">
        <f t="shared" si="162"/>
        <v>5002887.2300000004</v>
      </c>
      <c r="AC524" s="413">
        <f t="shared" si="162"/>
        <v>7308112.3999999994</v>
      </c>
      <c r="AD524" s="413">
        <f t="shared" si="162"/>
        <v>0</v>
      </c>
    </row>
    <row r="525" spans="1:30" x14ac:dyDescent="0.3">
      <c r="A525" s="433"/>
      <c r="C525" s="433"/>
      <c r="O525" s="411" t="s">
        <v>1694</v>
      </c>
      <c r="P525" s="418">
        <f t="shared" si="163"/>
        <v>0</v>
      </c>
      <c r="Q525" s="418">
        <f t="shared" si="163"/>
        <v>661284.48</v>
      </c>
      <c r="R525" s="418">
        <f t="shared" si="163"/>
        <v>841654.54999999993</v>
      </c>
      <c r="S525" s="418">
        <f t="shared" si="163"/>
        <v>1753127.7500000002</v>
      </c>
      <c r="T525" s="418">
        <f t="shared" si="163"/>
        <v>0</v>
      </c>
      <c r="X525" s="433"/>
      <c r="Y525" s="411" t="s">
        <v>1693</v>
      </c>
      <c r="Z525" s="418">
        <f t="shared" si="161"/>
        <v>0</v>
      </c>
      <c r="AA525" s="413">
        <f t="shared" si="162"/>
        <v>59586</v>
      </c>
      <c r="AB525" s="413">
        <f t="shared" si="162"/>
        <v>89007.12</v>
      </c>
      <c r="AC525" s="413">
        <f t="shared" si="162"/>
        <v>148490.75999999998</v>
      </c>
      <c r="AD525" s="413">
        <f t="shared" si="162"/>
        <v>0</v>
      </c>
    </row>
    <row r="526" spans="1:30" x14ac:dyDescent="0.3">
      <c r="A526" s="433"/>
      <c r="C526" s="433"/>
      <c r="O526" s="411" t="s">
        <v>1692</v>
      </c>
      <c r="P526" s="418">
        <f t="shared" si="163"/>
        <v>0</v>
      </c>
      <c r="Q526" s="418">
        <f t="shared" si="163"/>
        <v>1434508.68</v>
      </c>
      <c r="R526" s="418">
        <f t="shared" si="163"/>
        <v>2895928.7399999998</v>
      </c>
      <c r="S526" s="418">
        <f t="shared" si="163"/>
        <v>10384532.389999999</v>
      </c>
      <c r="T526" s="418">
        <f t="shared" si="163"/>
        <v>0</v>
      </c>
      <c r="X526" s="433"/>
      <c r="Y526" s="411" t="s">
        <v>1691</v>
      </c>
      <c r="Z526" s="418">
        <f t="shared" si="161"/>
        <v>0</v>
      </c>
      <c r="AA526" s="413">
        <f t="shared" si="162"/>
        <v>1038862.56</v>
      </c>
      <c r="AB526" s="413">
        <f t="shared" si="162"/>
        <v>1551810.66</v>
      </c>
      <c r="AC526" s="413">
        <f t="shared" si="162"/>
        <v>2588889.36</v>
      </c>
      <c r="AD526" s="413">
        <f t="shared" si="162"/>
        <v>0</v>
      </c>
    </row>
    <row r="527" spans="1:30" x14ac:dyDescent="0.3">
      <c r="A527" s="433"/>
      <c r="C527" s="433"/>
      <c r="O527" s="411" t="s">
        <v>1690</v>
      </c>
      <c r="P527" s="418">
        <f t="shared" si="163"/>
        <v>0</v>
      </c>
      <c r="Q527" s="418">
        <f t="shared" si="163"/>
        <v>1667880.48</v>
      </c>
      <c r="R527" s="418">
        <f t="shared" si="163"/>
        <v>2429770.9700000002</v>
      </c>
      <c r="S527" s="418">
        <f t="shared" si="163"/>
        <v>5105024.0199999996</v>
      </c>
      <c r="T527" s="418">
        <f t="shared" si="163"/>
        <v>0</v>
      </c>
      <c r="X527" s="433"/>
      <c r="Y527" s="411" t="s">
        <v>1689</v>
      </c>
      <c r="Z527" s="418">
        <f t="shared" si="161"/>
        <v>0</v>
      </c>
      <c r="AA527" s="413">
        <f t="shared" si="162"/>
        <v>111144.24</v>
      </c>
      <c r="AB527" s="413">
        <f t="shared" si="162"/>
        <v>166022.76</v>
      </c>
      <c r="AC527" s="413">
        <f t="shared" si="162"/>
        <v>276976.2</v>
      </c>
      <c r="AD527" s="413">
        <f t="shared" si="162"/>
        <v>0</v>
      </c>
    </row>
    <row r="528" spans="1:30" x14ac:dyDescent="0.3">
      <c r="A528" s="433"/>
      <c r="C528" s="433"/>
      <c r="O528" s="411" t="s">
        <v>1688</v>
      </c>
      <c r="P528" s="418">
        <f t="shared" si="163"/>
        <v>0</v>
      </c>
      <c r="Q528" s="418">
        <f t="shared" si="163"/>
        <v>67412.160000000003</v>
      </c>
      <c r="R528" s="418">
        <f t="shared" si="163"/>
        <v>222765.83000000002</v>
      </c>
      <c r="S528" s="418">
        <f t="shared" si="163"/>
        <v>1093357.02</v>
      </c>
      <c r="T528" s="418">
        <f t="shared" si="163"/>
        <v>0</v>
      </c>
      <c r="X528" s="433"/>
      <c r="Y528" s="411" t="s">
        <v>1687</v>
      </c>
      <c r="Z528" s="418">
        <f t="shared" si="161"/>
        <v>0</v>
      </c>
      <c r="AA528" s="413">
        <f t="shared" si="162"/>
        <v>1160381.3999999999</v>
      </c>
      <c r="AB528" s="413">
        <f t="shared" si="162"/>
        <v>1733330.58</v>
      </c>
      <c r="AC528" s="413">
        <f t="shared" si="162"/>
        <v>2891719.5</v>
      </c>
      <c r="AD528" s="413">
        <f t="shared" si="162"/>
        <v>0</v>
      </c>
    </row>
    <row r="529" spans="1:30" x14ac:dyDescent="0.3">
      <c r="A529" s="433"/>
      <c r="C529" s="433"/>
      <c r="O529" s="411" t="s">
        <v>1686</v>
      </c>
      <c r="P529" s="418">
        <f t="shared" si="163"/>
        <v>0</v>
      </c>
      <c r="Q529" s="418">
        <f t="shared" si="163"/>
        <v>7314.3600000000006</v>
      </c>
      <c r="R529" s="418">
        <f t="shared" si="163"/>
        <v>23496.01</v>
      </c>
      <c r="S529" s="418">
        <f t="shared" si="163"/>
        <v>114185.75</v>
      </c>
      <c r="T529" s="418">
        <f t="shared" si="163"/>
        <v>0</v>
      </c>
      <c r="X529" s="433"/>
      <c r="Y529" s="411" t="s">
        <v>1685</v>
      </c>
      <c r="Z529" s="418">
        <f t="shared" si="161"/>
        <v>0</v>
      </c>
      <c r="AA529" s="413">
        <f t="shared" si="162"/>
        <v>200181.96</v>
      </c>
      <c r="AB529" s="413">
        <f t="shared" si="162"/>
        <v>299023.68</v>
      </c>
      <c r="AC529" s="413">
        <f t="shared" si="162"/>
        <v>498861.9</v>
      </c>
      <c r="AD529" s="413">
        <f t="shared" si="162"/>
        <v>0</v>
      </c>
    </row>
    <row r="530" spans="1:30" x14ac:dyDescent="0.3">
      <c r="A530" s="433"/>
      <c r="C530" s="433"/>
      <c r="O530" s="411" t="s">
        <v>1684</v>
      </c>
      <c r="P530" s="418">
        <f t="shared" si="163"/>
        <v>0</v>
      </c>
      <c r="Q530" s="418">
        <f t="shared" si="163"/>
        <v>78260.52</v>
      </c>
      <c r="R530" s="418">
        <f t="shared" si="163"/>
        <v>78260.52</v>
      </c>
      <c r="S530" s="418">
        <f t="shared" si="163"/>
        <v>78260.52</v>
      </c>
      <c r="T530" s="418">
        <f t="shared" si="163"/>
        <v>0</v>
      </c>
      <c r="X530" s="433"/>
      <c r="Y530" s="411" t="s">
        <v>1683</v>
      </c>
      <c r="Z530" s="418">
        <f t="shared" si="161"/>
        <v>0</v>
      </c>
      <c r="AA530" s="413">
        <f t="shared" si="162"/>
        <v>45872.160000000003</v>
      </c>
      <c r="AB530" s="413">
        <f t="shared" si="162"/>
        <v>68521.98</v>
      </c>
      <c r="AC530" s="413">
        <f t="shared" si="162"/>
        <v>114315.41</v>
      </c>
      <c r="AD530" s="413">
        <f t="shared" si="162"/>
        <v>0</v>
      </c>
    </row>
    <row r="531" spans="1:30" x14ac:dyDescent="0.3">
      <c r="A531" s="433"/>
      <c r="C531" s="433"/>
      <c r="O531" s="411" t="s">
        <v>1682</v>
      </c>
      <c r="P531" s="418">
        <f t="shared" si="163"/>
        <v>0</v>
      </c>
      <c r="Q531" s="418">
        <f t="shared" si="163"/>
        <v>675798.95</v>
      </c>
      <c r="R531" s="418">
        <f t="shared" si="163"/>
        <v>785110.25</v>
      </c>
      <c r="S531" s="418">
        <f t="shared" si="163"/>
        <v>894421.54999999993</v>
      </c>
      <c r="T531" s="418">
        <f t="shared" si="163"/>
        <v>0</v>
      </c>
      <c r="X531" s="433"/>
      <c r="Y531" s="411" t="s">
        <v>1681</v>
      </c>
      <c r="Z531" s="418">
        <f t="shared" si="161"/>
        <v>0</v>
      </c>
      <c r="AA531" s="413">
        <f t="shared" si="162"/>
        <v>29885.64</v>
      </c>
      <c r="AB531" s="413">
        <f t="shared" si="162"/>
        <v>44641.919999999998</v>
      </c>
      <c r="AC531" s="413">
        <f t="shared" si="162"/>
        <v>74476.2</v>
      </c>
      <c r="AD531" s="413">
        <f t="shared" si="162"/>
        <v>0</v>
      </c>
    </row>
    <row r="532" spans="1:30" x14ac:dyDescent="0.3">
      <c r="A532" s="433"/>
      <c r="C532" s="433"/>
      <c r="O532" s="411" t="s">
        <v>1680</v>
      </c>
      <c r="P532" s="418">
        <f t="shared" si="163"/>
        <v>0</v>
      </c>
      <c r="Q532" s="418">
        <f t="shared" si="163"/>
        <v>10796235.380000001</v>
      </c>
      <c r="R532" s="418">
        <f t="shared" si="163"/>
        <v>13213372.029999999</v>
      </c>
      <c r="S532" s="418">
        <f t="shared" si="163"/>
        <v>15630508.699999999</v>
      </c>
      <c r="T532" s="418">
        <f t="shared" si="163"/>
        <v>0</v>
      </c>
      <c r="X532" s="433"/>
      <c r="Y532" s="411" t="s">
        <v>1679</v>
      </c>
      <c r="Z532" s="418">
        <f t="shared" si="161"/>
        <v>0</v>
      </c>
      <c r="AA532" s="413">
        <f t="shared" si="162"/>
        <v>2776711.59</v>
      </c>
      <c r="AB532" s="413">
        <f t="shared" si="162"/>
        <v>2776711.59</v>
      </c>
      <c r="AC532" s="413">
        <f t="shared" si="162"/>
        <v>2776711.59</v>
      </c>
      <c r="AD532" s="413">
        <f t="shared" si="162"/>
        <v>0</v>
      </c>
    </row>
    <row r="533" spans="1:30" x14ac:dyDescent="0.3">
      <c r="A533" s="433"/>
      <c r="C533" s="433"/>
      <c r="O533" s="411" t="s">
        <v>1678</v>
      </c>
      <c r="P533" s="418">
        <f t="shared" si="163"/>
        <v>0</v>
      </c>
      <c r="Q533" s="418">
        <f t="shared" si="163"/>
        <v>14744484.229999999</v>
      </c>
      <c r="R533" s="418">
        <f t="shared" si="163"/>
        <v>14744484.229999999</v>
      </c>
      <c r="S533" s="418">
        <f t="shared" si="163"/>
        <v>14744484.229999999</v>
      </c>
      <c r="T533" s="418">
        <f t="shared" si="163"/>
        <v>0</v>
      </c>
      <c r="X533" s="433"/>
      <c r="Y533" s="411" t="s">
        <v>1677</v>
      </c>
      <c r="Z533" s="418">
        <f t="shared" si="161"/>
        <v>0</v>
      </c>
      <c r="AA533" s="413">
        <f t="shared" si="162"/>
        <v>2.4</v>
      </c>
      <c r="AB533" s="413">
        <f t="shared" si="162"/>
        <v>3.59</v>
      </c>
      <c r="AC533" s="413">
        <f t="shared" si="162"/>
        <v>5.99</v>
      </c>
      <c r="AD533" s="413">
        <f t="shared" si="162"/>
        <v>0</v>
      </c>
    </row>
    <row r="534" spans="1:30" x14ac:dyDescent="0.3">
      <c r="A534" s="433"/>
      <c r="C534" s="433"/>
      <c r="O534" s="411" t="s">
        <v>1676</v>
      </c>
      <c r="P534" s="418">
        <f t="shared" ref="P534:T543" si="164">SUMIF($O$5:$O$509,$O534,P$5:P$509)</f>
        <v>0</v>
      </c>
      <c r="Q534" s="418">
        <f t="shared" si="164"/>
        <v>7575183</v>
      </c>
      <c r="R534" s="418">
        <f t="shared" si="164"/>
        <v>16397377.699999999</v>
      </c>
      <c r="S534" s="418">
        <f t="shared" si="164"/>
        <v>16790648.899999999</v>
      </c>
      <c r="T534" s="418">
        <f t="shared" si="164"/>
        <v>0</v>
      </c>
      <c r="X534" s="433"/>
      <c r="Y534" s="411" t="s">
        <v>1675</v>
      </c>
      <c r="Z534" s="418">
        <f t="shared" si="161"/>
        <v>0</v>
      </c>
      <c r="AA534" s="413">
        <f t="shared" ref="AA534:AD552" si="165">SUMIF($Y$5:$Y$509,$V534,AA$5:AA$509)+SUMIF($Y$5:$Y$509,$W534,AA$5:AA$509)+SUMIF($Y$5:$Y$509,$X534,AA$5:AA$509)+SUMIF($Y$5:$Y$509,$Y534,AA$5:AA$509)</f>
        <v>1178542.3</v>
      </c>
      <c r="AB534" s="413">
        <f t="shared" si="165"/>
        <v>1222228.22</v>
      </c>
      <c r="AC534" s="413">
        <f t="shared" si="165"/>
        <v>1439063.25</v>
      </c>
      <c r="AD534" s="413">
        <f t="shared" si="165"/>
        <v>0</v>
      </c>
    </row>
    <row r="535" spans="1:30" x14ac:dyDescent="0.3">
      <c r="A535" s="433"/>
      <c r="C535" s="433"/>
      <c r="O535" s="411" t="s">
        <v>1674</v>
      </c>
      <c r="P535" s="418">
        <f t="shared" si="164"/>
        <v>0</v>
      </c>
      <c r="Q535" s="418">
        <f t="shared" si="164"/>
        <v>936100.06</v>
      </c>
      <c r="R535" s="418">
        <f t="shared" si="164"/>
        <v>1063724.79</v>
      </c>
      <c r="S535" s="418">
        <f t="shared" si="164"/>
        <v>1211492.7799999998</v>
      </c>
      <c r="T535" s="418">
        <f t="shared" si="164"/>
        <v>0</v>
      </c>
      <c r="X535" s="433"/>
      <c r="Y535" s="411" t="s">
        <v>1673</v>
      </c>
      <c r="Z535" s="418">
        <f t="shared" si="161"/>
        <v>0</v>
      </c>
      <c r="AA535" s="413">
        <f t="shared" si="165"/>
        <v>167126074.81</v>
      </c>
      <c r="AB535" s="413">
        <f t="shared" si="165"/>
        <v>199695555.71000004</v>
      </c>
      <c r="AC535" s="413">
        <f t="shared" si="165"/>
        <v>352440489.50000006</v>
      </c>
      <c r="AD535" s="413">
        <f t="shared" si="165"/>
        <v>0</v>
      </c>
    </row>
    <row r="536" spans="1:30" x14ac:dyDescent="0.3">
      <c r="A536" s="433"/>
      <c r="C536" s="433"/>
      <c r="O536" s="411" t="s">
        <v>1672</v>
      </c>
      <c r="P536" s="418">
        <f t="shared" si="164"/>
        <v>0</v>
      </c>
      <c r="Q536" s="418">
        <f t="shared" si="164"/>
        <v>96652.2</v>
      </c>
      <c r="R536" s="418">
        <f t="shared" si="164"/>
        <v>128626.62</v>
      </c>
      <c r="S536" s="418">
        <f t="shared" si="164"/>
        <v>225200.39</v>
      </c>
      <c r="T536" s="418">
        <f t="shared" si="164"/>
        <v>0</v>
      </c>
      <c r="X536" s="433"/>
      <c r="Y536" s="411" t="s">
        <v>1671</v>
      </c>
      <c r="Z536" s="418">
        <f t="shared" si="161"/>
        <v>0</v>
      </c>
      <c r="AA536" s="413">
        <f t="shared" si="165"/>
        <v>5909483.3399999999</v>
      </c>
      <c r="AB536" s="413">
        <f t="shared" si="165"/>
        <v>8921368</v>
      </c>
      <c r="AC536" s="413">
        <f t="shared" si="165"/>
        <v>25354646.369999997</v>
      </c>
      <c r="AD536" s="413">
        <f t="shared" si="165"/>
        <v>0</v>
      </c>
    </row>
    <row r="537" spans="1:30" x14ac:dyDescent="0.3">
      <c r="A537" s="433"/>
      <c r="C537" s="433"/>
      <c r="O537" s="411" t="s">
        <v>1670</v>
      </c>
      <c r="P537" s="418">
        <f t="shared" si="164"/>
        <v>0</v>
      </c>
      <c r="Q537" s="418">
        <f t="shared" si="164"/>
        <v>21255561.329999998</v>
      </c>
      <c r="R537" s="418">
        <f t="shared" si="164"/>
        <v>26955311.229999993</v>
      </c>
      <c r="S537" s="418">
        <f t="shared" si="164"/>
        <v>53206525.050000004</v>
      </c>
      <c r="T537" s="418">
        <f t="shared" si="164"/>
        <v>0</v>
      </c>
      <c r="X537" s="433"/>
      <c r="Y537" s="411" t="s">
        <v>1669</v>
      </c>
      <c r="Z537" s="418">
        <f t="shared" si="161"/>
        <v>0</v>
      </c>
      <c r="AA537" s="413">
        <f t="shared" si="165"/>
        <v>46378628.219999999</v>
      </c>
      <c r="AB537" s="413">
        <f t="shared" si="165"/>
        <v>70657323.099999994</v>
      </c>
      <c r="AC537" s="413">
        <f t="shared" si="165"/>
        <v>125634109.75999999</v>
      </c>
      <c r="AD537" s="413">
        <f t="shared" si="165"/>
        <v>0</v>
      </c>
    </row>
    <row r="538" spans="1:30" x14ac:dyDescent="0.3">
      <c r="A538" s="433"/>
      <c r="C538" s="433"/>
      <c r="O538" s="411" t="s">
        <v>1668</v>
      </c>
      <c r="P538" s="418">
        <f t="shared" si="164"/>
        <v>0</v>
      </c>
      <c r="Q538" s="418">
        <f t="shared" si="164"/>
        <v>2123913.4</v>
      </c>
      <c r="R538" s="418">
        <f t="shared" si="164"/>
        <v>2760725.59</v>
      </c>
      <c r="S538" s="418">
        <f t="shared" si="164"/>
        <v>4433971.629999999</v>
      </c>
      <c r="T538" s="418">
        <f t="shared" si="164"/>
        <v>0</v>
      </c>
      <c r="X538" s="433"/>
      <c r="Y538" s="411" t="s">
        <v>1667</v>
      </c>
      <c r="Z538" s="418">
        <f t="shared" si="161"/>
        <v>0</v>
      </c>
      <c r="AA538" s="413">
        <f t="shared" si="165"/>
        <v>152757.36000000002</v>
      </c>
      <c r="AB538" s="413">
        <f t="shared" si="165"/>
        <v>232041.77</v>
      </c>
      <c r="AC538" s="413">
        <f t="shared" si="165"/>
        <v>403022.95</v>
      </c>
      <c r="AD538" s="413">
        <f t="shared" si="165"/>
        <v>0</v>
      </c>
    </row>
    <row r="539" spans="1:30" x14ac:dyDescent="0.3">
      <c r="A539" s="433"/>
      <c r="C539" s="433"/>
      <c r="O539" s="411" t="s">
        <v>1666</v>
      </c>
      <c r="P539" s="418">
        <f t="shared" si="164"/>
        <v>0</v>
      </c>
      <c r="Q539" s="418">
        <f t="shared" si="164"/>
        <v>310614.44</v>
      </c>
      <c r="R539" s="418">
        <f t="shared" si="164"/>
        <v>362731.68</v>
      </c>
      <c r="S539" s="418">
        <f t="shared" si="164"/>
        <v>429556.21000000008</v>
      </c>
      <c r="T539" s="418">
        <f t="shared" si="164"/>
        <v>0</v>
      </c>
      <c r="X539" s="433"/>
      <c r="Y539" s="411" t="s">
        <v>1665</v>
      </c>
      <c r="Z539" s="418">
        <f t="shared" si="161"/>
        <v>0</v>
      </c>
      <c r="AA539" s="413">
        <f t="shared" si="165"/>
        <v>3704597.8200000003</v>
      </c>
      <c r="AB539" s="413">
        <f t="shared" si="165"/>
        <v>8393694.0200000014</v>
      </c>
      <c r="AC539" s="413">
        <f t="shared" si="165"/>
        <v>72554390.870000005</v>
      </c>
      <c r="AD539" s="413">
        <f t="shared" si="165"/>
        <v>0</v>
      </c>
    </row>
    <row r="540" spans="1:30" x14ac:dyDescent="0.3">
      <c r="A540" s="433"/>
      <c r="C540" s="433"/>
      <c r="O540" s="411" t="s">
        <v>1664</v>
      </c>
      <c r="P540" s="418">
        <f t="shared" si="164"/>
        <v>0</v>
      </c>
      <c r="Q540" s="418">
        <f t="shared" si="164"/>
        <v>472306.68</v>
      </c>
      <c r="R540" s="418">
        <f t="shared" si="164"/>
        <v>1334841.5899999999</v>
      </c>
      <c r="S540" s="418">
        <f t="shared" si="164"/>
        <v>2990732.88</v>
      </c>
      <c r="T540" s="418">
        <f t="shared" si="164"/>
        <v>0</v>
      </c>
      <c r="X540" s="433"/>
      <c r="Y540" s="411" t="s">
        <v>1663</v>
      </c>
      <c r="Z540" s="418">
        <f t="shared" si="161"/>
        <v>0</v>
      </c>
      <c r="AA540" s="413">
        <f t="shared" si="165"/>
        <v>7889.52</v>
      </c>
      <c r="AB540" s="413">
        <f t="shared" si="165"/>
        <v>11946.64</v>
      </c>
      <c r="AC540" s="413">
        <f t="shared" si="165"/>
        <v>20176.739999999998</v>
      </c>
      <c r="AD540" s="413">
        <f t="shared" si="165"/>
        <v>0</v>
      </c>
    </row>
    <row r="541" spans="1:30" x14ac:dyDescent="0.3">
      <c r="A541" s="433"/>
      <c r="C541" s="433"/>
      <c r="O541" s="411" t="s">
        <v>1662</v>
      </c>
      <c r="P541" s="418">
        <f t="shared" si="164"/>
        <v>0</v>
      </c>
      <c r="Q541" s="418">
        <f t="shared" si="164"/>
        <v>0</v>
      </c>
      <c r="R541" s="418">
        <f t="shared" si="164"/>
        <v>57325.01</v>
      </c>
      <c r="S541" s="418">
        <f t="shared" si="164"/>
        <v>91720.01</v>
      </c>
      <c r="T541" s="418">
        <f t="shared" si="164"/>
        <v>0</v>
      </c>
      <c r="X541" s="433"/>
      <c r="Y541" s="411" t="s">
        <v>1661</v>
      </c>
      <c r="Z541" s="418">
        <f t="shared" si="161"/>
        <v>0</v>
      </c>
      <c r="AA541" s="413">
        <f t="shared" si="165"/>
        <v>84178.92</v>
      </c>
      <c r="AB541" s="413">
        <f t="shared" si="165"/>
        <v>140340.70000000001</v>
      </c>
      <c r="AC541" s="413">
        <f t="shared" si="165"/>
        <v>253866.54</v>
      </c>
      <c r="AD541" s="413">
        <f t="shared" si="165"/>
        <v>0</v>
      </c>
    </row>
    <row r="542" spans="1:30" x14ac:dyDescent="0.3">
      <c r="A542" s="433"/>
      <c r="C542" s="433"/>
      <c r="O542" s="411" t="s">
        <v>1660</v>
      </c>
      <c r="P542" s="418">
        <f t="shared" si="164"/>
        <v>0</v>
      </c>
      <c r="Q542" s="418">
        <f t="shared" si="164"/>
        <v>69825000.610000014</v>
      </c>
      <c r="R542" s="418">
        <f t="shared" si="164"/>
        <v>90467691.609999999</v>
      </c>
      <c r="S542" s="418">
        <f t="shared" si="164"/>
        <v>137855845.28000003</v>
      </c>
      <c r="T542" s="418">
        <f t="shared" si="164"/>
        <v>0</v>
      </c>
      <c r="X542" s="433"/>
      <c r="Y542" s="411" t="s">
        <v>1659</v>
      </c>
      <c r="Z542" s="418">
        <f t="shared" si="161"/>
        <v>0</v>
      </c>
      <c r="AA542" s="413">
        <f t="shared" si="165"/>
        <v>3175637.7600000002</v>
      </c>
      <c r="AB542" s="413">
        <f t="shared" si="165"/>
        <v>4484367.59</v>
      </c>
      <c r="AC542" s="413">
        <f t="shared" si="165"/>
        <v>7704950.7800000003</v>
      </c>
      <c r="AD542" s="413">
        <f t="shared" si="165"/>
        <v>0</v>
      </c>
    </row>
    <row r="543" spans="1:30" x14ac:dyDescent="0.3">
      <c r="A543" s="433"/>
      <c r="C543" s="433"/>
      <c r="O543" s="411" t="s">
        <v>1658</v>
      </c>
      <c r="P543" s="418">
        <f t="shared" si="164"/>
        <v>0</v>
      </c>
      <c r="Q543" s="418">
        <f t="shared" si="164"/>
        <v>42279611.969999999</v>
      </c>
      <c r="R543" s="418">
        <f t="shared" si="164"/>
        <v>64028456.480000004</v>
      </c>
      <c r="S543" s="418">
        <f t="shared" si="164"/>
        <v>173258860.76999995</v>
      </c>
      <c r="T543" s="418">
        <f t="shared" si="164"/>
        <v>0</v>
      </c>
      <c r="X543" s="433"/>
      <c r="Y543" s="411" t="s">
        <v>1657</v>
      </c>
      <c r="Z543" s="418">
        <f t="shared" si="161"/>
        <v>0</v>
      </c>
      <c r="AA543" s="413">
        <f t="shared" si="165"/>
        <v>39612.6</v>
      </c>
      <c r="AB543" s="413">
        <f t="shared" si="165"/>
        <v>60002.7</v>
      </c>
      <c r="AC543" s="413">
        <f t="shared" si="165"/>
        <v>101384.47</v>
      </c>
      <c r="AD543" s="413">
        <f t="shared" si="165"/>
        <v>0</v>
      </c>
    </row>
    <row r="544" spans="1:30" x14ac:dyDescent="0.3">
      <c r="A544" s="433"/>
      <c r="C544" s="433"/>
      <c r="O544" s="411" t="s">
        <v>1656</v>
      </c>
      <c r="P544" s="418">
        <f t="shared" ref="P544:T553" si="166">SUMIF($O$5:$O$509,$O544,P$5:P$509)</f>
        <v>0</v>
      </c>
      <c r="Q544" s="418">
        <f t="shared" si="166"/>
        <v>7958830.9799999995</v>
      </c>
      <c r="R544" s="418">
        <f t="shared" si="166"/>
        <v>10755352.569999997</v>
      </c>
      <c r="S544" s="418">
        <f t="shared" si="166"/>
        <v>31750337.210000001</v>
      </c>
      <c r="T544" s="418">
        <f t="shared" si="166"/>
        <v>0</v>
      </c>
      <c r="X544" s="433"/>
      <c r="Y544" s="411" t="s">
        <v>1655</v>
      </c>
      <c r="Z544" s="418">
        <f t="shared" si="161"/>
        <v>0</v>
      </c>
      <c r="AA544" s="413">
        <f t="shared" si="165"/>
        <v>2500000</v>
      </c>
      <c r="AB544" s="413">
        <f t="shared" si="165"/>
        <v>2500000</v>
      </c>
      <c r="AC544" s="413">
        <f t="shared" si="165"/>
        <v>2500000</v>
      </c>
      <c r="AD544" s="413">
        <f t="shared" si="165"/>
        <v>0</v>
      </c>
    </row>
    <row r="545" spans="1:30" x14ac:dyDescent="0.3">
      <c r="A545" s="433"/>
      <c r="C545" s="433"/>
      <c r="O545" s="411" t="s">
        <v>1654</v>
      </c>
      <c r="P545" s="418">
        <f t="shared" si="166"/>
        <v>0</v>
      </c>
      <c r="Q545" s="418">
        <f t="shared" si="166"/>
        <v>754315.44</v>
      </c>
      <c r="R545" s="418">
        <f t="shared" si="166"/>
        <v>1508630.9</v>
      </c>
      <c r="S545" s="418">
        <f t="shared" si="166"/>
        <v>3017261.78</v>
      </c>
      <c r="T545" s="418">
        <f t="shared" si="166"/>
        <v>0</v>
      </c>
      <c r="X545" s="433"/>
      <c r="Y545" s="411" t="s">
        <v>1653</v>
      </c>
      <c r="Z545" s="418">
        <f t="shared" si="161"/>
        <v>0</v>
      </c>
      <c r="AA545" s="413">
        <f t="shared" si="165"/>
        <v>86330.33</v>
      </c>
      <c r="AB545" s="413">
        <f t="shared" si="165"/>
        <v>86330.33</v>
      </c>
      <c r="AC545" s="413">
        <f t="shared" si="165"/>
        <v>86330.33</v>
      </c>
      <c r="AD545" s="413">
        <f t="shared" si="165"/>
        <v>0</v>
      </c>
    </row>
    <row r="546" spans="1:30" x14ac:dyDescent="0.3">
      <c r="A546" s="433"/>
      <c r="C546" s="433"/>
      <c r="O546" s="411" t="s">
        <v>1652</v>
      </c>
      <c r="P546" s="418">
        <f t="shared" si="166"/>
        <v>0</v>
      </c>
      <c r="Q546" s="418">
        <f t="shared" si="166"/>
        <v>1131473.04</v>
      </c>
      <c r="R546" s="418">
        <f t="shared" si="166"/>
        <v>2262946.15</v>
      </c>
      <c r="S546" s="418">
        <f t="shared" si="166"/>
        <v>4525892.3499999996</v>
      </c>
      <c r="T546" s="418">
        <f t="shared" si="166"/>
        <v>0</v>
      </c>
      <c r="X546" s="433"/>
      <c r="Y546" s="411" t="s">
        <v>1651</v>
      </c>
      <c r="Z546" s="418">
        <f t="shared" si="161"/>
        <v>0</v>
      </c>
      <c r="AA546" s="413">
        <f t="shared" si="165"/>
        <v>393546.43</v>
      </c>
      <c r="AB546" s="413">
        <f t="shared" si="165"/>
        <v>573360.79</v>
      </c>
      <c r="AC546" s="413">
        <f t="shared" si="165"/>
        <v>1030785.38</v>
      </c>
      <c r="AD546" s="413">
        <f t="shared" si="165"/>
        <v>0</v>
      </c>
    </row>
    <row r="547" spans="1:30" x14ac:dyDescent="0.3">
      <c r="A547" s="433"/>
      <c r="C547" s="433"/>
      <c r="O547" s="411" t="s">
        <v>1650</v>
      </c>
      <c r="P547" s="418">
        <f t="shared" si="166"/>
        <v>0</v>
      </c>
      <c r="Q547" s="418">
        <f t="shared" si="166"/>
        <v>41627.53</v>
      </c>
      <c r="R547" s="418">
        <f t="shared" si="166"/>
        <v>45919.1</v>
      </c>
      <c r="S547" s="418">
        <f t="shared" si="166"/>
        <v>148658.41</v>
      </c>
      <c r="T547" s="418">
        <f t="shared" si="166"/>
        <v>0</v>
      </c>
      <c r="X547" s="433"/>
      <c r="Y547" s="411" t="s">
        <v>1649</v>
      </c>
      <c r="Z547" s="418">
        <f t="shared" si="161"/>
        <v>0</v>
      </c>
      <c r="AA547" s="413">
        <f t="shared" si="165"/>
        <v>177460.4</v>
      </c>
      <c r="AB547" s="413">
        <f t="shared" si="165"/>
        <v>185235.57</v>
      </c>
      <c r="AC547" s="413">
        <f t="shared" si="165"/>
        <v>374840.78</v>
      </c>
      <c r="AD547" s="413">
        <f t="shared" si="165"/>
        <v>0</v>
      </c>
    </row>
    <row r="548" spans="1:30" x14ac:dyDescent="0.3">
      <c r="A548" s="433"/>
      <c r="C548" s="433"/>
      <c r="O548" s="411" t="s">
        <v>1648</v>
      </c>
      <c r="P548" s="418">
        <f t="shared" si="166"/>
        <v>0</v>
      </c>
      <c r="Q548" s="418">
        <f t="shared" si="166"/>
        <v>2418945.71</v>
      </c>
      <c r="R548" s="418">
        <f t="shared" si="166"/>
        <v>3596261.8099999996</v>
      </c>
      <c r="S548" s="418">
        <f t="shared" si="166"/>
        <v>12729169.1</v>
      </c>
      <c r="T548" s="418">
        <f t="shared" si="166"/>
        <v>0</v>
      </c>
      <c r="X548" s="433"/>
      <c r="Y548" s="411" t="s">
        <v>1647</v>
      </c>
      <c r="Z548" s="418">
        <f t="shared" si="161"/>
        <v>0</v>
      </c>
      <c r="AA548" s="413">
        <f t="shared" si="165"/>
        <v>1144313.83</v>
      </c>
      <c r="AB548" s="413">
        <f t="shared" si="165"/>
        <v>1193316.73</v>
      </c>
      <c r="AC548" s="413">
        <f t="shared" si="165"/>
        <v>2370749.0099999998</v>
      </c>
      <c r="AD548" s="413">
        <f t="shared" si="165"/>
        <v>0</v>
      </c>
    </row>
    <row r="549" spans="1:30" x14ac:dyDescent="0.3">
      <c r="A549" s="433"/>
      <c r="C549" s="433"/>
      <c r="O549" s="411" t="s">
        <v>1646</v>
      </c>
      <c r="P549" s="418">
        <f t="shared" si="166"/>
        <v>0</v>
      </c>
      <c r="Q549" s="418">
        <f t="shared" si="166"/>
        <v>1082539.8400000001</v>
      </c>
      <c r="R549" s="418">
        <f t="shared" si="166"/>
        <v>1993304.38</v>
      </c>
      <c r="S549" s="418">
        <f t="shared" si="166"/>
        <v>4429317.82</v>
      </c>
      <c r="T549" s="418">
        <f t="shared" si="166"/>
        <v>0</v>
      </c>
      <c r="X549" s="433"/>
      <c r="Y549" s="411" t="s">
        <v>1645</v>
      </c>
      <c r="Z549" s="418">
        <f t="shared" si="161"/>
        <v>0</v>
      </c>
      <c r="AA549" s="413">
        <f t="shared" si="165"/>
        <v>60880.959999999999</v>
      </c>
      <c r="AB549" s="413">
        <f t="shared" si="165"/>
        <v>63488.06</v>
      </c>
      <c r="AC549" s="413">
        <f t="shared" si="165"/>
        <v>126131.01</v>
      </c>
      <c r="AD549" s="413">
        <f t="shared" si="165"/>
        <v>0</v>
      </c>
    </row>
    <row r="550" spans="1:30" x14ac:dyDescent="0.3">
      <c r="A550" s="433"/>
      <c r="C550" s="433"/>
      <c r="O550" s="411" t="s">
        <v>1644</v>
      </c>
      <c r="P550" s="418">
        <f t="shared" si="166"/>
        <v>0</v>
      </c>
      <c r="Q550" s="418">
        <f t="shared" si="166"/>
        <v>14268533.949999999</v>
      </c>
      <c r="R550" s="418">
        <f t="shared" si="166"/>
        <v>25279395.099999998</v>
      </c>
      <c r="S550" s="418">
        <f t="shared" si="166"/>
        <v>56578537.919999994</v>
      </c>
      <c r="T550" s="418">
        <f t="shared" si="166"/>
        <v>0</v>
      </c>
      <c r="X550" s="433"/>
      <c r="Y550" s="411" t="s">
        <v>1643</v>
      </c>
      <c r="Z550" s="418">
        <f t="shared" si="161"/>
        <v>0</v>
      </c>
      <c r="AA550" s="413">
        <f t="shared" si="165"/>
        <v>6427.81</v>
      </c>
      <c r="AB550" s="413">
        <f t="shared" si="165"/>
        <v>6709.43</v>
      </c>
      <c r="AC550" s="413">
        <f t="shared" si="165"/>
        <v>13577.14</v>
      </c>
      <c r="AD550" s="413">
        <f t="shared" si="165"/>
        <v>0</v>
      </c>
    </row>
    <row r="551" spans="1:30" x14ac:dyDescent="0.3">
      <c r="A551" s="433"/>
      <c r="C551" s="433"/>
      <c r="O551" s="411" t="s">
        <v>1642</v>
      </c>
      <c r="P551" s="418">
        <f t="shared" si="166"/>
        <v>0</v>
      </c>
      <c r="Q551" s="418">
        <f t="shared" si="166"/>
        <v>251281.32</v>
      </c>
      <c r="R551" s="418">
        <f t="shared" si="166"/>
        <v>7665374.3399999999</v>
      </c>
      <c r="S551" s="418">
        <f t="shared" si="166"/>
        <v>13997846.200000001</v>
      </c>
      <c r="T551" s="418">
        <f t="shared" si="166"/>
        <v>0</v>
      </c>
      <c r="X551" s="433"/>
      <c r="Y551" s="411" t="s">
        <v>1641</v>
      </c>
      <c r="Z551" s="418">
        <f t="shared" si="161"/>
        <v>0</v>
      </c>
      <c r="AA551" s="413">
        <f t="shared" si="165"/>
        <v>43726.31</v>
      </c>
      <c r="AB551" s="413">
        <f t="shared" si="165"/>
        <v>65683.83</v>
      </c>
      <c r="AC551" s="413">
        <f t="shared" si="165"/>
        <v>110916.55</v>
      </c>
      <c r="AD551" s="413">
        <f t="shared" si="165"/>
        <v>0</v>
      </c>
    </row>
    <row r="552" spans="1:30" x14ac:dyDescent="0.3">
      <c r="A552" s="433"/>
      <c r="C552" s="433"/>
      <c r="O552" s="411" t="s">
        <v>1640</v>
      </c>
      <c r="P552" s="418">
        <f t="shared" si="166"/>
        <v>0</v>
      </c>
      <c r="Q552" s="418">
        <f t="shared" si="166"/>
        <v>32990040.559999999</v>
      </c>
      <c r="R552" s="418">
        <f t="shared" si="166"/>
        <v>56576946.180000007</v>
      </c>
      <c r="S552" s="418">
        <f t="shared" si="166"/>
        <v>132227221.09999996</v>
      </c>
      <c r="T552" s="418">
        <f t="shared" si="166"/>
        <v>0</v>
      </c>
      <c r="X552" s="433"/>
      <c r="Y552" s="411" t="s">
        <v>1639</v>
      </c>
      <c r="Z552" s="418">
        <f t="shared" si="161"/>
        <v>0</v>
      </c>
      <c r="AA552" s="413">
        <f t="shared" si="165"/>
        <v>0</v>
      </c>
      <c r="AB552" s="413">
        <f t="shared" si="165"/>
        <v>0</v>
      </c>
      <c r="AC552" s="413">
        <f t="shared" si="165"/>
        <v>0</v>
      </c>
      <c r="AD552" s="413">
        <f t="shared" si="165"/>
        <v>0</v>
      </c>
    </row>
    <row r="553" spans="1:30" x14ac:dyDescent="0.3">
      <c r="A553" s="433"/>
      <c r="C553" s="433"/>
      <c r="O553" s="411" t="s">
        <v>1638</v>
      </c>
      <c r="P553" s="418">
        <f t="shared" si="166"/>
        <v>0</v>
      </c>
      <c r="Q553" s="418">
        <f t="shared" si="166"/>
        <v>35795184.75</v>
      </c>
      <c r="R553" s="418">
        <f t="shared" si="166"/>
        <v>56461816.930000007</v>
      </c>
      <c r="S553" s="418">
        <f t="shared" si="166"/>
        <v>113924234.88000001</v>
      </c>
      <c r="T553" s="418">
        <f t="shared" si="166"/>
        <v>0</v>
      </c>
      <c r="Z553" s="418">
        <f>SUM(Z514:Z552)</f>
        <v>0</v>
      </c>
      <c r="AA553" s="418">
        <f>SUM(AA514:AA552)</f>
        <v>275180706.80412996</v>
      </c>
      <c r="AB553" s="418">
        <f>SUM(AB514:AB552)</f>
        <v>358874908.1327619</v>
      </c>
      <c r="AC553" s="418">
        <f>SUM(AC514:AC552)</f>
        <v>708205269.05382395</v>
      </c>
      <c r="AD553" s="418">
        <f>SUM(AD514:AD552)</f>
        <v>0</v>
      </c>
    </row>
    <row r="554" spans="1:30" x14ac:dyDescent="0.3">
      <c r="A554" s="433"/>
      <c r="C554" s="433"/>
      <c r="O554" s="411" t="s">
        <v>1637</v>
      </c>
      <c r="P554" s="418">
        <f t="shared" ref="P554:T563" si="167">SUMIF($O$5:$O$509,$O554,P$5:P$509)</f>
        <v>0</v>
      </c>
      <c r="Q554" s="418">
        <f t="shared" si="167"/>
        <v>25240368.670000002</v>
      </c>
      <c r="R554" s="418">
        <f t="shared" si="167"/>
        <v>41366678.609999999</v>
      </c>
      <c r="S554" s="418">
        <f t="shared" si="167"/>
        <v>86658412.960000008</v>
      </c>
      <c r="T554" s="418">
        <f t="shared" si="167"/>
        <v>0</v>
      </c>
      <c r="Z554" s="418">
        <f>Z553-Z510</f>
        <v>0</v>
      </c>
      <c r="AA554" s="418">
        <f>AA553-AA510</f>
        <v>0</v>
      </c>
      <c r="AB554" s="418">
        <f>AB553-AB510</f>
        <v>0</v>
      </c>
      <c r="AC554" s="418">
        <f>AC553-AC510</f>
        <v>0</v>
      </c>
      <c r="AD554" s="418">
        <f>AD553-AD510</f>
        <v>0</v>
      </c>
    </row>
    <row r="555" spans="1:30" x14ac:dyDescent="0.3">
      <c r="A555" s="433"/>
      <c r="C555" s="433"/>
      <c r="O555" s="411" t="s">
        <v>1636</v>
      </c>
      <c r="P555" s="418">
        <f t="shared" si="167"/>
        <v>0</v>
      </c>
      <c r="Q555" s="418">
        <f t="shared" si="167"/>
        <v>30080838.379999999</v>
      </c>
      <c r="R555" s="418">
        <f t="shared" si="167"/>
        <v>45455463.530000001</v>
      </c>
      <c r="S555" s="418">
        <f t="shared" si="167"/>
        <v>92418853.099999994</v>
      </c>
      <c r="T555" s="418">
        <f t="shared" si="167"/>
        <v>0</v>
      </c>
      <c r="Z555" s="418"/>
      <c r="AA555" s="413"/>
      <c r="AB555" s="413"/>
      <c r="AC555" s="413"/>
      <c r="AD555" s="413"/>
    </row>
    <row r="556" spans="1:30" x14ac:dyDescent="0.3">
      <c r="A556" s="433"/>
      <c r="C556" s="433"/>
      <c r="O556" s="411" t="s">
        <v>1635</v>
      </c>
      <c r="P556" s="418">
        <f t="shared" si="167"/>
        <v>0</v>
      </c>
      <c r="Q556" s="418">
        <f t="shared" si="167"/>
        <v>43373400.390000001</v>
      </c>
      <c r="R556" s="418">
        <f t="shared" si="167"/>
        <v>71731224.250000015</v>
      </c>
      <c r="S556" s="418">
        <f t="shared" si="167"/>
        <v>143576233.04000002</v>
      </c>
      <c r="T556" s="418">
        <f t="shared" si="167"/>
        <v>0</v>
      </c>
      <c r="Z556" s="418"/>
      <c r="AA556" s="413"/>
      <c r="AB556" s="413"/>
      <c r="AC556" s="413"/>
      <c r="AD556" s="413"/>
    </row>
    <row r="557" spans="1:30" x14ac:dyDescent="0.3">
      <c r="A557" s="433"/>
      <c r="C557" s="433"/>
      <c r="O557" s="411" t="s">
        <v>1634</v>
      </c>
      <c r="P557" s="418">
        <f t="shared" si="167"/>
        <v>0</v>
      </c>
      <c r="Q557" s="418">
        <f t="shared" si="167"/>
        <v>357772.87</v>
      </c>
      <c r="R557" s="418">
        <f t="shared" si="167"/>
        <v>542669.4</v>
      </c>
      <c r="S557" s="418">
        <f t="shared" si="167"/>
        <v>917623.51</v>
      </c>
      <c r="T557" s="418">
        <f t="shared" si="167"/>
        <v>0</v>
      </c>
      <c r="Z557" s="418"/>
      <c r="AA557" s="413"/>
      <c r="AB557" s="413"/>
      <c r="AC557" s="413"/>
      <c r="AD557" s="413"/>
    </row>
    <row r="558" spans="1:30" x14ac:dyDescent="0.3">
      <c r="A558" s="433"/>
      <c r="C558" s="433"/>
      <c r="O558" s="411" t="s">
        <v>1633</v>
      </c>
      <c r="P558" s="418">
        <f t="shared" si="167"/>
        <v>0</v>
      </c>
      <c r="Q558" s="418">
        <f t="shared" si="167"/>
        <v>2186736.7000000002</v>
      </c>
      <c r="R558" s="418">
        <f t="shared" si="167"/>
        <v>6242827.8500000006</v>
      </c>
      <c r="S558" s="418">
        <f t="shared" si="167"/>
        <v>70041469.370000005</v>
      </c>
      <c r="T558" s="418">
        <f t="shared" si="167"/>
        <v>0</v>
      </c>
      <c r="Z558" s="418"/>
      <c r="AA558" s="413"/>
      <c r="AB558" s="413"/>
      <c r="AC558" s="413"/>
      <c r="AD558" s="413"/>
    </row>
    <row r="559" spans="1:30" x14ac:dyDescent="0.3">
      <c r="A559" s="433"/>
      <c r="C559" s="433"/>
      <c r="O559" s="411" t="s">
        <v>1632</v>
      </c>
      <c r="P559" s="418">
        <f t="shared" si="167"/>
        <v>0</v>
      </c>
      <c r="Q559" s="418">
        <f t="shared" si="167"/>
        <v>3158695.8</v>
      </c>
      <c r="R559" s="418">
        <f t="shared" si="167"/>
        <v>6858764.2599999998</v>
      </c>
      <c r="S559" s="418">
        <f t="shared" si="167"/>
        <v>18791745.149999999</v>
      </c>
      <c r="T559" s="418">
        <f t="shared" si="167"/>
        <v>0</v>
      </c>
      <c r="Z559" s="418"/>
      <c r="AA559" s="413"/>
      <c r="AB559" s="413"/>
      <c r="AC559" s="413"/>
      <c r="AD559" s="413"/>
    </row>
    <row r="560" spans="1:30" x14ac:dyDescent="0.3">
      <c r="A560" s="433"/>
      <c r="C560" s="433"/>
      <c r="O560" s="411" t="s">
        <v>1631</v>
      </c>
      <c r="P560" s="418">
        <f t="shared" si="167"/>
        <v>0</v>
      </c>
      <c r="Q560" s="418">
        <f t="shared" si="167"/>
        <v>3883677.4200000004</v>
      </c>
      <c r="R560" s="418">
        <f t="shared" si="167"/>
        <v>6098801.2700000005</v>
      </c>
      <c r="S560" s="418">
        <f t="shared" si="167"/>
        <v>12202080.560000001</v>
      </c>
      <c r="T560" s="418">
        <f t="shared" si="167"/>
        <v>0</v>
      </c>
      <c r="Z560" s="418"/>
      <c r="AA560" s="413"/>
      <c r="AB560" s="413"/>
      <c r="AC560" s="413"/>
      <c r="AD560" s="413"/>
    </row>
    <row r="561" spans="1:30" x14ac:dyDescent="0.3">
      <c r="A561" s="433"/>
      <c r="C561" s="433"/>
      <c r="O561" s="411" t="s">
        <v>1630</v>
      </c>
      <c r="P561" s="418">
        <f t="shared" si="167"/>
        <v>0</v>
      </c>
      <c r="Q561" s="418">
        <f t="shared" si="167"/>
        <v>18856490.210000001</v>
      </c>
      <c r="R561" s="418">
        <f t="shared" si="167"/>
        <v>19160503.030000001</v>
      </c>
      <c r="S561" s="418">
        <f t="shared" si="167"/>
        <v>20990061.109999999</v>
      </c>
      <c r="T561" s="418">
        <f t="shared" si="167"/>
        <v>0</v>
      </c>
      <c r="Z561" s="418"/>
      <c r="AA561" s="413"/>
      <c r="AB561" s="413"/>
      <c r="AC561" s="413"/>
      <c r="AD561" s="413"/>
    </row>
    <row r="562" spans="1:30" x14ac:dyDescent="0.3">
      <c r="A562" s="433"/>
      <c r="C562" s="433"/>
      <c r="O562" s="411" t="s">
        <v>1629</v>
      </c>
      <c r="P562" s="418">
        <f t="shared" si="167"/>
        <v>0</v>
      </c>
      <c r="Q562" s="418">
        <f t="shared" si="167"/>
        <v>1709301.6600000001</v>
      </c>
      <c r="R562" s="418">
        <f t="shared" si="167"/>
        <v>2730073.05</v>
      </c>
      <c r="S562" s="418">
        <f t="shared" si="167"/>
        <v>6476399.6999999993</v>
      </c>
      <c r="T562" s="418">
        <f t="shared" si="167"/>
        <v>0</v>
      </c>
      <c r="Z562" s="418"/>
      <c r="AA562" s="413"/>
      <c r="AB562" s="413"/>
      <c r="AC562" s="413"/>
      <c r="AD562" s="413"/>
    </row>
    <row r="563" spans="1:30" x14ac:dyDescent="0.3">
      <c r="A563" s="433"/>
      <c r="C563" s="433"/>
      <c r="O563" s="411" t="s">
        <v>1628</v>
      </c>
      <c r="P563" s="418">
        <f t="shared" si="167"/>
        <v>0</v>
      </c>
      <c r="Q563" s="418">
        <f t="shared" si="167"/>
        <v>336671.82999999996</v>
      </c>
      <c r="R563" s="418">
        <f t="shared" si="167"/>
        <v>364435.63</v>
      </c>
      <c r="S563" s="418">
        <f t="shared" si="167"/>
        <v>792335.45</v>
      </c>
      <c r="T563" s="418">
        <f t="shared" si="167"/>
        <v>0</v>
      </c>
      <c r="Z563" s="418"/>
      <c r="AA563" s="413"/>
      <c r="AB563" s="413"/>
      <c r="AC563" s="413"/>
      <c r="AD563" s="413"/>
    </row>
    <row r="564" spans="1:30" x14ac:dyDescent="0.3">
      <c r="A564" s="433"/>
      <c r="C564" s="433"/>
      <c r="O564" s="411" t="s">
        <v>1627</v>
      </c>
      <c r="P564" s="418">
        <f t="shared" ref="P564:T569" si="168">SUMIF($O$5:$O$509,$O564,P$5:P$509)</f>
        <v>0</v>
      </c>
      <c r="Q564" s="418">
        <f t="shared" si="168"/>
        <v>83.36</v>
      </c>
      <c r="R564" s="418">
        <f t="shared" si="168"/>
        <v>86.94</v>
      </c>
      <c r="S564" s="418">
        <f t="shared" si="168"/>
        <v>172.91</v>
      </c>
      <c r="T564" s="418">
        <f t="shared" si="168"/>
        <v>0</v>
      </c>
      <c r="Z564" s="418"/>
      <c r="AA564" s="413"/>
      <c r="AB564" s="413"/>
      <c r="AC564" s="413"/>
      <c r="AD564" s="413"/>
    </row>
    <row r="565" spans="1:30" x14ac:dyDescent="0.3">
      <c r="A565" s="433"/>
      <c r="C565" s="433"/>
      <c r="O565" s="411" t="s">
        <v>1626</v>
      </c>
      <c r="P565" s="418">
        <f t="shared" si="168"/>
        <v>0</v>
      </c>
      <c r="Q565" s="418">
        <f t="shared" si="168"/>
        <v>6088673.1600000001</v>
      </c>
      <c r="R565" s="418">
        <f t="shared" si="168"/>
        <v>7067846.1900000013</v>
      </c>
      <c r="S565" s="418">
        <f t="shared" si="168"/>
        <v>13356653.399999999</v>
      </c>
      <c r="T565" s="418">
        <f t="shared" si="168"/>
        <v>0</v>
      </c>
      <c r="Z565" s="418"/>
      <c r="AA565" s="413"/>
      <c r="AB565" s="413"/>
      <c r="AC565" s="413"/>
      <c r="AD565" s="413"/>
    </row>
    <row r="566" spans="1:30" x14ac:dyDescent="0.3">
      <c r="A566" s="433"/>
      <c r="C566" s="433"/>
      <c r="O566" s="411" t="s">
        <v>1625</v>
      </c>
      <c r="P566" s="418">
        <f t="shared" si="168"/>
        <v>0</v>
      </c>
      <c r="Q566" s="418">
        <f t="shared" si="168"/>
        <v>206488.62</v>
      </c>
      <c r="R566" s="418">
        <f t="shared" si="168"/>
        <v>215350.43</v>
      </c>
      <c r="S566" s="418">
        <f t="shared" si="168"/>
        <v>736521.39999999991</v>
      </c>
      <c r="T566" s="418">
        <f t="shared" si="168"/>
        <v>0</v>
      </c>
      <c r="Z566" s="418"/>
      <c r="AA566" s="413"/>
      <c r="AB566" s="413"/>
      <c r="AC566" s="413"/>
      <c r="AD566" s="413"/>
    </row>
    <row r="567" spans="1:30" x14ac:dyDescent="0.3">
      <c r="A567" s="433"/>
      <c r="C567" s="433"/>
      <c r="O567" s="411" t="s">
        <v>1624</v>
      </c>
      <c r="P567" s="418">
        <f t="shared" si="168"/>
        <v>0</v>
      </c>
      <c r="Q567" s="418">
        <f t="shared" si="168"/>
        <v>175825.06</v>
      </c>
      <c r="R567" s="418">
        <f t="shared" si="168"/>
        <v>195115.44</v>
      </c>
      <c r="S567" s="418">
        <f t="shared" si="168"/>
        <v>443687.63</v>
      </c>
      <c r="T567" s="418">
        <f t="shared" si="168"/>
        <v>0</v>
      </c>
      <c r="Z567" s="418"/>
      <c r="AA567" s="413"/>
      <c r="AB567" s="413"/>
      <c r="AC567" s="413"/>
      <c r="AD567" s="413"/>
    </row>
    <row r="568" spans="1:30" x14ac:dyDescent="0.3">
      <c r="O568" s="411" t="s">
        <v>1623</v>
      </c>
      <c r="P568" s="418">
        <f t="shared" si="168"/>
        <v>0</v>
      </c>
      <c r="Q568" s="418">
        <f t="shared" si="168"/>
        <v>4000212.4200000004</v>
      </c>
      <c r="R568" s="418">
        <f t="shared" si="168"/>
        <v>6628584.9699999997</v>
      </c>
      <c r="S568" s="418">
        <f t="shared" si="168"/>
        <v>14190071.48</v>
      </c>
      <c r="T568" s="418">
        <f t="shared" si="168"/>
        <v>0</v>
      </c>
      <c r="Z568" s="418"/>
      <c r="AA568" s="413"/>
      <c r="AB568" s="413"/>
      <c r="AC568" s="413"/>
      <c r="AD568" s="413"/>
    </row>
    <row r="569" spans="1:30" x14ac:dyDescent="0.3">
      <c r="C569" s="433"/>
      <c r="D569" s="434"/>
      <c r="O569" s="411" t="s">
        <v>1622</v>
      </c>
      <c r="P569" s="418">
        <f t="shared" si="168"/>
        <v>0</v>
      </c>
      <c r="Q569" s="418">
        <f t="shared" si="168"/>
        <v>32685.39</v>
      </c>
      <c r="R569" s="418">
        <f t="shared" si="168"/>
        <v>34521.54</v>
      </c>
      <c r="S569" s="418">
        <f t="shared" si="168"/>
        <v>64241.43</v>
      </c>
      <c r="T569" s="418">
        <f t="shared" si="168"/>
        <v>0</v>
      </c>
      <c r="Z569" s="418"/>
      <c r="AA569" s="413"/>
      <c r="AB569" s="413"/>
      <c r="AC569" s="413"/>
      <c r="AD569" s="413"/>
    </row>
    <row r="570" spans="1:30" x14ac:dyDescent="0.3">
      <c r="C570" s="433"/>
      <c r="D570" s="434"/>
      <c r="P570" s="413">
        <f>SUM(P514:P569)</f>
        <v>0</v>
      </c>
      <c r="Q570" s="413">
        <f>SUM(Q514:Q569)</f>
        <v>489130751.21587008</v>
      </c>
      <c r="R570" s="413">
        <f>SUM(R514:R569)</f>
        <v>731875290.19723797</v>
      </c>
      <c r="S570" s="413">
        <f>SUM(S514:S569)</f>
        <v>1530295552.6361763</v>
      </c>
      <c r="T570" s="413">
        <f>SUM(T514:T569)</f>
        <v>0</v>
      </c>
      <c r="Z570" s="418"/>
    </row>
    <row r="571" spans="1:30" x14ac:dyDescent="0.3">
      <c r="P571" s="413">
        <f>P570-P510</f>
        <v>0</v>
      </c>
      <c r="Q571" s="413">
        <f>Q570-Q510</f>
        <v>0</v>
      </c>
      <c r="R571" s="413">
        <f>R570-R510</f>
        <v>0</v>
      </c>
      <c r="S571" s="413">
        <f>S570-S510</f>
        <v>0</v>
      </c>
      <c r="T571" s="413">
        <f>T570-T510</f>
        <v>0</v>
      </c>
      <c r="Z571" s="418"/>
    </row>
    <row r="572" spans="1:30" x14ac:dyDescent="0.3">
      <c r="Q572" s="413"/>
      <c r="Z572" s="418"/>
    </row>
    <row r="573" spans="1:30" x14ac:dyDescent="0.3">
      <c r="Z573" s="418"/>
    </row>
    <row r="574" spans="1:30" x14ac:dyDescent="0.3">
      <c r="Z574" s="418"/>
    </row>
    <row r="575" spans="1:30" x14ac:dyDescent="0.3">
      <c r="Z575" s="418"/>
    </row>
    <row r="576" spans="1:30" x14ac:dyDescent="0.3">
      <c r="Z576" s="418"/>
    </row>
    <row r="577" spans="26:26" x14ac:dyDescent="0.3">
      <c r="Z577" s="418"/>
    </row>
    <row r="578" spans="26:26" x14ac:dyDescent="0.3">
      <c r="Z578" s="418"/>
    </row>
    <row r="579" spans="26:26" x14ac:dyDescent="0.3">
      <c r="Z579" s="418"/>
    </row>
    <row r="580" spans="26:26" x14ac:dyDescent="0.3">
      <c r="Z580" s="418"/>
    </row>
    <row r="581" spans="26:26" x14ac:dyDescent="0.3">
      <c r="Z581" s="418"/>
    </row>
    <row r="582" spans="26:26" x14ac:dyDescent="0.3">
      <c r="Z582" s="418"/>
    </row>
    <row r="583" spans="26:26" x14ac:dyDescent="0.3">
      <c r="Z583" s="418"/>
    </row>
    <row r="584" spans="26:26" x14ac:dyDescent="0.3">
      <c r="Z584" s="418"/>
    </row>
    <row r="585" spans="26:26" x14ac:dyDescent="0.3">
      <c r="Z585" s="418"/>
    </row>
    <row r="586" spans="26:26" x14ac:dyDescent="0.3">
      <c r="Z586" s="418"/>
    </row>
    <row r="587" spans="26:26" x14ac:dyDescent="0.3">
      <c r="Z587" s="418"/>
    </row>
    <row r="588" spans="26:26" x14ac:dyDescent="0.3">
      <c r="Z588" s="418"/>
    </row>
    <row r="589" spans="26:26" x14ac:dyDescent="0.3">
      <c r="Z589" s="418"/>
    </row>
    <row r="590" spans="26:26" x14ac:dyDescent="0.3">
      <c r="Z590" s="418"/>
    </row>
    <row r="591" spans="26:26" x14ac:dyDescent="0.3">
      <c r="Z591" s="418"/>
    </row>
    <row r="592" spans="26:26" x14ac:dyDescent="0.3">
      <c r="Z592" s="418"/>
    </row>
    <row r="593" spans="26:26" x14ac:dyDescent="0.3">
      <c r="Z593" s="418"/>
    </row>
    <row r="594" spans="26:26" x14ac:dyDescent="0.3">
      <c r="Z594" s="418"/>
    </row>
    <row r="595" spans="26:26" x14ac:dyDescent="0.3">
      <c r="Z595" s="418"/>
    </row>
    <row r="596" spans="26:26" x14ac:dyDescent="0.3">
      <c r="Z596" s="418"/>
    </row>
    <row r="597" spans="26:26" x14ac:dyDescent="0.3">
      <c r="Z597" s="418"/>
    </row>
    <row r="598" spans="26:26" x14ac:dyDescent="0.3">
      <c r="Z598" s="418"/>
    </row>
    <row r="599" spans="26:26" x14ac:dyDescent="0.3">
      <c r="Z599" s="418"/>
    </row>
    <row r="600" spans="26:26" x14ac:dyDescent="0.3">
      <c r="Z600" s="413"/>
    </row>
  </sheetData>
  <autoFilter ref="A4:AE511"/>
  <conditionalFormatting sqref="J5 AE6:AE472 AE508:AE509">
    <cfRule type="cellIs" dxfId="43" priority="11" operator="equal">
      <formula>0</formula>
    </cfRule>
    <cfRule type="cellIs" dxfId="42" priority="12" operator="notEqual">
      <formula>0</formula>
    </cfRule>
  </conditionalFormatting>
  <conditionalFormatting sqref="E511:I511">
    <cfRule type="cellIs" dxfId="41" priority="9" operator="equal">
      <formula>0</formula>
    </cfRule>
    <cfRule type="cellIs" dxfId="40" priority="10" operator="notEqual">
      <formula>0</formula>
    </cfRule>
  </conditionalFormatting>
  <conditionalFormatting sqref="AE5">
    <cfRule type="cellIs" dxfId="39" priority="7" operator="equal">
      <formula>0</formula>
    </cfRule>
    <cfRule type="cellIs" dxfId="38" priority="8" operator="notEqual">
      <formula>0</formula>
    </cfRule>
  </conditionalFormatting>
  <conditionalFormatting sqref="AE473:AE500 AE504:AE507">
    <cfRule type="cellIs" dxfId="37" priority="5" operator="equal">
      <formula>0</formula>
    </cfRule>
    <cfRule type="cellIs" dxfId="36" priority="6" operator="notEqual">
      <formula>0</formula>
    </cfRule>
  </conditionalFormatting>
  <conditionalFormatting sqref="AE501:AE503">
    <cfRule type="cellIs" dxfId="35" priority="3" operator="equal">
      <formula>0</formula>
    </cfRule>
    <cfRule type="cellIs" dxfId="34" priority="4" operator="notEqual">
      <formula>0</formula>
    </cfRule>
  </conditionalFormatting>
  <conditionalFormatting sqref="J6:J509">
    <cfRule type="cellIs" dxfId="33" priority="1" operator="equal">
      <formula>0</formula>
    </cfRule>
    <cfRule type="cellIs" dxfId="32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Q1" workbookViewId="0">
      <pane ySplit="4" topLeftCell="A5" activePane="bottomLeft" state="frozen"/>
      <selection activeCell="O22" sqref="O22"/>
      <selection pane="bottomLeft" activeCell="O22" sqref="O22"/>
    </sheetView>
  </sheetViews>
  <sheetFormatPr defaultColWidth="8.6640625" defaultRowHeight="14.4" x14ac:dyDescent="0.3"/>
  <cols>
    <col min="1" max="1" width="41.44140625" style="411" bestFit="1" customWidth="1"/>
    <col min="2" max="2" width="41.44140625" style="411" customWidth="1"/>
    <col min="3" max="3" width="9.109375" style="412" bestFit="1" customWidth="1"/>
    <col min="4" max="5" width="14.6640625" style="411" bestFit="1" customWidth="1"/>
    <col min="6" max="8" width="16.109375" style="411" bestFit="1" customWidth="1"/>
    <col min="9" max="9" width="4.88671875" style="411" customWidth="1"/>
    <col min="10" max="10" width="41.5546875" style="411" bestFit="1" customWidth="1"/>
    <col min="11" max="11" width="41.44140625" style="411" customWidth="1"/>
    <col min="12" max="12" width="9.109375" style="411" bestFit="1" customWidth="1"/>
    <col min="13" max="13" width="12.5546875" style="411" bestFit="1" customWidth="1"/>
    <col min="14" max="14" width="13.6640625" style="411" bestFit="1" customWidth="1"/>
    <col min="15" max="17" width="14.6640625" style="411" bestFit="1" customWidth="1"/>
    <col min="18" max="18" width="3" style="411" customWidth="1"/>
    <col min="19" max="19" width="41.5546875" style="411" bestFit="1" customWidth="1"/>
    <col min="20" max="20" width="41.44140625" style="411" customWidth="1"/>
    <col min="21" max="21" width="9.109375" style="411" bestFit="1" customWidth="1"/>
    <col min="22" max="22" width="13.33203125" style="411" bestFit="1" customWidth="1"/>
    <col min="23" max="25" width="14.33203125" style="411" bestFit="1" customWidth="1"/>
    <col min="26" max="26" width="15.33203125" style="411" bestFit="1" customWidth="1"/>
    <col min="27" max="27" width="5.109375" style="411" customWidth="1"/>
    <col min="28" max="28" width="5.6640625" style="411" customWidth="1"/>
    <col min="29" max="16384" width="8.6640625" style="411"/>
  </cols>
  <sheetData>
    <row r="1" spans="1:28" x14ac:dyDescent="0.3">
      <c r="A1" s="411" t="s">
        <v>33</v>
      </c>
      <c r="C1" s="433" t="s">
        <v>34</v>
      </c>
      <c r="D1" s="432">
        <v>0.34060000000000001</v>
      </c>
      <c r="E1" s="433" t="s">
        <v>35</v>
      </c>
      <c r="F1" s="432">
        <v>0.65939999999999999</v>
      </c>
    </row>
    <row r="2" spans="1:28" x14ac:dyDescent="0.3">
      <c r="J2" s="430" t="s">
        <v>37</v>
      </c>
      <c r="S2" s="430" t="s">
        <v>38</v>
      </c>
    </row>
    <row r="3" spans="1:28" ht="57.6" x14ac:dyDescent="0.3">
      <c r="A3" s="431" t="s">
        <v>0</v>
      </c>
      <c r="B3" s="431" t="s">
        <v>1620</v>
      </c>
      <c r="C3" s="430" t="s">
        <v>40</v>
      </c>
      <c r="D3" s="452" t="s">
        <v>1948</v>
      </c>
      <c r="E3" s="452" t="s">
        <v>1947</v>
      </c>
      <c r="F3" s="452" t="s">
        <v>1946</v>
      </c>
      <c r="G3" s="452" t="s">
        <v>1945</v>
      </c>
      <c r="H3" s="452" t="s">
        <v>1944</v>
      </c>
      <c r="J3" s="431" t="s">
        <v>0</v>
      </c>
      <c r="K3" s="431" t="s">
        <v>1620</v>
      </c>
      <c r="L3" s="451" t="s">
        <v>40</v>
      </c>
      <c r="M3" s="450" t="s">
        <v>1948</v>
      </c>
      <c r="N3" s="450" t="s">
        <v>1947</v>
      </c>
      <c r="O3" s="450" t="s">
        <v>1946</v>
      </c>
      <c r="P3" s="450" t="s">
        <v>1945</v>
      </c>
      <c r="Q3" s="450" t="s">
        <v>1944</v>
      </c>
      <c r="S3" s="431" t="s">
        <v>0</v>
      </c>
      <c r="T3" s="431" t="s">
        <v>1620</v>
      </c>
      <c r="U3" s="430" t="s">
        <v>40</v>
      </c>
      <c r="V3" s="450" t="s">
        <v>1948</v>
      </c>
      <c r="W3" s="450" t="s">
        <v>1947</v>
      </c>
      <c r="X3" s="450" t="s">
        <v>1946</v>
      </c>
      <c r="Y3" s="450" t="s">
        <v>1945</v>
      </c>
      <c r="Z3" s="450" t="s">
        <v>1944</v>
      </c>
      <c r="AB3" s="449" t="s">
        <v>1943</v>
      </c>
    </row>
    <row r="4" spans="1:28" x14ac:dyDescent="0.3">
      <c r="A4" s="428" t="s">
        <v>1614</v>
      </c>
      <c r="B4" s="428"/>
      <c r="C4" s="427"/>
      <c r="D4" s="417">
        <v>2</v>
      </c>
      <c r="E4" s="417">
        <v>3</v>
      </c>
      <c r="F4" s="417">
        <v>4</v>
      </c>
      <c r="G4" s="417">
        <v>5</v>
      </c>
      <c r="H4" s="417">
        <v>6</v>
      </c>
      <c r="J4" s="428"/>
      <c r="K4" s="428"/>
      <c r="L4" s="427"/>
      <c r="M4" s="417"/>
      <c r="N4" s="417"/>
      <c r="O4" s="417"/>
      <c r="P4" s="417"/>
      <c r="Q4" s="417"/>
      <c r="S4" s="426"/>
      <c r="T4" s="428"/>
      <c r="U4" s="426"/>
      <c r="V4" s="426"/>
      <c r="W4" s="426"/>
      <c r="X4" s="426"/>
      <c r="Y4" s="426"/>
      <c r="Z4" s="426"/>
    </row>
    <row r="5" spans="1:28" x14ac:dyDescent="0.3">
      <c r="A5" s="415" t="s">
        <v>1613</v>
      </c>
      <c r="B5" s="415" t="s">
        <v>1168</v>
      </c>
      <c r="C5" s="446" t="str">
        <f>VLOOKUP(A5,'Calc Program Gross Plant'!$A$5:$C$55,3,FALSE)</f>
        <v>C</v>
      </c>
      <c r="D5" s="418">
        <v>0</v>
      </c>
      <c r="E5" s="413">
        <v>2227016.1100000003</v>
      </c>
      <c r="F5" s="413">
        <v>3644552.17</v>
      </c>
      <c r="G5" s="413">
        <v>6479624.29</v>
      </c>
      <c r="H5" s="413">
        <v>0</v>
      </c>
      <c r="J5" s="415" t="str">
        <f t="shared" ref="J5:J47" si="0">A5</f>
        <v>AMI Meters and Modules Deployment - Common</v>
      </c>
      <c r="K5" s="415" t="str">
        <f t="shared" ref="K5:K47" si="1">B5</f>
        <v>Programmatic</v>
      </c>
      <c r="L5" s="448" t="str">
        <f t="shared" ref="L5:L47" si="2">C5</f>
        <v>C</v>
      </c>
      <c r="M5" s="447">
        <f t="shared" ref="M5:M50" si="3">IF($L5="C",D5*$F$1,IF($L5="G",0,D5))</f>
        <v>0</v>
      </c>
      <c r="N5" s="447">
        <f t="shared" ref="N5:N50" si="4">IF($L5="C",E5*$F$1,IF($L5="G",0,E5))</f>
        <v>1468494.4229340001</v>
      </c>
      <c r="O5" s="447">
        <f t="shared" ref="O5:O50" si="5">IF($L5="C",F5*$F$1,IF($L5="G",0,F5))</f>
        <v>2403217.700898</v>
      </c>
      <c r="P5" s="447">
        <f t="shared" ref="P5:P50" si="6">IF($L5="C",G5*$F$1,IF($L5="G",0,G5))</f>
        <v>4272664.2568260003</v>
      </c>
      <c r="Q5" s="447">
        <f t="shared" ref="Q5:Q50" si="7">IF($L5="C",H5*$F$1,IF($L5="G",0,H5))</f>
        <v>0</v>
      </c>
      <c r="S5" s="415" t="str">
        <f t="shared" ref="S5:S47" si="8">A5</f>
        <v>AMI Meters and Modules Deployment - Common</v>
      </c>
      <c r="T5" s="415" t="str">
        <f t="shared" ref="T5:T47" si="9">B5</f>
        <v>Programmatic</v>
      </c>
      <c r="U5" s="448" t="str">
        <f t="shared" ref="U5:U47" si="10">C5</f>
        <v>C</v>
      </c>
      <c r="V5" s="447">
        <f t="shared" ref="V5:V50" si="11">IF($U5="C",D5*$D$1,IF($U5="E",0,D5))</f>
        <v>0</v>
      </c>
      <c r="W5" s="447">
        <f t="shared" ref="W5:W50" si="12">IF($U5="C",E5*$D$1,IF($U5="E",0,E5))</f>
        <v>758521.68706600019</v>
      </c>
      <c r="X5" s="447">
        <f t="shared" ref="X5:X50" si="13">IF($U5="C",F5*$D$1,IF($U5="E",0,F5))</f>
        <v>1241334.4691020001</v>
      </c>
      <c r="Y5" s="447">
        <f t="shared" ref="Y5:Y50" si="14">IF($U5="C",G5*$D$1,IF($U5="E",0,G5))</f>
        <v>2206960.0331740002</v>
      </c>
      <c r="Z5" s="447">
        <f t="shared" ref="Z5:Z50" si="15">IF($U5="C",H5*$D$1,IF($U5="E",0,H5))</f>
        <v>0</v>
      </c>
      <c r="AB5" s="413">
        <f t="shared" ref="AB5:AB36" si="16">SUM(D5:H5)-SUM(M5:Q5)-SUM(V5:Z5)</f>
        <v>0</v>
      </c>
    </row>
    <row r="6" spans="1:28" x14ac:dyDescent="0.3">
      <c r="A6" s="415" t="s">
        <v>1612</v>
      </c>
      <c r="B6" s="415" t="s">
        <v>1168</v>
      </c>
      <c r="C6" s="446" t="str">
        <f>VLOOKUP(A6,'Calc Program Gross Plant'!$A$5:$C$55,3,FALSE)</f>
        <v>E</v>
      </c>
      <c r="D6" s="418">
        <v>0</v>
      </c>
      <c r="E6" s="413">
        <v>40156.720000000001</v>
      </c>
      <c r="F6" s="413">
        <v>70347.100000000006</v>
      </c>
      <c r="G6" s="413">
        <v>2794758.86</v>
      </c>
      <c r="H6" s="413">
        <v>0</v>
      </c>
      <c r="J6" s="415" t="str">
        <f t="shared" si="0"/>
        <v>AMI Meters and Modules Deployment - Electric</v>
      </c>
      <c r="K6" s="415" t="str">
        <f t="shared" si="1"/>
        <v>Programmatic</v>
      </c>
      <c r="L6" s="412" t="str">
        <f t="shared" si="2"/>
        <v>E</v>
      </c>
      <c r="M6" s="447">
        <f t="shared" si="3"/>
        <v>0</v>
      </c>
      <c r="N6" s="447">
        <f t="shared" si="4"/>
        <v>40156.720000000001</v>
      </c>
      <c r="O6" s="447">
        <f t="shared" si="5"/>
        <v>70347.100000000006</v>
      </c>
      <c r="P6" s="447">
        <f t="shared" si="6"/>
        <v>2794758.86</v>
      </c>
      <c r="Q6" s="447">
        <f t="shared" si="7"/>
        <v>0</v>
      </c>
      <c r="S6" s="415" t="str">
        <f t="shared" si="8"/>
        <v>AMI Meters and Modules Deployment - Electric</v>
      </c>
      <c r="T6" s="415" t="str">
        <f t="shared" si="9"/>
        <v>Programmatic</v>
      </c>
      <c r="U6" s="412" t="str">
        <f t="shared" si="10"/>
        <v>E</v>
      </c>
      <c r="V6" s="447">
        <f t="shared" si="11"/>
        <v>0</v>
      </c>
      <c r="W6" s="447">
        <f t="shared" si="12"/>
        <v>0</v>
      </c>
      <c r="X6" s="447">
        <f t="shared" si="13"/>
        <v>0</v>
      </c>
      <c r="Y6" s="447">
        <f t="shared" si="14"/>
        <v>0</v>
      </c>
      <c r="Z6" s="447">
        <f t="shared" si="15"/>
        <v>0</v>
      </c>
      <c r="AB6" s="413">
        <f t="shared" si="16"/>
        <v>0</v>
      </c>
    </row>
    <row r="7" spans="1:28" x14ac:dyDescent="0.3">
      <c r="A7" s="415" t="s">
        <v>1611</v>
      </c>
      <c r="B7" s="415" t="s">
        <v>1168</v>
      </c>
      <c r="C7" s="446" t="str">
        <f>VLOOKUP(A7,'Calc Program Gross Plant'!$A$5:$C$55,3,FALSE)</f>
        <v>G</v>
      </c>
      <c r="D7" s="418">
        <v>0</v>
      </c>
      <c r="E7" s="413">
        <v>0</v>
      </c>
      <c r="F7" s="413">
        <v>6122.82</v>
      </c>
      <c r="G7" s="413">
        <v>1910318.6</v>
      </c>
      <c r="H7" s="413">
        <v>0</v>
      </c>
      <c r="J7" s="415" t="str">
        <f t="shared" si="0"/>
        <v>AMI Meters and Modules Deployment - Gas</v>
      </c>
      <c r="K7" s="415" t="str">
        <f t="shared" si="1"/>
        <v>Programmatic</v>
      </c>
      <c r="L7" s="412" t="str">
        <f t="shared" si="2"/>
        <v>G</v>
      </c>
      <c r="M7" s="447">
        <f t="shared" si="3"/>
        <v>0</v>
      </c>
      <c r="N7" s="447">
        <f t="shared" si="4"/>
        <v>0</v>
      </c>
      <c r="O7" s="447">
        <f t="shared" si="5"/>
        <v>0</v>
      </c>
      <c r="P7" s="447">
        <f t="shared" si="6"/>
        <v>0</v>
      </c>
      <c r="Q7" s="447">
        <f t="shared" si="7"/>
        <v>0</v>
      </c>
      <c r="S7" s="415" t="str">
        <f t="shared" si="8"/>
        <v>AMI Meters and Modules Deployment - Gas</v>
      </c>
      <c r="T7" s="415" t="str">
        <f t="shared" si="9"/>
        <v>Programmatic</v>
      </c>
      <c r="U7" s="412" t="str">
        <f t="shared" si="10"/>
        <v>G</v>
      </c>
      <c r="V7" s="447">
        <f t="shared" si="11"/>
        <v>0</v>
      </c>
      <c r="W7" s="447">
        <f t="shared" si="12"/>
        <v>0</v>
      </c>
      <c r="X7" s="447">
        <f t="shared" si="13"/>
        <v>6122.82</v>
      </c>
      <c r="Y7" s="447">
        <f t="shared" si="14"/>
        <v>1910318.6</v>
      </c>
      <c r="Z7" s="447">
        <f t="shared" si="15"/>
        <v>0</v>
      </c>
      <c r="AB7" s="413">
        <f t="shared" si="16"/>
        <v>0</v>
      </c>
    </row>
    <row r="8" spans="1:28" x14ac:dyDescent="0.3">
      <c r="A8" s="415" t="s">
        <v>1</v>
      </c>
      <c r="B8" s="415" t="s">
        <v>1181</v>
      </c>
      <c r="C8" s="446" t="str">
        <f>VLOOKUP(A8,'Calc Program Gross Plant'!$A$5:$C$55,3,FALSE)</f>
        <v>E</v>
      </c>
      <c r="D8" s="418">
        <v>0</v>
      </c>
      <c r="E8" s="413">
        <v>8308.9</v>
      </c>
      <c r="F8" s="413">
        <v>229886.25</v>
      </c>
      <c r="G8" s="413">
        <v>1017070.6</v>
      </c>
      <c r="H8" s="413">
        <v>0</v>
      </c>
      <c r="J8" s="415" t="str">
        <f t="shared" si="0"/>
        <v>Bainbridge Tlines Trans</v>
      </c>
      <c r="K8" s="415" t="str">
        <f t="shared" si="1"/>
        <v>Specific</v>
      </c>
      <c r="L8" s="412" t="str">
        <f t="shared" si="2"/>
        <v>E</v>
      </c>
      <c r="M8" s="447">
        <f t="shared" si="3"/>
        <v>0</v>
      </c>
      <c r="N8" s="447">
        <f t="shared" si="4"/>
        <v>8308.9</v>
      </c>
      <c r="O8" s="447">
        <f t="shared" si="5"/>
        <v>229886.25</v>
      </c>
      <c r="P8" s="447">
        <f t="shared" si="6"/>
        <v>1017070.6</v>
      </c>
      <c r="Q8" s="447">
        <f t="shared" si="7"/>
        <v>0</v>
      </c>
      <c r="S8" s="415" t="str">
        <f t="shared" si="8"/>
        <v>Bainbridge Tlines Trans</v>
      </c>
      <c r="T8" s="415" t="str">
        <f t="shared" si="9"/>
        <v>Specific</v>
      </c>
      <c r="U8" s="412" t="str">
        <f t="shared" si="10"/>
        <v>E</v>
      </c>
      <c r="V8" s="447">
        <f t="shared" si="11"/>
        <v>0</v>
      </c>
      <c r="W8" s="447">
        <f t="shared" si="12"/>
        <v>0</v>
      </c>
      <c r="X8" s="447">
        <f t="shared" si="13"/>
        <v>0</v>
      </c>
      <c r="Y8" s="447">
        <f t="shared" si="14"/>
        <v>0</v>
      </c>
      <c r="Z8" s="447">
        <f t="shared" si="15"/>
        <v>0</v>
      </c>
      <c r="AB8" s="413">
        <f t="shared" si="16"/>
        <v>0</v>
      </c>
    </row>
    <row r="9" spans="1:28" x14ac:dyDescent="0.3">
      <c r="A9" s="415" t="s">
        <v>2</v>
      </c>
      <c r="B9" s="415" t="s">
        <v>1168</v>
      </c>
      <c r="C9" s="446" t="str">
        <f>VLOOKUP(A9,'Calc Program Gross Plant'!$A$5:$C$55,3,FALSE)</f>
        <v>E</v>
      </c>
      <c r="D9" s="418">
        <v>0</v>
      </c>
      <c r="E9" s="413">
        <v>43951.69</v>
      </c>
      <c r="F9" s="413">
        <v>253149.69</v>
      </c>
      <c r="G9" s="413">
        <v>1479978.9</v>
      </c>
      <c r="H9" s="413">
        <v>0</v>
      </c>
      <c r="J9" s="415" t="str">
        <f t="shared" si="0"/>
        <v>Capacity Electric</v>
      </c>
      <c r="K9" s="415" t="str">
        <f t="shared" si="1"/>
        <v>Programmatic</v>
      </c>
      <c r="L9" s="412" t="str">
        <f t="shared" si="2"/>
        <v>E</v>
      </c>
      <c r="M9" s="447">
        <f t="shared" si="3"/>
        <v>0</v>
      </c>
      <c r="N9" s="447">
        <f t="shared" si="4"/>
        <v>43951.69</v>
      </c>
      <c r="O9" s="447">
        <f t="shared" si="5"/>
        <v>253149.69</v>
      </c>
      <c r="P9" s="447">
        <f t="shared" si="6"/>
        <v>1479978.9</v>
      </c>
      <c r="Q9" s="447">
        <f t="shared" si="7"/>
        <v>0</v>
      </c>
      <c r="S9" s="415" t="str">
        <f t="shared" si="8"/>
        <v>Capacity Electric</v>
      </c>
      <c r="T9" s="415" t="str">
        <f t="shared" si="9"/>
        <v>Programmatic</v>
      </c>
      <c r="U9" s="412" t="str">
        <f t="shared" si="10"/>
        <v>E</v>
      </c>
      <c r="V9" s="447">
        <f t="shared" si="11"/>
        <v>0</v>
      </c>
      <c r="W9" s="447">
        <f t="shared" si="12"/>
        <v>0</v>
      </c>
      <c r="X9" s="447">
        <f t="shared" si="13"/>
        <v>0</v>
      </c>
      <c r="Y9" s="447">
        <f t="shared" si="14"/>
        <v>0</v>
      </c>
      <c r="Z9" s="447">
        <f t="shared" si="15"/>
        <v>0</v>
      </c>
      <c r="AB9" s="413">
        <f t="shared" si="16"/>
        <v>0</v>
      </c>
    </row>
    <row r="10" spans="1:28" x14ac:dyDescent="0.3">
      <c r="A10" s="415" t="s">
        <v>3</v>
      </c>
      <c r="B10" s="415" t="s">
        <v>1168</v>
      </c>
      <c r="C10" s="446" t="str">
        <f>VLOOKUP(A10,'Calc Program Gross Plant'!$A$5:$C$55,3,FALSE)</f>
        <v>G</v>
      </c>
      <c r="D10" s="418">
        <v>0</v>
      </c>
      <c r="E10" s="413">
        <v>73988.02</v>
      </c>
      <c r="F10" s="413">
        <v>167810.84</v>
      </c>
      <c r="G10" s="413">
        <v>760738.14</v>
      </c>
      <c r="H10" s="413">
        <v>0</v>
      </c>
      <c r="J10" s="415" t="str">
        <f t="shared" si="0"/>
        <v>Capacity Gas</v>
      </c>
      <c r="K10" s="415" t="str">
        <f t="shared" si="1"/>
        <v>Programmatic</v>
      </c>
      <c r="L10" s="412" t="str">
        <f t="shared" si="2"/>
        <v>G</v>
      </c>
      <c r="M10" s="447">
        <f t="shared" si="3"/>
        <v>0</v>
      </c>
      <c r="N10" s="447">
        <f t="shared" si="4"/>
        <v>0</v>
      </c>
      <c r="O10" s="447">
        <f t="shared" si="5"/>
        <v>0</v>
      </c>
      <c r="P10" s="447">
        <f t="shared" si="6"/>
        <v>0</v>
      </c>
      <c r="Q10" s="447">
        <f t="shared" si="7"/>
        <v>0</v>
      </c>
      <c r="S10" s="415" t="str">
        <f t="shared" si="8"/>
        <v>Capacity Gas</v>
      </c>
      <c r="T10" s="415" t="str">
        <f t="shared" si="9"/>
        <v>Programmatic</v>
      </c>
      <c r="U10" s="412" t="str">
        <f t="shared" si="10"/>
        <v>G</v>
      </c>
      <c r="V10" s="447">
        <f t="shared" si="11"/>
        <v>0</v>
      </c>
      <c r="W10" s="447">
        <f t="shared" si="12"/>
        <v>73988.02</v>
      </c>
      <c r="X10" s="447">
        <f t="shared" si="13"/>
        <v>167810.84</v>
      </c>
      <c r="Y10" s="447">
        <f t="shared" si="14"/>
        <v>760738.14</v>
      </c>
      <c r="Z10" s="447">
        <f t="shared" si="15"/>
        <v>0</v>
      </c>
      <c r="AB10" s="413">
        <f t="shared" si="16"/>
        <v>0</v>
      </c>
    </row>
    <row r="11" spans="1:28" x14ac:dyDescent="0.3">
      <c r="A11" s="415" t="s">
        <v>4</v>
      </c>
      <c r="B11" s="415" t="s">
        <v>1180</v>
      </c>
      <c r="C11" s="446" t="str">
        <f>VLOOKUP(A11,'Calc Program Gross Plant'!$A$5:$C$55,3,FALSE)</f>
        <v>E</v>
      </c>
      <c r="D11" s="418">
        <v>0</v>
      </c>
      <c r="E11" s="413">
        <v>-278046.06000000006</v>
      </c>
      <c r="F11" s="413">
        <v>-605154.42999999993</v>
      </c>
      <c r="G11" s="413">
        <v>-1401704.7000000002</v>
      </c>
      <c r="H11" s="413">
        <v>0</v>
      </c>
      <c r="J11" s="415" t="str">
        <f t="shared" si="0"/>
        <v>CIAC - Electric</v>
      </c>
      <c r="K11" s="415" t="str">
        <f t="shared" si="1"/>
        <v>Programmatic Customer Drive</v>
      </c>
      <c r="L11" s="412" t="str">
        <f t="shared" si="2"/>
        <v>E</v>
      </c>
      <c r="M11" s="447">
        <f t="shared" si="3"/>
        <v>0</v>
      </c>
      <c r="N11" s="447">
        <f t="shared" si="4"/>
        <v>-278046.06000000006</v>
      </c>
      <c r="O11" s="447">
        <f t="shared" si="5"/>
        <v>-605154.42999999993</v>
      </c>
      <c r="P11" s="447">
        <f t="shared" si="6"/>
        <v>-1401704.7000000002</v>
      </c>
      <c r="Q11" s="447">
        <f t="shared" si="7"/>
        <v>0</v>
      </c>
      <c r="S11" s="415" t="str">
        <f t="shared" si="8"/>
        <v>CIAC - Electric</v>
      </c>
      <c r="T11" s="415" t="str">
        <f t="shared" si="9"/>
        <v>Programmatic Customer Drive</v>
      </c>
      <c r="U11" s="412" t="str">
        <f t="shared" si="10"/>
        <v>E</v>
      </c>
      <c r="V11" s="447">
        <f t="shared" si="11"/>
        <v>0</v>
      </c>
      <c r="W11" s="447">
        <f t="shared" si="12"/>
        <v>0</v>
      </c>
      <c r="X11" s="447">
        <f t="shared" si="13"/>
        <v>0</v>
      </c>
      <c r="Y11" s="447">
        <f t="shared" si="14"/>
        <v>0</v>
      </c>
      <c r="Z11" s="447">
        <f t="shared" si="15"/>
        <v>0</v>
      </c>
      <c r="AB11" s="413">
        <f t="shared" si="16"/>
        <v>0</v>
      </c>
    </row>
    <row r="12" spans="1:28" x14ac:dyDescent="0.3">
      <c r="A12" s="415" t="s">
        <v>5</v>
      </c>
      <c r="B12" s="415" t="s">
        <v>1180</v>
      </c>
      <c r="C12" s="446" t="str">
        <f>VLOOKUP(A12,'Calc Program Gross Plant'!$A$5:$C$55,3,FALSE)</f>
        <v>G</v>
      </c>
      <c r="D12" s="418">
        <v>0</v>
      </c>
      <c r="E12" s="413">
        <v>-19094.519999999997</v>
      </c>
      <c r="F12" s="413">
        <v>-54159.530000000006</v>
      </c>
      <c r="G12" s="413">
        <v>-179213.44999999998</v>
      </c>
      <c r="H12" s="413">
        <v>0</v>
      </c>
      <c r="J12" s="415" t="str">
        <f t="shared" si="0"/>
        <v>CIAC - Gas</v>
      </c>
      <c r="K12" s="415" t="str">
        <f t="shared" si="1"/>
        <v>Programmatic Customer Drive</v>
      </c>
      <c r="L12" s="412" t="str">
        <f t="shared" si="2"/>
        <v>G</v>
      </c>
      <c r="M12" s="447">
        <f t="shared" si="3"/>
        <v>0</v>
      </c>
      <c r="N12" s="447">
        <f t="shared" si="4"/>
        <v>0</v>
      </c>
      <c r="O12" s="447">
        <f t="shared" si="5"/>
        <v>0</v>
      </c>
      <c r="P12" s="447">
        <f t="shared" si="6"/>
        <v>0</v>
      </c>
      <c r="Q12" s="447">
        <f t="shared" si="7"/>
        <v>0</v>
      </c>
      <c r="S12" s="415" t="str">
        <f t="shared" si="8"/>
        <v>CIAC - Gas</v>
      </c>
      <c r="T12" s="415" t="str">
        <f t="shared" si="9"/>
        <v>Programmatic Customer Drive</v>
      </c>
      <c r="U12" s="412" t="str">
        <f t="shared" si="10"/>
        <v>G</v>
      </c>
      <c r="V12" s="447">
        <f t="shared" si="11"/>
        <v>0</v>
      </c>
      <c r="W12" s="447">
        <f t="shared" si="12"/>
        <v>-19094.519999999997</v>
      </c>
      <c r="X12" s="447">
        <f t="shared" si="13"/>
        <v>-54159.530000000006</v>
      </c>
      <c r="Y12" s="447">
        <f t="shared" si="14"/>
        <v>-179213.44999999998</v>
      </c>
      <c r="Z12" s="447">
        <f t="shared" si="15"/>
        <v>0</v>
      </c>
      <c r="AB12" s="413">
        <f t="shared" si="16"/>
        <v>0</v>
      </c>
    </row>
    <row r="13" spans="1:28" x14ac:dyDescent="0.3">
      <c r="A13" s="415" t="s">
        <v>1610</v>
      </c>
      <c r="B13" s="415" t="s">
        <v>1168</v>
      </c>
      <c r="C13" s="446" t="str">
        <f>VLOOKUP(A13,'Calc Program Gross Plant'!$A$5:$C$55,3,FALSE)</f>
        <v>E</v>
      </c>
      <c r="D13" s="418">
        <v>0</v>
      </c>
      <c r="E13" s="413">
        <v>35785.859999999993</v>
      </c>
      <c r="F13" s="413">
        <v>117595.50000000001</v>
      </c>
      <c r="G13" s="413">
        <v>657513.32999999996</v>
      </c>
      <c r="H13" s="413">
        <v>0</v>
      </c>
      <c r="J13" s="415" t="str">
        <f t="shared" si="0"/>
        <v>Colstrip 3&amp;4</v>
      </c>
      <c r="K13" s="415" t="str">
        <f t="shared" si="1"/>
        <v>Programmatic</v>
      </c>
      <c r="L13" s="412" t="str">
        <f t="shared" si="2"/>
        <v>E</v>
      </c>
      <c r="M13" s="447">
        <f t="shared" si="3"/>
        <v>0</v>
      </c>
      <c r="N13" s="447">
        <f t="shared" si="4"/>
        <v>35785.859999999993</v>
      </c>
      <c r="O13" s="447">
        <f t="shared" si="5"/>
        <v>117595.50000000001</v>
      </c>
      <c r="P13" s="447">
        <f t="shared" si="6"/>
        <v>657513.32999999996</v>
      </c>
      <c r="Q13" s="447">
        <f t="shared" si="7"/>
        <v>0</v>
      </c>
      <c r="S13" s="415" t="str">
        <f t="shared" si="8"/>
        <v>Colstrip 3&amp;4</v>
      </c>
      <c r="T13" s="415" t="str">
        <f t="shared" si="9"/>
        <v>Programmatic</v>
      </c>
      <c r="U13" s="412" t="str">
        <f t="shared" si="10"/>
        <v>E</v>
      </c>
      <c r="V13" s="447">
        <f t="shared" si="11"/>
        <v>0</v>
      </c>
      <c r="W13" s="447">
        <f t="shared" si="12"/>
        <v>0</v>
      </c>
      <c r="X13" s="447">
        <f t="shared" si="13"/>
        <v>0</v>
      </c>
      <c r="Y13" s="447">
        <f t="shared" si="14"/>
        <v>0</v>
      </c>
      <c r="Z13" s="447">
        <f t="shared" si="15"/>
        <v>0</v>
      </c>
      <c r="AB13" s="413">
        <f t="shared" si="16"/>
        <v>0</v>
      </c>
    </row>
    <row r="14" spans="1:28" x14ac:dyDescent="0.3">
      <c r="A14" s="415" t="s">
        <v>1609</v>
      </c>
      <c r="B14" s="415" t="s">
        <v>1181</v>
      </c>
      <c r="C14" s="446" t="str">
        <f>VLOOKUP(A14,'Calc Program Gross Plant'!$A$5:$C$55,3,FALSE)</f>
        <v>C</v>
      </c>
      <c r="D14" s="418">
        <v>0</v>
      </c>
      <c r="E14" s="413">
        <v>0</v>
      </c>
      <c r="F14" s="413">
        <v>0</v>
      </c>
      <c r="G14" s="413">
        <v>0</v>
      </c>
      <c r="H14" s="413">
        <v>0</v>
      </c>
      <c r="J14" s="415" t="str">
        <f t="shared" si="0"/>
        <v>Control Center</v>
      </c>
      <c r="K14" s="415" t="str">
        <f t="shared" si="1"/>
        <v>Specific</v>
      </c>
      <c r="L14" s="412" t="str">
        <f t="shared" si="2"/>
        <v>C</v>
      </c>
      <c r="M14" s="447">
        <f t="shared" si="3"/>
        <v>0</v>
      </c>
      <c r="N14" s="447">
        <f t="shared" si="4"/>
        <v>0</v>
      </c>
      <c r="O14" s="447">
        <f t="shared" si="5"/>
        <v>0</v>
      </c>
      <c r="P14" s="447">
        <f t="shared" si="6"/>
        <v>0</v>
      </c>
      <c r="Q14" s="447">
        <f t="shared" si="7"/>
        <v>0</v>
      </c>
      <c r="S14" s="415" t="str">
        <f t="shared" si="8"/>
        <v>Control Center</v>
      </c>
      <c r="T14" s="415" t="str">
        <f t="shared" si="9"/>
        <v>Specific</v>
      </c>
      <c r="U14" s="412" t="str">
        <f t="shared" si="10"/>
        <v>C</v>
      </c>
      <c r="V14" s="447">
        <f t="shared" si="11"/>
        <v>0</v>
      </c>
      <c r="W14" s="447">
        <f t="shared" si="12"/>
        <v>0</v>
      </c>
      <c r="X14" s="447">
        <f t="shared" si="13"/>
        <v>0</v>
      </c>
      <c r="Y14" s="447">
        <f t="shared" si="14"/>
        <v>0</v>
      </c>
      <c r="Z14" s="447">
        <f t="shared" si="15"/>
        <v>0</v>
      </c>
      <c r="AB14" s="413">
        <f t="shared" si="16"/>
        <v>0</v>
      </c>
    </row>
    <row r="15" spans="1:28" x14ac:dyDescent="0.3">
      <c r="A15" s="415" t="s">
        <v>6</v>
      </c>
      <c r="B15" s="415" t="s">
        <v>1180</v>
      </c>
      <c r="C15" s="446" t="str">
        <f>VLOOKUP(A15,'Calc Program Gross Plant'!$A$5:$C$55,3,FALSE)</f>
        <v>E</v>
      </c>
      <c r="D15" s="418">
        <v>0</v>
      </c>
      <c r="E15" s="413">
        <v>158974.63999999998</v>
      </c>
      <c r="F15" s="413">
        <v>316721.55999999988</v>
      </c>
      <c r="G15" s="413">
        <v>738072.2300000001</v>
      </c>
      <c r="H15" s="413">
        <v>0</v>
      </c>
      <c r="J15" s="415" t="str">
        <f t="shared" si="0"/>
        <v>Customer Construction Electric</v>
      </c>
      <c r="K15" s="415" t="str">
        <f t="shared" si="1"/>
        <v>Programmatic Customer Drive</v>
      </c>
      <c r="L15" s="412" t="str">
        <f t="shared" si="2"/>
        <v>E</v>
      </c>
      <c r="M15" s="447">
        <f t="shared" si="3"/>
        <v>0</v>
      </c>
      <c r="N15" s="447">
        <f t="shared" si="4"/>
        <v>158974.63999999998</v>
      </c>
      <c r="O15" s="447">
        <f t="shared" si="5"/>
        <v>316721.55999999988</v>
      </c>
      <c r="P15" s="447">
        <f t="shared" si="6"/>
        <v>738072.2300000001</v>
      </c>
      <c r="Q15" s="447">
        <f t="shared" si="7"/>
        <v>0</v>
      </c>
      <c r="S15" s="415" t="str">
        <f t="shared" si="8"/>
        <v>Customer Construction Electric</v>
      </c>
      <c r="T15" s="415" t="str">
        <f t="shared" si="9"/>
        <v>Programmatic Customer Drive</v>
      </c>
      <c r="U15" s="412" t="str">
        <f t="shared" si="10"/>
        <v>E</v>
      </c>
      <c r="V15" s="447">
        <f t="shared" si="11"/>
        <v>0</v>
      </c>
      <c r="W15" s="447">
        <f t="shared" si="12"/>
        <v>0</v>
      </c>
      <c r="X15" s="447">
        <f t="shared" si="13"/>
        <v>0</v>
      </c>
      <c r="Y15" s="447">
        <f t="shared" si="14"/>
        <v>0</v>
      </c>
      <c r="Z15" s="447">
        <f t="shared" si="15"/>
        <v>0</v>
      </c>
      <c r="AB15" s="413">
        <f t="shared" si="16"/>
        <v>0</v>
      </c>
    </row>
    <row r="16" spans="1:28" x14ac:dyDescent="0.3">
      <c r="A16" s="415" t="s">
        <v>7</v>
      </c>
      <c r="B16" s="415" t="s">
        <v>1180</v>
      </c>
      <c r="C16" s="446" t="str">
        <f>VLOOKUP(A16,'Calc Program Gross Plant'!$A$5:$C$55,3,FALSE)</f>
        <v>G</v>
      </c>
      <c r="D16" s="418">
        <v>0</v>
      </c>
      <c r="E16" s="413">
        <v>1297662.5799999998</v>
      </c>
      <c r="F16" s="413">
        <v>2895483.7300000009</v>
      </c>
      <c r="G16" s="413">
        <v>7043592.8900000006</v>
      </c>
      <c r="H16" s="413">
        <v>0</v>
      </c>
      <c r="J16" s="415" t="str">
        <f t="shared" si="0"/>
        <v>Customer Construction Gas</v>
      </c>
      <c r="K16" s="415" t="str">
        <f t="shared" si="1"/>
        <v>Programmatic Customer Drive</v>
      </c>
      <c r="L16" s="412" t="str">
        <f t="shared" si="2"/>
        <v>G</v>
      </c>
      <c r="M16" s="447">
        <f t="shared" si="3"/>
        <v>0</v>
      </c>
      <c r="N16" s="447">
        <f t="shared" si="4"/>
        <v>0</v>
      </c>
      <c r="O16" s="447">
        <f t="shared" si="5"/>
        <v>0</v>
      </c>
      <c r="P16" s="447">
        <f t="shared" si="6"/>
        <v>0</v>
      </c>
      <c r="Q16" s="447">
        <f t="shared" si="7"/>
        <v>0</v>
      </c>
      <c r="S16" s="415" t="str">
        <f t="shared" si="8"/>
        <v>Customer Construction Gas</v>
      </c>
      <c r="T16" s="415" t="str">
        <f t="shared" si="9"/>
        <v>Programmatic Customer Drive</v>
      </c>
      <c r="U16" s="412" t="str">
        <f t="shared" si="10"/>
        <v>G</v>
      </c>
      <c r="V16" s="447">
        <f t="shared" si="11"/>
        <v>0</v>
      </c>
      <c r="W16" s="447">
        <f t="shared" si="12"/>
        <v>1297662.5799999998</v>
      </c>
      <c r="X16" s="447">
        <f t="shared" si="13"/>
        <v>2895483.7300000009</v>
      </c>
      <c r="Y16" s="447">
        <f t="shared" si="14"/>
        <v>7043592.8900000006</v>
      </c>
      <c r="Z16" s="447">
        <f t="shared" si="15"/>
        <v>0</v>
      </c>
      <c r="AB16" s="413">
        <f t="shared" si="16"/>
        <v>0</v>
      </c>
    </row>
    <row r="17" spans="1:28" x14ac:dyDescent="0.3">
      <c r="A17" s="415" t="s">
        <v>8</v>
      </c>
      <c r="B17" s="415" t="s">
        <v>1168</v>
      </c>
      <c r="C17" s="446" t="str">
        <f>VLOOKUP(A17,'Calc Program Gross Plant'!$A$5:$C$55,3,FALSE)</f>
        <v>E</v>
      </c>
      <c r="D17" s="418">
        <v>0</v>
      </c>
      <c r="E17" s="413">
        <v>25865.45</v>
      </c>
      <c r="F17" s="413">
        <v>62779.06</v>
      </c>
      <c r="G17" s="413">
        <v>201242.36000000002</v>
      </c>
      <c r="H17" s="413">
        <v>0</v>
      </c>
      <c r="J17" s="415" t="str">
        <f t="shared" si="0"/>
        <v>Customer Sited Energy Storage</v>
      </c>
      <c r="K17" s="415" t="str">
        <f t="shared" si="1"/>
        <v>Programmatic</v>
      </c>
      <c r="L17" s="412" t="str">
        <f t="shared" si="2"/>
        <v>E</v>
      </c>
      <c r="M17" s="447">
        <f t="shared" si="3"/>
        <v>0</v>
      </c>
      <c r="N17" s="447">
        <f t="shared" si="4"/>
        <v>25865.45</v>
      </c>
      <c r="O17" s="447">
        <f t="shared" si="5"/>
        <v>62779.06</v>
      </c>
      <c r="P17" s="447">
        <f t="shared" si="6"/>
        <v>201242.36000000002</v>
      </c>
      <c r="Q17" s="447">
        <f t="shared" si="7"/>
        <v>0</v>
      </c>
      <c r="S17" s="415" t="str">
        <f t="shared" si="8"/>
        <v>Customer Sited Energy Storage</v>
      </c>
      <c r="T17" s="415" t="str">
        <f t="shared" si="9"/>
        <v>Programmatic</v>
      </c>
      <c r="U17" s="412" t="str">
        <f t="shared" si="10"/>
        <v>E</v>
      </c>
      <c r="V17" s="447">
        <f t="shared" si="11"/>
        <v>0</v>
      </c>
      <c r="W17" s="447">
        <f t="shared" si="12"/>
        <v>0</v>
      </c>
      <c r="X17" s="447">
        <f t="shared" si="13"/>
        <v>0</v>
      </c>
      <c r="Y17" s="447">
        <f t="shared" si="14"/>
        <v>0</v>
      </c>
      <c r="Z17" s="447">
        <f t="shared" si="15"/>
        <v>0</v>
      </c>
      <c r="AB17" s="413">
        <f t="shared" si="16"/>
        <v>0</v>
      </c>
    </row>
    <row r="18" spans="1:28" x14ac:dyDescent="0.3">
      <c r="A18" s="415" t="s">
        <v>9</v>
      </c>
      <c r="B18" s="415" t="s">
        <v>1168</v>
      </c>
      <c r="C18" s="446" t="str">
        <f>VLOOKUP(A18,'Calc Program Gross Plant'!$A$5:$C$55,3,FALSE)</f>
        <v>C</v>
      </c>
      <c r="D18" s="418">
        <v>0</v>
      </c>
      <c r="E18" s="413">
        <v>0</v>
      </c>
      <c r="F18" s="413">
        <v>6909.28</v>
      </c>
      <c r="G18" s="413">
        <v>2155697.64</v>
      </c>
      <c r="H18" s="413">
        <v>0</v>
      </c>
      <c r="J18" s="415" t="str">
        <f t="shared" si="0"/>
        <v>Data Center Hardware Refresh</v>
      </c>
      <c r="K18" s="415" t="str">
        <f t="shared" si="1"/>
        <v>Programmatic</v>
      </c>
      <c r="L18" s="412" t="str">
        <f t="shared" si="2"/>
        <v>C</v>
      </c>
      <c r="M18" s="447">
        <f t="shared" si="3"/>
        <v>0</v>
      </c>
      <c r="N18" s="447">
        <f t="shared" si="4"/>
        <v>0</v>
      </c>
      <c r="O18" s="447">
        <f t="shared" si="5"/>
        <v>4555.9792319999997</v>
      </c>
      <c r="P18" s="447">
        <f t="shared" si="6"/>
        <v>1421467.023816</v>
      </c>
      <c r="Q18" s="447">
        <f t="shared" si="7"/>
        <v>0</v>
      </c>
      <c r="S18" s="415" t="str">
        <f t="shared" si="8"/>
        <v>Data Center Hardware Refresh</v>
      </c>
      <c r="T18" s="415" t="str">
        <f t="shared" si="9"/>
        <v>Programmatic</v>
      </c>
      <c r="U18" s="412" t="str">
        <f t="shared" si="10"/>
        <v>C</v>
      </c>
      <c r="V18" s="447">
        <f t="shared" si="11"/>
        <v>0</v>
      </c>
      <c r="W18" s="447">
        <f t="shared" si="12"/>
        <v>0</v>
      </c>
      <c r="X18" s="447">
        <f t="shared" si="13"/>
        <v>2353.3007680000001</v>
      </c>
      <c r="Y18" s="447">
        <f t="shared" si="14"/>
        <v>734230.61618400004</v>
      </c>
      <c r="Z18" s="447">
        <f t="shared" si="15"/>
        <v>0</v>
      </c>
      <c r="AB18" s="413">
        <f t="shared" si="16"/>
        <v>0</v>
      </c>
    </row>
    <row r="19" spans="1:28" x14ac:dyDescent="0.3">
      <c r="A19" s="415" t="s">
        <v>10</v>
      </c>
      <c r="B19" s="415" t="s">
        <v>1168</v>
      </c>
      <c r="C19" s="446" t="str">
        <f>VLOOKUP(A19,'Calc Program Gross Plant'!$A$5:$C$55,3,FALSE)</f>
        <v>E</v>
      </c>
      <c r="D19" s="418">
        <v>0</v>
      </c>
      <c r="E19" s="413">
        <v>909886.96</v>
      </c>
      <c r="F19" s="413">
        <v>2169864.73</v>
      </c>
      <c r="G19" s="413">
        <v>5956886.1499999994</v>
      </c>
      <c r="H19" s="413">
        <v>0</v>
      </c>
      <c r="J19" s="415" t="str">
        <f t="shared" si="0"/>
        <v>Emergent Electric</v>
      </c>
      <c r="K19" s="415" t="str">
        <f t="shared" si="1"/>
        <v>Programmatic</v>
      </c>
      <c r="L19" s="412" t="str">
        <f t="shared" si="2"/>
        <v>E</v>
      </c>
      <c r="M19" s="447">
        <f t="shared" si="3"/>
        <v>0</v>
      </c>
      <c r="N19" s="447">
        <f t="shared" si="4"/>
        <v>909886.96</v>
      </c>
      <c r="O19" s="447">
        <f t="shared" si="5"/>
        <v>2169864.73</v>
      </c>
      <c r="P19" s="447">
        <f t="shared" si="6"/>
        <v>5956886.1499999994</v>
      </c>
      <c r="Q19" s="447">
        <f t="shared" si="7"/>
        <v>0</v>
      </c>
      <c r="S19" s="415" t="str">
        <f t="shared" si="8"/>
        <v>Emergent Electric</v>
      </c>
      <c r="T19" s="415" t="str">
        <f t="shared" si="9"/>
        <v>Programmatic</v>
      </c>
      <c r="U19" s="412" t="str">
        <f t="shared" si="10"/>
        <v>E</v>
      </c>
      <c r="V19" s="447">
        <f t="shared" si="11"/>
        <v>0</v>
      </c>
      <c r="W19" s="447">
        <f t="shared" si="12"/>
        <v>0</v>
      </c>
      <c r="X19" s="447">
        <f t="shared" si="13"/>
        <v>0</v>
      </c>
      <c r="Y19" s="447">
        <f t="shared" si="14"/>
        <v>0</v>
      </c>
      <c r="Z19" s="447">
        <f t="shared" si="15"/>
        <v>0</v>
      </c>
      <c r="AB19" s="413">
        <f t="shared" si="16"/>
        <v>0</v>
      </c>
    </row>
    <row r="20" spans="1:28" x14ac:dyDescent="0.3">
      <c r="A20" s="415" t="s">
        <v>11</v>
      </c>
      <c r="B20" s="415" t="s">
        <v>1168</v>
      </c>
      <c r="C20" s="446" t="str">
        <f>VLOOKUP(A20,'Calc Program Gross Plant'!$A$5:$C$55,3,FALSE)</f>
        <v>G</v>
      </c>
      <c r="D20" s="418">
        <v>0</v>
      </c>
      <c r="E20" s="413">
        <v>282680.40999999997</v>
      </c>
      <c r="F20" s="413">
        <v>750762.49999999988</v>
      </c>
      <c r="G20" s="413">
        <v>2229044.5900000008</v>
      </c>
      <c r="H20" s="413">
        <v>0</v>
      </c>
      <c r="J20" s="415" t="str">
        <f t="shared" si="0"/>
        <v>Emergent Gas</v>
      </c>
      <c r="K20" s="415" t="str">
        <f t="shared" si="1"/>
        <v>Programmatic</v>
      </c>
      <c r="L20" s="412" t="str">
        <f t="shared" si="2"/>
        <v>G</v>
      </c>
      <c r="M20" s="447">
        <f t="shared" si="3"/>
        <v>0</v>
      </c>
      <c r="N20" s="447">
        <f t="shared" si="4"/>
        <v>0</v>
      </c>
      <c r="O20" s="447">
        <f t="shared" si="5"/>
        <v>0</v>
      </c>
      <c r="P20" s="447">
        <f t="shared" si="6"/>
        <v>0</v>
      </c>
      <c r="Q20" s="447">
        <f t="shared" si="7"/>
        <v>0</v>
      </c>
      <c r="S20" s="415" t="str">
        <f t="shared" si="8"/>
        <v>Emergent Gas</v>
      </c>
      <c r="T20" s="415" t="str">
        <f t="shared" si="9"/>
        <v>Programmatic</v>
      </c>
      <c r="U20" s="412" t="str">
        <f t="shared" si="10"/>
        <v>G</v>
      </c>
      <c r="V20" s="447">
        <f t="shared" si="11"/>
        <v>0</v>
      </c>
      <c r="W20" s="447">
        <f t="shared" si="12"/>
        <v>282680.40999999997</v>
      </c>
      <c r="X20" s="447">
        <f t="shared" si="13"/>
        <v>750762.49999999988</v>
      </c>
      <c r="Y20" s="447">
        <f t="shared" si="14"/>
        <v>2229044.5900000008</v>
      </c>
      <c r="Z20" s="447">
        <f t="shared" si="15"/>
        <v>0</v>
      </c>
      <c r="AB20" s="413">
        <f t="shared" si="16"/>
        <v>0</v>
      </c>
    </row>
    <row r="21" spans="1:28" x14ac:dyDescent="0.3">
      <c r="A21" s="415" t="s">
        <v>1608</v>
      </c>
      <c r="B21" s="415" t="s">
        <v>1181</v>
      </c>
      <c r="C21" s="446" t="str">
        <f>VLOOKUP(A21,'Calc Program Gross Plant'!$A$5:$C$55,3,FALSE)</f>
        <v>E</v>
      </c>
      <c r="D21" s="418">
        <v>0</v>
      </c>
      <c r="E21" s="413">
        <v>0</v>
      </c>
      <c r="F21" s="413">
        <v>0</v>
      </c>
      <c r="G21" s="413">
        <v>0</v>
      </c>
      <c r="H21" s="413">
        <v>0</v>
      </c>
      <c r="J21" s="415" t="str">
        <f t="shared" si="0"/>
        <v>EMS Upgrade</v>
      </c>
      <c r="K21" s="415" t="str">
        <f t="shared" si="1"/>
        <v>Specific</v>
      </c>
      <c r="L21" s="412" t="str">
        <f t="shared" si="2"/>
        <v>E</v>
      </c>
      <c r="M21" s="447">
        <f t="shared" si="3"/>
        <v>0</v>
      </c>
      <c r="N21" s="447">
        <f t="shared" si="4"/>
        <v>0</v>
      </c>
      <c r="O21" s="447">
        <f t="shared" si="5"/>
        <v>0</v>
      </c>
      <c r="P21" s="447">
        <f t="shared" si="6"/>
        <v>0</v>
      </c>
      <c r="Q21" s="447">
        <f t="shared" si="7"/>
        <v>0</v>
      </c>
      <c r="S21" s="415" t="str">
        <f t="shared" si="8"/>
        <v>EMS Upgrade</v>
      </c>
      <c r="T21" s="415" t="str">
        <f t="shared" si="9"/>
        <v>Specific</v>
      </c>
      <c r="U21" s="412" t="str">
        <f t="shared" si="10"/>
        <v>E</v>
      </c>
      <c r="V21" s="447">
        <f t="shared" si="11"/>
        <v>0</v>
      </c>
      <c r="W21" s="447">
        <f t="shared" si="12"/>
        <v>0</v>
      </c>
      <c r="X21" s="447">
        <f t="shared" si="13"/>
        <v>0</v>
      </c>
      <c r="Y21" s="447">
        <f t="shared" si="14"/>
        <v>0</v>
      </c>
      <c r="Z21" s="447">
        <f t="shared" si="15"/>
        <v>0</v>
      </c>
      <c r="AB21" s="413">
        <f t="shared" si="16"/>
        <v>0</v>
      </c>
    </row>
    <row r="22" spans="1:28" x14ac:dyDescent="0.3">
      <c r="A22" s="415" t="s">
        <v>12</v>
      </c>
      <c r="B22" s="415" t="s">
        <v>1181</v>
      </c>
      <c r="C22" s="446" t="str">
        <f>VLOOKUP(A22,'Calc Program Gross Plant'!$A$5:$C$55,3,FALSE)</f>
        <v>E</v>
      </c>
      <c r="D22" s="418">
        <v>0</v>
      </c>
      <c r="E22" s="413">
        <v>0</v>
      </c>
      <c r="F22" s="413">
        <v>17655.300000000003</v>
      </c>
      <c r="G22" s="413">
        <v>686959.07000000007</v>
      </c>
      <c r="H22" s="413">
        <v>0</v>
      </c>
      <c r="J22" s="415" t="str">
        <f t="shared" si="0"/>
        <v>Energize Eastside</v>
      </c>
      <c r="K22" s="415" t="str">
        <f t="shared" si="1"/>
        <v>Specific</v>
      </c>
      <c r="L22" s="412" t="str">
        <f t="shared" si="2"/>
        <v>E</v>
      </c>
      <c r="M22" s="447">
        <f t="shared" si="3"/>
        <v>0</v>
      </c>
      <c r="N22" s="447">
        <f t="shared" si="4"/>
        <v>0</v>
      </c>
      <c r="O22" s="447">
        <f t="shared" si="5"/>
        <v>17655.300000000003</v>
      </c>
      <c r="P22" s="447">
        <f t="shared" si="6"/>
        <v>686959.07000000007</v>
      </c>
      <c r="Q22" s="447">
        <f t="shared" si="7"/>
        <v>0</v>
      </c>
      <c r="S22" s="415" t="str">
        <f t="shared" si="8"/>
        <v>Energize Eastside</v>
      </c>
      <c r="T22" s="415" t="str">
        <f t="shared" si="9"/>
        <v>Specific</v>
      </c>
      <c r="U22" s="412" t="str">
        <f t="shared" si="10"/>
        <v>E</v>
      </c>
      <c r="V22" s="447">
        <f t="shared" si="11"/>
        <v>0</v>
      </c>
      <c r="W22" s="447">
        <f t="shared" si="12"/>
        <v>0</v>
      </c>
      <c r="X22" s="447">
        <f t="shared" si="13"/>
        <v>0</v>
      </c>
      <c r="Y22" s="447">
        <f t="shared" si="14"/>
        <v>0</v>
      </c>
      <c r="Z22" s="447">
        <f t="shared" si="15"/>
        <v>0</v>
      </c>
      <c r="AB22" s="413">
        <f t="shared" si="16"/>
        <v>0</v>
      </c>
    </row>
    <row r="23" spans="1:28" x14ac:dyDescent="0.3">
      <c r="A23" s="415" t="s">
        <v>819</v>
      </c>
      <c r="B23" s="415" t="s">
        <v>1168</v>
      </c>
      <c r="C23" s="446" t="str">
        <f>VLOOKUP(A23,'Calc Program Gross Plant'!$A$5:$C$55,3,FALSE)</f>
        <v>E</v>
      </c>
      <c r="D23" s="418">
        <v>0</v>
      </c>
      <c r="E23" s="413">
        <v>225688.98</v>
      </c>
      <c r="F23" s="413">
        <v>624584.92000000004</v>
      </c>
      <c r="G23" s="413">
        <v>2206848.1800000002</v>
      </c>
      <c r="H23" s="413">
        <v>0</v>
      </c>
      <c r="J23" s="415" t="str">
        <f t="shared" si="0"/>
        <v>EV Circuit</v>
      </c>
      <c r="K23" s="415" t="str">
        <f t="shared" si="1"/>
        <v>Programmatic</v>
      </c>
      <c r="L23" s="412" t="str">
        <f t="shared" si="2"/>
        <v>E</v>
      </c>
      <c r="M23" s="447">
        <f t="shared" si="3"/>
        <v>0</v>
      </c>
      <c r="N23" s="447">
        <f t="shared" si="4"/>
        <v>225688.98</v>
      </c>
      <c r="O23" s="447">
        <f t="shared" si="5"/>
        <v>624584.92000000004</v>
      </c>
      <c r="P23" s="447">
        <f t="shared" si="6"/>
        <v>2206848.1800000002</v>
      </c>
      <c r="Q23" s="447">
        <f t="shared" si="7"/>
        <v>0</v>
      </c>
      <c r="S23" s="415" t="str">
        <f t="shared" si="8"/>
        <v>EV Circuit</v>
      </c>
      <c r="T23" s="415" t="str">
        <f t="shared" si="9"/>
        <v>Programmatic</v>
      </c>
      <c r="U23" s="412" t="str">
        <f t="shared" si="10"/>
        <v>E</v>
      </c>
      <c r="V23" s="447">
        <f t="shared" si="11"/>
        <v>0</v>
      </c>
      <c r="W23" s="447">
        <f t="shared" si="12"/>
        <v>0</v>
      </c>
      <c r="X23" s="447">
        <f t="shared" si="13"/>
        <v>0</v>
      </c>
      <c r="Y23" s="447">
        <f t="shared" si="14"/>
        <v>0</v>
      </c>
      <c r="Z23" s="447">
        <f t="shared" si="15"/>
        <v>0</v>
      </c>
      <c r="AB23" s="413">
        <f t="shared" si="16"/>
        <v>0</v>
      </c>
    </row>
    <row r="24" spans="1:28" x14ac:dyDescent="0.3">
      <c r="A24" s="415" t="s">
        <v>1607</v>
      </c>
      <c r="B24" s="415" t="s">
        <v>1181</v>
      </c>
      <c r="C24" s="446" t="str">
        <f>VLOOKUP(A24,'Calc Program Gross Plant'!$A$5:$C$55,3,FALSE)</f>
        <v>E</v>
      </c>
      <c r="D24" s="418">
        <v>0</v>
      </c>
      <c r="E24" s="413">
        <v>1.67</v>
      </c>
      <c r="F24" s="413">
        <v>42.79</v>
      </c>
      <c r="G24" s="413">
        <v>841.7</v>
      </c>
      <c r="H24" s="413">
        <v>0</v>
      </c>
      <c r="J24" s="415" t="str">
        <f t="shared" si="0"/>
        <v>Freddy Hot Gas Path</v>
      </c>
      <c r="K24" s="415" t="str">
        <f t="shared" si="1"/>
        <v>Specific</v>
      </c>
      <c r="L24" s="412" t="str">
        <f t="shared" si="2"/>
        <v>E</v>
      </c>
      <c r="M24" s="447">
        <f t="shared" si="3"/>
        <v>0</v>
      </c>
      <c r="N24" s="447">
        <f t="shared" si="4"/>
        <v>1.67</v>
      </c>
      <c r="O24" s="447">
        <f t="shared" si="5"/>
        <v>42.79</v>
      </c>
      <c r="P24" s="447">
        <f t="shared" si="6"/>
        <v>841.7</v>
      </c>
      <c r="Q24" s="447">
        <f t="shared" si="7"/>
        <v>0</v>
      </c>
      <c r="S24" s="415" t="str">
        <f t="shared" si="8"/>
        <v>Freddy Hot Gas Path</v>
      </c>
      <c r="T24" s="415" t="str">
        <f t="shared" si="9"/>
        <v>Specific</v>
      </c>
      <c r="U24" s="412" t="str">
        <f t="shared" si="10"/>
        <v>E</v>
      </c>
      <c r="V24" s="447">
        <f t="shared" si="11"/>
        <v>0</v>
      </c>
      <c r="W24" s="447">
        <f t="shared" si="12"/>
        <v>0</v>
      </c>
      <c r="X24" s="447">
        <f t="shared" si="13"/>
        <v>0</v>
      </c>
      <c r="Y24" s="447">
        <f t="shared" si="14"/>
        <v>0</v>
      </c>
      <c r="Z24" s="447">
        <f t="shared" si="15"/>
        <v>0</v>
      </c>
      <c r="AB24" s="413">
        <f t="shared" si="16"/>
        <v>0</v>
      </c>
    </row>
    <row r="25" spans="1:28" x14ac:dyDescent="0.3">
      <c r="A25" s="415" t="s">
        <v>13</v>
      </c>
      <c r="B25" s="415" t="s">
        <v>1168</v>
      </c>
      <c r="C25" s="446" t="str">
        <f>VLOOKUP(A25,'Calc Program Gross Plant'!$A$5:$C$55,3,FALSE)</f>
        <v>G</v>
      </c>
      <c r="D25" s="418">
        <v>0</v>
      </c>
      <c r="E25" s="413">
        <v>349802.67999999993</v>
      </c>
      <c r="F25" s="413">
        <v>861916.17000000027</v>
      </c>
      <c r="G25" s="413">
        <v>2493952.3600000003</v>
      </c>
      <c r="H25" s="413">
        <v>0</v>
      </c>
      <c r="J25" s="415" t="str">
        <f t="shared" si="0"/>
        <v>Gas Modernization</v>
      </c>
      <c r="K25" s="415" t="str">
        <f t="shared" si="1"/>
        <v>Programmatic</v>
      </c>
      <c r="L25" s="412" t="str">
        <f t="shared" si="2"/>
        <v>G</v>
      </c>
      <c r="M25" s="447">
        <f t="shared" si="3"/>
        <v>0</v>
      </c>
      <c r="N25" s="447">
        <f t="shared" si="4"/>
        <v>0</v>
      </c>
      <c r="O25" s="447">
        <f t="shared" si="5"/>
        <v>0</v>
      </c>
      <c r="P25" s="447">
        <f t="shared" si="6"/>
        <v>0</v>
      </c>
      <c r="Q25" s="447">
        <f t="shared" si="7"/>
        <v>0</v>
      </c>
      <c r="S25" s="415" t="str">
        <f t="shared" si="8"/>
        <v>Gas Modernization</v>
      </c>
      <c r="T25" s="415" t="str">
        <f t="shared" si="9"/>
        <v>Programmatic</v>
      </c>
      <c r="U25" s="412" t="str">
        <f t="shared" si="10"/>
        <v>G</v>
      </c>
      <c r="V25" s="447">
        <f t="shared" si="11"/>
        <v>0</v>
      </c>
      <c r="W25" s="447">
        <f t="shared" si="12"/>
        <v>349802.67999999993</v>
      </c>
      <c r="X25" s="447">
        <f t="shared" si="13"/>
        <v>861916.17000000027</v>
      </c>
      <c r="Y25" s="447">
        <f t="shared" si="14"/>
        <v>2493952.3600000003</v>
      </c>
      <c r="Z25" s="447">
        <f t="shared" si="15"/>
        <v>0</v>
      </c>
      <c r="AB25" s="413">
        <f t="shared" si="16"/>
        <v>0</v>
      </c>
    </row>
    <row r="26" spans="1:28" x14ac:dyDescent="0.3">
      <c r="A26" s="415" t="s">
        <v>14</v>
      </c>
      <c r="B26" s="415" t="s">
        <v>1181</v>
      </c>
      <c r="C26" s="446" t="str">
        <f>VLOOKUP(A26,'Calc Program Gross Plant'!$A$5:$C$55,3,FALSE)</f>
        <v>E</v>
      </c>
      <c r="D26" s="418">
        <v>0</v>
      </c>
      <c r="E26" s="413">
        <v>-410476.32</v>
      </c>
      <c r="F26" s="413">
        <v>-727924.32</v>
      </c>
      <c r="G26" s="413">
        <v>-1362820.32</v>
      </c>
      <c r="H26" s="413">
        <v>0</v>
      </c>
      <c r="J26" s="415" t="str">
        <f t="shared" si="0"/>
        <v>Goldendale MM</v>
      </c>
      <c r="K26" s="415" t="str">
        <f t="shared" si="1"/>
        <v>Specific</v>
      </c>
      <c r="L26" s="412" t="str">
        <f t="shared" si="2"/>
        <v>E</v>
      </c>
      <c r="M26" s="447">
        <f t="shared" si="3"/>
        <v>0</v>
      </c>
      <c r="N26" s="447">
        <f t="shared" si="4"/>
        <v>-410476.32</v>
      </c>
      <c r="O26" s="447">
        <f t="shared" si="5"/>
        <v>-727924.32</v>
      </c>
      <c r="P26" s="447">
        <f t="shared" si="6"/>
        <v>-1362820.32</v>
      </c>
      <c r="Q26" s="447">
        <f t="shared" si="7"/>
        <v>0</v>
      </c>
      <c r="S26" s="415" t="str">
        <f t="shared" si="8"/>
        <v>Goldendale MM</v>
      </c>
      <c r="T26" s="415" t="str">
        <f t="shared" si="9"/>
        <v>Specific</v>
      </c>
      <c r="U26" s="412" t="str">
        <f t="shared" si="10"/>
        <v>E</v>
      </c>
      <c r="V26" s="447">
        <f t="shared" si="11"/>
        <v>0</v>
      </c>
      <c r="W26" s="447">
        <f t="shared" si="12"/>
        <v>0</v>
      </c>
      <c r="X26" s="447">
        <f t="shared" si="13"/>
        <v>0</v>
      </c>
      <c r="Y26" s="447">
        <f t="shared" si="14"/>
        <v>0</v>
      </c>
      <c r="Z26" s="447">
        <f t="shared" si="15"/>
        <v>0</v>
      </c>
      <c r="AB26" s="413">
        <f t="shared" si="16"/>
        <v>0</v>
      </c>
    </row>
    <row r="27" spans="1:28" x14ac:dyDescent="0.3">
      <c r="A27" s="415" t="s">
        <v>15</v>
      </c>
      <c r="B27" s="415" t="s">
        <v>1168</v>
      </c>
      <c r="C27" s="446" t="str">
        <f>VLOOKUP(A27,'Calc Program Gross Plant'!$A$5:$C$55,3,FALSE)</f>
        <v>E</v>
      </c>
      <c r="D27" s="418">
        <v>0</v>
      </c>
      <c r="E27" s="413">
        <v>2012225.1500000001</v>
      </c>
      <c r="F27" s="413">
        <v>5598833.2200000007</v>
      </c>
      <c r="G27" s="413">
        <v>18664419.859999999</v>
      </c>
      <c r="H27" s="413">
        <v>0</v>
      </c>
      <c r="J27" s="415" t="str">
        <f t="shared" si="0"/>
        <v>Grid Modernization</v>
      </c>
      <c r="K27" s="415" t="str">
        <f t="shared" si="1"/>
        <v>Programmatic</v>
      </c>
      <c r="L27" s="412" t="str">
        <f t="shared" si="2"/>
        <v>E</v>
      </c>
      <c r="M27" s="447">
        <f t="shared" si="3"/>
        <v>0</v>
      </c>
      <c r="N27" s="447">
        <f t="shared" si="4"/>
        <v>2012225.1500000001</v>
      </c>
      <c r="O27" s="447">
        <f t="shared" si="5"/>
        <v>5598833.2200000007</v>
      </c>
      <c r="P27" s="447">
        <f t="shared" si="6"/>
        <v>18664419.859999999</v>
      </c>
      <c r="Q27" s="447">
        <f t="shared" si="7"/>
        <v>0</v>
      </c>
      <c r="S27" s="415" t="str">
        <f t="shared" si="8"/>
        <v>Grid Modernization</v>
      </c>
      <c r="T27" s="415" t="str">
        <f t="shared" si="9"/>
        <v>Programmatic</v>
      </c>
      <c r="U27" s="412" t="str">
        <f t="shared" si="10"/>
        <v>E</v>
      </c>
      <c r="V27" s="447">
        <f t="shared" si="11"/>
        <v>0</v>
      </c>
      <c r="W27" s="447">
        <f t="shared" si="12"/>
        <v>0</v>
      </c>
      <c r="X27" s="447">
        <f t="shared" si="13"/>
        <v>0</v>
      </c>
      <c r="Y27" s="447">
        <f t="shared" si="14"/>
        <v>0</v>
      </c>
      <c r="Z27" s="447">
        <f t="shared" si="15"/>
        <v>0</v>
      </c>
      <c r="AB27" s="413">
        <f t="shared" si="16"/>
        <v>0</v>
      </c>
    </row>
    <row r="28" spans="1:28" x14ac:dyDescent="0.3">
      <c r="A28" s="415" t="s">
        <v>1606</v>
      </c>
      <c r="B28" s="415" t="s">
        <v>1168</v>
      </c>
      <c r="C28" s="446" t="str">
        <f>VLOOKUP(A28,'Calc Program Gross Plant'!$A$5:$C$55,3,FALSE)</f>
        <v>C</v>
      </c>
      <c r="D28" s="418">
        <v>0</v>
      </c>
      <c r="E28" s="413">
        <v>2959556.2800000003</v>
      </c>
      <c r="F28" s="413">
        <v>6886106.0399999991</v>
      </c>
      <c r="G28" s="413">
        <v>18987111.460000001</v>
      </c>
      <c r="H28" s="413">
        <v>0</v>
      </c>
      <c r="J28" s="415" t="str">
        <f t="shared" si="0"/>
        <v>IT Operational Program - Common</v>
      </c>
      <c r="K28" s="415" t="str">
        <f t="shared" si="1"/>
        <v>Programmatic</v>
      </c>
      <c r="L28" s="412" t="str">
        <f t="shared" si="2"/>
        <v>C</v>
      </c>
      <c r="M28" s="447">
        <f t="shared" si="3"/>
        <v>0</v>
      </c>
      <c r="N28" s="447">
        <f t="shared" si="4"/>
        <v>1951531.4110320001</v>
      </c>
      <c r="O28" s="447">
        <f t="shared" si="5"/>
        <v>4540698.3227759991</v>
      </c>
      <c r="P28" s="447">
        <f t="shared" si="6"/>
        <v>12520101.296724001</v>
      </c>
      <c r="Q28" s="447">
        <f t="shared" si="7"/>
        <v>0</v>
      </c>
      <c r="S28" s="415" t="str">
        <f t="shared" si="8"/>
        <v>IT Operational Program - Common</v>
      </c>
      <c r="T28" s="415" t="str">
        <f t="shared" si="9"/>
        <v>Programmatic</v>
      </c>
      <c r="U28" s="412" t="str">
        <f t="shared" si="10"/>
        <v>C</v>
      </c>
      <c r="V28" s="447">
        <f t="shared" si="11"/>
        <v>0</v>
      </c>
      <c r="W28" s="447">
        <f t="shared" si="12"/>
        <v>1008024.8689680002</v>
      </c>
      <c r="X28" s="447">
        <f t="shared" si="13"/>
        <v>2345407.717224</v>
      </c>
      <c r="Y28" s="447">
        <f t="shared" si="14"/>
        <v>6467010.1632760009</v>
      </c>
      <c r="Z28" s="447">
        <f t="shared" si="15"/>
        <v>0</v>
      </c>
      <c r="AB28" s="413">
        <f t="shared" si="16"/>
        <v>0</v>
      </c>
    </row>
    <row r="29" spans="1:28" x14ac:dyDescent="0.3">
      <c r="A29" s="415" t="s">
        <v>18</v>
      </c>
      <c r="B29" s="415" t="s">
        <v>1181</v>
      </c>
      <c r="C29" s="446" t="str">
        <f>VLOOKUP(A29,'Calc Program Gross Plant'!$A$5:$C$55,3,FALSE)</f>
        <v>E</v>
      </c>
      <c r="D29" s="418">
        <v>0</v>
      </c>
      <c r="E29" s="413">
        <v>0</v>
      </c>
      <c r="F29" s="413">
        <v>0</v>
      </c>
      <c r="G29" s="413">
        <v>0</v>
      </c>
      <c r="H29" s="413">
        <v>0</v>
      </c>
      <c r="J29" s="415" t="str">
        <f t="shared" si="0"/>
        <v>Lower Baker Dam Grouting Program</v>
      </c>
      <c r="K29" s="415" t="str">
        <f t="shared" si="1"/>
        <v>Specific</v>
      </c>
      <c r="L29" s="412" t="str">
        <f t="shared" si="2"/>
        <v>E</v>
      </c>
      <c r="M29" s="447">
        <f t="shared" si="3"/>
        <v>0</v>
      </c>
      <c r="N29" s="447">
        <f t="shared" si="4"/>
        <v>0</v>
      </c>
      <c r="O29" s="447">
        <f t="shared" si="5"/>
        <v>0</v>
      </c>
      <c r="P29" s="447">
        <f t="shared" si="6"/>
        <v>0</v>
      </c>
      <c r="Q29" s="447">
        <f t="shared" si="7"/>
        <v>0</v>
      </c>
      <c r="S29" s="415" t="str">
        <f t="shared" si="8"/>
        <v>Lower Baker Dam Grouting Program</v>
      </c>
      <c r="T29" s="415" t="str">
        <f t="shared" si="9"/>
        <v>Specific</v>
      </c>
      <c r="U29" s="412" t="str">
        <f t="shared" si="10"/>
        <v>E</v>
      </c>
      <c r="V29" s="447">
        <f t="shared" si="11"/>
        <v>0</v>
      </c>
      <c r="W29" s="447">
        <f t="shared" si="12"/>
        <v>0</v>
      </c>
      <c r="X29" s="447">
        <f t="shared" si="13"/>
        <v>0</v>
      </c>
      <c r="Y29" s="447">
        <f t="shared" si="14"/>
        <v>0</v>
      </c>
      <c r="Z29" s="447">
        <f t="shared" si="15"/>
        <v>0</v>
      </c>
      <c r="AB29" s="413">
        <f t="shared" si="16"/>
        <v>0</v>
      </c>
    </row>
    <row r="30" spans="1:28" x14ac:dyDescent="0.3">
      <c r="A30" s="415" t="s">
        <v>19</v>
      </c>
      <c r="B30" s="415" t="s">
        <v>1168</v>
      </c>
      <c r="C30" s="446" t="str">
        <f>VLOOKUP(A30,'Calc Program Gross Plant'!$A$5:$C$55,3,FALSE)</f>
        <v>E</v>
      </c>
      <c r="D30" s="418">
        <v>0</v>
      </c>
      <c r="E30" s="413">
        <v>188428.45999999996</v>
      </c>
      <c r="F30" s="413">
        <v>462444.86</v>
      </c>
      <c r="G30" s="413">
        <v>1161767.3299999996</v>
      </c>
      <c r="H30" s="413">
        <v>0</v>
      </c>
      <c r="J30" s="415" t="str">
        <f t="shared" si="0"/>
        <v>Major Projects Electric</v>
      </c>
      <c r="K30" s="415" t="str">
        <f t="shared" si="1"/>
        <v>Programmatic</v>
      </c>
      <c r="L30" s="412" t="str">
        <f t="shared" si="2"/>
        <v>E</v>
      </c>
      <c r="M30" s="447">
        <f t="shared" si="3"/>
        <v>0</v>
      </c>
      <c r="N30" s="447">
        <f t="shared" si="4"/>
        <v>188428.45999999996</v>
      </c>
      <c r="O30" s="447">
        <f t="shared" si="5"/>
        <v>462444.86</v>
      </c>
      <c r="P30" s="447">
        <f t="shared" si="6"/>
        <v>1161767.3299999996</v>
      </c>
      <c r="Q30" s="447">
        <f t="shared" si="7"/>
        <v>0</v>
      </c>
      <c r="S30" s="415" t="str">
        <f t="shared" si="8"/>
        <v>Major Projects Electric</v>
      </c>
      <c r="T30" s="415" t="str">
        <f t="shared" si="9"/>
        <v>Programmatic</v>
      </c>
      <c r="U30" s="412" t="str">
        <f t="shared" si="10"/>
        <v>E</v>
      </c>
      <c r="V30" s="447">
        <f t="shared" si="11"/>
        <v>0</v>
      </c>
      <c r="W30" s="447">
        <f t="shared" si="12"/>
        <v>0</v>
      </c>
      <c r="X30" s="447">
        <f t="shared" si="13"/>
        <v>0</v>
      </c>
      <c r="Y30" s="447">
        <f t="shared" si="14"/>
        <v>0</v>
      </c>
      <c r="Z30" s="447">
        <f t="shared" si="15"/>
        <v>0</v>
      </c>
      <c r="AB30" s="413">
        <f t="shared" si="16"/>
        <v>0</v>
      </c>
    </row>
    <row r="31" spans="1:28" x14ac:dyDescent="0.3">
      <c r="A31" s="415" t="s">
        <v>20</v>
      </c>
      <c r="B31" s="415" t="s">
        <v>1168</v>
      </c>
      <c r="C31" s="446" t="str">
        <f>VLOOKUP(A31,'Calc Program Gross Plant'!$A$5:$C$55,3,FALSE)</f>
        <v>G</v>
      </c>
      <c r="D31" s="418">
        <v>0</v>
      </c>
      <c r="E31" s="413">
        <v>16119.35</v>
      </c>
      <c r="F31" s="413">
        <v>63520.94</v>
      </c>
      <c r="G31" s="413">
        <v>171511.76</v>
      </c>
      <c r="H31" s="413">
        <v>0</v>
      </c>
      <c r="J31" s="415" t="str">
        <f t="shared" si="0"/>
        <v>Major Projects Gas</v>
      </c>
      <c r="K31" s="415" t="str">
        <f t="shared" si="1"/>
        <v>Programmatic</v>
      </c>
      <c r="L31" s="412" t="str">
        <f t="shared" si="2"/>
        <v>G</v>
      </c>
      <c r="M31" s="447">
        <f t="shared" si="3"/>
        <v>0</v>
      </c>
      <c r="N31" s="447">
        <f t="shared" si="4"/>
        <v>0</v>
      </c>
      <c r="O31" s="447">
        <f t="shared" si="5"/>
        <v>0</v>
      </c>
      <c r="P31" s="447">
        <f t="shared" si="6"/>
        <v>0</v>
      </c>
      <c r="Q31" s="447">
        <f t="shared" si="7"/>
        <v>0</v>
      </c>
      <c r="S31" s="415" t="str">
        <f t="shared" si="8"/>
        <v>Major Projects Gas</v>
      </c>
      <c r="T31" s="415" t="str">
        <f t="shared" si="9"/>
        <v>Programmatic</v>
      </c>
      <c r="U31" s="412" t="str">
        <f t="shared" si="10"/>
        <v>G</v>
      </c>
      <c r="V31" s="447">
        <f t="shared" si="11"/>
        <v>0</v>
      </c>
      <c r="W31" s="447">
        <f t="shared" si="12"/>
        <v>16119.35</v>
      </c>
      <c r="X31" s="447">
        <f t="shared" si="13"/>
        <v>63520.94</v>
      </c>
      <c r="Y31" s="447">
        <f t="shared" si="14"/>
        <v>171511.76</v>
      </c>
      <c r="Z31" s="447">
        <f t="shared" si="15"/>
        <v>0</v>
      </c>
      <c r="AB31" s="413">
        <f t="shared" si="16"/>
        <v>0</v>
      </c>
    </row>
    <row r="32" spans="1:28" x14ac:dyDescent="0.3">
      <c r="A32" s="415" t="s">
        <v>21</v>
      </c>
      <c r="B32" s="415" t="s">
        <v>1181</v>
      </c>
      <c r="C32" s="446" t="str">
        <f>VLOOKUP(A32,'Calc Program Gross Plant'!$A$5:$C$55,3,FALSE)</f>
        <v>G</v>
      </c>
      <c r="D32" s="418">
        <v>0</v>
      </c>
      <c r="E32" s="413">
        <v>16135.4</v>
      </c>
      <c r="F32" s="413">
        <v>32512.160000000003</v>
      </c>
      <c r="G32" s="413">
        <v>65265.67</v>
      </c>
      <c r="H32" s="413">
        <v>0</v>
      </c>
      <c r="J32" s="415" t="str">
        <f t="shared" si="0"/>
        <v>Marine Crossing</v>
      </c>
      <c r="K32" s="415" t="str">
        <f t="shared" si="1"/>
        <v>Specific</v>
      </c>
      <c r="L32" s="412" t="str">
        <f t="shared" si="2"/>
        <v>G</v>
      </c>
      <c r="M32" s="447">
        <f t="shared" si="3"/>
        <v>0</v>
      </c>
      <c r="N32" s="447">
        <f t="shared" si="4"/>
        <v>0</v>
      </c>
      <c r="O32" s="447">
        <f t="shared" si="5"/>
        <v>0</v>
      </c>
      <c r="P32" s="447">
        <f t="shared" si="6"/>
        <v>0</v>
      </c>
      <c r="Q32" s="447">
        <f t="shared" si="7"/>
        <v>0</v>
      </c>
      <c r="S32" s="415" t="str">
        <f t="shared" si="8"/>
        <v>Marine Crossing</v>
      </c>
      <c r="T32" s="415" t="str">
        <f t="shared" si="9"/>
        <v>Specific</v>
      </c>
      <c r="U32" s="412" t="str">
        <f t="shared" si="10"/>
        <v>G</v>
      </c>
      <c r="V32" s="447">
        <f t="shared" si="11"/>
        <v>0</v>
      </c>
      <c r="W32" s="447">
        <f t="shared" si="12"/>
        <v>16135.4</v>
      </c>
      <c r="X32" s="447">
        <f t="shared" si="13"/>
        <v>32512.160000000003</v>
      </c>
      <c r="Y32" s="447">
        <f t="shared" si="14"/>
        <v>65265.67</v>
      </c>
      <c r="Z32" s="447">
        <f t="shared" si="15"/>
        <v>0</v>
      </c>
      <c r="AB32" s="413">
        <f t="shared" si="16"/>
        <v>0</v>
      </c>
    </row>
    <row r="33" spans="1:28" x14ac:dyDescent="0.3">
      <c r="A33" s="415" t="s">
        <v>22</v>
      </c>
      <c r="B33" s="415" t="s">
        <v>1181</v>
      </c>
      <c r="C33" s="446" t="str">
        <f>VLOOKUP(A33,'Calc Program Gross Plant'!$A$5:$C$55,3,FALSE)</f>
        <v>E</v>
      </c>
      <c r="D33" s="418">
        <v>0</v>
      </c>
      <c r="E33" s="413">
        <v>664313.1</v>
      </c>
      <c r="F33" s="413">
        <v>1451066.43</v>
      </c>
      <c r="G33" s="413">
        <v>2779702.57</v>
      </c>
      <c r="H33" s="413">
        <v>0</v>
      </c>
      <c r="J33" s="415" t="str">
        <f t="shared" si="0"/>
        <v>Mint Farm MM</v>
      </c>
      <c r="K33" s="415" t="str">
        <f t="shared" si="1"/>
        <v>Specific</v>
      </c>
      <c r="L33" s="412" t="str">
        <f t="shared" si="2"/>
        <v>E</v>
      </c>
      <c r="M33" s="447">
        <f t="shared" si="3"/>
        <v>0</v>
      </c>
      <c r="N33" s="447">
        <f t="shared" si="4"/>
        <v>664313.1</v>
      </c>
      <c r="O33" s="447">
        <f t="shared" si="5"/>
        <v>1451066.43</v>
      </c>
      <c r="P33" s="447">
        <f t="shared" si="6"/>
        <v>2779702.57</v>
      </c>
      <c r="Q33" s="447">
        <f t="shared" si="7"/>
        <v>0</v>
      </c>
      <c r="S33" s="415" t="str">
        <f t="shared" si="8"/>
        <v>Mint Farm MM</v>
      </c>
      <c r="T33" s="415" t="str">
        <f t="shared" si="9"/>
        <v>Specific</v>
      </c>
      <c r="U33" s="412" t="str">
        <f t="shared" si="10"/>
        <v>E</v>
      </c>
      <c r="V33" s="447">
        <f t="shared" si="11"/>
        <v>0</v>
      </c>
      <c r="W33" s="447">
        <f t="shared" si="12"/>
        <v>0</v>
      </c>
      <c r="X33" s="447">
        <f t="shared" si="13"/>
        <v>0</v>
      </c>
      <c r="Y33" s="447">
        <f t="shared" si="14"/>
        <v>0</v>
      </c>
      <c r="Z33" s="447">
        <f t="shared" si="15"/>
        <v>0</v>
      </c>
      <c r="AB33" s="413">
        <f t="shared" si="16"/>
        <v>0</v>
      </c>
    </row>
    <row r="34" spans="1:28" x14ac:dyDescent="0.3">
      <c r="A34" s="415" t="s">
        <v>23</v>
      </c>
      <c r="B34" s="415" t="s">
        <v>1180</v>
      </c>
      <c r="C34" s="446" t="str">
        <f>VLOOKUP(A34,'Calc Program Gross Plant'!$A$5:$C$55,3,FALSE)</f>
        <v>E</v>
      </c>
      <c r="D34" s="418">
        <v>0</v>
      </c>
      <c r="E34" s="413">
        <v>250436.62</v>
      </c>
      <c r="F34" s="413">
        <v>531403.57000000007</v>
      </c>
      <c r="G34" s="413">
        <v>1325963.3800000001</v>
      </c>
      <c r="H34" s="413">
        <v>0</v>
      </c>
      <c r="J34" s="415" t="str">
        <f t="shared" si="0"/>
        <v>PI Electric</v>
      </c>
      <c r="K34" s="415" t="str">
        <f t="shared" si="1"/>
        <v>Programmatic Customer Drive</v>
      </c>
      <c r="L34" s="412" t="str">
        <f t="shared" si="2"/>
        <v>E</v>
      </c>
      <c r="M34" s="447">
        <f t="shared" si="3"/>
        <v>0</v>
      </c>
      <c r="N34" s="447">
        <f t="shared" si="4"/>
        <v>250436.62</v>
      </c>
      <c r="O34" s="447">
        <f t="shared" si="5"/>
        <v>531403.57000000007</v>
      </c>
      <c r="P34" s="447">
        <f t="shared" si="6"/>
        <v>1325963.3800000001</v>
      </c>
      <c r="Q34" s="447">
        <f t="shared" si="7"/>
        <v>0</v>
      </c>
      <c r="S34" s="415" t="str">
        <f t="shared" si="8"/>
        <v>PI Electric</v>
      </c>
      <c r="T34" s="415" t="str">
        <f t="shared" si="9"/>
        <v>Programmatic Customer Drive</v>
      </c>
      <c r="U34" s="412" t="str">
        <f t="shared" si="10"/>
        <v>E</v>
      </c>
      <c r="V34" s="447">
        <f t="shared" si="11"/>
        <v>0</v>
      </c>
      <c r="W34" s="447">
        <f t="shared" si="12"/>
        <v>0</v>
      </c>
      <c r="X34" s="447">
        <f t="shared" si="13"/>
        <v>0</v>
      </c>
      <c r="Y34" s="447">
        <f t="shared" si="14"/>
        <v>0</v>
      </c>
      <c r="Z34" s="447">
        <f t="shared" si="15"/>
        <v>0</v>
      </c>
      <c r="AB34" s="413">
        <f t="shared" si="16"/>
        <v>0</v>
      </c>
    </row>
    <row r="35" spans="1:28" x14ac:dyDescent="0.3">
      <c r="A35" s="415" t="s">
        <v>24</v>
      </c>
      <c r="B35" s="415" t="s">
        <v>1180</v>
      </c>
      <c r="C35" s="446" t="str">
        <f>VLOOKUP(A35,'Calc Program Gross Plant'!$A$5:$C$55,3,FALSE)</f>
        <v>G</v>
      </c>
      <c r="D35" s="418">
        <v>0</v>
      </c>
      <c r="E35" s="413">
        <v>61544.98</v>
      </c>
      <c r="F35" s="413">
        <v>178569.51000000004</v>
      </c>
      <c r="G35" s="413">
        <v>414130.12</v>
      </c>
      <c r="H35" s="413">
        <v>0</v>
      </c>
      <c r="J35" s="415" t="str">
        <f t="shared" si="0"/>
        <v>PI Gas</v>
      </c>
      <c r="K35" s="415" t="str">
        <f t="shared" si="1"/>
        <v>Programmatic Customer Drive</v>
      </c>
      <c r="L35" s="412" t="str">
        <f t="shared" si="2"/>
        <v>G</v>
      </c>
      <c r="M35" s="447">
        <f t="shared" si="3"/>
        <v>0</v>
      </c>
      <c r="N35" s="447">
        <f t="shared" si="4"/>
        <v>0</v>
      </c>
      <c r="O35" s="447">
        <f t="shared" si="5"/>
        <v>0</v>
      </c>
      <c r="P35" s="447">
        <f t="shared" si="6"/>
        <v>0</v>
      </c>
      <c r="Q35" s="447">
        <f t="shared" si="7"/>
        <v>0</v>
      </c>
      <c r="S35" s="415" t="str">
        <f t="shared" si="8"/>
        <v>PI Gas</v>
      </c>
      <c r="T35" s="415" t="str">
        <f t="shared" si="9"/>
        <v>Programmatic Customer Drive</v>
      </c>
      <c r="U35" s="412" t="str">
        <f t="shared" si="10"/>
        <v>G</v>
      </c>
      <c r="V35" s="447">
        <f t="shared" si="11"/>
        <v>0</v>
      </c>
      <c r="W35" s="447">
        <f t="shared" si="12"/>
        <v>61544.98</v>
      </c>
      <c r="X35" s="447">
        <f t="shared" si="13"/>
        <v>178569.51000000004</v>
      </c>
      <c r="Y35" s="447">
        <f t="shared" si="14"/>
        <v>414130.12</v>
      </c>
      <c r="Z35" s="447">
        <f t="shared" si="15"/>
        <v>0</v>
      </c>
      <c r="AB35" s="413">
        <f t="shared" si="16"/>
        <v>0</v>
      </c>
    </row>
    <row r="36" spans="1:28" x14ac:dyDescent="0.3">
      <c r="A36" s="415" t="s">
        <v>25</v>
      </c>
      <c r="B36" s="415" t="s">
        <v>1168</v>
      </c>
      <c r="C36" s="446" t="str">
        <f>VLOOKUP(A36,'Calc Program Gross Plant'!$A$5:$C$55,3,FALSE)</f>
        <v>G</v>
      </c>
      <c r="D36" s="418">
        <v>0</v>
      </c>
      <c r="E36" s="413">
        <v>725787.04</v>
      </c>
      <c r="F36" s="413">
        <v>1922919.2899999998</v>
      </c>
      <c r="G36" s="413">
        <v>5580209.4800000004</v>
      </c>
      <c r="H36" s="413">
        <v>0</v>
      </c>
      <c r="J36" s="415" t="str">
        <f t="shared" si="0"/>
        <v>Pipe Replacement</v>
      </c>
      <c r="K36" s="415" t="str">
        <f t="shared" si="1"/>
        <v>Programmatic</v>
      </c>
      <c r="L36" s="412" t="str">
        <f t="shared" si="2"/>
        <v>G</v>
      </c>
      <c r="M36" s="447">
        <f t="shared" si="3"/>
        <v>0</v>
      </c>
      <c r="N36" s="447">
        <f t="shared" si="4"/>
        <v>0</v>
      </c>
      <c r="O36" s="447">
        <f t="shared" si="5"/>
        <v>0</v>
      </c>
      <c r="P36" s="447">
        <f t="shared" si="6"/>
        <v>0</v>
      </c>
      <c r="Q36" s="447">
        <f t="shared" si="7"/>
        <v>0</v>
      </c>
      <c r="S36" s="415" t="str">
        <f t="shared" si="8"/>
        <v>Pipe Replacement</v>
      </c>
      <c r="T36" s="415" t="str">
        <f t="shared" si="9"/>
        <v>Programmatic</v>
      </c>
      <c r="U36" s="412" t="str">
        <f t="shared" si="10"/>
        <v>G</v>
      </c>
      <c r="V36" s="447">
        <f t="shared" si="11"/>
        <v>0</v>
      </c>
      <c r="W36" s="447">
        <f t="shared" si="12"/>
        <v>725787.04</v>
      </c>
      <c r="X36" s="447">
        <f t="shared" si="13"/>
        <v>1922919.2899999998</v>
      </c>
      <c r="Y36" s="447">
        <f t="shared" si="14"/>
        <v>5580209.4800000004</v>
      </c>
      <c r="Z36" s="447">
        <f t="shared" si="15"/>
        <v>0</v>
      </c>
      <c r="AB36" s="413">
        <f t="shared" si="16"/>
        <v>0</v>
      </c>
    </row>
    <row r="37" spans="1:28" x14ac:dyDescent="0.3">
      <c r="A37" s="415" t="s">
        <v>1605</v>
      </c>
      <c r="B37" s="415" t="s">
        <v>26</v>
      </c>
      <c r="C37" s="446" t="str">
        <f>VLOOKUP(A37,'Calc Program Gross Plant'!$A$5:$C$55,3,FALSE)</f>
        <v>C</v>
      </c>
      <c r="D37" s="418">
        <v>0</v>
      </c>
      <c r="E37" s="413">
        <v>1511738.0699999996</v>
      </c>
      <c r="F37" s="413">
        <v>5883272.620000002</v>
      </c>
      <c r="G37" s="413">
        <v>23225125.389999993</v>
      </c>
      <c r="H37" s="413">
        <v>0</v>
      </c>
      <c r="J37" s="415" t="str">
        <f t="shared" si="0"/>
        <v>Projected - Common</v>
      </c>
      <c r="K37" s="415" t="str">
        <f t="shared" si="1"/>
        <v>Projected</v>
      </c>
      <c r="L37" s="412" t="str">
        <f t="shared" si="2"/>
        <v>C</v>
      </c>
      <c r="M37" s="447">
        <f t="shared" si="3"/>
        <v>0</v>
      </c>
      <c r="N37" s="447">
        <f t="shared" si="4"/>
        <v>996840.08335799968</v>
      </c>
      <c r="O37" s="447">
        <f t="shared" si="5"/>
        <v>3879429.9656280014</v>
      </c>
      <c r="P37" s="447">
        <f t="shared" si="6"/>
        <v>15314647.682165995</v>
      </c>
      <c r="Q37" s="447">
        <f t="shared" si="7"/>
        <v>0</v>
      </c>
      <c r="S37" s="415" t="str">
        <f t="shared" si="8"/>
        <v>Projected - Common</v>
      </c>
      <c r="T37" s="415" t="str">
        <f t="shared" si="9"/>
        <v>Projected</v>
      </c>
      <c r="U37" s="412" t="str">
        <f t="shared" si="10"/>
        <v>C</v>
      </c>
      <c r="V37" s="447">
        <f t="shared" si="11"/>
        <v>0</v>
      </c>
      <c r="W37" s="447">
        <f t="shared" si="12"/>
        <v>514897.98664199986</v>
      </c>
      <c r="X37" s="447">
        <f t="shared" si="13"/>
        <v>2003842.6543720008</v>
      </c>
      <c r="Y37" s="447">
        <f t="shared" si="14"/>
        <v>7910477.7078339979</v>
      </c>
      <c r="Z37" s="447">
        <f t="shared" si="15"/>
        <v>0</v>
      </c>
      <c r="AB37" s="413">
        <f t="shared" ref="AB37:AB55" si="17">SUM(D37:H37)-SUM(M37:Q37)-SUM(V37:Z37)</f>
        <v>0</v>
      </c>
    </row>
    <row r="38" spans="1:28" x14ac:dyDescent="0.3">
      <c r="A38" s="415" t="s">
        <v>1604</v>
      </c>
      <c r="B38" s="415" t="s">
        <v>26</v>
      </c>
      <c r="C38" s="446" t="str">
        <f>VLOOKUP(A38,'Calc Program Gross Plant'!$A$5:$C$55,3,FALSE)</f>
        <v>E</v>
      </c>
      <c r="D38" s="418">
        <v>0</v>
      </c>
      <c r="E38" s="413">
        <v>1713086.3499999996</v>
      </c>
      <c r="F38" s="413">
        <v>5205133.8300000029</v>
      </c>
      <c r="G38" s="413">
        <v>16128383.90000001</v>
      </c>
      <c r="H38" s="413">
        <v>0</v>
      </c>
      <c r="J38" s="415" t="str">
        <f t="shared" si="0"/>
        <v>Projected - Electric</v>
      </c>
      <c r="K38" s="415" t="str">
        <f t="shared" si="1"/>
        <v>Projected</v>
      </c>
      <c r="L38" s="412" t="str">
        <f t="shared" si="2"/>
        <v>E</v>
      </c>
      <c r="M38" s="447">
        <f t="shared" si="3"/>
        <v>0</v>
      </c>
      <c r="N38" s="447">
        <f t="shared" si="4"/>
        <v>1713086.3499999996</v>
      </c>
      <c r="O38" s="447">
        <f t="shared" si="5"/>
        <v>5205133.8300000029</v>
      </c>
      <c r="P38" s="447">
        <f t="shared" si="6"/>
        <v>16128383.90000001</v>
      </c>
      <c r="Q38" s="447">
        <f t="shared" si="7"/>
        <v>0</v>
      </c>
      <c r="S38" s="415" t="str">
        <f t="shared" si="8"/>
        <v>Projected - Electric</v>
      </c>
      <c r="T38" s="415" t="str">
        <f t="shared" si="9"/>
        <v>Projected</v>
      </c>
      <c r="U38" s="412" t="str">
        <f t="shared" si="10"/>
        <v>E</v>
      </c>
      <c r="V38" s="447">
        <f t="shared" si="11"/>
        <v>0</v>
      </c>
      <c r="W38" s="447">
        <f t="shared" si="12"/>
        <v>0</v>
      </c>
      <c r="X38" s="447">
        <f t="shared" si="13"/>
        <v>0</v>
      </c>
      <c r="Y38" s="447">
        <f t="shared" si="14"/>
        <v>0</v>
      </c>
      <c r="Z38" s="447">
        <f t="shared" si="15"/>
        <v>0</v>
      </c>
      <c r="AB38" s="413">
        <f t="shared" si="17"/>
        <v>0</v>
      </c>
    </row>
    <row r="39" spans="1:28" x14ac:dyDescent="0.3">
      <c r="A39" s="415" t="s">
        <v>1603</v>
      </c>
      <c r="B39" s="415" t="s">
        <v>26</v>
      </c>
      <c r="C39" s="446" t="str">
        <f>VLOOKUP(A39,'Calc Program Gross Plant'!$A$5:$C$55,3,FALSE)</f>
        <v>G</v>
      </c>
      <c r="D39" s="418">
        <v>0</v>
      </c>
      <c r="E39" s="413">
        <v>167926.62</v>
      </c>
      <c r="F39" s="413">
        <v>810205.07</v>
      </c>
      <c r="G39" s="413">
        <v>2847664.2899999996</v>
      </c>
      <c r="H39" s="413">
        <v>0</v>
      </c>
      <c r="J39" s="415" t="str">
        <f t="shared" si="0"/>
        <v>Projected - Gas</v>
      </c>
      <c r="K39" s="415" t="str">
        <f t="shared" si="1"/>
        <v>Projected</v>
      </c>
      <c r="L39" s="412" t="str">
        <f t="shared" si="2"/>
        <v>G</v>
      </c>
      <c r="M39" s="447">
        <f t="shared" si="3"/>
        <v>0</v>
      </c>
      <c r="N39" s="447">
        <f t="shared" si="4"/>
        <v>0</v>
      </c>
      <c r="O39" s="447">
        <f t="shared" si="5"/>
        <v>0</v>
      </c>
      <c r="P39" s="447">
        <f t="shared" si="6"/>
        <v>0</v>
      </c>
      <c r="Q39" s="447">
        <f t="shared" si="7"/>
        <v>0</v>
      </c>
      <c r="S39" s="415" t="str">
        <f t="shared" si="8"/>
        <v>Projected - Gas</v>
      </c>
      <c r="T39" s="415" t="str">
        <f t="shared" si="9"/>
        <v>Projected</v>
      </c>
      <c r="U39" s="412" t="str">
        <f t="shared" si="10"/>
        <v>G</v>
      </c>
      <c r="V39" s="447">
        <f t="shared" si="11"/>
        <v>0</v>
      </c>
      <c r="W39" s="447">
        <f t="shared" si="12"/>
        <v>167926.62</v>
      </c>
      <c r="X39" s="447">
        <f t="shared" si="13"/>
        <v>810205.07</v>
      </c>
      <c r="Y39" s="447">
        <f t="shared" si="14"/>
        <v>2847664.2899999996</v>
      </c>
      <c r="Z39" s="447">
        <f t="shared" si="15"/>
        <v>0</v>
      </c>
      <c r="AB39" s="413">
        <f t="shared" si="17"/>
        <v>0</v>
      </c>
    </row>
    <row r="40" spans="1:28" x14ac:dyDescent="0.3">
      <c r="A40" s="415" t="s">
        <v>31</v>
      </c>
      <c r="B40" s="415" t="s">
        <v>1168</v>
      </c>
      <c r="C40" s="446" t="str">
        <f>VLOOKUP(A40,'Calc Program Gross Plant'!$A$5:$C$55,3,FALSE)</f>
        <v>E</v>
      </c>
      <c r="D40" s="418">
        <v>0</v>
      </c>
      <c r="E40" s="413">
        <v>16663.02</v>
      </c>
      <c r="F40" s="413">
        <v>58827.05</v>
      </c>
      <c r="G40" s="413">
        <v>270970.64</v>
      </c>
      <c r="H40" s="413">
        <v>0</v>
      </c>
      <c r="J40" s="415" t="str">
        <f t="shared" si="0"/>
        <v>Resilience Enhancement</v>
      </c>
      <c r="K40" s="415" t="str">
        <f t="shared" si="1"/>
        <v>Programmatic</v>
      </c>
      <c r="L40" s="412" t="str">
        <f t="shared" si="2"/>
        <v>E</v>
      </c>
      <c r="M40" s="447">
        <f t="shared" si="3"/>
        <v>0</v>
      </c>
      <c r="N40" s="447">
        <f t="shared" si="4"/>
        <v>16663.02</v>
      </c>
      <c r="O40" s="447">
        <f t="shared" si="5"/>
        <v>58827.05</v>
      </c>
      <c r="P40" s="447">
        <f t="shared" si="6"/>
        <v>270970.64</v>
      </c>
      <c r="Q40" s="447">
        <f t="shared" si="7"/>
        <v>0</v>
      </c>
      <c r="S40" s="415" t="str">
        <f t="shared" si="8"/>
        <v>Resilience Enhancement</v>
      </c>
      <c r="T40" s="415" t="str">
        <f t="shared" si="9"/>
        <v>Programmatic</v>
      </c>
      <c r="U40" s="412" t="str">
        <f t="shared" si="10"/>
        <v>E</v>
      </c>
      <c r="V40" s="447">
        <f t="shared" si="11"/>
        <v>0</v>
      </c>
      <c r="W40" s="447">
        <f t="shared" si="12"/>
        <v>0</v>
      </c>
      <c r="X40" s="447">
        <f t="shared" si="13"/>
        <v>0</v>
      </c>
      <c r="Y40" s="447">
        <f t="shared" si="14"/>
        <v>0</v>
      </c>
      <c r="Z40" s="447">
        <f t="shared" si="15"/>
        <v>0</v>
      </c>
      <c r="AB40" s="413">
        <f t="shared" si="17"/>
        <v>0</v>
      </c>
    </row>
    <row r="41" spans="1:28" x14ac:dyDescent="0.3">
      <c r="A41" s="415" t="s">
        <v>1602</v>
      </c>
      <c r="B41" s="415" t="s">
        <v>1168</v>
      </c>
      <c r="C41" s="446" t="str">
        <f>VLOOKUP(A41,'Calc Program Gross Plant'!$A$5:$C$55,3,FALSE)</f>
        <v>G</v>
      </c>
      <c r="D41" s="418">
        <v>0</v>
      </c>
      <c r="E41" s="413">
        <v>0</v>
      </c>
      <c r="F41" s="413">
        <v>0</v>
      </c>
      <c r="G41" s="413">
        <v>0</v>
      </c>
      <c r="H41" s="413">
        <v>0</v>
      </c>
      <c r="J41" s="415" t="str">
        <f t="shared" si="0"/>
        <v>RNG</v>
      </c>
      <c r="K41" s="415" t="str">
        <f t="shared" si="1"/>
        <v>Programmatic</v>
      </c>
      <c r="L41" s="412" t="str">
        <f t="shared" si="2"/>
        <v>G</v>
      </c>
      <c r="M41" s="447">
        <f t="shared" si="3"/>
        <v>0</v>
      </c>
      <c r="N41" s="447">
        <f t="shared" si="4"/>
        <v>0</v>
      </c>
      <c r="O41" s="447">
        <f t="shared" si="5"/>
        <v>0</v>
      </c>
      <c r="P41" s="447">
        <f t="shared" si="6"/>
        <v>0</v>
      </c>
      <c r="Q41" s="447">
        <f t="shared" si="7"/>
        <v>0</v>
      </c>
      <c r="S41" s="415" t="str">
        <f t="shared" si="8"/>
        <v>RNG</v>
      </c>
      <c r="T41" s="415" t="str">
        <f t="shared" si="9"/>
        <v>Programmatic</v>
      </c>
      <c r="U41" s="412" t="str">
        <f t="shared" si="10"/>
        <v>G</v>
      </c>
      <c r="V41" s="447">
        <f t="shared" si="11"/>
        <v>0</v>
      </c>
      <c r="W41" s="447">
        <f t="shared" si="12"/>
        <v>0</v>
      </c>
      <c r="X41" s="447">
        <f t="shared" si="13"/>
        <v>0</v>
      </c>
      <c r="Y41" s="447">
        <f t="shared" si="14"/>
        <v>0</v>
      </c>
      <c r="Z41" s="447">
        <f t="shared" si="15"/>
        <v>0</v>
      </c>
      <c r="AB41" s="413">
        <f t="shared" si="17"/>
        <v>0</v>
      </c>
    </row>
    <row r="42" spans="1:28" x14ac:dyDescent="0.3">
      <c r="A42" s="415" t="s">
        <v>1601</v>
      </c>
      <c r="B42" s="415" t="s">
        <v>1181</v>
      </c>
      <c r="C42" s="446" t="str">
        <f>VLOOKUP(A42,'Calc Program Gross Plant'!$A$5:$C$55,3,FALSE)</f>
        <v>E</v>
      </c>
      <c r="D42" s="418">
        <v>0</v>
      </c>
      <c r="E42" s="413">
        <v>0</v>
      </c>
      <c r="F42" s="413">
        <v>29790.81</v>
      </c>
      <c r="G42" s="413">
        <v>214102.42</v>
      </c>
      <c r="H42" s="413">
        <v>0</v>
      </c>
      <c r="J42" s="415" t="str">
        <f t="shared" si="0"/>
        <v>Rooftop Solar</v>
      </c>
      <c r="K42" s="415" t="str">
        <f t="shared" si="1"/>
        <v>Specific</v>
      </c>
      <c r="L42" s="412" t="str">
        <f t="shared" si="2"/>
        <v>E</v>
      </c>
      <c r="M42" s="447">
        <f t="shared" si="3"/>
        <v>0</v>
      </c>
      <c r="N42" s="447">
        <f t="shared" si="4"/>
        <v>0</v>
      </c>
      <c r="O42" s="447">
        <f t="shared" si="5"/>
        <v>29790.81</v>
      </c>
      <c r="P42" s="447">
        <f t="shared" si="6"/>
        <v>214102.42</v>
      </c>
      <c r="Q42" s="447">
        <f t="shared" si="7"/>
        <v>0</v>
      </c>
      <c r="S42" s="415" t="str">
        <f t="shared" si="8"/>
        <v>Rooftop Solar</v>
      </c>
      <c r="T42" s="415" t="str">
        <f t="shared" si="9"/>
        <v>Specific</v>
      </c>
      <c r="U42" s="412" t="str">
        <f t="shared" si="10"/>
        <v>E</v>
      </c>
      <c r="V42" s="447">
        <f t="shared" si="11"/>
        <v>0</v>
      </c>
      <c r="W42" s="447">
        <f t="shared" si="12"/>
        <v>0</v>
      </c>
      <c r="X42" s="447">
        <f t="shared" si="13"/>
        <v>0</v>
      </c>
      <c r="Y42" s="447">
        <f t="shared" si="14"/>
        <v>0</v>
      </c>
      <c r="Z42" s="447">
        <f t="shared" si="15"/>
        <v>0</v>
      </c>
      <c r="AB42" s="413">
        <f t="shared" si="17"/>
        <v>0</v>
      </c>
    </row>
    <row r="43" spans="1:28" x14ac:dyDescent="0.3">
      <c r="A43" s="415" t="s">
        <v>28</v>
      </c>
      <c r="B43" s="415" t="s">
        <v>1181</v>
      </c>
      <c r="C43" s="446" t="str">
        <f>VLOOKUP(A43,'Calc Program Gross Plant'!$A$5:$C$55,3,FALSE)</f>
        <v>E</v>
      </c>
      <c r="D43" s="418">
        <v>0</v>
      </c>
      <c r="E43" s="413">
        <v>27300.53</v>
      </c>
      <c r="F43" s="413">
        <v>368762.36</v>
      </c>
      <c r="G43" s="413">
        <v>1170019.01</v>
      </c>
      <c r="H43" s="413">
        <v>0</v>
      </c>
      <c r="J43" s="415" t="str">
        <f t="shared" si="0"/>
        <v>Sammamish Juanita 115Kv Tline</v>
      </c>
      <c r="K43" s="415" t="str">
        <f t="shared" si="1"/>
        <v>Specific</v>
      </c>
      <c r="L43" s="412" t="str">
        <f t="shared" si="2"/>
        <v>E</v>
      </c>
      <c r="M43" s="447">
        <f t="shared" si="3"/>
        <v>0</v>
      </c>
      <c r="N43" s="447">
        <f t="shared" si="4"/>
        <v>27300.53</v>
      </c>
      <c r="O43" s="447">
        <f t="shared" si="5"/>
        <v>368762.36</v>
      </c>
      <c r="P43" s="447">
        <f t="shared" si="6"/>
        <v>1170019.01</v>
      </c>
      <c r="Q43" s="447">
        <f t="shared" si="7"/>
        <v>0</v>
      </c>
      <c r="S43" s="415" t="str">
        <f t="shared" si="8"/>
        <v>Sammamish Juanita 115Kv Tline</v>
      </c>
      <c r="T43" s="415" t="str">
        <f t="shared" si="9"/>
        <v>Specific</v>
      </c>
      <c r="U43" s="412" t="str">
        <f t="shared" si="10"/>
        <v>E</v>
      </c>
      <c r="V43" s="447">
        <f t="shared" si="11"/>
        <v>0</v>
      </c>
      <c r="W43" s="447">
        <f t="shared" si="12"/>
        <v>0</v>
      </c>
      <c r="X43" s="447">
        <f t="shared" si="13"/>
        <v>0</v>
      </c>
      <c r="Y43" s="447">
        <f t="shared" si="14"/>
        <v>0</v>
      </c>
      <c r="Z43" s="447">
        <f t="shared" si="15"/>
        <v>0</v>
      </c>
      <c r="AB43" s="413">
        <f t="shared" si="17"/>
        <v>0</v>
      </c>
    </row>
    <row r="44" spans="1:28" x14ac:dyDescent="0.3">
      <c r="A44" s="415" t="s">
        <v>870</v>
      </c>
      <c r="B44" s="415" t="s">
        <v>1181</v>
      </c>
      <c r="C44" s="446" t="str">
        <f>VLOOKUP(A44,'Calc Program Gross Plant'!$A$5:$C$55,3,FALSE)</f>
        <v>C</v>
      </c>
      <c r="D44" s="418">
        <v>0</v>
      </c>
      <c r="E44" s="413">
        <v>0</v>
      </c>
      <c r="F44" s="413">
        <v>0</v>
      </c>
      <c r="G44" s="413">
        <v>167760.38</v>
      </c>
      <c r="H44" s="413">
        <v>0</v>
      </c>
      <c r="J44" s="415" t="str">
        <f t="shared" si="0"/>
        <v>SAP S/4 Hana</v>
      </c>
      <c r="K44" s="415" t="str">
        <f t="shared" si="1"/>
        <v>Specific</v>
      </c>
      <c r="L44" s="412" t="str">
        <f t="shared" si="2"/>
        <v>C</v>
      </c>
      <c r="M44" s="447">
        <f t="shared" si="3"/>
        <v>0</v>
      </c>
      <c r="N44" s="447">
        <f t="shared" si="4"/>
        <v>0</v>
      </c>
      <c r="O44" s="447">
        <f t="shared" si="5"/>
        <v>0</v>
      </c>
      <c r="P44" s="447">
        <f t="shared" si="6"/>
        <v>110621.19457200001</v>
      </c>
      <c r="Q44" s="447">
        <f t="shared" si="7"/>
        <v>0</v>
      </c>
      <c r="S44" s="415" t="str">
        <f t="shared" si="8"/>
        <v>SAP S/4 Hana</v>
      </c>
      <c r="T44" s="415" t="str">
        <f t="shared" si="9"/>
        <v>Specific</v>
      </c>
      <c r="U44" s="412" t="str">
        <f t="shared" si="10"/>
        <v>C</v>
      </c>
      <c r="V44" s="447">
        <f t="shared" si="11"/>
        <v>0</v>
      </c>
      <c r="W44" s="447">
        <f t="shared" si="12"/>
        <v>0</v>
      </c>
      <c r="X44" s="447">
        <f t="shared" si="13"/>
        <v>0</v>
      </c>
      <c r="Y44" s="447">
        <f t="shared" si="14"/>
        <v>57139.185428000004</v>
      </c>
      <c r="Z44" s="447">
        <f t="shared" si="15"/>
        <v>0</v>
      </c>
      <c r="AB44" s="413">
        <f t="shared" si="17"/>
        <v>0</v>
      </c>
    </row>
    <row r="45" spans="1:28" x14ac:dyDescent="0.3">
      <c r="A45" s="415" t="s">
        <v>29</v>
      </c>
      <c r="B45" s="415" t="s">
        <v>1181</v>
      </c>
      <c r="C45" s="446" t="str">
        <f>VLOOKUP(A45,'Calc Program Gross Plant'!$A$5:$C$55,3,FALSE)</f>
        <v>E</v>
      </c>
      <c r="D45" s="418">
        <v>0</v>
      </c>
      <c r="E45" s="413">
        <v>16285.32</v>
      </c>
      <c r="F45" s="413">
        <v>259200.12</v>
      </c>
      <c r="G45" s="413">
        <v>872258.22</v>
      </c>
      <c r="H45" s="413">
        <v>0</v>
      </c>
      <c r="J45" s="415" t="str">
        <f t="shared" si="0"/>
        <v>Thurston Transmission Capacity</v>
      </c>
      <c r="K45" s="415" t="str">
        <f t="shared" si="1"/>
        <v>Specific</v>
      </c>
      <c r="L45" s="412" t="str">
        <f t="shared" si="2"/>
        <v>E</v>
      </c>
      <c r="M45" s="447">
        <f t="shared" si="3"/>
        <v>0</v>
      </c>
      <c r="N45" s="447">
        <f t="shared" si="4"/>
        <v>16285.32</v>
      </c>
      <c r="O45" s="447">
        <f t="shared" si="5"/>
        <v>259200.12</v>
      </c>
      <c r="P45" s="447">
        <f t="shared" si="6"/>
        <v>872258.22</v>
      </c>
      <c r="Q45" s="447">
        <f t="shared" si="7"/>
        <v>0</v>
      </c>
      <c r="S45" s="415" t="str">
        <f t="shared" si="8"/>
        <v>Thurston Transmission Capacity</v>
      </c>
      <c r="T45" s="415" t="str">
        <f t="shared" si="9"/>
        <v>Specific</v>
      </c>
      <c r="U45" s="412" t="str">
        <f t="shared" si="10"/>
        <v>E</v>
      </c>
      <c r="V45" s="447">
        <f t="shared" si="11"/>
        <v>0</v>
      </c>
      <c r="W45" s="447">
        <f t="shared" si="12"/>
        <v>0</v>
      </c>
      <c r="X45" s="447">
        <f t="shared" si="13"/>
        <v>0</v>
      </c>
      <c r="Y45" s="447">
        <f t="shared" si="14"/>
        <v>0</v>
      </c>
      <c r="Z45" s="447">
        <f t="shared" si="15"/>
        <v>0</v>
      </c>
      <c r="AB45" s="413">
        <f t="shared" si="17"/>
        <v>0</v>
      </c>
    </row>
    <row r="46" spans="1:28" x14ac:dyDescent="0.3">
      <c r="A46" s="415" t="s">
        <v>30</v>
      </c>
      <c r="B46" s="415" t="s">
        <v>1181</v>
      </c>
      <c r="C46" s="446" t="str">
        <f>VLOOKUP(A46,'Calc Program Gross Plant'!$A$5:$C$55,3,FALSE)</f>
        <v>C</v>
      </c>
      <c r="D46" s="418">
        <v>0</v>
      </c>
      <c r="E46" s="413">
        <v>0</v>
      </c>
      <c r="F46" s="413">
        <v>0</v>
      </c>
      <c r="G46" s="413">
        <v>3948.1000000000004</v>
      </c>
      <c r="H46" s="413">
        <v>0</v>
      </c>
      <c r="J46" s="415" t="str">
        <f t="shared" si="0"/>
        <v>Transport Network Modernization</v>
      </c>
      <c r="K46" s="415" t="str">
        <f t="shared" si="1"/>
        <v>Specific</v>
      </c>
      <c r="L46" s="412" t="str">
        <f t="shared" si="2"/>
        <v>C</v>
      </c>
      <c r="M46" s="447">
        <f t="shared" si="3"/>
        <v>0</v>
      </c>
      <c r="N46" s="447">
        <f t="shared" si="4"/>
        <v>0</v>
      </c>
      <c r="O46" s="447">
        <f t="shared" si="5"/>
        <v>0</v>
      </c>
      <c r="P46" s="447">
        <f t="shared" si="6"/>
        <v>2603.3771400000001</v>
      </c>
      <c r="Q46" s="447">
        <f t="shared" si="7"/>
        <v>0</v>
      </c>
      <c r="S46" s="415" t="str">
        <f t="shared" si="8"/>
        <v>Transport Network Modernization</v>
      </c>
      <c r="T46" s="415" t="str">
        <f t="shared" si="9"/>
        <v>Specific</v>
      </c>
      <c r="U46" s="412" t="str">
        <f t="shared" si="10"/>
        <v>C</v>
      </c>
      <c r="V46" s="447">
        <f t="shared" si="11"/>
        <v>0</v>
      </c>
      <c r="W46" s="447">
        <f t="shared" si="12"/>
        <v>0</v>
      </c>
      <c r="X46" s="447">
        <f t="shared" si="13"/>
        <v>0</v>
      </c>
      <c r="Y46" s="447">
        <f t="shared" si="14"/>
        <v>1344.7228600000001</v>
      </c>
      <c r="Z46" s="447">
        <f t="shared" si="15"/>
        <v>0</v>
      </c>
      <c r="AB46" s="413">
        <f t="shared" si="17"/>
        <v>0</v>
      </c>
    </row>
    <row r="47" spans="1:28" x14ac:dyDescent="0.3">
      <c r="A47" s="415" t="s">
        <v>1600</v>
      </c>
      <c r="B47" s="415" t="s">
        <v>1168</v>
      </c>
      <c r="C47" s="446" t="str">
        <f>VLOOKUP(A47,'Calc Program Gross Plant'!$A$5:$C$55,3,FALSE)</f>
        <v>E</v>
      </c>
      <c r="D47" s="418">
        <v>0</v>
      </c>
      <c r="E47" s="413">
        <v>0</v>
      </c>
      <c r="F47" s="413">
        <v>30595.89</v>
      </c>
      <c r="G47" s="413">
        <v>326042.04000000004</v>
      </c>
      <c r="H47" s="413">
        <v>0</v>
      </c>
      <c r="J47" s="415" t="str">
        <f t="shared" si="0"/>
        <v>UG Feeders</v>
      </c>
      <c r="K47" s="415" t="str">
        <f t="shared" si="1"/>
        <v>Programmatic</v>
      </c>
      <c r="L47" s="412" t="str">
        <f t="shared" si="2"/>
        <v>E</v>
      </c>
      <c r="M47" s="447">
        <f t="shared" si="3"/>
        <v>0</v>
      </c>
      <c r="N47" s="447">
        <f t="shared" si="4"/>
        <v>0</v>
      </c>
      <c r="O47" s="447">
        <f t="shared" si="5"/>
        <v>30595.89</v>
      </c>
      <c r="P47" s="447">
        <f t="shared" si="6"/>
        <v>326042.04000000004</v>
      </c>
      <c r="Q47" s="447">
        <f t="shared" si="7"/>
        <v>0</v>
      </c>
      <c r="S47" s="415" t="str">
        <f t="shared" si="8"/>
        <v>UG Feeders</v>
      </c>
      <c r="T47" s="415" t="str">
        <f t="shared" si="9"/>
        <v>Programmatic</v>
      </c>
      <c r="U47" s="412" t="str">
        <f t="shared" si="10"/>
        <v>E</v>
      </c>
      <c r="V47" s="447">
        <f t="shared" si="11"/>
        <v>0</v>
      </c>
      <c r="W47" s="447">
        <f t="shared" si="12"/>
        <v>0</v>
      </c>
      <c r="X47" s="447">
        <f t="shared" si="13"/>
        <v>0</v>
      </c>
      <c r="Y47" s="447">
        <f t="shared" si="14"/>
        <v>0</v>
      </c>
      <c r="Z47" s="447">
        <f t="shared" si="15"/>
        <v>0</v>
      </c>
      <c r="AB47" s="413">
        <f t="shared" si="17"/>
        <v>0</v>
      </c>
    </row>
    <row r="48" spans="1:28" x14ac:dyDescent="0.3">
      <c r="A48" s="415"/>
      <c r="B48" s="415"/>
      <c r="C48" s="446"/>
      <c r="D48" s="418"/>
      <c r="E48" s="413"/>
      <c r="F48" s="413"/>
      <c r="G48" s="413"/>
      <c r="H48" s="413"/>
      <c r="J48" s="415"/>
      <c r="K48" s="415"/>
      <c r="L48" s="412"/>
      <c r="M48" s="447">
        <f t="shared" si="3"/>
        <v>0</v>
      </c>
      <c r="N48" s="447">
        <f t="shared" si="4"/>
        <v>0</v>
      </c>
      <c r="O48" s="447">
        <f t="shared" si="5"/>
        <v>0</v>
      </c>
      <c r="P48" s="447">
        <f t="shared" si="6"/>
        <v>0</v>
      </c>
      <c r="Q48" s="447">
        <f t="shared" si="7"/>
        <v>0</v>
      </c>
      <c r="S48" s="415"/>
      <c r="T48" s="415"/>
      <c r="U48" s="412"/>
      <c r="V48" s="447">
        <f t="shared" si="11"/>
        <v>0</v>
      </c>
      <c r="W48" s="447">
        <f t="shared" si="12"/>
        <v>0</v>
      </c>
      <c r="X48" s="447">
        <f t="shared" si="13"/>
        <v>0</v>
      </c>
      <c r="Y48" s="447">
        <f t="shared" si="14"/>
        <v>0</v>
      </c>
      <c r="Z48" s="447">
        <f t="shared" si="15"/>
        <v>0</v>
      </c>
      <c r="AB48" s="413">
        <f t="shared" si="17"/>
        <v>0</v>
      </c>
    </row>
    <row r="49" spans="1:28" s="441" customFormat="1" x14ac:dyDescent="0.3">
      <c r="A49" s="415"/>
      <c r="B49" s="415"/>
      <c r="C49" s="446"/>
      <c r="D49" s="443"/>
      <c r="E49" s="442"/>
      <c r="F49" s="442"/>
      <c r="G49" s="442"/>
      <c r="H49" s="442"/>
      <c r="J49" s="445"/>
      <c r="K49" s="415"/>
      <c r="L49" s="444"/>
      <c r="M49" s="443">
        <f t="shared" si="3"/>
        <v>0</v>
      </c>
      <c r="N49" s="443">
        <f t="shared" si="4"/>
        <v>0</v>
      </c>
      <c r="O49" s="443">
        <f t="shared" si="5"/>
        <v>0</v>
      </c>
      <c r="P49" s="443">
        <f t="shared" si="6"/>
        <v>0</v>
      </c>
      <c r="Q49" s="443">
        <f t="shared" si="7"/>
        <v>0</v>
      </c>
      <c r="S49" s="445"/>
      <c r="T49" s="415"/>
      <c r="U49" s="444"/>
      <c r="V49" s="443">
        <f t="shared" si="11"/>
        <v>0</v>
      </c>
      <c r="W49" s="443">
        <f t="shared" si="12"/>
        <v>0</v>
      </c>
      <c r="X49" s="443">
        <f t="shared" si="13"/>
        <v>0</v>
      </c>
      <c r="Y49" s="443">
        <f t="shared" si="14"/>
        <v>0</v>
      </c>
      <c r="Z49" s="443">
        <f t="shared" si="15"/>
        <v>0</v>
      </c>
      <c r="AB49" s="442">
        <f t="shared" si="17"/>
        <v>0</v>
      </c>
    </row>
    <row r="50" spans="1:28" s="441" customFormat="1" x14ac:dyDescent="0.3">
      <c r="A50" s="415"/>
      <c r="B50" s="415"/>
      <c r="C50" s="446"/>
      <c r="D50" s="443"/>
      <c r="E50" s="442"/>
      <c r="F50" s="442"/>
      <c r="G50" s="442"/>
      <c r="H50" s="442"/>
      <c r="J50" s="445"/>
      <c r="K50" s="415"/>
      <c r="L50" s="444"/>
      <c r="M50" s="443">
        <f t="shared" si="3"/>
        <v>0</v>
      </c>
      <c r="N50" s="443">
        <f t="shared" si="4"/>
        <v>0</v>
      </c>
      <c r="O50" s="443">
        <f t="shared" si="5"/>
        <v>0</v>
      </c>
      <c r="P50" s="443">
        <f t="shared" si="6"/>
        <v>0</v>
      </c>
      <c r="Q50" s="443">
        <f t="shared" si="7"/>
        <v>0</v>
      </c>
      <c r="S50" s="445"/>
      <c r="T50" s="415"/>
      <c r="U50" s="444"/>
      <c r="V50" s="443">
        <f t="shared" si="11"/>
        <v>0</v>
      </c>
      <c r="W50" s="443">
        <f t="shared" si="12"/>
        <v>0</v>
      </c>
      <c r="X50" s="443">
        <f t="shared" si="13"/>
        <v>0</v>
      </c>
      <c r="Y50" s="443">
        <f t="shared" si="14"/>
        <v>0</v>
      </c>
      <c r="Z50" s="443">
        <f t="shared" si="15"/>
        <v>0</v>
      </c>
      <c r="AB50" s="442">
        <f t="shared" si="17"/>
        <v>0</v>
      </c>
    </row>
    <row r="51" spans="1:28" s="441" customFormat="1" x14ac:dyDescent="0.3">
      <c r="A51" s="415"/>
      <c r="B51" s="415"/>
      <c r="C51" s="446"/>
      <c r="D51" s="443"/>
      <c r="E51" s="442"/>
      <c r="F51" s="442"/>
      <c r="G51" s="442"/>
      <c r="H51" s="442"/>
      <c r="J51" s="445"/>
      <c r="K51" s="415"/>
      <c r="L51" s="444"/>
      <c r="M51" s="443"/>
      <c r="N51" s="443"/>
      <c r="O51" s="443"/>
      <c r="P51" s="443"/>
      <c r="Q51" s="443"/>
      <c r="S51" s="445"/>
      <c r="T51" s="415"/>
      <c r="U51" s="444"/>
      <c r="V51" s="443"/>
      <c r="W51" s="443"/>
      <c r="X51" s="443"/>
      <c r="Y51" s="443"/>
      <c r="Z51" s="443"/>
      <c r="AB51" s="442">
        <f t="shared" si="17"/>
        <v>0</v>
      </c>
    </row>
    <row r="52" spans="1:28" s="441" customFormat="1" x14ac:dyDescent="0.3">
      <c r="A52" s="415"/>
      <c r="B52" s="415"/>
      <c r="C52" s="446"/>
      <c r="D52" s="443"/>
      <c r="E52" s="442"/>
      <c r="F52" s="442"/>
      <c r="G52" s="442"/>
      <c r="H52" s="442"/>
      <c r="J52" s="445"/>
      <c r="K52" s="415"/>
      <c r="L52" s="444"/>
      <c r="M52" s="443"/>
      <c r="N52" s="443"/>
      <c r="O52" s="443"/>
      <c r="P52" s="443"/>
      <c r="Q52" s="443"/>
      <c r="S52" s="445"/>
      <c r="T52" s="415"/>
      <c r="U52" s="444"/>
      <c r="V52" s="443"/>
      <c r="W52" s="443"/>
      <c r="X52" s="443"/>
      <c r="Y52" s="443"/>
      <c r="Z52" s="443"/>
      <c r="AB52" s="442">
        <f t="shared" si="17"/>
        <v>0</v>
      </c>
    </row>
    <row r="53" spans="1:28" s="441" customFormat="1" x14ac:dyDescent="0.3">
      <c r="A53" s="415"/>
      <c r="B53" s="415"/>
      <c r="C53" s="446"/>
      <c r="D53" s="443"/>
      <c r="E53" s="442"/>
      <c r="F53" s="442"/>
      <c r="G53" s="442"/>
      <c r="H53" s="442"/>
      <c r="J53" s="445"/>
      <c r="K53" s="415"/>
      <c r="L53" s="444"/>
      <c r="M53" s="443"/>
      <c r="N53" s="443"/>
      <c r="O53" s="443"/>
      <c r="P53" s="443"/>
      <c r="Q53" s="443"/>
      <c r="S53" s="445"/>
      <c r="T53" s="415"/>
      <c r="U53" s="444"/>
      <c r="V53" s="443"/>
      <c r="W53" s="443"/>
      <c r="X53" s="443"/>
      <c r="Y53" s="443"/>
      <c r="Z53" s="443"/>
      <c r="AB53" s="442">
        <f t="shared" si="17"/>
        <v>0</v>
      </c>
    </row>
    <row r="54" spans="1:28" s="441" customFormat="1" x14ac:dyDescent="0.3">
      <c r="A54" s="415"/>
      <c r="B54" s="415"/>
      <c r="C54" s="446"/>
      <c r="D54" s="443"/>
      <c r="E54" s="442"/>
      <c r="F54" s="442"/>
      <c r="G54" s="442"/>
      <c r="H54" s="442"/>
      <c r="J54" s="445"/>
      <c r="K54" s="415"/>
      <c r="L54" s="444"/>
      <c r="M54" s="443"/>
      <c r="N54" s="443"/>
      <c r="O54" s="443"/>
      <c r="P54" s="443"/>
      <c r="Q54" s="443"/>
      <c r="S54" s="445"/>
      <c r="T54" s="415"/>
      <c r="U54" s="444"/>
      <c r="V54" s="443"/>
      <c r="W54" s="443"/>
      <c r="X54" s="443"/>
      <c r="Y54" s="443"/>
      <c r="Z54" s="443"/>
      <c r="AB54" s="442">
        <f t="shared" si="17"/>
        <v>0</v>
      </c>
    </row>
    <row r="55" spans="1:28" x14ac:dyDescent="0.3">
      <c r="A55" s="420"/>
      <c r="B55" s="420"/>
      <c r="C55" s="440"/>
      <c r="D55" s="416"/>
      <c r="E55" s="419"/>
      <c r="F55" s="419"/>
      <c r="G55" s="419"/>
      <c r="H55" s="419"/>
      <c r="J55" s="420"/>
      <c r="K55" s="420"/>
      <c r="L55" s="417"/>
      <c r="M55" s="439"/>
      <c r="N55" s="439"/>
      <c r="O55" s="439"/>
      <c r="P55" s="439"/>
      <c r="Q55" s="439"/>
      <c r="S55" s="420"/>
      <c r="T55" s="420"/>
      <c r="U55" s="417"/>
      <c r="V55" s="439"/>
      <c r="W55" s="439"/>
      <c r="X55" s="439"/>
      <c r="Y55" s="439"/>
      <c r="Z55" s="439"/>
      <c r="AB55" s="413">
        <f t="shared" si="17"/>
        <v>0</v>
      </c>
    </row>
    <row r="56" spans="1:28" x14ac:dyDescent="0.3">
      <c r="A56" s="415" t="s">
        <v>828</v>
      </c>
      <c r="B56" s="415"/>
      <c r="D56" s="413">
        <f>SUM(D5:D55)</f>
        <v>0</v>
      </c>
      <c r="E56" s="413">
        <f>SUM(E5:E55)</f>
        <v>15319700.059999997</v>
      </c>
      <c r="F56" s="413">
        <f>SUM(F5:F55)</f>
        <v>40582109.900000006</v>
      </c>
      <c r="G56" s="413">
        <f>SUM(G5:G55)</f>
        <v>130245757.44000001</v>
      </c>
      <c r="H56" s="413">
        <f>SUM(H5:H55)</f>
        <v>0</v>
      </c>
      <c r="J56" s="415" t="s">
        <v>828</v>
      </c>
      <c r="K56" s="415"/>
      <c r="L56" s="412"/>
      <c r="M56" s="438">
        <f>SUM(M5:M55)</f>
        <v>0</v>
      </c>
      <c r="N56" s="438">
        <f>SUM(N5:N55)</f>
        <v>10065702.957324</v>
      </c>
      <c r="O56" s="438">
        <f>SUM(O5:O55)</f>
        <v>27353508.258534003</v>
      </c>
      <c r="P56" s="438">
        <f>SUM(P5:P55)</f>
        <v>89531380.561244026</v>
      </c>
      <c r="Q56" s="438">
        <f>SUM(Q5:Q55)</f>
        <v>0</v>
      </c>
      <c r="S56" s="415" t="s">
        <v>828</v>
      </c>
      <c r="T56" s="415"/>
      <c r="U56" s="412"/>
      <c r="V56" s="438">
        <f>SUM(V5:V55)</f>
        <v>0</v>
      </c>
      <c r="W56" s="438">
        <f>SUM(W5:W55)</f>
        <v>5253997.1026760004</v>
      </c>
      <c r="X56" s="438">
        <f>SUM(X5:X55)</f>
        <v>13228601.641466003</v>
      </c>
      <c r="Y56" s="438">
        <f>SUM(Y5:Y55)</f>
        <v>40714376.878756009</v>
      </c>
      <c r="Z56" s="438">
        <f>SUM(Z5:Z55)</f>
        <v>0</v>
      </c>
      <c r="AB56" s="413">
        <f>ROUND(SUM(D56:H56)-SUM(M56:Q56)-SUM(V56:Z56),0)</f>
        <v>0</v>
      </c>
    </row>
    <row r="57" spans="1:28" x14ac:dyDescent="0.3">
      <c r="A57" s="415" t="s">
        <v>122</v>
      </c>
      <c r="B57" s="415"/>
      <c r="D57" s="413">
        <v>0</v>
      </c>
      <c r="E57" s="413">
        <v>0</v>
      </c>
      <c r="F57" s="413">
        <v>0</v>
      </c>
      <c r="G57" s="413">
        <v>0</v>
      </c>
      <c r="H57" s="413">
        <v>0</v>
      </c>
      <c r="K57" s="415"/>
      <c r="T57" s="415"/>
    </row>
  </sheetData>
  <conditionalFormatting sqref="D57:H57">
    <cfRule type="cellIs" dxfId="31" priority="7" operator="equal">
      <formula>0</formula>
    </cfRule>
    <cfRule type="cellIs" dxfId="30" priority="8" operator="notEqual">
      <formula>0</formula>
    </cfRule>
  </conditionalFormatting>
  <conditionalFormatting sqref="AB5">
    <cfRule type="cellIs" dxfId="29" priority="5" operator="equal">
      <formula>0</formula>
    </cfRule>
    <cfRule type="cellIs" dxfId="28" priority="6" operator="notEqual">
      <formula>0</formula>
    </cfRule>
  </conditionalFormatting>
  <conditionalFormatting sqref="AB6:AB48 AB55:AB56">
    <cfRule type="cellIs" dxfId="27" priority="3" operator="equal">
      <formula>0</formula>
    </cfRule>
    <cfRule type="cellIs" dxfId="26" priority="4" operator="notEqual">
      <formula>0</formula>
    </cfRule>
  </conditionalFormatting>
  <conditionalFormatting sqref="AB49:AB54">
    <cfRule type="cellIs" dxfId="25" priority="1" operator="equal">
      <formula>0</formula>
    </cfRule>
    <cfRule type="cellIs" dxfId="24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P1" workbookViewId="0">
      <selection activeCell="O22" sqref="O22"/>
    </sheetView>
  </sheetViews>
  <sheetFormatPr defaultColWidth="8.6640625" defaultRowHeight="14.4" x14ac:dyDescent="0.3"/>
  <cols>
    <col min="1" max="1" width="41.44140625" style="411" bestFit="1" customWidth="1"/>
    <col min="2" max="2" width="41.44140625" style="411" customWidth="1"/>
    <col min="3" max="3" width="9.109375" style="412" bestFit="1" customWidth="1"/>
    <col min="4" max="5" width="14.6640625" style="411" bestFit="1" customWidth="1"/>
    <col min="6" max="8" width="16.109375" style="411" bestFit="1" customWidth="1"/>
    <col min="9" max="9" width="4.88671875" style="411" customWidth="1"/>
    <col min="10" max="10" width="41.5546875" style="411" bestFit="1" customWidth="1"/>
    <col min="11" max="11" width="41.44140625" style="411" customWidth="1"/>
    <col min="12" max="12" width="9.109375" style="411" bestFit="1" customWidth="1"/>
    <col min="13" max="13" width="12.5546875" style="411" bestFit="1" customWidth="1"/>
    <col min="14" max="14" width="13.6640625" style="411" bestFit="1" customWidth="1"/>
    <col min="15" max="17" width="14.6640625" style="411" bestFit="1" customWidth="1"/>
    <col min="18" max="18" width="3" style="411" customWidth="1"/>
    <col min="19" max="19" width="41.5546875" style="411" bestFit="1" customWidth="1"/>
    <col min="20" max="20" width="41.44140625" style="411" customWidth="1"/>
    <col min="21" max="21" width="9.109375" style="411" bestFit="1" customWidth="1"/>
    <col min="22" max="22" width="12.5546875" style="411" bestFit="1" customWidth="1"/>
    <col min="23" max="24" width="13.6640625" style="411" bestFit="1" customWidth="1"/>
    <col min="25" max="26" width="14.6640625" style="411" bestFit="1" customWidth="1"/>
    <col min="27" max="27" width="5.109375" style="411" customWidth="1"/>
    <col min="28" max="28" width="5.6640625" style="411" customWidth="1"/>
    <col min="29" max="16384" width="8.6640625" style="411"/>
  </cols>
  <sheetData>
    <row r="1" spans="1:28" x14ac:dyDescent="0.3">
      <c r="A1" s="411" t="s">
        <v>33</v>
      </c>
      <c r="C1" s="433" t="s">
        <v>34</v>
      </c>
      <c r="D1" s="432">
        <v>0.34060000000000001</v>
      </c>
      <c r="E1" s="453" t="s">
        <v>35</v>
      </c>
      <c r="F1" s="432">
        <v>0.65939999999999999</v>
      </c>
    </row>
    <row r="2" spans="1:28" x14ac:dyDescent="0.3">
      <c r="J2" s="430" t="s">
        <v>37</v>
      </c>
      <c r="S2" s="430" t="s">
        <v>38</v>
      </c>
    </row>
    <row r="3" spans="1:28" ht="43.2" x14ac:dyDescent="0.3">
      <c r="A3" s="431" t="s">
        <v>0</v>
      </c>
      <c r="B3" s="431" t="s">
        <v>1620</v>
      </c>
      <c r="C3" s="430" t="s">
        <v>40</v>
      </c>
      <c r="D3" s="452" t="s">
        <v>1953</v>
      </c>
      <c r="E3" s="452" t="s">
        <v>1952</v>
      </c>
      <c r="F3" s="452" t="s">
        <v>1951</v>
      </c>
      <c r="G3" s="452" t="s">
        <v>1950</v>
      </c>
      <c r="H3" s="452" t="s">
        <v>1949</v>
      </c>
      <c r="J3" s="431" t="s">
        <v>0</v>
      </c>
      <c r="K3" s="431" t="s">
        <v>1620</v>
      </c>
      <c r="L3" s="451" t="s">
        <v>40</v>
      </c>
      <c r="M3" s="450" t="s">
        <v>1953</v>
      </c>
      <c r="N3" s="450" t="s">
        <v>1952</v>
      </c>
      <c r="O3" s="450" t="s">
        <v>1951</v>
      </c>
      <c r="P3" s="450" t="s">
        <v>1950</v>
      </c>
      <c r="Q3" s="450" t="s">
        <v>1949</v>
      </c>
      <c r="S3" s="431" t="s">
        <v>0</v>
      </c>
      <c r="T3" s="431" t="s">
        <v>1620</v>
      </c>
      <c r="U3" s="430" t="s">
        <v>40</v>
      </c>
      <c r="V3" s="450" t="s">
        <v>1953</v>
      </c>
      <c r="W3" s="450" t="s">
        <v>1952</v>
      </c>
      <c r="X3" s="450" t="s">
        <v>1951</v>
      </c>
      <c r="Y3" s="450" t="s">
        <v>1950</v>
      </c>
      <c r="Z3" s="450" t="s">
        <v>1949</v>
      </c>
      <c r="AB3" s="449" t="s">
        <v>1943</v>
      </c>
    </row>
    <row r="4" spans="1:28" x14ac:dyDescent="0.3">
      <c r="A4" s="428" t="s">
        <v>1614</v>
      </c>
      <c r="B4" s="428"/>
      <c r="C4" s="427"/>
      <c r="D4" s="417">
        <v>2</v>
      </c>
      <c r="E4" s="417">
        <v>3</v>
      </c>
      <c r="F4" s="417">
        <v>4</v>
      </c>
      <c r="G4" s="417">
        <v>5</v>
      </c>
      <c r="H4" s="417">
        <v>6</v>
      </c>
      <c r="J4" s="428"/>
      <c r="K4" s="428"/>
      <c r="L4" s="427"/>
      <c r="M4" s="417"/>
      <c r="N4" s="417"/>
      <c r="O4" s="417"/>
      <c r="P4" s="417"/>
      <c r="Q4" s="417"/>
      <c r="S4" s="426"/>
      <c r="T4" s="428"/>
      <c r="U4" s="426"/>
      <c r="V4" s="426"/>
      <c r="W4" s="426"/>
      <c r="X4" s="426"/>
      <c r="Y4" s="426"/>
      <c r="Z4" s="426"/>
    </row>
    <row r="5" spans="1:28" x14ac:dyDescent="0.3">
      <c r="A5" s="415" t="s">
        <v>1613</v>
      </c>
      <c r="B5" s="415" t="s">
        <v>1168</v>
      </c>
      <c r="C5" s="446" t="str">
        <f>VLOOKUP(A5,'Calc Program Gross Plant'!$A$5:$C$55,3,FALSE)</f>
        <v>C</v>
      </c>
      <c r="D5" s="418">
        <v>0</v>
      </c>
      <c r="E5" s="413">
        <v>2227016.1100000003</v>
      </c>
      <c r="F5" s="413">
        <v>2835072.12</v>
      </c>
      <c r="G5" s="413">
        <v>2835072.12</v>
      </c>
      <c r="H5" s="413">
        <v>0</v>
      </c>
      <c r="J5" s="415" t="str">
        <f t="shared" ref="J5:J47" si="0">A5</f>
        <v>AMI Meters and Modules Deployment - Common</v>
      </c>
      <c r="K5" s="415" t="str">
        <f t="shared" ref="K5:K47" si="1">B5</f>
        <v>Programmatic</v>
      </c>
      <c r="L5" s="448" t="str">
        <f t="shared" ref="L5:L47" si="2">C5</f>
        <v>C</v>
      </c>
      <c r="M5" s="447">
        <f t="shared" ref="M5:M50" si="3">IF($L5="C",D5*$F$1,IF($L5="G",0,D5))</f>
        <v>0</v>
      </c>
      <c r="N5" s="447">
        <f t="shared" ref="N5:N50" si="4">IF($L5="C",E5*$F$1,IF($L5="G",0,E5))</f>
        <v>1468494.4229340001</v>
      </c>
      <c r="O5" s="447">
        <f t="shared" ref="O5:O50" si="5">IF($L5="C",F5*$F$1,IF($L5="G",0,F5))</f>
        <v>1869446.555928</v>
      </c>
      <c r="P5" s="447">
        <f t="shared" ref="P5:P50" si="6">IF($L5="C",G5*$F$1,IF($L5="G",0,G5))</f>
        <v>1869446.555928</v>
      </c>
      <c r="Q5" s="447">
        <f t="shared" ref="Q5:Q50" si="7">IF($L5="C",H5*$F$1,IF($L5="G",0,H5))</f>
        <v>0</v>
      </c>
      <c r="S5" s="415" t="str">
        <f t="shared" ref="S5:S47" si="8">A5</f>
        <v>AMI Meters and Modules Deployment - Common</v>
      </c>
      <c r="T5" s="415" t="str">
        <f t="shared" ref="T5:T47" si="9">B5</f>
        <v>Programmatic</v>
      </c>
      <c r="U5" s="448" t="str">
        <f t="shared" ref="U5:U47" si="10">C5</f>
        <v>C</v>
      </c>
      <c r="V5" s="447">
        <f t="shared" ref="V5:V50" si="11">IF($U5="C",D5*$D$1,IF($U5="E",0,D5))</f>
        <v>0</v>
      </c>
      <c r="W5" s="447">
        <f t="shared" ref="W5:W50" si="12">IF($U5="C",E5*$D$1,IF($U5="E",0,E5))</f>
        <v>758521.68706600019</v>
      </c>
      <c r="X5" s="447">
        <f t="shared" ref="X5:X50" si="13">IF($U5="C",F5*$D$1,IF($U5="E",0,F5))</f>
        <v>965625.5640720001</v>
      </c>
      <c r="Y5" s="447">
        <f t="shared" ref="Y5:Y50" si="14">IF($U5="C",G5*$D$1,IF($U5="E",0,G5))</f>
        <v>965625.5640720001</v>
      </c>
      <c r="Z5" s="447">
        <f t="shared" ref="Z5:Z50" si="15">IF($U5="C",H5*$D$1,IF($U5="E",0,H5))</f>
        <v>0</v>
      </c>
      <c r="AB5" s="413">
        <f t="shared" ref="AB5:AB36" si="16">SUM(D5:H5)-SUM(M5:Q5)-SUM(V5:Z5)</f>
        <v>0</v>
      </c>
    </row>
    <row r="6" spans="1:28" x14ac:dyDescent="0.3">
      <c r="A6" s="415" t="s">
        <v>1612</v>
      </c>
      <c r="B6" s="415" t="s">
        <v>1168</v>
      </c>
      <c r="C6" s="446" t="str">
        <f>VLOOKUP(A6,'Calc Program Gross Plant'!$A$5:$C$55,3,FALSE)</f>
        <v>E</v>
      </c>
      <c r="D6" s="418">
        <v>0</v>
      </c>
      <c r="E6" s="413">
        <v>40156.720000000001</v>
      </c>
      <c r="F6" s="413">
        <v>250052.86</v>
      </c>
      <c r="G6" s="413">
        <v>5009098.5600000005</v>
      </c>
      <c r="H6" s="413">
        <v>0</v>
      </c>
      <c r="J6" s="415" t="str">
        <f t="shared" si="0"/>
        <v>AMI Meters and Modules Deployment - Electric</v>
      </c>
      <c r="K6" s="415" t="str">
        <f t="shared" si="1"/>
        <v>Programmatic</v>
      </c>
      <c r="L6" s="412" t="str">
        <f t="shared" si="2"/>
        <v>E</v>
      </c>
      <c r="M6" s="447">
        <f t="shared" si="3"/>
        <v>0</v>
      </c>
      <c r="N6" s="447">
        <f t="shared" si="4"/>
        <v>40156.720000000001</v>
      </c>
      <c r="O6" s="447">
        <f t="shared" si="5"/>
        <v>250052.86</v>
      </c>
      <c r="P6" s="447">
        <f t="shared" si="6"/>
        <v>5009098.5600000005</v>
      </c>
      <c r="Q6" s="447">
        <f t="shared" si="7"/>
        <v>0</v>
      </c>
      <c r="S6" s="415" t="str">
        <f t="shared" si="8"/>
        <v>AMI Meters and Modules Deployment - Electric</v>
      </c>
      <c r="T6" s="415" t="str">
        <f t="shared" si="9"/>
        <v>Programmatic</v>
      </c>
      <c r="U6" s="412" t="str">
        <f t="shared" si="10"/>
        <v>E</v>
      </c>
      <c r="V6" s="447">
        <f t="shared" si="11"/>
        <v>0</v>
      </c>
      <c r="W6" s="447">
        <f t="shared" si="12"/>
        <v>0</v>
      </c>
      <c r="X6" s="447">
        <f t="shared" si="13"/>
        <v>0</v>
      </c>
      <c r="Y6" s="447">
        <f t="shared" si="14"/>
        <v>0</v>
      </c>
      <c r="Z6" s="447">
        <f t="shared" si="15"/>
        <v>0</v>
      </c>
      <c r="AB6" s="413">
        <f t="shared" si="16"/>
        <v>0</v>
      </c>
    </row>
    <row r="7" spans="1:28" x14ac:dyDescent="0.3">
      <c r="A7" s="415" t="s">
        <v>1611</v>
      </c>
      <c r="B7" s="415" t="s">
        <v>1168</v>
      </c>
      <c r="C7" s="446" t="str">
        <f>VLOOKUP(A7,'Calc Program Gross Plant'!$A$5:$C$55,3,FALSE)</f>
        <v>G</v>
      </c>
      <c r="D7" s="418">
        <v>0</v>
      </c>
      <c r="E7" s="413">
        <v>0</v>
      </c>
      <c r="F7" s="413">
        <v>146947.57999999999</v>
      </c>
      <c r="G7" s="413">
        <v>3526742.04</v>
      </c>
      <c r="H7" s="413">
        <v>0</v>
      </c>
      <c r="J7" s="415" t="str">
        <f t="shared" si="0"/>
        <v>AMI Meters and Modules Deployment - Gas</v>
      </c>
      <c r="K7" s="415" t="str">
        <f t="shared" si="1"/>
        <v>Programmatic</v>
      </c>
      <c r="L7" s="412" t="str">
        <f t="shared" si="2"/>
        <v>G</v>
      </c>
      <c r="M7" s="447">
        <f t="shared" si="3"/>
        <v>0</v>
      </c>
      <c r="N7" s="447">
        <f t="shared" si="4"/>
        <v>0</v>
      </c>
      <c r="O7" s="447">
        <f t="shared" si="5"/>
        <v>0</v>
      </c>
      <c r="P7" s="447">
        <f t="shared" si="6"/>
        <v>0</v>
      </c>
      <c r="Q7" s="447">
        <f t="shared" si="7"/>
        <v>0</v>
      </c>
      <c r="S7" s="415" t="str">
        <f t="shared" si="8"/>
        <v>AMI Meters and Modules Deployment - Gas</v>
      </c>
      <c r="T7" s="415" t="str">
        <f t="shared" si="9"/>
        <v>Programmatic</v>
      </c>
      <c r="U7" s="412" t="str">
        <f t="shared" si="10"/>
        <v>G</v>
      </c>
      <c r="V7" s="447">
        <f t="shared" si="11"/>
        <v>0</v>
      </c>
      <c r="W7" s="447">
        <f t="shared" si="12"/>
        <v>0</v>
      </c>
      <c r="X7" s="447">
        <f t="shared" si="13"/>
        <v>146947.57999999999</v>
      </c>
      <c r="Y7" s="447">
        <f t="shared" si="14"/>
        <v>3526742.04</v>
      </c>
      <c r="Z7" s="447">
        <f t="shared" si="15"/>
        <v>0</v>
      </c>
      <c r="AB7" s="413">
        <f t="shared" si="16"/>
        <v>0</v>
      </c>
    </row>
    <row r="8" spans="1:28" x14ac:dyDescent="0.3">
      <c r="A8" s="415" t="s">
        <v>1</v>
      </c>
      <c r="B8" s="415" t="s">
        <v>1181</v>
      </c>
      <c r="C8" s="446" t="str">
        <f>VLOOKUP(A8,'Calc Program Gross Plant'!$A$5:$C$55,3,FALSE)</f>
        <v>E</v>
      </c>
      <c r="D8" s="418">
        <v>0</v>
      </c>
      <c r="E8" s="413">
        <v>8308.9</v>
      </c>
      <c r="F8" s="413">
        <v>549581.3600000001</v>
      </c>
      <c r="G8" s="413">
        <v>978189.3</v>
      </c>
      <c r="H8" s="413">
        <v>0</v>
      </c>
      <c r="J8" s="415" t="str">
        <f t="shared" si="0"/>
        <v>Bainbridge Tlines Trans</v>
      </c>
      <c r="K8" s="415" t="str">
        <f t="shared" si="1"/>
        <v>Specific</v>
      </c>
      <c r="L8" s="412" t="str">
        <f t="shared" si="2"/>
        <v>E</v>
      </c>
      <c r="M8" s="447">
        <f t="shared" si="3"/>
        <v>0</v>
      </c>
      <c r="N8" s="447">
        <f t="shared" si="4"/>
        <v>8308.9</v>
      </c>
      <c r="O8" s="447">
        <f t="shared" si="5"/>
        <v>549581.3600000001</v>
      </c>
      <c r="P8" s="447">
        <f t="shared" si="6"/>
        <v>978189.3</v>
      </c>
      <c r="Q8" s="447">
        <f t="shared" si="7"/>
        <v>0</v>
      </c>
      <c r="S8" s="415" t="str">
        <f t="shared" si="8"/>
        <v>Bainbridge Tlines Trans</v>
      </c>
      <c r="T8" s="415" t="str">
        <f t="shared" si="9"/>
        <v>Specific</v>
      </c>
      <c r="U8" s="412" t="str">
        <f t="shared" si="10"/>
        <v>E</v>
      </c>
      <c r="V8" s="447">
        <f t="shared" si="11"/>
        <v>0</v>
      </c>
      <c r="W8" s="447">
        <f t="shared" si="12"/>
        <v>0</v>
      </c>
      <c r="X8" s="447">
        <f t="shared" si="13"/>
        <v>0</v>
      </c>
      <c r="Y8" s="447">
        <f t="shared" si="14"/>
        <v>0</v>
      </c>
      <c r="Z8" s="447">
        <f t="shared" si="15"/>
        <v>0</v>
      </c>
      <c r="AB8" s="413">
        <f t="shared" si="16"/>
        <v>0</v>
      </c>
    </row>
    <row r="9" spans="1:28" x14ac:dyDescent="0.3">
      <c r="A9" s="415" t="s">
        <v>2</v>
      </c>
      <c r="B9" s="415" t="s">
        <v>1168</v>
      </c>
      <c r="C9" s="446" t="str">
        <f>VLOOKUP(A9,'Calc Program Gross Plant'!$A$5:$C$55,3,FALSE)</f>
        <v>E</v>
      </c>
      <c r="D9" s="418">
        <v>0</v>
      </c>
      <c r="E9" s="413">
        <v>43951.69</v>
      </c>
      <c r="F9" s="413">
        <v>575102.18999999994</v>
      </c>
      <c r="G9" s="413">
        <v>2067048.9299999997</v>
      </c>
      <c r="H9" s="413">
        <v>0</v>
      </c>
      <c r="J9" s="415" t="str">
        <f t="shared" si="0"/>
        <v>Capacity Electric</v>
      </c>
      <c r="K9" s="415" t="str">
        <f t="shared" si="1"/>
        <v>Programmatic</v>
      </c>
      <c r="L9" s="412" t="str">
        <f t="shared" si="2"/>
        <v>E</v>
      </c>
      <c r="M9" s="447">
        <f t="shared" si="3"/>
        <v>0</v>
      </c>
      <c r="N9" s="447">
        <f t="shared" si="4"/>
        <v>43951.69</v>
      </c>
      <c r="O9" s="447">
        <f t="shared" si="5"/>
        <v>575102.18999999994</v>
      </c>
      <c r="P9" s="447">
        <f t="shared" si="6"/>
        <v>2067048.9299999997</v>
      </c>
      <c r="Q9" s="447">
        <f t="shared" si="7"/>
        <v>0</v>
      </c>
      <c r="S9" s="415" t="str">
        <f t="shared" si="8"/>
        <v>Capacity Electric</v>
      </c>
      <c r="T9" s="415" t="str">
        <f t="shared" si="9"/>
        <v>Programmatic</v>
      </c>
      <c r="U9" s="412" t="str">
        <f t="shared" si="10"/>
        <v>E</v>
      </c>
      <c r="V9" s="447">
        <f t="shared" si="11"/>
        <v>0</v>
      </c>
      <c r="W9" s="447">
        <f t="shared" si="12"/>
        <v>0</v>
      </c>
      <c r="X9" s="447">
        <f t="shared" si="13"/>
        <v>0</v>
      </c>
      <c r="Y9" s="447">
        <f t="shared" si="14"/>
        <v>0</v>
      </c>
      <c r="Z9" s="447">
        <f t="shared" si="15"/>
        <v>0</v>
      </c>
      <c r="AB9" s="413">
        <f t="shared" si="16"/>
        <v>0</v>
      </c>
    </row>
    <row r="10" spans="1:28" x14ac:dyDescent="0.3">
      <c r="A10" s="415" t="s">
        <v>3</v>
      </c>
      <c r="B10" s="415" t="s">
        <v>1168</v>
      </c>
      <c r="C10" s="446" t="str">
        <f>VLOOKUP(A10,'Calc Program Gross Plant'!$A$5:$C$55,3,FALSE)</f>
        <v>G</v>
      </c>
      <c r="D10" s="418">
        <v>0</v>
      </c>
      <c r="E10" s="413">
        <v>73988.02</v>
      </c>
      <c r="F10" s="413">
        <v>226437.33000000002</v>
      </c>
      <c r="G10" s="413">
        <v>1049377.4200000002</v>
      </c>
      <c r="H10" s="413">
        <v>0</v>
      </c>
      <c r="J10" s="415" t="str">
        <f t="shared" si="0"/>
        <v>Capacity Gas</v>
      </c>
      <c r="K10" s="415" t="str">
        <f t="shared" si="1"/>
        <v>Programmatic</v>
      </c>
      <c r="L10" s="412" t="str">
        <f t="shared" si="2"/>
        <v>G</v>
      </c>
      <c r="M10" s="447">
        <f t="shared" si="3"/>
        <v>0</v>
      </c>
      <c r="N10" s="447">
        <f t="shared" si="4"/>
        <v>0</v>
      </c>
      <c r="O10" s="447">
        <f t="shared" si="5"/>
        <v>0</v>
      </c>
      <c r="P10" s="447">
        <f t="shared" si="6"/>
        <v>0</v>
      </c>
      <c r="Q10" s="447">
        <f t="shared" si="7"/>
        <v>0</v>
      </c>
      <c r="S10" s="415" t="str">
        <f t="shared" si="8"/>
        <v>Capacity Gas</v>
      </c>
      <c r="T10" s="415" t="str">
        <f t="shared" si="9"/>
        <v>Programmatic</v>
      </c>
      <c r="U10" s="412" t="str">
        <f t="shared" si="10"/>
        <v>G</v>
      </c>
      <c r="V10" s="447">
        <f t="shared" si="11"/>
        <v>0</v>
      </c>
      <c r="W10" s="447">
        <f t="shared" si="12"/>
        <v>73988.02</v>
      </c>
      <c r="X10" s="447">
        <f t="shared" si="13"/>
        <v>226437.33000000002</v>
      </c>
      <c r="Y10" s="447">
        <f t="shared" si="14"/>
        <v>1049377.4200000002</v>
      </c>
      <c r="Z10" s="447">
        <f t="shared" si="15"/>
        <v>0</v>
      </c>
      <c r="AB10" s="413">
        <f t="shared" si="16"/>
        <v>0</v>
      </c>
    </row>
    <row r="11" spans="1:28" x14ac:dyDescent="0.3">
      <c r="A11" s="415" t="s">
        <v>4</v>
      </c>
      <c r="B11" s="415" t="s">
        <v>1180</v>
      </c>
      <c r="C11" s="446" t="str">
        <f>VLOOKUP(A11,'Calc Program Gross Plant'!$A$5:$C$55,3,FALSE)</f>
        <v>E</v>
      </c>
      <c r="D11" s="418">
        <v>0</v>
      </c>
      <c r="E11" s="413">
        <v>-278046.06000000006</v>
      </c>
      <c r="F11" s="413">
        <v>-689614.44</v>
      </c>
      <c r="G11" s="413">
        <v>-903486.12</v>
      </c>
      <c r="H11" s="413">
        <v>0</v>
      </c>
      <c r="J11" s="415" t="str">
        <f t="shared" si="0"/>
        <v>CIAC - Electric</v>
      </c>
      <c r="K11" s="415" t="str">
        <f t="shared" si="1"/>
        <v>Programmatic Customer Drive</v>
      </c>
      <c r="L11" s="412" t="str">
        <f t="shared" si="2"/>
        <v>E</v>
      </c>
      <c r="M11" s="447">
        <f t="shared" si="3"/>
        <v>0</v>
      </c>
      <c r="N11" s="447">
        <f t="shared" si="4"/>
        <v>-278046.06000000006</v>
      </c>
      <c r="O11" s="447">
        <f t="shared" si="5"/>
        <v>-689614.44</v>
      </c>
      <c r="P11" s="447">
        <f t="shared" si="6"/>
        <v>-903486.12</v>
      </c>
      <c r="Q11" s="447">
        <f t="shared" si="7"/>
        <v>0</v>
      </c>
      <c r="S11" s="415" t="str">
        <f t="shared" si="8"/>
        <v>CIAC - Electric</v>
      </c>
      <c r="T11" s="415" t="str">
        <f t="shared" si="9"/>
        <v>Programmatic Customer Drive</v>
      </c>
      <c r="U11" s="412" t="str">
        <f t="shared" si="10"/>
        <v>E</v>
      </c>
      <c r="V11" s="447">
        <f t="shared" si="11"/>
        <v>0</v>
      </c>
      <c r="W11" s="447">
        <f t="shared" si="12"/>
        <v>0</v>
      </c>
      <c r="X11" s="447">
        <f t="shared" si="13"/>
        <v>0</v>
      </c>
      <c r="Y11" s="447">
        <f t="shared" si="14"/>
        <v>0</v>
      </c>
      <c r="Z11" s="447">
        <f t="shared" si="15"/>
        <v>0</v>
      </c>
      <c r="AB11" s="413">
        <f t="shared" si="16"/>
        <v>0</v>
      </c>
    </row>
    <row r="12" spans="1:28" x14ac:dyDescent="0.3">
      <c r="A12" s="415" t="s">
        <v>5</v>
      </c>
      <c r="B12" s="415" t="s">
        <v>1180</v>
      </c>
      <c r="C12" s="446" t="str">
        <f>VLOOKUP(A12,'Calc Program Gross Plant'!$A$5:$C$55,3,FALSE)</f>
        <v>G</v>
      </c>
      <c r="D12" s="418">
        <v>0</v>
      </c>
      <c r="E12" s="413">
        <v>-19094.519999999997</v>
      </c>
      <c r="F12" s="413">
        <v>-83789.279999999984</v>
      </c>
      <c r="G12" s="413">
        <v>-166318.56</v>
      </c>
      <c r="H12" s="413">
        <v>0</v>
      </c>
      <c r="J12" s="415" t="str">
        <f t="shared" si="0"/>
        <v>CIAC - Gas</v>
      </c>
      <c r="K12" s="415" t="str">
        <f t="shared" si="1"/>
        <v>Programmatic Customer Drive</v>
      </c>
      <c r="L12" s="412" t="str">
        <f t="shared" si="2"/>
        <v>G</v>
      </c>
      <c r="M12" s="447">
        <f t="shared" si="3"/>
        <v>0</v>
      </c>
      <c r="N12" s="447">
        <f t="shared" si="4"/>
        <v>0</v>
      </c>
      <c r="O12" s="447">
        <f t="shared" si="5"/>
        <v>0</v>
      </c>
      <c r="P12" s="447">
        <f t="shared" si="6"/>
        <v>0</v>
      </c>
      <c r="Q12" s="447">
        <f t="shared" si="7"/>
        <v>0</v>
      </c>
      <c r="S12" s="415" t="str">
        <f t="shared" si="8"/>
        <v>CIAC - Gas</v>
      </c>
      <c r="T12" s="415" t="str">
        <f t="shared" si="9"/>
        <v>Programmatic Customer Drive</v>
      </c>
      <c r="U12" s="412" t="str">
        <f t="shared" si="10"/>
        <v>G</v>
      </c>
      <c r="V12" s="447">
        <f t="shared" si="11"/>
        <v>0</v>
      </c>
      <c r="W12" s="447">
        <f t="shared" si="12"/>
        <v>-19094.519999999997</v>
      </c>
      <c r="X12" s="447">
        <f t="shared" si="13"/>
        <v>-83789.279999999984</v>
      </c>
      <c r="Y12" s="447">
        <f t="shared" si="14"/>
        <v>-166318.56</v>
      </c>
      <c r="Z12" s="447">
        <f t="shared" si="15"/>
        <v>0</v>
      </c>
      <c r="AB12" s="413">
        <f t="shared" si="16"/>
        <v>0</v>
      </c>
    </row>
    <row r="13" spans="1:28" x14ac:dyDescent="0.3">
      <c r="A13" s="415" t="s">
        <v>1610</v>
      </c>
      <c r="B13" s="415" t="s">
        <v>1168</v>
      </c>
      <c r="C13" s="446" t="str">
        <f>VLOOKUP(A13,'Calc Program Gross Plant'!$A$5:$C$55,3,FALSE)</f>
        <v>E</v>
      </c>
      <c r="D13" s="418">
        <v>0</v>
      </c>
      <c r="E13" s="413">
        <v>35785.859999999993</v>
      </c>
      <c r="F13" s="413">
        <v>212727.2999999999</v>
      </c>
      <c r="G13" s="413">
        <v>1044088.62</v>
      </c>
      <c r="H13" s="413">
        <v>0</v>
      </c>
      <c r="J13" s="415" t="str">
        <f t="shared" si="0"/>
        <v>Colstrip 3&amp;4</v>
      </c>
      <c r="K13" s="415" t="str">
        <f t="shared" si="1"/>
        <v>Programmatic</v>
      </c>
      <c r="L13" s="412" t="str">
        <f t="shared" si="2"/>
        <v>E</v>
      </c>
      <c r="M13" s="447">
        <f t="shared" si="3"/>
        <v>0</v>
      </c>
      <c r="N13" s="447">
        <f t="shared" si="4"/>
        <v>35785.859999999993</v>
      </c>
      <c r="O13" s="447">
        <f t="shared" si="5"/>
        <v>212727.2999999999</v>
      </c>
      <c r="P13" s="447">
        <f t="shared" si="6"/>
        <v>1044088.62</v>
      </c>
      <c r="Q13" s="447">
        <f t="shared" si="7"/>
        <v>0</v>
      </c>
      <c r="S13" s="415" t="str">
        <f t="shared" si="8"/>
        <v>Colstrip 3&amp;4</v>
      </c>
      <c r="T13" s="415" t="str">
        <f t="shared" si="9"/>
        <v>Programmatic</v>
      </c>
      <c r="U13" s="412" t="str">
        <f t="shared" si="10"/>
        <v>E</v>
      </c>
      <c r="V13" s="447">
        <f t="shared" si="11"/>
        <v>0</v>
      </c>
      <c r="W13" s="447">
        <f t="shared" si="12"/>
        <v>0</v>
      </c>
      <c r="X13" s="447">
        <f t="shared" si="13"/>
        <v>0</v>
      </c>
      <c r="Y13" s="447">
        <f t="shared" si="14"/>
        <v>0</v>
      </c>
      <c r="Z13" s="447">
        <f t="shared" si="15"/>
        <v>0</v>
      </c>
      <c r="AB13" s="413">
        <f t="shared" si="16"/>
        <v>0</v>
      </c>
    </row>
    <row r="14" spans="1:28" x14ac:dyDescent="0.3">
      <c r="A14" s="415" t="s">
        <v>1609</v>
      </c>
      <c r="B14" s="415" t="s">
        <v>1181</v>
      </c>
      <c r="C14" s="446" t="str">
        <f>VLOOKUP(A14,'Calc Program Gross Plant'!$A$5:$C$55,3,FALSE)</f>
        <v>C</v>
      </c>
      <c r="D14" s="418">
        <v>0</v>
      </c>
      <c r="E14" s="413">
        <v>0</v>
      </c>
      <c r="F14" s="413">
        <v>0</v>
      </c>
      <c r="G14" s="413">
        <v>0</v>
      </c>
      <c r="H14" s="413">
        <v>0</v>
      </c>
      <c r="J14" s="415" t="str">
        <f t="shared" si="0"/>
        <v>Control Center</v>
      </c>
      <c r="K14" s="415" t="str">
        <f t="shared" si="1"/>
        <v>Specific</v>
      </c>
      <c r="L14" s="412" t="str">
        <f t="shared" si="2"/>
        <v>C</v>
      </c>
      <c r="M14" s="447">
        <f t="shared" si="3"/>
        <v>0</v>
      </c>
      <c r="N14" s="447">
        <f t="shared" si="4"/>
        <v>0</v>
      </c>
      <c r="O14" s="447">
        <f t="shared" si="5"/>
        <v>0</v>
      </c>
      <c r="P14" s="447">
        <f t="shared" si="6"/>
        <v>0</v>
      </c>
      <c r="Q14" s="447">
        <f t="shared" si="7"/>
        <v>0</v>
      </c>
      <c r="S14" s="415" t="str">
        <f t="shared" si="8"/>
        <v>Control Center</v>
      </c>
      <c r="T14" s="415" t="str">
        <f t="shared" si="9"/>
        <v>Specific</v>
      </c>
      <c r="U14" s="412" t="str">
        <f t="shared" si="10"/>
        <v>C</v>
      </c>
      <c r="V14" s="447">
        <f t="shared" si="11"/>
        <v>0</v>
      </c>
      <c r="W14" s="447">
        <f t="shared" si="12"/>
        <v>0</v>
      </c>
      <c r="X14" s="447">
        <f t="shared" si="13"/>
        <v>0</v>
      </c>
      <c r="Y14" s="447">
        <f t="shared" si="14"/>
        <v>0</v>
      </c>
      <c r="Z14" s="447">
        <f t="shared" si="15"/>
        <v>0</v>
      </c>
      <c r="AB14" s="413">
        <f t="shared" si="16"/>
        <v>0</v>
      </c>
    </row>
    <row r="15" spans="1:28" x14ac:dyDescent="0.3">
      <c r="A15" s="415" t="s">
        <v>6</v>
      </c>
      <c r="B15" s="415" t="s">
        <v>1180</v>
      </c>
      <c r="C15" s="446" t="str">
        <f>VLOOKUP(A15,'Calc Program Gross Plant'!$A$5:$C$55,3,FALSE)</f>
        <v>E</v>
      </c>
      <c r="D15" s="418">
        <v>0</v>
      </c>
      <c r="E15" s="413">
        <v>158974.63999999998</v>
      </c>
      <c r="F15" s="413">
        <v>339805.33999999997</v>
      </c>
      <c r="G15" s="413">
        <v>512149.08999999997</v>
      </c>
      <c r="H15" s="413">
        <v>0</v>
      </c>
      <c r="J15" s="415" t="str">
        <f t="shared" si="0"/>
        <v>Customer Construction Electric</v>
      </c>
      <c r="K15" s="415" t="str">
        <f t="shared" si="1"/>
        <v>Programmatic Customer Drive</v>
      </c>
      <c r="L15" s="412" t="str">
        <f t="shared" si="2"/>
        <v>E</v>
      </c>
      <c r="M15" s="447">
        <f t="shared" si="3"/>
        <v>0</v>
      </c>
      <c r="N15" s="447">
        <f t="shared" si="4"/>
        <v>158974.63999999998</v>
      </c>
      <c r="O15" s="447">
        <f t="shared" si="5"/>
        <v>339805.33999999997</v>
      </c>
      <c r="P15" s="447">
        <f t="shared" si="6"/>
        <v>512149.08999999997</v>
      </c>
      <c r="Q15" s="447">
        <f t="shared" si="7"/>
        <v>0</v>
      </c>
      <c r="S15" s="415" t="str">
        <f t="shared" si="8"/>
        <v>Customer Construction Electric</v>
      </c>
      <c r="T15" s="415" t="str">
        <f t="shared" si="9"/>
        <v>Programmatic Customer Drive</v>
      </c>
      <c r="U15" s="412" t="str">
        <f t="shared" si="10"/>
        <v>E</v>
      </c>
      <c r="V15" s="447">
        <f t="shared" si="11"/>
        <v>0</v>
      </c>
      <c r="W15" s="447">
        <f t="shared" si="12"/>
        <v>0</v>
      </c>
      <c r="X15" s="447">
        <f t="shared" si="13"/>
        <v>0</v>
      </c>
      <c r="Y15" s="447">
        <f t="shared" si="14"/>
        <v>0</v>
      </c>
      <c r="Z15" s="447">
        <f t="shared" si="15"/>
        <v>0</v>
      </c>
      <c r="AB15" s="413">
        <f t="shared" si="16"/>
        <v>0</v>
      </c>
    </row>
    <row r="16" spans="1:28" x14ac:dyDescent="0.3">
      <c r="A16" s="415" t="s">
        <v>7</v>
      </c>
      <c r="B16" s="415" t="s">
        <v>1180</v>
      </c>
      <c r="C16" s="446" t="str">
        <f>VLOOKUP(A16,'Calc Program Gross Plant'!$A$5:$C$55,3,FALSE)</f>
        <v>G</v>
      </c>
      <c r="D16" s="418">
        <v>0</v>
      </c>
      <c r="E16" s="413">
        <v>1297662.5799999998</v>
      </c>
      <c r="F16" s="413">
        <v>3268140.6999999997</v>
      </c>
      <c r="G16" s="413">
        <v>5676321.3499999912</v>
      </c>
      <c r="H16" s="413">
        <v>0</v>
      </c>
      <c r="J16" s="415" t="str">
        <f t="shared" si="0"/>
        <v>Customer Construction Gas</v>
      </c>
      <c r="K16" s="415" t="str">
        <f t="shared" si="1"/>
        <v>Programmatic Customer Drive</v>
      </c>
      <c r="L16" s="412" t="str">
        <f t="shared" si="2"/>
        <v>G</v>
      </c>
      <c r="M16" s="447">
        <f t="shared" si="3"/>
        <v>0</v>
      </c>
      <c r="N16" s="447">
        <f t="shared" si="4"/>
        <v>0</v>
      </c>
      <c r="O16" s="447">
        <f t="shared" si="5"/>
        <v>0</v>
      </c>
      <c r="P16" s="447">
        <f t="shared" si="6"/>
        <v>0</v>
      </c>
      <c r="Q16" s="447">
        <f t="shared" si="7"/>
        <v>0</v>
      </c>
      <c r="S16" s="415" t="str">
        <f t="shared" si="8"/>
        <v>Customer Construction Gas</v>
      </c>
      <c r="T16" s="415" t="str">
        <f t="shared" si="9"/>
        <v>Programmatic Customer Drive</v>
      </c>
      <c r="U16" s="412" t="str">
        <f t="shared" si="10"/>
        <v>G</v>
      </c>
      <c r="V16" s="447">
        <f t="shared" si="11"/>
        <v>0</v>
      </c>
      <c r="W16" s="447">
        <f t="shared" si="12"/>
        <v>1297662.5799999998</v>
      </c>
      <c r="X16" s="447">
        <f t="shared" si="13"/>
        <v>3268140.6999999997</v>
      </c>
      <c r="Y16" s="447">
        <f t="shared" si="14"/>
        <v>5676321.3499999912</v>
      </c>
      <c r="Z16" s="447">
        <f t="shared" si="15"/>
        <v>0</v>
      </c>
      <c r="AB16" s="413">
        <f t="shared" si="16"/>
        <v>0</v>
      </c>
    </row>
    <row r="17" spans="1:28" x14ac:dyDescent="0.3">
      <c r="A17" s="415" t="s">
        <v>8</v>
      </c>
      <c r="B17" s="415" t="s">
        <v>1168</v>
      </c>
      <c r="C17" s="446" t="str">
        <f>VLOOKUP(A17,'Calc Program Gross Plant'!$A$5:$C$55,3,FALSE)</f>
        <v>E</v>
      </c>
      <c r="D17" s="418">
        <v>0</v>
      </c>
      <c r="E17" s="413">
        <v>25865.45</v>
      </c>
      <c r="F17" s="413">
        <v>82433.7</v>
      </c>
      <c r="G17" s="413">
        <v>224211</v>
      </c>
      <c r="H17" s="413">
        <v>0</v>
      </c>
      <c r="J17" s="415" t="str">
        <f t="shared" si="0"/>
        <v>Customer Sited Energy Storage</v>
      </c>
      <c r="K17" s="415" t="str">
        <f t="shared" si="1"/>
        <v>Programmatic</v>
      </c>
      <c r="L17" s="412" t="str">
        <f t="shared" si="2"/>
        <v>E</v>
      </c>
      <c r="M17" s="447">
        <f t="shared" si="3"/>
        <v>0</v>
      </c>
      <c r="N17" s="447">
        <f t="shared" si="4"/>
        <v>25865.45</v>
      </c>
      <c r="O17" s="447">
        <f t="shared" si="5"/>
        <v>82433.7</v>
      </c>
      <c r="P17" s="447">
        <f t="shared" si="6"/>
        <v>224211</v>
      </c>
      <c r="Q17" s="447">
        <f t="shared" si="7"/>
        <v>0</v>
      </c>
      <c r="S17" s="415" t="str">
        <f t="shared" si="8"/>
        <v>Customer Sited Energy Storage</v>
      </c>
      <c r="T17" s="415" t="str">
        <f t="shared" si="9"/>
        <v>Programmatic</v>
      </c>
      <c r="U17" s="412" t="str">
        <f t="shared" si="10"/>
        <v>E</v>
      </c>
      <c r="V17" s="447">
        <f t="shared" si="11"/>
        <v>0</v>
      </c>
      <c r="W17" s="447">
        <f t="shared" si="12"/>
        <v>0</v>
      </c>
      <c r="X17" s="447">
        <f t="shared" si="13"/>
        <v>0</v>
      </c>
      <c r="Y17" s="447">
        <f t="shared" si="14"/>
        <v>0</v>
      </c>
      <c r="Z17" s="447">
        <f t="shared" si="15"/>
        <v>0</v>
      </c>
      <c r="AB17" s="413">
        <f t="shared" si="16"/>
        <v>0</v>
      </c>
    </row>
    <row r="18" spans="1:28" x14ac:dyDescent="0.3">
      <c r="A18" s="415" t="s">
        <v>9</v>
      </c>
      <c r="B18" s="415" t="s">
        <v>1168</v>
      </c>
      <c r="C18" s="446" t="str">
        <f>VLOOKUP(A18,'Calc Program Gross Plant'!$A$5:$C$55,3,FALSE)</f>
        <v>C</v>
      </c>
      <c r="D18" s="418">
        <v>0</v>
      </c>
      <c r="E18" s="413">
        <v>0</v>
      </c>
      <c r="F18" s="413">
        <v>165822.90000000002</v>
      </c>
      <c r="G18" s="413">
        <v>3979749.48</v>
      </c>
      <c r="H18" s="413">
        <v>0</v>
      </c>
      <c r="J18" s="415" t="str">
        <f t="shared" si="0"/>
        <v>Data Center Hardware Refresh</v>
      </c>
      <c r="K18" s="415" t="str">
        <f t="shared" si="1"/>
        <v>Programmatic</v>
      </c>
      <c r="L18" s="412" t="str">
        <f t="shared" si="2"/>
        <v>C</v>
      </c>
      <c r="M18" s="447">
        <f t="shared" si="3"/>
        <v>0</v>
      </c>
      <c r="N18" s="447">
        <f t="shared" si="4"/>
        <v>0</v>
      </c>
      <c r="O18" s="447">
        <f t="shared" si="5"/>
        <v>109343.62026000001</v>
      </c>
      <c r="P18" s="447">
        <f t="shared" si="6"/>
        <v>2624246.807112</v>
      </c>
      <c r="Q18" s="447">
        <f t="shared" si="7"/>
        <v>0</v>
      </c>
      <c r="S18" s="415" t="str">
        <f t="shared" si="8"/>
        <v>Data Center Hardware Refresh</v>
      </c>
      <c r="T18" s="415" t="str">
        <f t="shared" si="9"/>
        <v>Programmatic</v>
      </c>
      <c r="U18" s="412" t="str">
        <f t="shared" si="10"/>
        <v>C</v>
      </c>
      <c r="V18" s="447">
        <f t="shared" si="11"/>
        <v>0</v>
      </c>
      <c r="W18" s="447">
        <f t="shared" si="12"/>
        <v>0</v>
      </c>
      <c r="X18" s="447">
        <f t="shared" si="13"/>
        <v>56479.279740000013</v>
      </c>
      <c r="Y18" s="447">
        <f t="shared" si="14"/>
        <v>1355502.672888</v>
      </c>
      <c r="Z18" s="447">
        <f t="shared" si="15"/>
        <v>0</v>
      </c>
      <c r="AB18" s="413">
        <f t="shared" si="16"/>
        <v>0</v>
      </c>
    </row>
    <row r="19" spans="1:28" x14ac:dyDescent="0.3">
      <c r="A19" s="415" t="s">
        <v>10</v>
      </c>
      <c r="B19" s="415" t="s">
        <v>1168</v>
      </c>
      <c r="C19" s="446" t="str">
        <f>VLOOKUP(A19,'Calc Program Gross Plant'!$A$5:$C$55,3,FALSE)</f>
        <v>E</v>
      </c>
      <c r="D19" s="418">
        <v>0</v>
      </c>
      <c r="E19" s="413">
        <v>909886.96</v>
      </c>
      <c r="F19" s="413">
        <v>2837921.7</v>
      </c>
      <c r="G19" s="413">
        <v>4719268.7400000012</v>
      </c>
      <c r="H19" s="413">
        <v>0</v>
      </c>
      <c r="J19" s="415" t="str">
        <f t="shared" si="0"/>
        <v>Emergent Electric</v>
      </c>
      <c r="K19" s="415" t="str">
        <f t="shared" si="1"/>
        <v>Programmatic</v>
      </c>
      <c r="L19" s="412" t="str">
        <f t="shared" si="2"/>
        <v>E</v>
      </c>
      <c r="M19" s="447">
        <f t="shared" si="3"/>
        <v>0</v>
      </c>
      <c r="N19" s="447">
        <f t="shared" si="4"/>
        <v>909886.96</v>
      </c>
      <c r="O19" s="447">
        <f t="shared" si="5"/>
        <v>2837921.7</v>
      </c>
      <c r="P19" s="447">
        <f t="shared" si="6"/>
        <v>4719268.7400000012</v>
      </c>
      <c r="Q19" s="447">
        <f t="shared" si="7"/>
        <v>0</v>
      </c>
      <c r="S19" s="415" t="str">
        <f t="shared" si="8"/>
        <v>Emergent Electric</v>
      </c>
      <c r="T19" s="415" t="str">
        <f t="shared" si="9"/>
        <v>Programmatic</v>
      </c>
      <c r="U19" s="412" t="str">
        <f t="shared" si="10"/>
        <v>E</v>
      </c>
      <c r="V19" s="447">
        <f t="shared" si="11"/>
        <v>0</v>
      </c>
      <c r="W19" s="447">
        <f t="shared" si="12"/>
        <v>0</v>
      </c>
      <c r="X19" s="447">
        <f t="shared" si="13"/>
        <v>0</v>
      </c>
      <c r="Y19" s="447">
        <f t="shared" si="14"/>
        <v>0</v>
      </c>
      <c r="Z19" s="447">
        <f t="shared" si="15"/>
        <v>0</v>
      </c>
      <c r="AB19" s="413">
        <f t="shared" si="16"/>
        <v>0</v>
      </c>
    </row>
    <row r="20" spans="1:28" x14ac:dyDescent="0.3">
      <c r="A20" s="415" t="s">
        <v>11</v>
      </c>
      <c r="B20" s="415" t="s">
        <v>1168</v>
      </c>
      <c r="C20" s="446" t="str">
        <f>VLOOKUP(A20,'Calc Program Gross Plant'!$A$5:$C$55,3,FALSE)</f>
        <v>G</v>
      </c>
      <c r="D20" s="418">
        <v>0</v>
      </c>
      <c r="E20" s="413">
        <v>282680.40999999997</v>
      </c>
      <c r="F20" s="413">
        <v>1066733.1299999999</v>
      </c>
      <c r="G20" s="413">
        <v>1895286.0299999996</v>
      </c>
      <c r="H20" s="413">
        <v>0</v>
      </c>
      <c r="J20" s="415" t="str">
        <f t="shared" si="0"/>
        <v>Emergent Gas</v>
      </c>
      <c r="K20" s="415" t="str">
        <f t="shared" si="1"/>
        <v>Programmatic</v>
      </c>
      <c r="L20" s="412" t="str">
        <f t="shared" si="2"/>
        <v>G</v>
      </c>
      <c r="M20" s="447">
        <f t="shared" si="3"/>
        <v>0</v>
      </c>
      <c r="N20" s="447">
        <f t="shared" si="4"/>
        <v>0</v>
      </c>
      <c r="O20" s="447">
        <f t="shared" si="5"/>
        <v>0</v>
      </c>
      <c r="P20" s="447">
        <f t="shared" si="6"/>
        <v>0</v>
      </c>
      <c r="Q20" s="447">
        <f t="shared" si="7"/>
        <v>0</v>
      </c>
      <c r="S20" s="415" t="str">
        <f t="shared" si="8"/>
        <v>Emergent Gas</v>
      </c>
      <c r="T20" s="415" t="str">
        <f t="shared" si="9"/>
        <v>Programmatic</v>
      </c>
      <c r="U20" s="412" t="str">
        <f t="shared" si="10"/>
        <v>G</v>
      </c>
      <c r="V20" s="447">
        <f t="shared" si="11"/>
        <v>0</v>
      </c>
      <c r="W20" s="447">
        <f t="shared" si="12"/>
        <v>282680.40999999997</v>
      </c>
      <c r="X20" s="447">
        <f t="shared" si="13"/>
        <v>1066733.1299999999</v>
      </c>
      <c r="Y20" s="447">
        <f t="shared" si="14"/>
        <v>1895286.0299999996</v>
      </c>
      <c r="Z20" s="447">
        <f t="shared" si="15"/>
        <v>0</v>
      </c>
      <c r="AB20" s="413">
        <f t="shared" si="16"/>
        <v>0</v>
      </c>
    </row>
    <row r="21" spans="1:28" x14ac:dyDescent="0.3">
      <c r="A21" s="415" t="s">
        <v>1608</v>
      </c>
      <c r="B21" s="415" t="s">
        <v>1181</v>
      </c>
      <c r="C21" s="446" t="str">
        <f>VLOOKUP(A21,'Calc Program Gross Plant'!$A$5:$C$55,3,FALSE)</f>
        <v>E</v>
      </c>
      <c r="D21" s="418">
        <v>0</v>
      </c>
      <c r="E21" s="413">
        <v>0</v>
      </c>
      <c r="F21" s="413">
        <v>0</v>
      </c>
      <c r="G21" s="413">
        <v>0</v>
      </c>
      <c r="H21" s="413">
        <v>0</v>
      </c>
      <c r="J21" s="415" t="str">
        <f t="shared" si="0"/>
        <v>EMS Upgrade</v>
      </c>
      <c r="K21" s="415" t="str">
        <f t="shared" si="1"/>
        <v>Specific</v>
      </c>
      <c r="L21" s="412" t="str">
        <f t="shared" si="2"/>
        <v>E</v>
      </c>
      <c r="M21" s="447">
        <f t="shared" si="3"/>
        <v>0</v>
      </c>
      <c r="N21" s="447">
        <f t="shared" si="4"/>
        <v>0</v>
      </c>
      <c r="O21" s="447">
        <f t="shared" si="5"/>
        <v>0</v>
      </c>
      <c r="P21" s="447">
        <f t="shared" si="6"/>
        <v>0</v>
      </c>
      <c r="Q21" s="447">
        <f t="shared" si="7"/>
        <v>0</v>
      </c>
      <c r="S21" s="415" t="str">
        <f t="shared" si="8"/>
        <v>EMS Upgrade</v>
      </c>
      <c r="T21" s="415" t="str">
        <f t="shared" si="9"/>
        <v>Specific</v>
      </c>
      <c r="U21" s="412" t="str">
        <f t="shared" si="10"/>
        <v>E</v>
      </c>
      <c r="V21" s="447">
        <f t="shared" si="11"/>
        <v>0</v>
      </c>
      <c r="W21" s="447">
        <f t="shared" si="12"/>
        <v>0</v>
      </c>
      <c r="X21" s="447">
        <f t="shared" si="13"/>
        <v>0</v>
      </c>
      <c r="Y21" s="447">
        <f t="shared" si="14"/>
        <v>0</v>
      </c>
      <c r="Z21" s="447">
        <f t="shared" si="15"/>
        <v>0</v>
      </c>
      <c r="AB21" s="413">
        <f t="shared" si="16"/>
        <v>0</v>
      </c>
    </row>
    <row r="22" spans="1:28" x14ac:dyDescent="0.3">
      <c r="A22" s="415" t="s">
        <v>12</v>
      </c>
      <c r="B22" s="415" t="s">
        <v>1181</v>
      </c>
      <c r="C22" s="446" t="str">
        <f>VLOOKUP(A22,'Calc Program Gross Plant'!$A$5:$C$55,3,FALSE)</f>
        <v>E</v>
      </c>
      <c r="D22" s="418">
        <v>0</v>
      </c>
      <c r="E22" s="413">
        <v>0</v>
      </c>
      <c r="F22" s="413">
        <v>162971.99</v>
      </c>
      <c r="G22" s="413">
        <v>2008612.7999999996</v>
      </c>
      <c r="H22" s="413">
        <v>0</v>
      </c>
      <c r="J22" s="415" t="str">
        <f t="shared" si="0"/>
        <v>Energize Eastside</v>
      </c>
      <c r="K22" s="415" t="str">
        <f t="shared" si="1"/>
        <v>Specific</v>
      </c>
      <c r="L22" s="412" t="str">
        <f t="shared" si="2"/>
        <v>E</v>
      </c>
      <c r="M22" s="447">
        <f t="shared" si="3"/>
        <v>0</v>
      </c>
      <c r="N22" s="447">
        <f t="shared" si="4"/>
        <v>0</v>
      </c>
      <c r="O22" s="447">
        <f t="shared" si="5"/>
        <v>162971.99</v>
      </c>
      <c r="P22" s="447">
        <f t="shared" si="6"/>
        <v>2008612.7999999996</v>
      </c>
      <c r="Q22" s="447">
        <f t="shared" si="7"/>
        <v>0</v>
      </c>
      <c r="S22" s="415" t="str">
        <f t="shared" si="8"/>
        <v>Energize Eastside</v>
      </c>
      <c r="T22" s="415" t="str">
        <f t="shared" si="9"/>
        <v>Specific</v>
      </c>
      <c r="U22" s="412" t="str">
        <f t="shared" si="10"/>
        <v>E</v>
      </c>
      <c r="V22" s="447">
        <f t="shared" si="11"/>
        <v>0</v>
      </c>
      <c r="W22" s="447">
        <f t="shared" si="12"/>
        <v>0</v>
      </c>
      <c r="X22" s="447">
        <f t="shared" si="13"/>
        <v>0</v>
      </c>
      <c r="Y22" s="447">
        <f t="shared" si="14"/>
        <v>0</v>
      </c>
      <c r="Z22" s="447">
        <f t="shared" si="15"/>
        <v>0</v>
      </c>
      <c r="AB22" s="413">
        <f t="shared" si="16"/>
        <v>0</v>
      </c>
    </row>
    <row r="23" spans="1:28" x14ac:dyDescent="0.3">
      <c r="A23" s="415" t="s">
        <v>819</v>
      </c>
      <c r="B23" s="415" t="s">
        <v>1168</v>
      </c>
      <c r="C23" s="446" t="str">
        <f>VLOOKUP(A23,'Calc Program Gross Plant'!$A$5:$C$55,3,FALSE)</f>
        <v>E</v>
      </c>
      <c r="D23" s="418">
        <v>0</v>
      </c>
      <c r="E23" s="413">
        <v>225688.98</v>
      </c>
      <c r="F23" s="413">
        <v>968107.02</v>
      </c>
      <c r="G23" s="413">
        <v>2295023.04</v>
      </c>
      <c r="H23" s="413">
        <v>0</v>
      </c>
      <c r="J23" s="415" t="str">
        <f t="shared" si="0"/>
        <v>EV Circuit</v>
      </c>
      <c r="K23" s="415" t="str">
        <f t="shared" si="1"/>
        <v>Programmatic</v>
      </c>
      <c r="L23" s="412" t="str">
        <f t="shared" si="2"/>
        <v>E</v>
      </c>
      <c r="M23" s="447">
        <f t="shared" si="3"/>
        <v>0</v>
      </c>
      <c r="N23" s="447">
        <f t="shared" si="4"/>
        <v>225688.98</v>
      </c>
      <c r="O23" s="447">
        <f t="shared" si="5"/>
        <v>968107.02</v>
      </c>
      <c r="P23" s="447">
        <f t="shared" si="6"/>
        <v>2295023.04</v>
      </c>
      <c r="Q23" s="447">
        <f t="shared" si="7"/>
        <v>0</v>
      </c>
      <c r="S23" s="415" t="str">
        <f t="shared" si="8"/>
        <v>EV Circuit</v>
      </c>
      <c r="T23" s="415" t="str">
        <f t="shared" si="9"/>
        <v>Programmatic</v>
      </c>
      <c r="U23" s="412" t="str">
        <f t="shared" si="10"/>
        <v>E</v>
      </c>
      <c r="V23" s="447">
        <f t="shared" si="11"/>
        <v>0</v>
      </c>
      <c r="W23" s="447">
        <f t="shared" si="12"/>
        <v>0</v>
      </c>
      <c r="X23" s="447">
        <f t="shared" si="13"/>
        <v>0</v>
      </c>
      <c r="Y23" s="447">
        <f t="shared" si="14"/>
        <v>0</v>
      </c>
      <c r="Z23" s="447">
        <f t="shared" si="15"/>
        <v>0</v>
      </c>
      <c r="AB23" s="413">
        <f t="shared" si="16"/>
        <v>0</v>
      </c>
    </row>
    <row r="24" spans="1:28" x14ac:dyDescent="0.3">
      <c r="A24" s="415" t="s">
        <v>1607</v>
      </c>
      <c r="B24" s="415" t="s">
        <v>1181</v>
      </c>
      <c r="C24" s="446" t="str">
        <f>VLOOKUP(A24,'Calc Program Gross Plant'!$A$5:$C$55,3,FALSE)</f>
        <v>E</v>
      </c>
      <c r="D24" s="418">
        <v>0</v>
      </c>
      <c r="E24" s="413">
        <v>1.67</v>
      </c>
      <c r="F24" s="413">
        <v>85.37</v>
      </c>
      <c r="G24" s="413">
        <v>16308.59</v>
      </c>
      <c r="H24" s="413">
        <v>0</v>
      </c>
      <c r="J24" s="415" t="str">
        <f t="shared" si="0"/>
        <v>Freddy Hot Gas Path</v>
      </c>
      <c r="K24" s="415" t="str">
        <f t="shared" si="1"/>
        <v>Specific</v>
      </c>
      <c r="L24" s="412" t="str">
        <f t="shared" si="2"/>
        <v>E</v>
      </c>
      <c r="M24" s="447">
        <f t="shared" si="3"/>
        <v>0</v>
      </c>
      <c r="N24" s="447">
        <f t="shared" si="4"/>
        <v>1.67</v>
      </c>
      <c r="O24" s="447">
        <f t="shared" si="5"/>
        <v>85.37</v>
      </c>
      <c r="P24" s="447">
        <f t="shared" si="6"/>
        <v>16308.59</v>
      </c>
      <c r="Q24" s="447">
        <f t="shared" si="7"/>
        <v>0</v>
      </c>
      <c r="S24" s="415" t="str">
        <f t="shared" si="8"/>
        <v>Freddy Hot Gas Path</v>
      </c>
      <c r="T24" s="415" t="str">
        <f t="shared" si="9"/>
        <v>Specific</v>
      </c>
      <c r="U24" s="412" t="str">
        <f t="shared" si="10"/>
        <v>E</v>
      </c>
      <c r="V24" s="447">
        <f t="shared" si="11"/>
        <v>0</v>
      </c>
      <c r="W24" s="447">
        <f t="shared" si="12"/>
        <v>0</v>
      </c>
      <c r="X24" s="447">
        <f t="shared" si="13"/>
        <v>0</v>
      </c>
      <c r="Y24" s="447">
        <f t="shared" si="14"/>
        <v>0</v>
      </c>
      <c r="Z24" s="447">
        <f t="shared" si="15"/>
        <v>0</v>
      </c>
      <c r="AB24" s="413">
        <f t="shared" si="16"/>
        <v>0</v>
      </c>
    </row>
    <row r="25" spans="1:28" x14ac:dyDescent="0.3">
      <c r="A25" s="415" t="s">
        <v>13</v>
      </c>
      <c r="B25" s="415" t="s">
        <v>1168</v>
      </c>
      <c r="C25" s="446" t="str">
        <f>VLOOKUP(A25,'Calc Program Gross Plant'!$A$5:$C$55,3,FALSE)</f>
        <v>G</v>
      </c>
      <c r="D25" s="418">
        <v>0</v>
      </c>
      <c r="E25" s="413">
        <v>349802.67999999993</v>
      </c>
      <c r="F25" s="413">
        <v>1173323.6500000001</v>
      </c>
      <c r="G25" s="413">
        <v>2096380.2500000009</v>
      </c>
      <c r="H25" s="413">
        <v>0</v>
      </c>
      <c r="J25" s="415" t="str">
        <f t="shared" si="0"/>
        <v>Gas Modernization</v>
      </c>
      <c r="K25" s="415" t="str">
        <f t="shared" si="1"/>
        <v>Programmatic</v>
      </c>
      <c r="L25" s="412" t="str">
        <f t="shared" si="2"/>
        <v>G</v>
      </c>
      <c r="M25" s="447">
        <f t="shared" si="3"/>
        <v>0</v>
      </c>
      <c r="N25" s="447">
        <f t="shared" si="4"/>
        <v>0</v>
      </c>
      <c r="O25" s="447">
        <f t="shared" si="5"/>
        <v>0</v>
      </c>
      <c r="P25" s="447">
        <f t="shared" si="6"/>
        <v>0</v>
      </c>
      <c r="Q25" s="447">
        <f t="shared" si="7"/>
        <v>0</v>
      </c>
      <c r="S25" s="415" t="str">
        <f t="shared" si="8"/>
        <v>Gas Modernization</v>
      </c>
      <c r="T25" s="415" t="str">
        <f t="shared" si="9"/>
        <v>Programmatic</v>
      </c>
      <c r="U25" s="412" t="str">
        <f t="shared" si="10"/>
        <v>G</v>
      </c>
      <c r="V25" s="447">
        <f t="shared" si="11"/>
        <v>0</v>
      </c>
      <c r="W25" s="447">
        <f t="shared" si="12"/>
        <v>349802.67999999993</v>
      </c>
      <c r="X25" s="447">
        <f t="shared" si="13"/>
        <v>1173323.6500000001</v>
      </c>
      <c r="Y25" s="447">
        <f t="shared" si="14"/>
        <v>2096380.2500000009</v>
      </c>
      <c r="Z25" s="447">
        <f t="shared" si="15"/>
        <v>0</v>
      </c>
      <c r="AB25" s="413">
        <f t="shared" si="16"/>
        <v>0</v>
      </c>
    </row>
    <row r="26" spans="1:28" x14ac:dyDescent="0.3">
      <c r="A26" s="415" t="s">
        <v>14</v>
      </c>
      <c r="B26" s="415" t="s">
        <v>1181</v>
      </c>
      <c r="C26" s="446" t="str">
        <f>VLOOKUP(A26,'Calc Program Gross Plant'!$A$5:$C$55,3,FALSE)</f>
        <v>E</v>
      </c>
      <c r="D26" s="418">
        <v>0</v>
      </c>
      <c r="E26" s="413">
        <v>-410476.32</v>
      </c>
      <c r="F26" s="413">
        <v>-634896</v>
      </c>
      <c r="G26" s="413">
        <v>-634896</v>
      </c>
      <c r="H26" s="413">
        <v>0</v>
      </c>
      <c r="J26" s="415" t="str">
        <f t="shared" si="0"/>
        <v>Goldendale MM</v>
      </c>
      <c r="K26" s="415" t="str">
        <f t="shared" si="1"/>
        <v>Specific</v>
      </c>
      <c r="L26" s="412" t="str">
        <f t="shared" si="2"/>
        <v>E</v>
      </c>
      <c r="M26" s="447">
        <f t="shared" si="3"/>
        <v>0</v>
      </c>
      <c r="N26" s="447">
        <f t="shared" si="4"/>
        <v>-410476.32</v>
      </c>
      <c r="O26" s="447">
        <f t="shared" si="5"/>
        <v>-634896</v>
      </c>
      <c r="P26" s="447">
        <f t="shared" si="6"/>
        <v>-634896</v>
      </c>
      <c r="Q26" s="447">
        <f t="shared" si="7"/>
        <v>0</v>
      </c>
      <c r="S26" s="415" t="str">
        <f t="shared" si="8"/>
        <v>Goldendale MM</v>
      </c>
      <c r="T26" s="415" t="str">
        <f t="shared" si="9"/>
        <v>Specific</v>
      </c>
      <c r="U26" s="412" t="str">
        <f t="shared" si="10"/>
        <v>E</v>
      </c>
      <c r="V26" s="447">
        <f t="shared" si="11"/>
        <v>0</v>
      </c>
      <c r="W26" s="447">
        <f t="shared" si="12"/>
        <v>0</v>
      </c>
      <c r="X26" s="447">
        <f t="shared" si="13"/>
        <v>0</v>
      </c>
      <c r="Y26" s="447">
        <f t="shared" si="14"/>
        <v>0</v>
      </c>
      <c r="Z26" s="447">
        <f t="shared" si="15"/>
        <v>0</v>
      </c>
      <c r="AB26" s="413">
        <f t="shared" si="16"/>
        <v>0</v>
      </c>
    </row>
    <row r="27" spans="1:28" x14ac:dyDescent="0.3">
      <c r="A27" s="415" t="s">
        <v>15</v>
      </c>
      <c r="B27" s="415" t="s">
        <v>1168</v>
      </c>
      <c r="C27" s="446" t="str">
        <f>VLOOKUP(A27,'Calc Program Gross Plant'!$A$5:$C$55,3,FALSE)</f>
        <v>E</v>
      </c>
      <c r="D27" s="418">
        <v>0</v>
      </c>
      <c r="E27" s="413">
        <v>2012225.1500000001</v>
      </c>
      <c r="F27" s="413">
        <v>8404993.799999997</v>
      </c>
      <c r="G27" s="413">
        <v>17924183.249999996</v>
      </c>
      <c r="H27" s="413">
        <v>0</v>
      </c>
      <c r="J27" s="415" t="str">
        <f t="shared" si="0"/>
        <v>Grid Modernization</v>
      </c>
      <c r="K27" s="415" t="str">
        <f t="shared" si="1"/>
        <v>Programmatic</v>
      </c>
      <c r="L27" s="412" t="str">
        <f t="shared" si="2"/>
        <v>E</v>
      </c>
      <c r="M27" s="447">
        <f t="shared" si="3"/>
        <v>0</v>
      </c>
      <c r="N27" s="447">
        <f t="shared" si="4"/>
        <v>2012225.1500000001</v>
      </c>
      <c r="O27" s="447">
        <f t="shared" si="5"/>
        <v>8404993.799999997</v>
      </c>
      <c r="P27" s="447">
        <f t="shared" si="6"/>
        <v>17924183.249999996</v>
      </c>
      <c r="Q27" s="447">
        <f t="shared" si="7"/>
        <v>0</v>
      </c>
      <c r="S27" s="415" t="str">
        <f t="shared" si="8"/>
        <v>Grid Modernization</v>
      </c>
      <c r="T27" s="415" t="str">
        <f t="shared" si="9"/>
        <v>Programmatic</v>
      </c>
      <c r="U27" s="412" t="str">
        <f t="shared" si="10"/>
        <v>E</v>
      </c>
      <c r="V27" s="447">
        <f t="shared" si="11"/>
        <v>0</v>
      </c>
      <c r="W27" s="447">
        <f t="shared" si="12"/>
        <v>0</v>
      </c>
      <c r="X27" s="447">
        <f t="shared" si="13"/>
        <v>0</v>
      </c>
      <c r="Y27" s="447">
        <f t="shared" si="14"/>
        <v>0</v>
      </c>
      <c r="Z27" s="447">
        <f t="shared" si="15"/>
        <v>0</v>
      </c>
      <c r="AB27" s="413">
        <f t="shared" si="16"/>
        <v>0</v>
      </c>
    </row>
    <row r="28" spans="1:28" x14ac:dyDescent="0.3">
      <c r="A28" s="415" t="s">
        <v>1606</v>
      </c>
      <c r="B28" s="415" t="s">
        <v>1168</v>
      </c>
      <c r="C28" s="446" t="str">
        <f>VLOOKUP(A28,'Calc Program Gross Plant'!$A$5:$C$55,3,FALSE)</f>
        <v>C</v>
      </c>
      <c r="D28" s="418">
        <v>0</v>
      </c>
      <c r="E28" s="413">
        <v>2959556.2800000003</v>
      </c>
      <c r="F28" s="413">
        <v>8882416.4400000013</v>
      </c>
      <c r="G28" s="413">
        <v>15427506.660000002</v>
      </c>
      <c r="H28" s="413">
        <v>0</v>
      </c>
      <c r="J28" s="415" t="str">
        <f t="shared" si="0"/>
        <v>IT Operational Program - Common</v>
      </c>
      <c r="K28" s="415" t="str">
        <f t="shared" si="1"/>
        <v>Programmatic</v>
      </c>
      <c r="L28" s="412" t="str">
        <f t="shared" si="2"/>
        <v>C</v>
      </c>
      <c r="M28" s="447">
        <f t="shared" si="3"/>
        <v>0</v>
      </c>
      <c r="N28" s="447">
        <f t="shared" si="4"/>
        <v>1951531.4110320001</v>
      </c>
      <c r="O28" s="447">
        <f t="shared" si="5"/>
        <v>5857065.4005360007</v>
      </c>
      <c r="P28" s="447">
        <f t="shared" si="6"/>
        <v>10172897.891604001</v>
      </c>
      <c r="Q28" s="447">
        <f t="shared" si="7"/>
        <v>0</v>
      </c>
      <c r="S28" s="415" t="str">
        <f t="shared" si="8"/>
        <v>IT Operational Program - Common</v>
      </c>
      <c r="T28" s="415" t="str">
        <f t="shared" si="9"/>
        <v>Programmatic</v>
      </c>
      <c r="U28" s="412" t="str">
        <f t="shared" si="10"/>
        <v>C</v>
      </c>
      <c r="V28" s="447">
        <f t="shared" si="11"/>
        <v>0</v>
      </c>
      <c r="W28" s="447">
        <f t="shared" si="12"/>
        <v>1008024.8689680002</v>
      </c>
      <c r="X28" s="447">
        <f t="shared" si="13"/>
        <v>3025351.0394640006</v>
      </c>
      <c r="Y28" s="447">
        <f t="shared" si="14"/>
        <v>5254608.7683960013</v>
      </c>
      <c r="Z28" s="447">
        <f t="shared" si="15"/>
        <v>0</v>
      </c>
      <c r="AB28" s="413">
        <f t="shared" si="16"/>
        <v>0</v>
      </c>
    </row>
    <row r="29" spans="1:28" x14ac:dyDescent="0.3">
      <c r="A29" s="415" t="s">
        <v>18</v>
      </c>
      <c r="B29" s="415" t="s">
        <v>1181</v>
      </c>
      <c r="C29" s="446" t="str">
        <f>VLOOKUP(A29,'Calc Program Gross Plant'!$A$5:$C$55,3,FALSE)</f>
        <v>E</v>
      </c>
      <c r="D29" s="418">
        <v>0</v>
      </c>
      <c r="E29" s="413">
        <v>0</v>
      </c>
      <c r="F29" s="413">
        <v>0</v>
      </c>
      <c r="G29" s="413">
        <v>0</v>
      </c>
      <c r="H29" s="413">
        <v>0</v>
      </c>
      <c r="J29" s="415" t="str">
        <f t="shared" si="0"/>
        <v>Lower Baker Dam Grouting Program</v>
      </c>
      <c r="K29" s="415" t="str">
        <f t="shared" si="1"/>
        <v>Specific</v>
      </c>
      <c r="L29" s="412" t="str">
        <f t="shared" si="2"/>
        <v>E</v>
      </c>
      <c r="M29" s="447">
        <f t="shared" si="3"/>
        <v>0</v>
      </c>
      <c r="N29" s="447">
        <f t="shared" si="4"/>
        <v>0</v>
      </c>
      <c r="O29" s="447">
        <f t="shared" si="5"/>
        <v>0</v>
      </c>
      <c r="P29" s="447">
        <f t="shared" si="6"/>
        <v>0</v>
      </c>
      <c r="Q29" s="447">
        <f t="shared" si="7"/>
        <v>0</v>
      </c>
      <c r="S29" s="415" t="str">
        <f t="shared" si="8"/>
        <v>Lower Baker Dam Grouting Program</v>
      </c>
      <c r="T29" s="415" t="str">
        <f t="shared" si="9"/>
        <v>Specific</v>
      </c>
      <c r="U29" s="412" t="str">
        <f t="shared" si="10"/>
        <v>E</v>
      </c>
      <c r="V29" s="447">
        <f t="shared" si="11"/>
        <v>0</v>
      </c>
      <c r="W29" s="447">
        <f t="shared" si="12"/>
        <v>0</v>
      </c>
      <c r="X29" s="447">
        <f t="shared" si="13"/>
        <v>0</v>
      </c>
      <c r="Y29" s="447">
        <f t="shared" si="14"/>
        <v>0</v>
      </c>
      <c r="Z29" s="447">
        <f t="shared" si="15"/>
        <v>0</v>
      </c>
      <c r="AB29" s="413">
        <f t="shared" si="16"/>
        <v>0</v>
      </c>
    </row>
    <row r="30" spans="1:28" x14ac:dyDescent="0.3">
      <c r="A30" s="415" t="s">
        <v>19</v>
      </c>
      <c r="B30" s="415" t="s">
        <v>1168</v>
      </c>
      <c r="C30" s="446" t="str">
        <f>VLOOKUP(A30,'Calc Program Gross Plant'!$A$5:$C$55,3,FALSE)</f>
        <v>E</v>
      </c>
      <c r="D30" s="418">
        <v>0</v>
      </c>
      <c r="E30" s="413">
        <v>188428.45999999996</v>
      </c>
      <c r="F30" s="413">
        <v>569820.72</v>
      </c>
      <c r="G30" s="413">
        <v>885393.62</v>
      </c>
      <c r="H30" s="413">
        <v>0</v>
      </c>
      <c r="J30" s="415" t="str">
        <f t="shared" si="0"/>
        <v>Major Projects Electric</v>
      </c>
      <c r="K30" s="415" t="str">
        <f t="shared" si="1"/>
        <v>Programmatic</v>
      </c>
      <c r="L30" s="412" t="str">
        <f t="shared" si="2"/>
        <v>E</v>
      </c>
      <c r="M30" s="447">
        <f t="shared" si="3"/>
        <v>0</v>
      </c>
      <c r="N30" s="447">
        <f t="shared" si="4"/>
        <v>188428.45999999996</v>
      </c>
      <c r="O30" s="447">
        <f t="shared" si="5"/>
        <v>569820.72</v>
      </c>
      <c r="P30" s="447">
        <f t="shared" si="6"/>
        <v>885393.62</v>
      </c>
      <c r="Q30" s="447">
        <f t="shared" si="7"/>
        <v>0</v>
      </c>
      <c r="S30" s="415" t="str">
        <f t="shared" si="8"/>
        <v>Major Projects Electric</v>
      </c>
      <c r="T30" s="415" t="str">
        <f t="shared" si="9"/>
        <v>Programmatic</v>
      </c>
      <c r="U30" s="412" t="str">
        <f t="shared" si="10"/>
        <v>E</v>
      </c>
      <c r="V30" s="447">
        <f t="shared" si="11"/>
        <v>0</v>
      </c>
      <c r="W30" s="447">
        <f t="shared" si="12"/>
        <v>0</v>
      </c>
      <c r="X30" s="447">
        <f t="shared" si="13"/>
        <v>0</v>
      </c>
      <c r="Y30" s="447">
        <f t="shared" si="14"/>
        <v>0</v>
      </c>
      <c r="Z30" s="447">
        <f t="shared" si="15"/>
        <v>0</v>
      </c>
      <c r="AB30" s="413">
        <f t="shared" si="16"/>
        <v>0</v>
      </c>
    </row>
    <row r="31" spans="1:28" x14ac:dyDescent="0.3">
      <c r="A31" s="415" t="s">
        <v>20</v>
      </c>
      <c r="B31" s="415" t="s">
        <v>1168</v>
      </c>
      <c r="C31" s="446" t="str">
        <f>VLOOKUP(A31,'Calc Program Gross Plant'!$A$5:$C$55,3,FALSE)</f>
        <v>G</v>
      </c>
      <c r="D31" s="418">
        <v>0</v>
      </c>
      <c r="E31" s="413">
        <v>16119.35</v>
      </c>
      <c r="F31" s="413">
        <v>98082.9</v>
      </c>
      <c r="G31" s="413">
        <v>117898.74</v>
      </c>
      <c r="H31" s="413">
        <v>0</v>
      </c>
      <c r="J31" s="415" t="str">
        <f t="shared" si="0"/>
        <v>Major Projects Gas</v>
      </c>
      <c r="K31" s="415" t="str">
        <f t="shared" si="1"/>
        <v>Programmatic</v>
      </c>
      <c r="L31" s="412" t="str">
        <f t="shared" si="2"/>
        <v>G</v>
      </c>
      <c r="M31" s="447">
        <f t="shared" si="3"/>
        <v>0</v>
      </c>
      <c r="N31" s="447">
        <f t="shared" si="4"/>
        <v>0</v>
      </c>
      <c r="O31" s="447">
        <f t="shared" si="5"/>
        <v>0</v>
      </c>
      <c r="P31" s="447">
        <f t="shared" si="6"/>
        <v>0</v>
      </c>
      <c r="Q31" s="447">
        <f t="shared" si="7"/>
        <v>0</v>
      </c>
      <c r="S31" s="415" t="str">
        <f t="shared" si="8"/>
        <v>Major Projects Gas</v>
      </c>
      <c r="T31" s="415" t="str">
        <f t="shared" si="9"/>
        <v>Programmatic</v>
      </c>
      <c r="U31" s="412" t="str">
        <f t="shared" si="10"/>
        <v>G</v>
      </c>
      <c r="V31" s="447">
        <f t="shared" si="11"/>
        <v>0</v>
      </c>
      <c r="W31" s="447">
        <f t="shared" si="12"/>
        <v>16119.35</v>
      </c>
      <c r="X31" s="447">
        <f t="shared" si="13"/>
        <v>98082.9</v>
      </c>
      <c r="Y31" s="447">
        <f t="shared" si="14"/>
        <v>117898.74</v>
      </c>
      <c r="Z31" s="447">
        <f t="shared" si="15"/>
        <v>0</v>
      </c>
      <c r="AB31" s="413">
        <f t="shared" si="16"/>
        <v>0</v>
      </c>
    </row>
    <row r="32" spans="1:28" x14ac:dyDescent="0.3">
      <c r="A32" s="415" t="s">
        <v>21</v>
      </c>
      <c r="B32" s="415" t="s">
        <v>1181</v>
      </c>
      <c r="C32" s="446" t="str">
        <f>VLOOKUP(A32,'Calc Program Gross Plant'!$A$5:$C$55,3,FALSE)</f>
        <v>G</v>
      </c>
      <c r="D32" s="418">
        <v>0</v>
      </c>
      <c r="E32" s="413">
        <v>16135.4</v>
      </c>
      <c r="F32" s="413">
        <v>32753.52</v>
      </c>
      <c r="G32" s="413">
        <v>32753.52</v>
      </c>
      <c r="H32" s="413">
        <v>0</v>
      </c>
      <c r="J32" s="415" t="str">
        <f t="shared" si="0"/>
        <v>Marine Crossing</v>
      </c>
      <c r="K32" s="415" t="str">
        <f t="shared" si="1"/>
        <v>Specific</v>
      </c>
      <c r="L32" s="412" t="str">
        <f t="shared" si="2"/>
        <v>G</v>
      </c>
      <c r="M32" s="447">
        <f t="shared" si="3"/>
        <v>0</v>
      </c>
      <c r="N32" s="447">
        <f t="shared" si="4"/>
        <v>0</v>
      </c>
      <c r="O32" s="447">
        <f t="shared" si="5"/>
        <v>0</v>
      </c>
      <c r="P32" s="447">
        <f t="shared" si="6"/>
        <v>0</v>
      </c>
      <c r="Q32" s="447">
        <f t="shared" si="7"/>
        <v>0</v>
      </c>
      <c r="S32" s="415" t="str">
        <f t="shared" si="8"/>
        <v>Marine Crossing</v>
      </c>
      <c r="T32" s="415" t="str">
        <f t="shared" si="9"/>
        <v>Specific</v>
      </c>
      <c r="U32" s="412" t="str">
        <f t="shared" si="10"/>
        <v>G</v>
      </c>
      <c r="V32" s="447">
        <f t="shared" si="11"/>
        <v>0</v>
      </c>
      <c r="W32" s="447">
        <f t="shared" si="12"/>
        <v>16135.4</v>
      </c>
      <c r="X32" s="447">
        <f t="shared" si="13"/>
        <v>32753.52</v>
      </c>
      <c r="Y32" s="447">
        <f t="shared" si="14"/>
        <v>32753.52</v>
      </c>
      <c r="Z32" s="447">
        <f t="shared" si="15"/>
        <v>0</v>
      </c>
      <c r="AB32" s="413">
        <f t="shared" si="16"/>
        <v>0</v>
      </c>
    </row>
    <row r="33" spans="1:28" x14ac:dyDescent="0.3">
      <c r="A33" s="415" t="s">
        <v>22</v>
      </c>
      <c r="B33" s="415" t="s">
        <v>1181</v>
      </c>
      <c r="C33" s="446" t="str">
        <f>VLOOKUP(A33,'Calc Program Gross Plant'!$A$5:$C$55,3,FALSE)</f>
        <v>E</v>
      </c>
      <c r="D33" s="418">
        <v>0</v>
      </c>
      <c r="E33" s="413">
        <v>664313.1</v>
      </c>
      <c r="F33" s="413">
        <v>1492167.54</v>
      </c>
      <c r="G33" s="413">
        <v>1246443.8400000001</v>
      </c>
      <c r="H33" s="413">
        <v>0</v>
      </c>
      <c r="J33" s="415" t="str">
        <f t="shared" si="0"/>
        <v>Mint Farm MM</v>
      </c>
      <c r="K33" s="415" t="str">
        <f t="shared" si="1"/>
        <v>Specific</v>
      </c>
      <c r="L33" s="412" t="str">
        <f t="shared" si="2"/>
        <v>E</v>
      </c>
      <c r="M33" s="447">
        <f t="shared" si="3"/>
        <v>0</v>
      </c>
      <c r="N33" s="447">
        <f t="shared" si="4"/>
        <v>664313.1</v>
      </c>
      <c r="O33" s="447">
        <f t="shared" si="5"/>
        <v>1492167.54</v>
      </c>
      <c r="P33" s="447">
        <f t="shared" si="6"/>
        <v>1246443.8400000001</v>
      </c>
      <c r="Q33" s="447">
        <f t="shared" si="7"/>
        <v>0</v>
      </c>
      <c r="S33" s="415" t="str">
        <f t="shared" si="8"/>
        <v>Mint Farm MM</v>
      </c>
      <c r="T33" s="415" t="str">
        <f t="shared" si="9"/>
        <v>Specific</v>
      </c>
      <c r="U33" s="412" t="str">
        <f t="shared" si="10"/>
        <v>E</v>
      </c>
      <c r="V33" s="447">
        <f t="shared" si="11"/>
        <v>0</v>
      </c>
      <c r="W33" s="447">
        <f t="shared" si="12"/>
        <v>0</v>
      </c>
      <c r="X33" s="447">
        <f t="shared" si="13"/>
        <v>0</v>
      </c>
      <c r="Y33" s="447">
        <f t="shared" si="14"/>
        <v>0</v>
      </c>
      <c r="Z33" s="447">
        <f t="shared" si="15"/>
        <v>0</v>
      </c>
      <c r="AB33" s="413">
        <f t="shared" si="16"/>
        <v>0</v>
      </c>
    </row>
    <row r="34" spans="1:28" x14ac:dyDescent="0.3">
      <c r="A34" s="415" t="s">
        <v>23</v>
      </c>
      <c r="B34" s="415" t="s">
        <v>1180</v>
      </c>
      <c r="C34" s="446" t="str">
        <f>VLOOKUP(A34,'Calc Program Gross Plant'!$A$5:$C$55,3,FALSE)</f>
        <v>E</v>
      </c>
      <c r="D34" s="418">
        <v>0</v>
      </c>
      <c r="E34" s="413">
        <v>250436.62</v>
      </c>
      <c r="F34" s="413">
        <v>619316.9</v>
      </c>
      <c r="G34" s="413">
        <v>974354.43000000017</v>
      </c>
      <c r="H34" s="413">
        <v>0</v>
      </c>
      <c r="J34" s="415" t="str">
        <f t="shared" si="0"/>
        <v>PI Electric</v>
      </c>
      <c r="K34" s="415" t="str">
        <f t="shared" si="1"/>
        <v>Programmatic Customer Drive</v>
      </c>
      <c r="L34" s="412" t="str">
        <f t="shared" si="2"/>
        <v>E</v>
      </c>
      <c r="M34" s="447">
        <f t="shared" si="3"/>
        <v>0</v>
      </c>
      <c r="N34" s="447">
        <f t="shared" si="4"/>
        <v>250436.62</v>
      </c>
      <c r="O34" s="447">
        <f t="shared" si="5"/>
        <v>619316.9</v>
      </c>
      <c r="P34" s="447">
        <f t="shared" si="6"/>
        <v>974354.43000000017</v>
      </c>
      <c r="Q34" s="447">
        <f t="shared" si="7"/>
        <v>0</v>
      </c>
      <c r="S34" s="415" t="str">
        <f t="shared" si="8"/>
        <v>PI Electric</v>
      </c>
      <c r="T34" s="415" t="str">
        <f t="shared" si="9"/>
        <v>Programmatic Customer Drive</v>
      </c>
      <c r="U34" s="412" t="str">
        <f t="shared" si="10"/>
        <v>E</v>
      </c>
      <c r="V34" s="447">
        <f t="shared" si="11"/>
        <v>0</v>
      </c>
      <c r="W34" s="447">
        <f t="shared" si="12"/>
        <v>0</v>
      </c>
      <c r="X34" s="447">
        <f t="shared" si="13"/>
        <v>0</v>
      </c>
      <c r="Y34" s="447">
        <f t="shared" si="14"/>
        <v>0</v>
      </c>
      <c r="Z34" s="447">
        <f t="shared" si="15"/>
        <v>0</v>
      </c>
      <c r="AB34" s="413">
        <f t="shared" si="16"/>
        <v>0</v>
      </c>
    </row>
    <row r="35" spans="1:28" x14ac:dyDescent="0.3">
      <c r="A35" s="415" t="s">
        <v>24</v>
      </c>
      <c r="B35" s="415" t="s">
        <v>1180</v>
      </c>
      <c r="C35" s="446" t="str">
        <f>VLOOKUP(A35,'Calc Program Gross Plant'!$A$5:$C$55,3,FALSE)</f>
        <v>G</v>
      </c>
      <c r="D35" s="418">
        <v>0</v>
      </c>
      <c r="E35" s="413">
        <v>61544.98</v>
      </c>
      <c r="F35" s="413">
        <v>234606.16999999995</v>
      </c>
      <c r="G35" s="413">
        <v>236036.75999999992</v>
      </c>
      <c r="H35" s="413">
        <v>0</v>
      </c>
      <c r="J35" s="415" t="str">
        <f t="shared" si="0"/>
        <v>PI Gas</v>
      </c>
      <c r="K35" s="415" t="str">
        <f t="shared" si="1"/>
        <v>Programmatic Customer Drive</v>
      </c>
      <c r="L35" s="412" t="str">
        <f t="shared" si="2"/>
        <v>G</v>
      </c>
      <c r="M35" s="447">
        <f t="shared" si="3"/>
        <v>0</v>
      </c>
      <c r="N35" s="447">
        <f t="shared" si="4"/>
        <v>0</v>
      </c>
      <c r="O35" s="447">
        <f t="shared" si="5"/>
        <v>0</v>
      </c>
      <c r="P35" s="447">
        <f t="shared" si="6"/>
        <v>0</v>
      </c>
      <c r="Q35" s="447">
        <f t="shared" si="7"/>
        <v>0</v>
      </c>
      <c r="S35" s="415" t="str">
        <f t="shared" si="8"/>
        <v>PI Gas</v>
      </c>
      <c r="T35" s="415" t="str">
        <f t="shared" si="9"/>
        <v>Programmatic Customer Drive</v>
      </c>
      <c r="U35" s="412" t="str">
        <f t="shared" si="10"/>
        <v>G</v>
      </c>
      <c r="V35" s="447">
        <f t="shared" si="11"/>
        <v>0</v>
      </c>
      <c r="W35" s="447">
        <f t="shared" si="12"/>
        <v>61544.98</v>
      </c>
      <c r="X35" s="447">
        <f t="shared" si="13"/>
        <v>234606.16999999995</v>
      </c>
      <c r="Y35" s="447">
        <f t="shared" si="14"/>
        <v>236036.75999999992</v>
      </c>
      <c r="Z35" s="447">
        <f t="shared" si="15"/>
        <v>0</v>
      </c>
      <c r="AB35" s="413">
        <f t="shared" si="16"/>
        <v>0</v>
      </c>
    </row>
    <row r="36" spans="1:28" x14ac:dyDescent="0.3">
      <c r="A36" s="415" t="s">
        <v>25</v>
      </c>
      <c r="B36" s="415" t="s">
        <v>1168</v>
      </c>
      <c r="C36" s="446" t="str">
        <f>VLOOKUP(A36,'Calc Program Gross Plant'!$A$5:$C$55,3,FALSE)</f>
        <v>G</v>
      </c>
      <c r="D36" s="418">
        <v>0</v>
      </c>
      <c r="E36" s="413">
        <v>725787.04</v>
      </c>
      <c r="F36" s="413">
        <v>2678130.2400000002</v>
      </c>
      <c r="G36" s="413">
        <v>4756418.09</v>
      </c>
      <c r="H36" s="413">
        <v>0</v>
      </c>
      <c r="J36" s="415" t="str">
        <f t="shared" si="0"/>
        <v>Pipe Replacement</v>
      </c>
      <c r="K36" s="415" t="str">
        <f t="shared" si="1"/>
        <v>Programmatic</v>
      </c>
      <c r="L36" s="412" t="str">
        <f t="shared" si="2"/>
        <v>G</v>
      </c>
      <c r="M36" s="447">
        <f t="shared" si="3"/>
        <v>0</v>
      </c>
      <c r="N36" s="447">
        <f t="shared" si="4"/>
        <v>0</v>
      </c>
      <c r="O36" s="447">
        <f t="shared" si="5"/>
        <v>0</v>
      </c>
      <c r="P36" s="447">
        <f t="shared" si="6"/>
        <v>0</v>
      </c>
      <c r="Q36" s="447">
        <f t="shared" si="7"/>
        <v>0</v>
      </c>
      <c r="S36" s="415" t="str">
        <f t="shared" si="8"/>
        <v>Pipe Replacement</v>
      </c>
      <c r="T36" s="415" t="str">
        <f t="shared" si="9"/>
        <v>Programmatic</v>
      </c>
      <c r="U36" s="412" t="str">
        <f t="shared" si="10"/>
        <v>G</v>
      </c>
      <c r="V36" s="447">
        <f t="shared" si="11"/>
        <v>0</v>
      </c>
      <c r="W36" s="447">
        <f t="shared" si="12"/>
        <v>725787.04</v>
      </c>
      <c r="X36" s="447">
        <f t="shared" si="13"/>
        <v>2678130.2400000002</v>
      </c>
      <c r="Y36" s="447">
        <f t="shared" si="14"/>
        <v>4756418.09</v>
      </c>
      <c r="Z36" s="447">
        <f t="shared" si="15"/>
        <v>0</v>
      </c>
      <c r="AB36" s="413">
        <f t="shared" si="16"/>
        <v>0</v>
      </c>
    </row>
    <row r="37" spans="1:28" x14ac:dyDescent="0.3">
      <c r="A37" s="415" t="s">
        <v>1605</v>
      </c>
      <c r="B37" s="415" t="s">
        <v>26</v>
      </c>
      <c r="C37" s="446" t="str">
        <f>VLOOKUP(A37,'Calc Program Gross Plant'!$A$5:$C$55,3,FALSE)</f>
        <v>C</v>
      </c>
      <c r="D37" s="418">
        <v>0</v>
      </c>
      <c r="E37" s="413">
        <v>1511738.0699999996</v>
      </c>
      <c r="F37" s="413">
        <v>10311442.470000001</v>
      </c>
      <c r="G37" s="413">
        <v>24209227.430000003</v>
      </c>
      <c r="H37" s="413">
        <v>0</v>
      </c>
      <c r="J37" s="415" t="str">
        <f t="shared" si="0"/>
        <v>Projected - Common</v>
      </c>
      <c r="K37" s="415" t="str">
        <f t="shared" si="1"/>
        <v>Projected</v>
      </c>
      <c r="L37" s="412" t="str">
        <f t="shared" si="2"/>
        <v>C</v>
      </c>
      <c r="M37" s="447">
        <f t="shared" si="3"/>
        <v>0</v>
      </c>
      <c r="N37" s="447">
        <f t="shared" si="4"/>
        <v>996840.08335799968</v>
      </c>
      <c r="O37" s="447">
        <f t="shared" si="5"/>
        <v>6799365.1647180002</v>
      </c>
      <c r="P37" s="447">
        <f t="shared" si="6"/>
        <v>15963564.567342002</v>
      </c>
      <c r="Q37" s="447">
        <f t="shared" si="7"/>
        <v>0</v>
      </c>
      <c r="S37" s="415" t="str">
        <f t="shared" si="8"/>
        <v>Projected - Common</v>
      </c>
      <c r="T37" s="415" t="str">
        <f t="shared" si="9"/>
        <v>Projected</v>
      </c>
      <c r="U37" s="412" t="str">
        <f t="shared" si="10"/>
        <v>C</v>
      </c>
      <c r="V37" s="447">
        <f t="shared" si="11"/>
        <v>0</v>
      </c>
      <c r="W37" s="447">
        <f t="shared" si="12"/>
        <v>514897.98664199986</v>
      </c>
      <c r="X37" s="447">
        <f t="shared" si="13"/>
        <v>3512077.3052820005</v>
      </c>
      <c r="Y37" s="447">
        <f t="shared" si="14"/>
        <v>8245662.8626580015</v>
      </c>
      <c r="Z37" s="447">
        <f t="shared" si="15"/>
        <v>0</v>
      </c>
      <c r="AB37" s="413">
        <f t="shared" ref="AB37:AB56" si="17">SUM(D37:H37)-SUM(M37:Q37)-SUM(V37:Z37)</f>
        <v>0</v>
      </c>
    </row>
    <row r="38" spans="1:28" x14ac:dyDescent="0.3">
      <c r="A38" s="415" t="s">
        <v>1604</v>
      </c>
      <c r="B38" s="415" t="s">
        <v>26</v>
      </c>
      <c r="C38" s="446" t="str">
        <f>VLOOKUP(A38,'Calc Program Gross Plant'!$A$5:$C$55,3,FALSE)</f>
        <v>E</v>
      </c>
      <c r="D38" s="418">
        <v>0</v>
      </c>
      <c r="E38" s="413">
        <v>1713086.3499999996</v>
      </c>
      <c r="F38" s="413">
        <v>7723735.8300000019</v>
      </c>
      <c r="G38" s="413">
        <v>14538698.85</v>
      </c>
      <c r="H38" s="413">
        <v>0</v>
      </c>
      <c r="J38" s="415" t="str">
        <f t="shared" si="0"/>
        <v>Projected - Electric</v>
      </c>
      <c r="K38" s="415" t="str">
        <f t="shared" si="1"/>
        <v>Projected</v>
      </c>
      <c r="L38" s="412" t="str">
        <f t="shared" si="2"/>
        <v>E</v>
      </c>
      <c r="M38" s="447">
        <f t="shared" si="3"/>
        <v>0</v>
      </c>
      <c r="N38" s="447">
        <f t="shared" si="4"/>
        <v>1713086.3499999996</v>
      </c>
      <c r="O38" s="447">
        <f t="shared" si="5"/>
        <v>7723735.8300000019</v>
      </c>
      <c r="P38" s="447">
        <f t="shared" si="6"/>
        <v>14538698.85</v>
      </c>
      <c r="Q38" s="447">
        <f t="shared" si="7"/>
        <v>0</v>
      </c>
      <c r="S38" s="415" t="str">
        <f t="shared" si="8"/>
        <v>Projected - Electric</v>
      </c>
      <c r="T38" s="415" t="str">
        <f t="shared" si="9"/>
        <v>Projected</v>
      </c>
      <c r="U38" s="412" t="str">
        <f t="shared" si="10"/>
        <v>E</v>
      </c>
      <c r="V38" s="447">
        <f t="shared" si="11"/>
        <v>0</v>
      </c>
      <c r="W38" s="447">
        <f t="shared" si="12"/>
        <v>0</v>
      </c>
      <c r="X38" s="447">
        <f t="shared" si="13"/>
        <v>0</v>
      </c>
      <c r="Y38" s="447">
        <f t="shared" si="14"/>
        <v>0</v>
      </c>
      <c r="Z38" s="447">
        <f t="shared" si="15"/>
        <v>0</v>
      </c>
      <c r="AB38" s="413">
        <f t="shared" si="17"/>
        <v>0</v>
      </c>
    </row>
    <row r="39" spans="1:28" x14ac:dyDescent="0.3">
      <c r="A39" s="415" t="s">
        <v>1603</v>
      </c>
      <c r="B39" s="415" t="s">
        <v>26</v>
      </c>
      <c r="C39" s="446" t="str">
        <f>VLOOKUP(A39,'Calc Program Gross Plant'!$A$5:$C$55,3,FALSE)</f>
        <v>G</v>
      </c>
      <c r="D39" s="418">
        <v>0</v>
      </c>
      <c r="E39" s="413">
        <v>167926.62</v>
      </c>
      <c r="F39" s="413">
        <v>1480381.7699999996</v>
      </c>
      <c r="G39" s="413">
        <v>2515580.2000000007</v>
      </c>
      <c r="H39" s="413">
        <v>0</v>
      </c>
      <c r="J39" s="415" t="str">
        <f t="shared" si="0"/>
        <v>Projected - Gas</v>
      </c>
      <c r="K39" s="415" t="str">
        <f t="shared" si="1"/>
        <v>Projected</v>
      </c>
      <c r="L39" s="412" t="str">
        <f t="shared" si="2"/>
        <v>G</v>
      </c>
      <c r="M39" s="447">
        <f t="shared" si="3"/>
        <v>0</v>
      </c>
      <c r="N39" s="447">
        <f t="shared" si="4"/>
        <v>0</v>
      </c>
      <c r="O39" s="447">
        <f t="shared" si="5"/>
        <v>0</v>
      </c>
      <c r="P39" s="447">
        <f t="shared" si="6"/>
        <v>0</v>
      </c>
      <c r="Q39" s="447">
        <f t="shared" si="7"/>
        <v>0</v>
      </c>
      <c r="S39" s="415" t="str">
        <f t="shared" si="8"/>
        <v>Projected - Gas</v>
      </c>
      <c r="T39" s="415" t="str">
        <f t="shared" si="9"/>
        <v>Projected</v>
      </c>
      <c r="U39" s="412" t="str">
        <f t="shared" si="10"/>
        <v>G</v>
      </c>
      <c r="V39" s="447">
        <f t="shared" si="11"/>
        <v>0</v>
      </c>
      <c r="W39" s="447">
        <f t="shared" si="12"/>
        <v>167926.62</v>
      </c>
      <c r="X39" s="447">
        <f t="shared" si="13"/>
        <v>1480381.7699999996</v>
      </c>
      <c r="Y39" s="447">
        <f t="shared" si="14"/>
        <v>2515580.2000000007</v>
      </c>
      <c r="Z39" s="447">
        <f t="shared" si="15"/>
        <v>0</v>
      </c>
      <c r="AB39" s="413">
        <f t="shared" si="17"/>
        <v>0</v>
      </c>
    </row>
    <row r="40" spans="1:28" x14ac:dyDescent="0.3">
      <c r="A40" s="415" t="s">
        <v>31</v>
      </c>
      <c r="B40" s="415" t="s">
        <v>1168</v>
      </c>
      <c r="C40" s="446" t="str">
        <f>VLOOKUP(A40,'Calc Program Gross Plant'!$A$5:$C$55,3,FALSE)</f>
        <v>E</v>
      </c>
      <c r="D40" s="418">
        <v>0</v>
      </c>
      <c r="E40" s="413">
        <v>16663.02</v>
      </c>
      <c r="F40" s="413">
        <v>109206.72</v>
      </c>
      <c r="G40" s="413">
        <v>342571.02</v>
      </c>
      <c r="H40" s="413">
        <v>0</v>
      </c>
      <c r="J40" s="415" t="str">
        <f t="shared" si="0"/>
        <v>Resilience Enhancement</v>
      </c>
      <c r="K40" s="415" t="str">
        <f t="shared" si="1"/>
        <v>Programmatic</v>
      </c>
      <c r="L40" s="412" t="str">
        <f t="shared" si="2"/>
        <v>E</v>
      </c>
      <c r="M40" s="447">
        <f t="shared" si="3"/>
        <v>0</v>
      </c>
      <c r="N40" s="447">
        <f t="shared" si="4"/>
        <v>16663.02</v>
      </c>
      <c r="O40" s="447">
        <f t="shared" si="5"/>
        <v>109206.72</v>
      </c>
      <c r="P40" s="447">
        <f t="shared" si="6"/>
        <v>342571.02</v>
      </c>
      <c r="Q40" s="447">
        <f t="shared" si="7"/>
        <v>0</v>
      </c>
      <c r="S40" s="415" t="str">
        <f t="shared" si="8"/>
        <v>Resilience Enhancement</v>
      </c>
      <c r="T40" s="415" t="str">
        <f t="shared" si="9"/>
        <v>Programmatic</v>
      </c>
      <c r="U40" s="412" t="str">
        <f t="shared" si="10"/>
        <v>E</v>
      </c>
      <c r="V40" s="447">
        <f t="shared" si="11"/>
        <v>0</v>
      </c>
      <c r="W40" s="447">
        <f t="shared" si="12"/>
        <v>0</v>
      </c>
      <c r="X40" s="447">
        <f t="shared" si="13"/>
        <v>0</v>
      </c>
      <c r="Y40" s="447">
        <f t="shared" si="14"/>
        <v>0</v>
      </c>
      <c r="Z40" s="447">
        <f t="shared" si="15"/>
        <v>0</v>
      </c>
      <c r="AB40" s="413">
        <f t="shared" si="17"/>
        <v>0</v>
      </c>
    </row>
    <row r="41" spans="1:28" x14ac:dyDescent="0.3">
      <c r="A41" s="415" t="s">
        <v>1602</v>
      </c>
      <c r="B41" s="415" t="s">
        <v>1168</v>
      </c>
      <c r="C41" s="446" t="str">
        <f>VLOOKUP(A41,'Calc Program Gross Plant'!$A$5:$C$55,3,FALSE)</f>
        <v>G</v>
      </c>
      <c r="D41" s="418">
        <v>0</v>
      </c>
      <c r="E41" s="413">
        <v>0</v>
      </c>
      <c r="F41" s="413">
        <v>0</v>
      </c>
      <c r="G41" s="413">
        <v>0</v>
      </c>
      <c r="H41" s="413">
        <v>0</v>
      </c>
      <c r="J41" s="415" t="str">
        <f t="shared" si="0"/>
        <v>RNG</v>
      </c>
      <c r="K41" s="415" t="str">
        <f t="shared" si="1"/>
        <v>Programmatic</v>
      </c>
      <c r="L41" s="412" t="str">
        <f t="shared" si="2"/>
        <v>G</v>
      </c>
      <c r="M41" s="447">
        <f t="shared" si="3"/>
        <v>0</v>
      </c>
      <c r="N41" s="447">
        <f t="shared" si="4"/>
        <v>0</v>
      </c>
      <c r="O41" s="447">
        <f t="shared" si="5"/>
        <v>0</v>
      </c>
      <c r="P41" s="447">
        <f t="shared" si="6"/>
        <v>0</v>
      </c>
      <c r="Q41" s="447">
        <f t="shared" si="7"/>
        <v>0</v>
      </c>
      <c r="S41" s="415" t="str">
        <f t="shared" si="8"/>
        <v>RNG</v>
      </c>
      <c r="T41" s="415" t="str">
        <f t="shared" si="9"/>
        <v>Programmatic</v>
      </c>
      <c r="U41" s="412" t="str">
        <f t="shared" si="10"/>
        <v>G</v>
      </c>
      <c r="V41" s="447">
        <f t="shared" si="11"/>
        <v>0</v>
      </c>
      <c r="W41" s="447">
        <f t="shared" si="12"/>
        <v>0</v>
      </c>
      <c r="X41" s="447">
        <f t="shared" si="13"/>
        <v>0</v>
      </c>
      <c r="Y41" s="447">
        <f t="shared" si="14"/>
        <v>0</v>
      </c>
      <c r="Z41" s="447">
        <f t="shared" si="15"/>
        <v>0</v>
      </c>
      <c r="AB41" s="413">
        <f t="shared" si="17"/>
        <v>0</v>
      </c>
    </row>
    <row r="42" spans="1:28" x14ac:dyDescent="0.3">
      <c r="A42" s="415" t="s">
        <v>1601</v>
      </c>
      <c r="B42" s="415" t="s">
        <v>1181</v>
      </c>
      <c r="C42" s="446" t="str">
        <f>VLOOKUP(A42,'Calc Program Gross Plant'!$A$5:$C$55,3,FALSE)</f>
        <v>E</v>
      </c>
      <c r="D42" s="418">
        <v>0</v>
      </c>
      <c r="E42" s="413">
        <v>0</v>
      </c>
      <c r="F42" s="413">
        <v>89063.22</v>
      </c>
      <c r="G42" s="413">
        <v>285680.94</v>
      </c>
      <c r="H42" s="413">
        <v>0</v>
      </c>
      <c r="J42" s="415" t="str">
        <f t="shared" si="0"/>
        <v>Rooftop Solar</v>
      </c>
      <c r="K42" s="415" t="str">
        <f t="shared" si="1"/>
        <v>Specific</v>
      </c>
      <c r="L42" s="412" t="str">
        <f t="shared" si="2"/>
        <v>E</v>
      </c>
      <c r="M42" s="447">
        <f t="shared" si="3"/>
        <v>0</v>
      </c>
      <c r="N42" s="447">
        <f t="shared" si="4"/>
        <v>0</v>
      </c>
      <c r="O42" s="447">
        <f t="shared" si="5"/>
        <v>89063.22</v>
      </c>
      <c r="P42" s="447">
        <f t="shared" si="6"/>
        <v>285680.94</v>
      </c>
      <c r="Q42" s="447">
        <f t="shared" si="7"/>
        <v>0</v>
      </c>
      <c r="S42" s="415" t="str">
        <f t="shared" si="8"/>
        <v>Rooftop Solar</v>
      </c>
      <c r="T42" s="415" t="str">
        <f t="shared" si="9"/>
        <v>Specific</v>
      </c>
      <c r="U42" s="412" t="str">
        <f t="shared" si="10"/>
        <v>E</v>
      </c>
      <c r="V42" s="447">
        <f t="shared" si="11"/>
        <v>0</v>
      </c>
      <c r="W42" s="447">
        <f t="shared" si="12"/>
        <v>0</v>
      </c>
      <c r="X42" s="447">
        <f t="shared" si="13"/>
        <v>0</v>
      </c>
      <c r="Y42" s="447">
        <f t="shared" si="14"/>
        <v>0</v>
      </c>
      <c r="Z42" s="447">
        <f t="shared" si="15"/>
        <v>0</v>
      </c>
      <c r="AB42" s="413">
        <f t="shared" si="17"/>
        <v>0</v>
      </c>
    </row>
    <row r="43" spans="1:28" x14ac:dyDescent="0.3">
      <c r="A43" s="415" t="s">
        <v>28</v>
      </c>
      <c r="B43" s="415" t="s">
        <v>1181</v>
      </c>
      <c r="C43" s="446" t="str">
        <f>VLOOKUP(A43,'Calc Program Gross Plant'!$A$5:$C$55,3,FALSE)</f>
        <v>E</v>
      </c>
      <c r="D43" s="418">
        <v>0</v>
      </c>
      <c r="E43" s="413">
        <v>27300.53</v>
      </c>
      <c r="F43" s="413">
        <v>722230.56</v>
      </c>
      <c r="G43" s="413">
        <v>840975.84000000008</v>
      </c>
      <c r="H43" s="413">
        <v>0</v>
      </c>
      <c r="J43" s="415" t="str">
        <f t="shared" si="0"/>
        <v>Sammamish Juanita 115Kv Tline</v>
      </c>
      <c r="K43" s="415" t="str">
        <f t="shared" si="1"/>
        <v>Specific</v>
      </c>
      <c r="L43" s="412" t="str">
        <f t="shared" si="2"/>
        <v>E</v>
      </c>
      <c r="M43" s="447">
        <f t="shared" si="3"/>
        <v>0</v>
      </c>
      <c r="N43" s="447">
        <f t="shared" si="4"/>
        <v>27300.53</v>
      </c>
      <c r="O43" s="447">
        <f t="shared" si="5"/>
        <v>722230.56</v>
      </c>
      <c r="P43" s="447">
        <f t="shared" si="6"/>
        <v>840975.84000000008</v>
      </c>
      <c r="Q43" s="447">
        <f t="shared" si="7"/>
        <v>0</v>
      </c>
      <c r="S43" s="415" t="str">
        <f t="shared" si="8"/>
        <v>Sammamish Juanita 115Kv Tline</v>
      </c>
      <c r="T43" s="415" t="str">
        <f t="shared" si="9"/>
        <v>Specific</v>
      </c>
      <c r="U43" s="412" t="str">
        <f t="shared" si="10"/>
        <v>E</v>
      </c>
      <c r="V43" s="447">
        <f t="shared" si="11"/>
        <v>0</v>
      </c>
      <c r="W43" s="447">
        <f t="shared" si="12"/>
        <v>0</v>
      </c>
      <c r="X43" s="447">
        <f t="shared" si="13"/>
        <v>0</v>
      </c>
      <c r="Y43" s="447">
        <f t="shared" si="14"/>
        <v>0</v>
      </c>
      <c r="Z43" s="447">
        <f t="shared" si="15"/>
        <v>0</v>
      </c>
      <c r="AB43" s="413">
        <f t="shared" si="17"/>
        <v>0</v>
      </c>
    </row>
    <row r="44" spans="1:28" x14ac:dyDescent="0.3">
      <c r="A44" s="415" t="s">
        <v>870</v>
      </c>
      <c r="B44" s="415" t="s">
        <v>1181</v>
      </c>
      <c r="C44" s="446" t="str">
        <f>VLOOKUP(A44,'Calc Program Gross Plant'!$A$5:$C$55,3,FALSE)</f>
        <v>C</v>
      </c>
      <c r="D44" s="418">
        <v>0</v>
      </c>
      <c r="E44" s="413">
        <v>0</v>
      </c>
      <c r="F44" s="413">
        <v>0</v>
      </c>
      <c r="G44" s="413">
        <v>501539.7</v>
      </c>
      <c r="H44" s="413">
        <v>0</v>
      </c>
      <c r="J44" s="415" t="str">
        <f t="shared" si="0"/>
        <v>SAP S/4 Hana</v>
      </c>
      <c r="K44" s="415" t="str">
        <f t="shared" si="1"/>
        <v>Specific</v>
      </c>
      <c r="L44" s="412" t="str">
        <f t="shared" si="2"/>
        <v>C</v>
      </c>
      <c r="M44" s="447">
        <f t="shared" si="3"/>
        <v>0</v>
      </c>
      <c r="N44" s="447">
        <f t="shared" si="4"/>
        <v>0</v>
      </c>
      <c r="O44" s="447">
        <f t="shared" si="5"/>
        <v>0</v>
      </c>
      <c r="P44" s="447">
        <f t="shared" si="6"/>
        <v>330715.27818000002</v>
      </c>
      <c r="Q44" s="447">
        <f t="shared" si="7"/>
        <v>0</v>
      </c>
      <c r="S44" s="415" t="str">
        <f t="shared" si="8"/>
        <v>SAP S/4 Hana</v>
      </c>
      <c r="T44" s="415" t="str">
        <f t="shared" si="9"/>
        <v>Specific</v>
      </c>
      <c r="U44" s="412" t="str">
        <f t="shared" si="10"/>
        <v>C</v>
      </c>
      <c r="V44" s="447">
        <f t="shared" si="11"/>
        <v>0</v>
      </c>
      <c r="W44" s="447">
        <f t="shared" si="12"/>
        <v>0</v>
      </c>
      <c r="X44" s="447">
        <f t="shared" si="13"/>
        <v>0</v>
      </c>
      <c r="Y44" s="447">
        <f t="shared" si="14"/>
        <v>170824.42182000002</v>
      </c>
      <c r="Z44" s="447">
        <f t="shared" si="15"/>
        <v>0</v>
      </c>
      <c r="AB44" s="413">
        <f t="shared" si="17"/>
        <v>0</v>
      </c>
    </row>
    <row r="45" spans="1:28" x14ac:dyDescent="0.3">
      <c r="A45" s="415" t="s">
        <v>29</v>
      </c>
      <c r="B45" s="415" t="s">
        <v>1181</v>
      </c>
      <c r="C45" s="446" t="str">
        <f>VLOOKUP(A45,'Calc Program Gross Plant'!$A$5:$C$55,3,FALSE)</f>
        <v>E</v>
      </c>
      <c r="D45" s="418">
        <v>0</v>
      </c>
      <c r="E45" s="413">
        <v>16285.32</v>
      </c>
      <c r="F45" s="413">
        <v>528091.31999999995</v>
      </c>
      <c r="G45" s="413">
        <v>655763.16</v>
      </c>
      <c r="H45" s="413">
        <v>0</v>
      </c>
      <c r="J45" s="415" t="str">
        <f t="shared" si="0"/>
        <v>Thurston Transmission Capacity</v>
      </c>
      <c r="K45" s="415" t="str">
        <f t="shared" si="1"/>
        <v>Specific</v>
      </c>
      <c r="L45" s="412" t="str">
        <f t="shared" si="2"/>
        <v>E</v>
      </c>
      <c r="M45" s="447">
        <f t="shared" si="3"/>
        <v>0</v>
      </c>
      <c r="N45" s="447">
        <f t="shared" si="4"/>
        <v>16285.32</v>
      </c>
      <c r="O45" s="447">
        <f t="shared" si="5"/>
        <v>528091.31999999995</v>
      </c>
      <c r="P45" s="447">
        <f t="shared" si="6"/>
        <v>655763.16</v>
      </c>
      <c r="Q45" s="447">
        <f t="shared" si="7"/>
        <v>0</v>
      </c>
      <c r="S45" s="415" t="str">
        <f t="shared" si="8"/>
        <v>Thurston Transmission Capacity</v>
      </c>
      <c r="T45" s="415" t="str">
        <f t="shared" si="9"/>
        <v>Specific</v>
      </c>
      <c r="U45" s="412" t="str">
        <f t="shared" si="10"/>
        <v>E</v>
      </c>
      <c r="V45" s="447">
        <f t="shared" si="11"/>
        <v>0</v>
      </c>
      <c r="W45" s="447">
        <f t="shared" si="12"/>
        <v>0</v>
      </c>
      <c r="X45" s="447">
        <f t="shared" si="13"/>
        <v>0</v>
      </c>
      <c r="Y45" s="447">
        <f t="shared" si="14"/>
        <v>0</v>
      </c>
      <c r="Z45" s="447">
        <f t="shared" si="15"/>
        <v>0</v>
      </c>
      <c r="AB45" s="413">
        <f t="shared" si="17"/>
        <v>0</v>
      </c>
    </row>
    <row r="46" spans="1:28" x14ac:dyDescent="0.3">
      <c r="A46" s="415" t="s">
        <v>30</v>
      </c>
      <c r="B46" s="415" t="s">
        <v>1181</v>
      </c>
      <c r="C46" s="446" t="str">
        <f>VLOOKUP(A46,'Calc Program Gross Plant'!$A$5:$C$55,3,FALSE)</f>
        <v>C</v>
      </c>
      <c r="D46" s="418">
        <v>0</v>
      </c>
      <c r="E46" s="413">
        <v>0</v>
      </c>
      <c r="F46" s="413">
        <v>0</v>
      </c>
      <c r="G46" s="413">
        <v>94754.469999999987</v>
      </c>
      <c r="H46" s="413">
        <v>0</v>
      </c>
      <c r="J46" s="415" t="str">
        <f t="shared" si="0"/>
        <v>Transport Network Modernization</v>
      </c>
      <c r="K46" s="415" t="str">
        <f t="shared" si="1"/>
        <v>Specific</v>
      </c>
      <c r="L46" s="412" t="str">
        <f t="shared" si="2"/>
        <v>C</v>
      </c>
      <c r="M46" s="447">
        <f t="shared" si="3"/>
        <v>0</v>
      </c>
      <c r="N46" s="447">
        <f t="shared" si="4"/>
        <v>0</v>
      </c>
      <c r="O46" s="447">
        <f t="shared" si="5"/>
        <v>0</v>
      </c>
      <c r="P46" s="447">
        <f t="shared" si="6"/>
        <v>62481.097517999988</v>
      </c>
      <c r="Q46" s="447">
        <f t="shared" si="7"/>
        <v>0</v>
      </c>
      <c r="S46" s="415" t="str">
        <f t="shared" si="8"/>
        <v>Transport Network Modernization</v>
      </c>
      <c r="T46" s="415" t="str">
        <f t="shared" si="9"/>
        <v>Specific</v>
      </c>
      <c r="U46" s="412" t="str">
        <f t="shared" si="10"/>
        <v>C</v>
      </c>
      <c r="V46" s="447">
        <f t="shared" si="11"/>
        <v>0</v>
      </c>
      <c r="W46" s="447">
        <f t="shared" si="12"/>
        <v>0</v>
      </c>
      <c r="X46" s="447">
        <f t="shared" si="13"/>
        <v>0</v>
      </c>
      <c r="Y46" s="447">
        <f t="shared" si="14"/>
        <v>32273.372481999995</v>
      </c>
      <c r="Z46" s="447">
        <f t="shared" si="15"/>
        <v>0</v>
      </c>
      <c r="AB46" s="413">
        <f t="shared" si="17"/>
        <v>0</v>
      </c>
    </row>
    <row r="47" spans="1:28" x14ac:dyDescent="0.3">
      <c r="A47" s="415" t="s">
        <v>1600</v>
      </c>
      <c r="B47" s="415" t="s">
        <v>1168</v>
      </c>
      <c r="C47" s="446" t="str">
        <f>VLOOKUP(A47,'Calc Program Gross Plant'!$A$5:$C$55,3,FALSE)</f>
        <v>E</v>
      </c>
      <c r="D47" s="418">
        <v>0</v>
      </c>
      <c r="E47" s="413">
        <v>0</v>
      </c>
      <c r="F47" s="413">
        <v>91470.12</v>
      </c>
      <c r="G47" s="413">
        <v>610760.16</v>
      </c>
      <c r="H47" s="413">
        <v>0</v>
      </c>
      <c r="J47" s="415" t="str">
        <f t="shared" si="0"/>
        <v>UG Feeders</v>
      </c>
      <c r="K47" s="415" t="str">
        <f t="shared" si="1"/>
        <v>Programmatic</v>
      </c>
      <c r="L47" s="412" t="str">
        <f t="shared" si="2"/>
        <v>E</v>
      </c>
      <c r="M47" s="447">
        <f t="shared" si="3"/>
        <v>0</v>
      </c>
      <c r="N47" s="447">
        <f t="shared" si="4"/>
        <v>0</v>
      </c>
      <c r="O47" s="447">
        <f t="shared" si="5"/>
        <v>91470.12</v>
      </c>
      <c r="P47" s="447">
        <f t="shared" si="6"/>
        <v>610760.16</v>
      </c>
      <c r="Q47" s="447">
        <f t="shared" si="7"/>
        <v>0</v>
      </c>
      <c r="S47" s="415" t="str">
        <f t="shared" si="8"/>
        <v>UG Feeders</v>
      </c>
      <c r="T47" s="415" t="str">
        <f t="shared" si="9"/>
        <v>Programmatic</v>
      </c>
      <c r="U47" s="412" t="str">
        <f t="shared" si="10"/>
        <v>E</v>
      </c>
      <c r="V47" s="447">
        <f t="shared" si="11"/>
        <v>0</v>
      </c>
      <c r="W47" s="447">
        <f t="shared" si="12"/>
        <v>0</v>
      </c>
      <c r="X47" s="447">
        <f t="shared" si="13"/>
        <v>0</v>
      </c>
      <c r="Y47" s="447">
        <f t="shared" si="14"/>
        <v>0</v>
      </c>
      <c r="Z47" s="447">
        <f t="shared" si="15"/>
        <v>0</v>
      </c>
      <c r="AB47" s="413">
        <f t="shared" si="17"/>
        <v>0</v>
      </c>
    </row>
    <row r="48" spans="1:28" x14ac:dyDescent="0.3">
      <c r="A48" s="415"/>
      <c r="B48" s="415"/>
      <c r="C48" s="446"/>
      <c r="D48" s="418"/>
      <c r="E48" s="413"/>
      <c r="F48" s="413"/>
      <c r="G48" s="413"/>
      <c r="H48" s="413"/>
      <c r="J48" s="415"/>
      <c r="K48" s="415"/>
      <c r="L48" s="412"/>
      <c r="M48" s="447">
        <f t="shared" si="3"/>
        <v>0</v>
      </c>
      <c r="N48" s="447">
        <f t="shared" si="4"/>
        <v>0</v>
      </c>
      <c r="O48" s="447">
        <f t="shared" si="5"/>
        <v>0</v>
      </c>
      <c r="P48" s="447">
        <f t="shared" si="6"/>
        <v>0</v>
      </c>
      <c r="Q48" s="447">
        <f t="shared" si="7"/>
        <v>0</v>
      </c>
      <c r="S48" s="415"/>
      <c r="T48" s="415"/>
      <c r="U48" s="412"/>
      <c r="V48" s="447">
        <f t="shared" si="11"/>
        <v>0</v>
      </c>
      <c r="W48" s="447">
        <f t="shared" si="12"/>
        <v>0</v>
      </c>
      <c r="X48" s="447">
        <f t="shared" si="13"/>
        <v>0</v>
      </c>
      <c r="Y48" s="447">
        <f t="shared" si="14"/>
        <v>0</v>
      </c>
      <c r="Z48" s="447">
        <f t="shared" si="15"/>
        <v>0</v>
      </c>
      <c r="AB48" s="413">
        <f t="shared" si="17"/>
        <v>0</v>
      </c>
    </row>
    <row r="49" spans="1:28" s="441" customFormat="1" x14ac:dyDescent="0.3">
      <c r="A49" s="415"/>
      <c r="B49" s="415"/>
      <c r="C49" s="446"/>
      <c r="D49" s="443"/>
      <c r="E49" s="442"/>
      <c r="F49" s="442"/>
      <c r="G49" s="442"/>
      <c r="H49" s="442"/>
      <c r="J49" s="445"/>
      <c r="K49" s="415"/>
      <c r="L49" s="444"/>
      <c r="M49" s="443">
        <f t="shared" si="3"/>
        <v>0</v>
      </c>
      <c r="N49" s="443">
        <f t="shared" si="4"/>
        <v>0</v>
      </c>
      <c r="O49" s="443">
        <f t="shared" si="5"/>
        <v>0</v>
      </c>
      <c r="P49" s="443">
        <f t="shared" si="6"/>
        <v>0</v>
      </c>
      <c r="Q49" s="443">
        <f t="shared" si="7"/>
        <v>0</v>
      </c>
      <c r="S49" s="445"/>
      <c r="T49" s="415"/>
      <c r="U49" s="444"/>
      <c r="V49" s="443">
        <f t="shared" si="11"/>
        <v>0</v>
      </c>
      <c r="W49" s="443">
        <f t="shared" si="12"/>
        <v>0</v>
      </c>
      <c r="X49" s="443">
        <f t="shared" si="13"/>
        <v>0</v>
      </c>
      <c r="Y49" s="443">
        <f t="shared" si="14"/>
        <v>0</v>
      </c>
      <c r="Z49" s="443">
        <f t="shared" si="15"/>
        <v>0</v>
      </c>
      <c r="AB49" s="442">
        <f t="shared" si="17"/>
        <v>0</v>
      </c>
    </row>
    <row r="50" spans="1:28" s="441" customFormat="1" x14ac:dyDescent="0.3">
      <c r="A50" s="415"/>
      <c r="B50" s="415"/>
      <c r="C50" s="446"/>
      <c r="D50" s="443"/>
      <c r="E50" s="442"/>
      <c r="F50" s="442"/>
      <c r="G50" s="442"/>
      <c r="H50" s="442"/>
      <c r="J50" s="445"/>
      <c r="K50" s="415"/>
      <c r="L50" s="444"/>
      <c r="M50" s="443">
        <f t="shared" si="3"/>
        <v>0</v>
      </c>
      <c r="N50" s="443">
        <f t="shared" si="4"/>
        <v>0</v>
      </c>
      <c r="O50" s="443">
        <f t="shared" si="5"/>
        <v>0</v>
      </c>
      <c r="P50" s="443">
        <f t="shared" si="6"/>
        <v>0</v>
      </c>
      <c r="Q50" s="443">
        <f t="shared" si="7"/>
        <v>0</v>
      </c>
      <c r="S50" s="445"/>
      <c r="T50" s="415"/>
      <c r="U50" s="444"/>
      <c r="V50" s="443">
        <f t="shared" si="11"/>
        <v>0</v>
      </c>
      <c r="W50" s="443">
        <f t="shared" si="12"/>
        <v>0</v>
      </c>
      <c r="X50" s="443">
        <f t="shared" si="13"/>
        <v>0</v>
      </c>
      <c r="Y50" s="443">
        <f t="shared" si="14"/>
        <v>0</v>
      </c>
      <c r="Z50" s="443">
        <f t="shared" si="15"/>
        <v>0</v>
      </c>
      <c r="AB50" s="442">
        <f t="shared" si="17"/>
        <v>0</v>
      </c>
    </row>
    <row r="51" spans="1:28" s="441" customFormat="1" x14ac:dyDescent="0.3">
      <c r="A51" s="415"/>
      <c r="B51" s="415"/>
      <c r="C51" s="446"/>
      <c r="D51" s="443"/>
      <c r="E51" s="442"/>
      <c r="F51" s="442"/>
      <c r="G51" s="442"/>
      <c r="H51" s="442"/>
      <c r="J51" s="445"/>
      <c r="K51" s="415"/>
      <c r="L51" s="444"/>
      <c r="M51" s="443"/>
      <c r="N51" s="443"/>
      <c r="O51" s="443"/>
      <c r="P51" s="443"/>
      <c r="Q51" s="443"/>
      <c r="S51" s="445"/>
      <c r="T51" s="415"/>
      <c r="U51" s="444"/>
      <c r="V51" s="443"/>
      <c r="W51" s="443"/>
      <c r="X51" s="443"/>
      <c r="Y51" s="443"/>
      <c r="Z51" s="443"/>
      <c r="AB51" s="442">
        <f t="shared" si="17"/>
        <v>0</v>
      </c>
    </row>
    <row r="52" spans="1:28" s="441" customFormat="1" x14ac:dyDescent="0.3">
      <c r="A52" s="415"/>
      <c r="B52" s="415"/>
      <c r="C52" s="446"/>
      <c r="D52" s="443"/>
      <c r="E52" s="442"/>
      <c r="F52" s="442"/>
      <c r="G52" s="442"/>
      <c r="H52" s="442"/>
      <c r="J52" s="445"/>
      <c r="K52" s="415"/>
      <c r="L52" s="444"/>
      <c r="M52" s="443"/>
      <c r="N52" s="443"/>
      <c r="O52" s="443"/>
      <c r="P52" s="443"/>
      <c r="Q52" s="443"/>
      <c r="S52" s="445"/>
      <c r="T52" s="415"/>
      <c r="U52" s="444"/>
      <c r="V52" s="443"/>
      <c r="W52" s="443"/>
      <c r="X52" s="443"/>
      <c r="Y52" s="443"/>
      <c r="Z52" s="443"/>
      <c r="AB52" s="442">
        <f t="shared" si="17"/>
        <v>0</v>
      </c>
    </row>
    <row r="53" spans="1:28" s="441" customFormat="1" x14ac:dyDescent="0.3">
      <c r="A53" s="415"/>
      <c r="B53" s="415"/>
      <c r="C53" s="446"/>
      <c r="D53" s="443"/>
      <c r="E53" s="442"/>
      <c r="F53" s="442"/>
      <c r="G53" s="442"/>
      <c r="H53" s="442"/>
      <c r="J53" s="445"/>
      <c r="K53" s="415"/>
      <c r="L53" s="444"/>
      <c r="M53" s="443"/>
      <c r="N53" s="443"/>
      <c r="O53" s="443"/>
      <c r="P53" s="443"/>
      <c r="Q53" s="443"/>
      <c r="S53" s="445"/>
      <c r="T53" s="415"/>
      <c r="U53" s="444"/>
      <c r="V53" s="443"/>
      <c r="W53" s="443"/>
      <c r="X53" s="443"/>
      <c r="Y53" s="443"/>
      <c r="Z53" s="443"/>
      <c r="AB53" s="442">
        <f t="shared" si="17"/>
        <v>0</v>
      </c>
    </row>
    <row r="54" spans="1:28" s="441" customFormat="1" x14ac:dyDescent="0.3">
      <c r="A54" s="415"/>
      <c r="B54" s="415"/>
      <c r="C54" s="446"/>
      <c r="D54" s="443"/>
      <c r="E54" s="442"/>
      <c r="F54" s="442"/>
      <c r="G54" s="442"/>
      <c r="H54" s="442"/>
      <c r="J54" s="445"/>
      <c r="K54" s="415"/>
      <c r="L54" s="444"/>
      <c r="M54" s="443"/>
      <c r="N54" s="443"/>
      <c r="O54" s="443"/>
      <c r="P54" s="443"/>
      <c r="Q54" s="443"/>
      <c r="S54" s="445"/>
      <c r="T54" s="415"/>
      <c r="U54" s="444"/>
      <c r="V54" s="443"/>
      <c r="W54" s="443"/>
      <c r="X54" s="443"/>
      <c r="Y54" s="443"/>
      <c r="Z54" s="443"/>
      <c r="AB54" s="442">
        <f t="shared" si="17"/>
        <v>0</v>
      </c>
    </row>
    <row r="55" spans="1:28" x14ac:dyDescent="0.3">
      <c r="A55" s="420"/>
      <c r="B55" s="420"/>
      <c r="C55" s="440"/>
      <c r="D55" s="416"/>
      <c r="E55" s="419"/>
      <c r="F55" s="419"/>
      <c r="G55" s="419"/>
      <c r="H55" s="419"/>
      <c r="J55" s="420"/>
      <c r="K55" s="420"/>
      <c r="L55" s="417"/>
      <c r="M55" s="439"/>
      <c r="N55" s="439"/>
      <c r="O55" s="439"/>
      <c r="P55" s="439"/>
      <c r="Q55" s="439"/>
      <c r="S55" s="420"/>
      <c r="T55" s="420"/>
      <c r="U55" s="417"/>
      <c r="V55" s="439"/>
      <c r="W55" s="439"/>
      <c r="X55" s="439"/>
      <c r="Y55" s="439"/>
      <c r="Z55" s="439"/>
      <c r="AB55" s="442">
        <f t="shared" si="17"/>
        <v>0</v>
      </c>
    </row>
    <row r="56" spans="1:28" x14ac:dyDescent="0.3">
      <c r="A56" s="415" t="s">
        <v>828</v>
      </c>
      <c r="B56" s="415"/>
      <c r="D56" s="413">
        <f>SUM(D5:D55)</f>
        <v>0</v>
      </c>
      <c r="E56" s="413">
        <f>SUM(E5:E55)</f>
        <v>15319700.059999997</v>
      </c>
      <c r="F56" s="413">
        <f>SUM(F5:F55)</f>
        <v>57520876.75999999</v>
      </c>
      <c r="G56" s="413">
        <f>SUM(G5:G55)</f>
        <v>124424767.36</v>
      </c>
      <c r="H56" s="413">
        <f>SUM(H5:H55)</f>
        <v>0</v>
      </c>
      <c r="J56" s="415" t="s">
        <v>828</v>
      </c>
      <c r="K56" s="415"/>
      <c r="L56" s="412"/>
      <c r="M56" s="438">
        <f>SUM(M5:M55)</f>
        <v>0</v>
      </c>
      <c r="N56" s="438">
        <f>SUM(N5:N55)</f>
        <v>10065702.957324</v>
      </c>
      <c r="O56" s="438">
        <f>SUM(O5:O55)</f>
        <v>39639595.861442</v>
      </c>
      <c r="P56" s="438">
        <f>SUM(P5:P55)</f>
        <v>86663793.857683986</v>
      </c>
      <c r="Q56" s="438">
        <f>SUM(Q5:Q55)</f>
        <v>0</v>
      </c>
      <c r="S56" s="415" t="s">
        <v>828</v>
      </c>
      <c r="T56" s="415"/>
      <c r="U56" s="412"/>
      <c r="V56" s="438">
        <f>SUM(V5:V55)</f>
        <v>0</v>
      </c>
      <c r="W56" s="438">
        <f>SUM(W5:W55)</f>
        <v>5253997.1026760004</v>
      </c>
      <c r="X56" s="438">
        <f>SUM(X5:X55)</f>
        <v>17881280.898557998</v>
      </c>
      <c r="Y56" s="438">
        <f>SUM(Y5:Y55)</f>
        <v>37760973.502315998</v>
      </c>
      <c r="Z56" s="438">
        <f>SUM(Z5:Z55)</f>
        <v>0</v>
      </c>
      <c r="AB56" s="413">
        <f t="shared" si="17"/>
        <v>0</v>
      </c>
    </row>
    <row r="57" spans="1:28" x14ac:dyDescent="0.3">
      <c r="A57" s="415" t="s">
        <v>122</v>
      </c>
      <c r="B57" s="415"/>
      <c r="D57" s="413">
        <v>0</v>
      </c>
      <c r="E57" s="413">
        <v>0</v>
      </c>
      <c r="F57" s="413">
        <v>0</v>
      </c>
      <c r="G57" s="413">
        <v>0</v>
      </c>
      <c r="H57" s="413">
        <v>0</v>
      </c>
      <c r="K57" s="415"/>
      <c r="T57" s="415"/>
    </row>
  </sheetData>
  <conditionalFormatting sqref="D57:H57">
    <cfRule type="cellIs" dxfId="23" priority="9" operator="equal">
      <formula>0</formula>
    </cfRule>
    <cfRule type="cellIs" dxfId="22" priority="10" operator="notEqual">
      <formula>0</formula>
    </cfRule>
  </conditionalFormatting>
  <conditionalFormatting sqref="AB5">
    <cfRule type="cellIs" dxfId="21" priority="7" operator="equal">
      <formula>0</formula>
    </cfRule>
    <cfRule type="cellIs" dxfId="20" priority="8" operator="notEqual">
      <formula>0</formula>
    </cfRule>
  </conditionalFormatting>
  <conditionalFormatting sqref="AB6:AB48 AB56">
    <cfRule type="cellIs" dxfId="19" priority="5" operator="equal">
      <formula>0</formula>
    </cfRule>
    <cfRule type="cellIs" dxfId="18" priority="6" operator="notEqual">
      <formula>0</formula>
    </cfRule>
  </conditionalFormatting>
  <conditionalFormatting sqref="AB49">
    <cfRule type="cellIs" dxfId="17" priority="3" operator="equal">
      <formula>0</formula>
    </cfRule>
    <cfRule type="cellIs" dxfId="16" priority="4" operator="notEqual">
      <formula>0</formula>
    </cfRule>
  </conditionalFormatting>
  <conditionalFormatting sqref="AB50:AB55">
    <cfRule type="cellIs" dxfId="15" priority="1" operator="equal">
      <formula>0</formula>
    </cfRule>
    <cfRule type="cellIs" dxfId="14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54461A-5C70-4772-AC07-B4DCBD4702F7}"/>
</file>

<file path=customXml/itemProps2.xml><?xml version="1.0" encoding="utf-8"?>
<ds:datastoreItem xmlns:ds="http://schemas.openxmlformats.org/officeDocument/2006/customXml" ds:itemID="{F404FA75-5197-4A6D-97A3-3669E42149ED}"/>
</file>

<file path=customXml/itemProps3.xml><?xml version="1.0" encoding="utf-8"?>
<ds:datastoreItem xmlns:ds="http://schemas.openxmlformats.org/officeDocument/2006/customXml" ds:itemID="{5B3DA09F-E5BF-4D66-9CFA-B83786D20A1F}"/>
</file>

<file path=customXml/itemProps4.xml><?xml version="1.0" encoding="utf-8"?>
<ds:datastoreItem xmlns:ds="http://schemas.openxmlformats.org/officeDocument/2006/customXml" ds:itemID="{8CBBDB13-17A8-4655-ABAA-6E8783CB1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Elec Rev Req for COS</vt:lpstr>
      <vt:lpstr>Gas Rev Req for COS</vt:lpstr>
      <vt:lpstr>Source Data - Act v Plan by WBS</vt:lpstr>
      <vt:lpstr>Report Tables--&gt;</vt:lpstr>
      <vt:lpstr>STR RR Recalc (Table 1)</vt:lpstr>
      <vt:lpstr>Gross Plant Compare (Table 2)</vt:lpstr>
      <vt:lpstr>Variance Summary (Table 3)</vt:lpstr>
      <vt:lpstr>Electric Closings Summary</vt:lpstr>
      <vt:lpstr>Gas Closings Summary</vt:lpstr>
      <vt:lpstr>Rev Req Comparison</vt:lpstr>
      <vt:lpstr>2022 GRC SEF-23 Adds</vt:lpstr>
      <vt:lpstr>2022 GRC SEF-23 Retires</vt:lpstr>
      <vt:lpstr>2022 GRC SEF-24 Adds</vt:lpstr>
      <vt:lpstr>2022 GRC SEF-24 Retires</vt:lpstr>
      <vt:lpstr>Att D Tables--&gt;</vt:lpstr>
      <vt:lpstr>Att D Table</vt:lpstr>
      <vt:lpstr>Reconcile JAK-5 22 GRC</vt:lpstr>
      <vt:lpstr>Reconcile 2023 Actual GP&amp;Adds</vt:lpstr>
      <vt:lpstr>Ops Detail for Rpt</vt:lpstr>
      <vt:lpstr>Addtl Info--&gt;</vt:lpstr>
      <vt:lpstr>Ops Detail</vt:lpstr>
      <vt:lpstr>Ops Explain Table</vt:lpstr>
      <vt:lpstr>Eng ES Stlmt Chg</vt:lpstr>
      <vt:lpstr>SEF-23</vt:lpstr>
      <vt:lpstr>SEF-24</vt:lpstr>
      <vt:lpstr>2023 YE Gross Plant Detail</vt:lpstr>
      <vt:lpstr>2023 YE Accum Depr Detail</vt:lpstr>
      <vt:lpstr>2023 YE Def Tax Detail</vt:lpstr>
      <vt:lpstr>2023 YE Depr Expense</vt:lpstr>
      <vt:lpstr>2023 Retirement Depr Adj</vt:lpstr>
      <vt:lpstr>RB Act v Rates</vt:lpstr>
      <vt:lpstr>Calc Program Gross Plant</vt:lpstr>
      <vt:lpstr>Calc DG Gross Plant</vt:lpstr>
      <vt:lpstr>Calc Program Accum Depreciation</vt:lpstr>
      <vt:lpstr>Calc Program Deprec Exp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cp:lastPrinted>2023-03-25T15:36:11Z</cp:lastPrinted>
  <dcterms:created xsi:type="dcterms:W3CDTF">2023-02-14T21:02:27Z</dcterms:created>
  <dcterms:modified xsi:type="dcterms:W3CDTF">2024-10-15T17:39:13Z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