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16.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4 Report\2024-03-29 Capital Review, Metrics, Erng Shrg, IIJA-IRA\Revised Filing\"/>
    </mc:Choice>
  </mc:AlternateContent>
  <bookViews>
    <workbookView xWindow="0" yWindow="0" windowWidth="19200" windowHeight="5772" tabRatio="719"/>
  </bookViews>
  <sheets>
    <sheet name="AMI Rev Req Actual vs. Rates" sheetId="10" r:id="rId1"/>
    <sheet name="Variance Summary" sheetId="15" r:id="rId2"/>
    <sheet name="&lt;--- DR Tables" sheetId="18" r:id="rId3"/>
    <sheet name="Adjusted Variance" sheetId="13" r:id="rId4"/>
    <sheet name="Actual ---&gt;" sheetId="5" r:id="rId5"/>
    <sheet name="Electric Rev Req - Actual" sheetId="1" r:id="rId6"/>
    <sheet name="Gas Rev Req - Actual" sheetId="2" r:id="rId7"/>
    <sheet name="2023 Program - Actual" sheetId="3" r:id="rId8"/>
    <sheet name="2023 GP AMA - Actual" sheetId="12" r:id="rId9"/>
    <sheet name="NW Eq 2021 Act" sheetId="16" r:id="rId10"/>
    <sheet name="2024 Adds" sheetId="17" r:id="rId11"/>
    <sheet name="In Rates ---&gt;" sheetId="9" r:id="rId12"/>
    <sheet name="Electric Rev Req - In Rates" sheetId="6" r:id="rId13"/>
    <sheet name="Gas Rev Req - In Rates" sheetId="7" r:id="rId14"/>
    <sheet name="2023 Program - In Rates" sheetId="8" r:id="rId15"/>
    <sheet name="2023 GP AMA - In Rates" sheetId="11" r:id="rId16"/>
  </sheets>
  <definedNames>
    <definedName name="_Fill" localSheetId="6" hidden="1">#REF!</definedName>
    <definedName name="_Fill" localSheetId="13" hidden="1">#REF!</definedName>
    <definedName name="_Fill" hidden="1">#REF!</definedName>
    <definedName name="AAAAAAAAAAAAAA" hidden="1">{#N/A,#N/A,FALSE,"Coversheet";#N/A,#N/A,FALSE,"QA"}</definedName>
    <definedName name="b" hidden="1">{#N/A,#N/A,FALSE,"Coversheet";#N/A,#N/A,FALSE,"QA"}</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RENAME" localSheetId="6" hidden="1">#REF!</definedName>
    <definedName name="RENAME" localSheetId="13" hidden="1">#REF!</definedName>
    <definedName name="RENAME" hidden="1">#REF!</definedName>
    <definedName name="RENAME2" localSheetId="6" hidden="1">#REF!</definedName>
    <definedName name="RENAME2" localSheetId="13" hidden="1">#REF!</definedName>
    <definedName name="RENAME2" hidden="1">#REF!</definedName>
    <definedName name="TEst" hidden="1">{#N/A,#N/A,FALSE,"Coversheet";#N/A,#N/A,FALSE,"QA"}</definedName>
    <definedName name="w" localSheetId="6" hidden="1">#REF!</definedName>
    <definedName name="w" localSheetId="13" hidden="1">#REF!</definedName>
    <definedName name="w" hidden="1">#REF!</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17" l="1"/>
  <c r="H51" i="17"/>
  <c r="G51" i="17"/>
  <c r="F51" i="17"/>
  <c r="J51" i="17"/>
  <c r="K51" i="17"/>
  <c r="K52" i="17" l="1"/>
  <c r="K54" i="17" s="1"/>
  <c r="F13" i="13" s="1"/>
  <c r="O10" i="16"/>
  <c r="D12" i="13" s="1"/>
  <c r="N10" i="16"/>
  <c r="M10" i="16"/>
  <c r="L10" i="16"/>
  <c r="K10" i="16"/>
  <c r="J10" i="16"/>
  <c r="I10" i="16"/>
  <c r="H10" i="16"/>
  <c r="G10" i="16"/>
  <c r="F10" i="16"/>
  <c r="E10" i="16"/>
  <c r="D10" i="16"/>
  <c r="C10" i="16"/>
  <c r="B9" i="15" l="1"/>
  <c r="B8" i="15"/>
  <c r="B7" i="15"/>
  <c r="B6" i="15"/>
  <c r="H13" i="13"/>
  <c r="E8" i="15" s="1"/>
  <c r="G13" i="13"/>
  <c r="D8" i="15" s="1"/>
  <c r="G12" i="13"/>
  <c r="D7" i="15" s="1"/>
  <c r="F8" i="15" l="1"/>
  <c r="H12" i="13"/>
  <c r="I13" i="13"/>
  <c r="E7" i="15" l="1"/>
  <c r="F7" i="15" s="1"/>
  <c r="I12" i="13"/>
  <c r="F11" i="13" l="1"/>
  <c r="E11" i="13"/>
  <c r="E14" i="13" s="1"/>
  <c r="H10" i="13"/>
  <c r="G10" i="13"/>
  <c r="G9" i="13"/>
  <c r="H9" i="13" l="1"/>
  <c r="I9" i="13" s="1"/>
  <c r="I10" i="13"/>
  <c r="G8" i="13"/>
  <c r="H8" i="13"/>
  <c r="F14" i="13"/>
  <c r="C11" i="13"/>
  <c r="C14" i="13" s="1"/>
  <c r="G7" i="13"/>
  <c r="H7" i="13"/>
  <c r="G11" i="13"/>
  <c r="D11" i="13"/>
  <c r="H11" i="13" l="1"/>
  <c r="H14" i="13" s="1"/>
  <c r="E6" i="15"/>
  <c r="E9" i="15" s="1"/>
  <c r="G14" i="13"/>
  <c r="D6" i="15"/>
  <c r="D14" i="13"/>
  <c r="I7" i="13"/>
  <c r="I8" i="13"/>
  <c r="W18" i="12"/>
  <c r="V15" i="12"/>
  <c r="X15" i="12" s="1"/>
  <c r="V14" i="12"/>
  <c r="E6" i="12"/>
  <c r="S26" i="12"/>
  <c r="R26" i="12"/>
  <c r="Q26" i="12"/>
  <c r="P26" i="12"/>
  <c r="O26" i="12"/>
  <c r="N26" i="12"/>
  <c r="M26" i="12"/>
  <c r="L26" i="12"/>
  <c r="K26" i="12"/>
  <c r="J26" i="12"/>
  <c r="I26" i="12"/>
  <c r="H26" i="12"/>
  <c r="G26" i="12"/>
  <c r="S25" i="12"/>
  <c r="R25" i="12"/>
  <c r="R27" i="12" s="1"/>
  <c r="Q25" i="12"/>
  <c r="Q27" i="12" s="1"/>
  <c r="P25" i="12"/>
  <c r="P27" i="12" s="1"/>
  <c r="O25" i="12"/>
  <c r="O27" i="12" s="1"/>
  <c r="N25" i="12"/>
  <c r="N27" i="12" s="1"/>
  <c r="M25" i="12"/>
  <c r="L25" i="12"/>
  <c r="K25" i="12"/>
  <c r="K27" i="12" s="1"/>
  <c r="J25" i="12"/>
  <c r="J27" i="12" s="1"/>
  <c r="I25" i="12"/>
  <c r="I27" i="12" s="1"/>
  <c r="H25" i="12"/>
  <c r="H27" i="12" s="1"/>
  <c r="G25" i="12"/>
  <c r="G27" i="12" s="1"/>
  <c r="S23" i="12"/>
  <c r="R23" i="12"/>
  <c r="Q23" i="12"/>
  <c r="P23" i="12"/>
  <c r="O23" i="12"/>
  <c r="N23" i="12"/>
  <c r="M23" i="12"/>
  <c r="L23" i="12"/>
  <c r="K23" i="12"/>
  <c r="J23" i="12"/>
  <c r="I23" i="12"/>
  <c r="H23" i="12"/>
  <c r="G23" i="12"/>
  <c r="T22" i="12"/>
  <c r="T26" i="12" s="1"/>
  <c r="G6" i="12" s="1"/>
  <c r="T21" i="12"/>
  <c r="T25" i="12" s="1"/>
  <c r="S18" i="12"/>
  <c r="R18" i="12"/>
  <c r="Q18" i="12"/>
  <c r="P18" i="12"/>
  <c r="O18" i="12"/>
  <c r="N18" i="12"/>
  <c r="M18" i="12"/>
  <c r="L18" i="12"/>
  <c r="K18" i="12"/>
  <c r="J18" i="12"/>
  <c r="I18" i="12"/>
  <c r="H18" i="12"/>
  <c r="G18" i="12"/>
  <c r="T17" i="12"/>
  <c r="T16" i="12"/>
  <c r="T15" i="12"/>
  <c r="T14" i="12"/>
  <c r="T18" i="12" s="1"/>
  <c r="S27" i="12" l="1"/>
  <c r="V25" i="12"/>
  <c r="L27" i="12"/>
  <c r="M27" i="12"/>
  <c r="V26" i="12"/>
  <c r="X26" i="12" s="1"/>
  <c r="V17" i="12" s="1"/>
  <c r="X17" i="12" s="1"/>
  <c r="X14" i="12"/>
  <c r="F6" i="15"/>
  <c r="F9" i="15" s="1"/>
  <c r="D9" i="15"/>
  <c r="I11" i="13"/>
  <c r="I14" i="13" s="1"/>
  <c r="G5" i="12"/>
  <c r="G7" i="12" s="1"/>
  <c r="T27" i="12"/>
  <c r="T23" i="12"/>
  <c r="V27" i="12" l="1"/>
  <c r="W25" i="12"/>
  <c r="G8" i="12"/>
  <c r="W27" i="12" l="1"/>
  <c r="X25" i="12"/>
  <c r="X27" i="12" l="1"/>
  <c r="V16" i="12"/>
  <c r="B5" i="12"/>
  <c r="D5" i="12" s="1"/>
  <c r="B6" i="12"/>
  <c r="D6" i="12" s="1"/>
  <c r="X16" i="12" l="1"/>
  <c r="X18" i="12" s="1"/>
  <c r="V18" i="12"/>
  <c r="E5" i="12"/>
  <c r="E7" i="12" s="1"/>
  <c r="D7" i="12"/>
  <c r="D8" i="12" s="1"/>
  <c r="F6" i="12"/>
  <c r="H6" i="12" s="1"/>
  <c r="E11" i="2" l="1"/>
  <c r="F5" i="12"/>
  <c r="K6" i="11"/>
  <c r="K7" i="11" s="1"/>
  <c r="K8" i="11" s="1"/>
  <c r="K9" i="11" s="1"/>
  <c r="K10" i="11" s="1"/>
  <c r="K11" i="11" s="1"/>
  <c r="K12" i="11" s="1"/>
  <c r="K13" i="11" s="1"/>
  <c r="K14" i="11" s="1"/>
  <c r="K15" i="11" s="1"/>
  <c r="K16" i="11" s="1"/>
  <c r="K17" i="11" s="1"/>
  <c r="J6" i="11"/>
  <c r="J7" i="11" s="1"/>
  <c r="J8" i="11" s="1"/>
  <c r="J9" i="11" s="1"/>
  <c r="J10" i="11" s="1"/>
  <c r="J11" i="11" s="1"/>
  <c r="J12" i="11" s="1"/>
  <c r="J13" i="11" s="1"/>
  <c r="J14" i="11" s="1"/>
  <c r="J15" i="11" s="1"/>
  <c r="J16" i="11" s="1"/>
  <c r="J17" i="11" s="1"/>
  <c r="I6" i="11"/>
  <c r="H6" i="11"/>
  <c r="G29" i="11"/>
  <c r="G28" i="11"/>
  <c r="G27" i="11"/>
  <c r="G26" i="11"/>
  <c r="G25" i="11"/>
  <c r="G24" i="11"/>
  <c r="G23" i="11"/>
  <c r="G22" i="11"/>
  <c r="G21" i="11"/>
  <c r="G20" i="11"/>
  <c r="G19" i="11"/>
  <c r="G18" i="11"/>
  <c r="G17" i="11"/>
  <c r="G16" i="11"/>
  <c r="G15" i="11"/>
  <c r="G14" i="11"/>
  <c r="G13" i="11"/>
  <c r="G12" i="11"/>
  <c r="G11" i="11"/>
  <c r="G10" i="11"/>
  <c r="G9" i="11"/>
  <c r="G8" i="11"/>
  <c r="G7" i="11"/>
  <c r="G6" i="11"/>
  <c r="H7" i="11" l="1"/>
  <c r="N7" i="11" s="1"/>
  <c r="N6" i="11"/>
  <c r="I7" i="11"/>
  <c r="M6" i="11"/>
  <c r="O6" i="11" s="1"/>
  <c r="J18" i="11"/>
  <c r="J19" i="11" s="1"/>
  <c r="J20" i="11" s="1"/>
  <c r="J21" i="11" s="1"/>
  <c r="J22" i="11" s="1"/>
  <c r="J23" i="11" s="1"/>
  <c r="J24" i="11" s="1"/>
  <c r="J25" i="11" s="1"/>
  <c r="J26" i="11" s="1"/>
  <c r="J27" i="11" s="1"/>
  <c r="J28" i="11" s="1"/>
  <c r="J29" i="11" s="1"/>
  <c r="J31" i="11"/>
  <c r="J34" i="11" s="1"/>
  <c r="J36" i="11" s="1"/>
  <c r="K18" i="11"/>
  <c r="K19" i="11" s="1"/>
  <c r="K20" i="11" s="1"/>
  <c r="K21" i="11" s="1"/>
  <c r="K22" i="11" s="1"/>
  <c r="K23" i="11" s="1"/>
  <c r="K24" i="11" s="1"/>
  <c r="K25" i="11" s="1"/>
  <c r="K26" i="11" s="1"/>
  <c r="K27" i="11" s="1"/>
  <c r="K28" i="11" s="1"/>
  <c r="K29" i="11" s="1"/>
  <c r="K31" i="11"/>
  <c r="F7" i="12"/>
  <c r="F8" i="12" s="1"/>
  <c r="H5" i="12"/>
  <c r="H8" i="11"/>
  <c r="N8" i="11" s="1"/>
  <c r="L7" i="11"/>
  <c r="L6" i="11"/>
  <c r="K34" i="11" l="1"/>
  <c r="K35" i="11"/>
  <c r="I8" i="11"/>
  <c r="M7" i="11"/>
  <c r="O7" i="11" s="1"/>
  <c r="H7" i="12"/>
  <c r="E11" i="1"/>
  <c r="H9" i="11"/>
  <c r="N9" i="11" s="1"/>
  <c r="L8" i="11"/>
  <c r="I9" i="11" l="1"/>
  <c r="M8" i="11"/>
  <c r="O8" i="11" s="1"/>
  <c r="K36" i="11"/>
  <c r="H10" i="11"/>
  <c r="N10" i="11" s="1"/>
  <c r="L9" i="11"/>
  <c r="I10" i="11" l="1"/>
  <c r="M9" i="11"/>
  <c r="O9" i="11" s="1"/>
  <c r="H11" i="11"/>
  <c r="N11" i="11" s="1"/>
  <c r="L10" i="11"/>
  <c r="I11" i="11" l="1"/>
  <c r="M10" i="11"/>
  <c r="O10" i="11" s="1"/>
  <c r="H12" i="11"/>
  <c r="N12" i="11" s="1"/>
  <c r="L11" i="11"/>
  <c r="I12" i="11" l="1"/>
  <c r="M11" i="11"/>
  <c r="O11" i="11" s="1"/>
  <c r="H13" i="11"/>
  <c r="N13" i="11" s="1"/>
  <c r="L12" i="11"/>
  <c r="I13" i="11" l="1"/>
  <c r="M12" i="11"/>
  <c r="O12" i="11" s="1"/>
  <c r="H14" i="11"/>
  <c r="N14" i="11" s="1"/>
  <c r="L13" i="11"/>
  <c r="I14" i="11" l="1"/>
  <c r="M13" i="11"/>
  <c r="O13" i="11" s="1"/>
  <c r="H15" i="11"/>
  <c r="N15" i="11" s="1"/>
  <c r="L14" i="11"/>
  <c r="I15" i="11" l="1"/>
  <c r="M14" i="11"/>
  <c r="O14" i="11" s="1"/>
  <c r="H16" i="11"/>
  <c r="N16" i="11" s="1"/>
  <c r="L15" i="11"/>
  <c r="I16" i="11" l="1"/>
  <c r="M15" i="11"/>
  <c r="O15" i="11" s="1"/>
  <c r="H17" i="11"/>
  <c r="L16" i="11"/>
  <c r="N17" i="11" l="1"/>
  <c r="I17" i="11"/>
  <c r="M16" i="11"/>
  <c r="O16" i="11" s="1"/>
  <c r="H18" i="11"/>
  <c r="N18" i="11" s="1"/>
  <c r="L17" i="11"/>
  <c r="I18" i="11" l="1"/>
  <c r="M17" i="11"/>
  <c r="H19" i="11"/>
  <c r="N19" i="11" s="1"/>
  <c r="L18" i="11"/>
  <c r="O17" i="11" l="1"/>
  <c r="I19" i="11"/>
  <c r="M18" i="11"/>
  <c r="O18" i="11" s="1"/>
  <c r="H20" i="11"/>
  <c r="N20" i="11" s="1"/>
  <c r="L19" i="11"/>
  <c r="I20" i="11" l="1"/>
  <c r="M19" i="11"/>
  <c r="O19" i="11" s="1"/>
  <c r="H21" i="11"/>
  <c r="N21" i="11" s="1"/>
  <c r="L20" i="11"/>
  <c r="I21" i="11" l="1"/>
  <c r="M20" i="11"/>
  <c r="O20" i="11" s="1"/>
  <c r="H22" i="11"/>
  <c r="N22" i="11" s="1"/>
  <c r="L21" i="11"/>
  <c r="I22" i="11" l="1"/>
  <c r="M21" i="11"/>
  <c r="O21" i="11" s="1"/>
  <c r="H23" i="11"/>
  <c r="N23" i="11" s="1"/>
  <c r="L22" i="11"/>
  <c r="I23" i="11" l="1"/>
  <c r="M22" i="11"/>
  <c r="O22" i="11" s="1"/>
  <c r="H24" i="11"/>
  <c r="N24" i="11" s="1"/>
  <c r="L23" i="11"/>
  <c r="I24" i="11" l="1"/>
  <c r="M23" i="11"/>
  <c r="O23" i="11" s="1"/>
  <c r="H25" i="11"/>
  <c r="N25" i="11" s="1"/>
  <c r="L24" i="11"/>
  <c r="I25" i="11" l="1"/>
  <c r="M24" i="11"/>
  <c r="O24" i="11" s="1"/>
  <c r="H26" i="11"/>
  <c r="N26" i="11" s="1"/>
  <c r="L25" i="11"/>
  <c r="I26" i="11" l="1"/>
  <c r="M25" i="11"/>
  <c r="O25" i="11" s="1"/>
  <c r="H27" i="11"/>
  <c r="N27" i="11" s="1"/>
  <c r="L26" i="11"/>
  <c r="I27" i="11" l="1"/>
  <c r="M26" i="11"/>
  <c r="O26" i="11" s="1"/>
  <c r="H28" i="11"/>
  <c r="N28" i="11" s="1"/>
  <c r="L27" i="11"/>
  <c r="I28" i="11" l="1"/>
  <c r="M27" i="11"/>
  <c r="O27" i="11" s="1"/>
  <c r="H29" i="11"/>
  <c r="L28" i="11"/>
  <c r="N29" i="11" l="1"/>
  <c r="N31" i="11" s="1"/>
  <c r="H31" i="11"/>
  <c r="H35" i="11" s="1"/>
  <c r="I29" i="11"/>
  <c r="M28" i="11"/>
  <c r="O28" i="11" s="1"/>
  <c r="A21" i="6"/>
  <c r="A19" i="6"/>
  <c r="A18" i="6"/>
  <c r="A17" i="6"/>
  <c r="A16" i="6"/>
  <c r="A15" i="6"/>
  <c r="A14" i="6"/>
  <c r="A13" i="6"/>
  <c r="A12" i="6"/>
  <c r="A11" i="6"/>
  <c r="A9" i="6"/>
  <c r="A8" i="6"/>
  <c r="B21" i="2"/>
  <c r="B19" i="2"/>
  <c r="B18" i="2"/>
  <c r="B17" i="2"/>
  <c r="B16" i="2"/>
  <c r="B15" i="2"/>
  <c r="B14" i="2"/>
  <c r="B13" i="2"/>
  <c r="B12" i="2"/>
  <c r="B11" i="2"/>
  <c r="B9" i="2"/>
  <c r="B8" i="2"/>
  <c r="B21" i="1"/>
  <c r="B19" i="1"/>
  <c r="B18" i="1"/>
  <c r="B17" i="1"/>
  <c r="B16" i="1"/>
  <c r="B15" i="1"/>
  <c r="B14" i="1"/>
  <c r="B13" i="1"/>
  <c r="B12" i="1"/>
  <c r="B11" i="1"/>
  <c r="B9" i="1"/>
  <c r="B8" i="1"/>
  <c r="E7" i="8"/>
  <c r="N35" i="11" s="1"/>
  <c r="D7" i="8"/>
  <c r="N34" i="11" s="1"/>
  <c r="K7" i="8"/>
  <c r="D16" i="7" s="1"/>
  <c r="J7" i="8"/>
  <c r="D16" i="6" s="1"/>
  <c r="I7" i="8"/>
  <c r="D13" i="7" s="1"/>
  <c r="D13" i="6"/>
  <c r="G7" i="8"/>
  <c r="D12" i="7" s="1"/>
  <c r="F7" i="8"/>
  <c r="D12" i="6" s="1"/>
  <c r="A18" i="7"/>
  <c r="A19" i="7" s="1"/>
  <c r="A21" i="7" s="1"/>
  <c r="A9" i="7"/>
  <c r="A11" i="7" s="1"/>
  <c r="A12" i="7" s="1"/>
  <c r="A13" i="7" s="1"/>
  <c r="A14" i="7" s="1"/>
  <c r="A15" i="7" s="1"/>
  <c r="A16" i="7" s="1"/>
  <c r="F9" i="3"/>
  <c r="E12" i="1" s="1"/>
  <c r="E13" i="1"/>
  <c r="M29" i="11" l="1"/>
  <c r="I31" i="11"/>
  <c r="I34" i="11" s="1"/>
  <c r="L29" i="11"/>
  <c r="L31" i="11" s="1"/>
  <c r="H36" i="11"/>
  <c r="L35" i="11"/>
  <c r="D11" i="6"/>
  <c r="D11" i="7"/>
  <c r="N36" i="11"/>
  <c r="M35" i="11"/>
  <c r="E9" i="3"/>
  <c r="H9" i="12" s="1"/>
  <c r="D9" i="3"/>
  <c r="H8" i="12" s="1"/>
  <c r="G9" i="3"/>
  <c r="E12" i="2" s="1"/>
  <c r="J9" i="3"/>
  <c r="E16" i="1" s="1"/>
  <c r="K9" i="3"/>
  <c r="E16" i="2" s="1"/>
  <c r="H9" i="3"/>
  <c r="I9" i="3"/>
  <c r="E13" i="2" s="1"/>
  <c r="E14" i="2"/>
  <c r="E17" i="2" s="1"/>
  <c r="E14" i="1"/>
  <c r="E17" i="1" s="1"/>
  <c r="D14" i="7"/>
  <c r="D14" i="6"/>
  <c r="H7" i="8"/>
  <c r="I36" i="11" l="1"/>
  <c r="L34" i="11"/>
  <c r="O29" i="11"/>
  <c r="O31" i="11" s="1"/>
  <c r="M31" i="11"/>
  <c r="E18" i="2"/>
  <c r="E18" i="1"/>
  <c r="E19" i="1" s="1"/>
  <c r="E21" i="1" s="1"/>
  <c r="C8" i="10" s="1"/>
  <c r="E19" i="2"/>
  <c r="E21" i="2" s="1"/>
  <c r="D8" i="10" s="1"/>
  <c r="D18" i="6"/>
  <c r="D17" i="6"/>
  <c r="D19" i="6" s="1"/>
  <c r="D21" i="6" s="1"/>
  <c r="C7" i="10" s="1"/>
  <c r="D17" i="7"/>
  <c r="D18" i="7"/>
  <c r="L36" i="11" l="1"/>
  <c r="M34" i="11"/>
  <c r="M36" i="11" s="1"/>
  <c r="C9" i="10"/>
  <c r="E8" i="10"/>
  <c r="D19" i="7"/>
  <c r="D21" i="7" s="1"/>
  <c r="D7" i="10" s="1"/>
  <c r="E7" i="10" s="1"/>
  <c r="E9" i="10" l="1"/>
  <c r="D9" i="10"/>
</calcChain>
</file>

<file path=xl/sharedStrings.xml><?xml version="1.0" encoding="utf-8"?>
<sst xmlns="http://schemas.openxmlformats.org/spreadsheetml/2006/main" count="902" uniqueCount="248">
  <si>
    <t>Comparison of Revenue Requirement for AMI</t>
  </si>
  <si>
    <t>Actual vs. In Rates Subject to Refund</t>
  </si>
  <si>
    <t>Description</t>
  </si>
  <si>
    <t>Electric</t>
  </si>
  <si>
    <t>Gas</t>
  </si>
  <si>
    <t>Combined</t>
  </si>
  <si>
    <t>In Rates - Based on Forecast - Subject to Refund</t>
  </si>
  <si>
    <t>Based on Actuals</t>
  </si>
  <si>
    <t>(Actuals &gt; In Rates)</t>
  </si>
  <si>
    <t>(in millions)</t>
  </si>
  <si>
    <t xml:space="preserve">2022 - 2023 </t>
  </si>
  <si>
    <t>Line</t>
  </si>
  <si>
    <t>Forecast</t>
  </si>
  <si>
    <t>Actuals</t>
  </si>
  <si>
    <t>Variance</t>
  </si>
  <si>
    <t>d</t>
  </si>
  <si>
    <t>e</t>
  </si>
  <si>
    <t>f</t>
  </si>
  <si>
    <t xml:space="preserve">Totals from Attachment B to the 2023 and 2024 MYRP Reports. </t>
  </si>
  <si>
    <t>Add Network Equipment outside of review period</t>
  </si>
  <si>
    <t>Add Plant Closings that have/will close to plant in 2024</t>
  </si>
  <si>
    <t>Adjusted Variance for Appropriate Comparison</t>
  </si>
  <si>
    <t>Cumulative</t>
  </si>
  <si>
    <t>PB - WBS Level 3 - Description</t>
  </si>
  <si>
    <t>Actual</t>
  </si>
  <si>
    <t>Forecast &gt; Actual</t>
  </si>
  <si>
    <t>W_R.10009.12.01.01: C AMI Network Installations Gen Plant</t>
  </si>
  <si>
    <t>W_R.10009.12.01.03: E AMI Netwrk Installtion TransDist</t>
  </si>
  <si>
    <t>W_R.10009.12.01.04: E AMI Electric Meter Deployment</t>
  </si>
  <si>
    <t>W_R.10009.12.01.05: G AMI Gas Module Deployment</t>
  </si>
  <si>
    <t>Totals in 2022 - 2023 review period - See Attachment B to 2023 &amp; 2024 MYRP Report</t>
  </si>
  <si>
    <r>
      <t xml:space="preserve">Add Network Equipment outside of review period </t>
    </r>
    <r>
      <rPr>
        <b/>
        <sz val="10"/>
        <rFont val="Arial"/>
        <family val="2"/>
      </rPr>
      <t>(Note 1)</t>
    </r>
  </si>
  <si>
    <r>
      <t xml:space="preserve">Add Plant Closings that have/will close to plant in 2024 </t>
    </r>
    <r>
      <rPr>
        <b/>
        <sz val="10"/>
        <rFont val="Arial"/>
        <family val="2"/>
      </rPr>
      <t>(Note 2)</t>
    </r>
  </si>
  <si>
    <t>Appropriate Comparison</t>
  </si>
  <si>
    <r>
      <rPr>
        <b/>
        <sz val="10"/>
        <rFont val="Arial"/>
        <family val="2"/>
      </rPr>
      <t>(Note 1)</t>
    </r>
    <r>
      <rPr>
        <sz val="10"/>
        <rFont val="Arial"/>
      </rPr>
      <t xml:space="preserve"> This amount should be added as it was forecasted to be in service in 2022 (cells C7 and C8 above), but was actually placed in Service in December 2021. Therefore, in order to be comparable when </t>
    </r>
  </si>
  <si>
    <t xml:space="preserve">comparing the forecast to actuals, the plant which was placed in service in 2021 must be added to the actuals used for comparison. Also of note is that PSE's capital additions used in developing the </t>
  </si>
  <si>
    <t>revenue requirement approved in the 2022 GRC was based on actuals through September 2021, therefore, the network equipment was only included once.</t>
  </si>
  <si>
    <r>
      <rPr>
        <b/>
        <sz val="10"/>
        <rFont val="Arial"/>
        <family val="2"/>
      </rPr>
      <t>(Note 1)</t>
    </r>
    <r>
      <rPr>
        <sz val="10"/>
        <rFont val="Arial"/>
      </rPr>
      <t xml:space="preserve"> Although the AMI project was substantially complete at the end of 2023, the book accounting for the assets is such that project costs will close to plant in the ensuing months. This amount represents </t>
    </r>
  </si>
  <si>
    <t>the trailing costs that have been placed in service in 2024. Similar to Note 1, these amounts must be added to the actuals used for comparison in order for actuals to be on the same basis as forecast.</t>
  </si>
  <si>
    <t>Revenue Requirement Calculation</t>
  </si>
  <si>
    <t>Actuals - Electric AMI Subject to Refund Portion Only</t>
  </si>
  <si>
    <t>Stand Alone Revenue Requirement Calculation 2023</t>
  </si>
  <si>
    <t>Reference</t>
  </si>
  <si>
    <t>Weighted Average Cost of Debt</t>
  </si>
  <si>
    <t>2022 GRC Approved COC - SEF-3 page 2 line 22</t>
  </si>
  <si>
    <t>Gross Plant Balance</t>
  </si>
  <si>
    <t>From Tab 2023 Program - Actual</t>
  </si>
  <si>
    <t>Accumulated Depreciation</t>
  </si>
  <si>
    <t>Accumulated Deferred Income Tax</t>
  </si>
  <si>
    <t>Rate Year  Rate Base</t>
  </si>
  <si>
    <t>Depreciation Expense</t>
  </si>
  <si>
    <t>From Tab 2023 Program - Actual x 79%</t>
  </si>
  <si>
    <t>Tax Benefit of Proforma Interest</t>
  </si>
  <si>
    <t>Line 8 x 14 x 21%</t>
  </si>
  <si>
    <t>Return on Rate Base</t>
  </si>
  <si>
    <t>Line 8 x 14</t>
  </si>
  <si>
    <t xml:space="preserve">     Total Costs</t>
  </si>
  <si>
    <t>Pre-tax grossed up for Revenue Sensitive Items</t>
  </si>
  <si>
    <t>Line 19 ÷ 79% ÷ .952348</t>
  </si>
  <si>
    <t>2022 GRC Approved Conv Factor - SEF-3 page 3 line 18</t>
  </si>
  <si>
    <t>Actuals - Gas AMI Subject to Refund Portion Only</t>
  </si>
  <si>
    <t>2022 GRC Approved COC - SEF-8 page 2 line 22</t>
  </si>
  <si>
    <t>Line 19 ÷ 79% ÷ .955444</t>
  </si>
  <si>
    <t>2022 GRC Approved Conv Factor - SEF-8 page 3 line 18</t>
  </si>
  <si>
    <t>Rate Year 1 - 2023 - Actuals</t>
  </si>
  <si>
    <t>AMA using 2022 and 2023 cumulative balances</t>
  </si>
  <si>
    <t>Gross Plant</t>
  </si>
  <si>
    <t>ADFIT</t>
  </si>
  <si>
    <t>Program Name</t>
  </si>
  <si>
    <t>Used and Useful Category</t>
  </si>
  <si>
    <t>Company</t>
  </si>
  <si>
    <t>AMI Meters and Modules Deployment - Common</t>
  </si>
  <si>
    <t>Programmatic</t>
  </si>
  <si>
    <t>C</t>
  </si>
  <si>
    <t>AMI Pre-Cap Allocation - Electric</t>
  </si>
  <si>
    <t>Precap</t>
  </si>
  <si>
    <t>E</t>
  </si>
  <si>
    <t>AMI Meters and Modules Deployment - Electric</t>
  </si>
  <si>
    <t>AMI Pre-Cap Allocation - Gas</t>
  </si>
  <si>
    <t>G</t>
  </si>
  <si>
    <t>AMI Meters and Modules Deployment - Gas</t>
  </si>
  <si>
    <t>See "2023 GP AMA - Actual" Tab</t>
  </si>
  <si>
    <t xml:space="preserve">Minor </t>
  </si>
  <si>
    <t>Unreconciled</t>
  </si>
  <si>
    <t xml:space="preserve">Pre-Cap </t>
  </si>
  <si>
    <t>Project Cost</t>
  </si>
  <si>
    <t>Difference</t>
  </si>
  <si>
    <t>Materials</t>
  </si>
  <si>
    <t>Total</t>
  </si>
  <si>
    <t xml:space="preserve">From Att B </t>
  </si>
  <si>
    <t>Project</t>
  </si>
  <si>
    <t>12/31/2023 AMA</t>
  </si>
  <si>
    <t>From File</t>
  </si>
  <si>
    <t>2024 MYRP Rpt</t>
  </si>
  <si>
    <t>Agrees</t>
  </si>
  <si>
    <r>
      <t xml:space="preserve">Project Costs </t>
    </r>
    <r>
      <rPr>
        <b/>
        <i/>
        <sz val="10"/>
        <rFont val="Arial"/>
        <family val="2"/>
      </rPr>
      <t>(See Attachment B to 2024 MYRP Annual Report, tab "Reconcile 2023 Actual GP&amp;Adds", rows 522 - 525)</t>
    </r>
  </si>
  <si>
    <t>Total Project Costs</t>
  </si>
  <si>
    <r>
      <t xml:space="preserve">Pre-Cap Materials </t>
    </r>
    <r>
      <rPr>
        <b/>
        <i/>
        <sz val="10"/>
        <rFont val="Arial"/>
        <family val="2"/>
      </rPr>
      <t>(Allocated portion of rows 41 and 296 in Attachment B to 2024 MYRP Annual Report, tab "Reconcile 2023 Actual GP&amp;Adds")</t>
    </r>
  </si>
  <si>
    <t>2023 Precap Adds w/ Unreconciled Difference</t>
  </si>
  <si>
    <t>Network Equipment 2021 Closings</t>
  </si>
  <si>
    <t>Depr Group</t>
  </si>
  <si>
    <t>Grand Total</t>
  </si>
  <si>
    <t>C3970 CMN Comm Equip, new</t>
  </si>
  <si>
    <t>C3974 CMN Comm Equip, AMI Network</t>
  </si>
  <si>
    <t>PT - Company</t>
  </si>
  <si>
    <t>PB - WBS Level 3</t>
  </si>
  <si>
    <t>PB - Depr Group</t>
  </si>
  <si>
    <t>ST Item: Summary Item for Rate Base Report of ST - Item</t>
  </si>
  <si>
    <t>ST - Item</t>
  </si>
  <si>
    <t>Jan-2024</t>
  </si>
  <si>
    <t>Feb-2024</t>
  </si>
  <si>
    <t>Mar-2024</t>
  </si>
  <si>
    <t>Apr-2024</t>
  </si>
  <si>
    <t>May-2024</t>
  </si>
  <si>
    <t>Jun-2024</t>
  </si>
  <si>
    <t>Jul-2024</t>
  </si>
  <si>
    <t>Aug-2024</t>
  </si>
  <si>
    <t>Sep-2024</t>
  </si>
  <si>
    <t>Oct-2024</t>
  </si>
  <si>
    <t>Nov-2024</t>
  </si>
  <si>
    <t>Dec-2024</t>
  </si>
  <si>
    <t>Actual-WBS</t>
  </si>
  <si>
    <t>Actual-DeprGrp</t>
  </si>
  <si>
    <t>Program</t>
  </si>
  <si>
    <t>U&amp;U Category</t>
  </si>
  <si>
    <t>Rate Year 1</t>
  </si>
  <si>
    <t>Rate Year 2</t>
  </si>
  <si>
    <t>Placeholder WBS</t>
  </si>
  <si>
    <t>Testimony</t>
  </si>
  <si>
    <t>1000: Puget Sound Energy</t>
  </si>
  <si>
    <t>21699834: C3974 CMN Comm Equip, AMI Network</t>
  </si>
  <si>
    <t>Plant Book Adds</t>
  </si>
  <si>
    <t>R.10009.12.01.01</t>
  </si>
  <si>
    <t>AMI Meters and Modules Deployment</t>
  </si>
  <si>
    <t>Programmatic: Programmatic</t>
  </si>
  <si>
    <t>NOT</t>
  </si>
  <si>
    <t>Operations</t>
  </si>
  <si>
    <t>522699: E3640 DST Poles/Towers/Fixtures</t>
  </si>
  <si>
    <t>E3640 DST Poles/Towers/Fixtures</t>
  </si>
  <si>
    <t>544592: E3620 DST Substation Equipment</t>
  </si>
  <si>
    <t>E3620 DST Substation Equipment</t>
  </si>
  <si>
    <t>544686: E3650 DST O/H Conductor/Devices</t>
  </si>
  <si>
    <t>E3650 DST O/H Conductor/Devices</t>
  </si>
  <si>
    <t>544733: E3660 DST U/G Conduit</t>
  </si>
  <si>
    <t>E3660 DST U/G Conduit</t>
  </si>
  <si>
    <t>544780: E3670 DST U/G Conductor/Devices</t>
  </si>
  <si>
    <t>E3670 DST U/G Conductor/Devices</t>
  </si>
  <si>
    <t>544827: E368 DST Line Transformers</t>
  </si>
  <si>
    <t>E368 DST Line Transformers</t>
  </si>
  <si>
    <t>544874: E369 DST Services</t>
  </si>
  <si>
    <t>E369 DST Services</t>
  </si>
  <si>
    <t>545062: E373 DST Street Lighting &amp; Signal</t>
  </si>
  <si>
    <t>E373 DST Street Lighting &amp; Signal</t>
  </si>
  <si>
    <t>546175: C3970 CMN Comm Equip, new</t>
  </si>
  <si>
    <t>R.10009.12.01.03</t>
  </si>
  <si>
    <t>32944527: E3701 DST Meters AMI</t>
  </si>
  <si>
    <t>R.10009.12.01.04</t>
  </si>
  <si>
    <t>E3701 DST Meters AMI</t>
  </si>
  <si>
    <t>545109: E36010 DST Easements</t>
  </si>
  <si>
    <t>E36010 DST Easements</t>
  </si>
  <si>
    <t>545528: E3970 GEN Comm Equip, new</t>
  </si>
  <si>
    <t>E3970 GEN Comm Equip, new</t>
  </si>
  <si>
    <t>1550399: G3802 DST Services, Plastic</t>
  </si>
  <si>
    <t>R.10009.12.01.05</t>
  </si>
  <si>
    <t>G3802 DST Services, Plastic</t>
  </si>
  <si>
    <t>1550446: G3803 DST Services, Steel Wrapped</t>
  </si>
  <si>
    <t>G3803 DST Services, Steel Wrapped</t>
  </si>
  <si>
    <t>33353348: G3812 DST Modules, AMI</t>
  </si>
  <si>
    <t>G3812 DST Modules, AMI</t>
  </si>
  <si>
    <t>33353350: G3822 DST Module Installations, AMI</t>
  </si>
  <si>
    <t>G3822 DST Module Installations, AMI</t>
  </si>
  <si>
    <t>547864: G3780 DST Measuring &amp; Reg Station</t>
  </si>
  <si>
    <t>G3780 DST Measuring &amp; Reg Station</t>
  </si>
  <si>
    <t>548005: G3820 DST Meter Installations (AMR)</t>
  </si>
  <si>
    <t>G3820 DST Meter Installations (AMR)</t>
  </si>
  <si>
    <t>548146: G385 DST Industrial M&amp;R Sta Eq</t>
  </si>
  <si>
    <t>G385 DST Industrial M&amp;R Sta Eq</t>
  </si>
  <si>
    <t>720863: G3801 DST Services, Cathodic Protec</t>
  </si>
  <si>
    <t>G3801 DST Services, Cathodic Protec</t>
  </si>
  <si>
    <t>775811: G3762 DST Mains, Plastic</t>
  </si>
  <si>
    <t>G3762 DST Mains, Plastic</t>
  </si>
  <si>
    <t>775858: G3764 DST Mains, Wrapped Steel</t>
  </si>
  <si>
    <t>G3764 DST Mains, Wrapped Steel</t>
  </si>
  <si>
    <t>776084: G3765 DST Mains, Cathodic Protectio</t>
  </si>
  <si>
    <t>G3765 DST Mains, Cathodic Protectio</t>
  </si>
  <si>
    <t>W_ELEC PRECAP: Elec precap</t>
  </si>
  <si>
    <t>PRECAP</t>
  </si>
  <si>
    <t>Pre-Capitalized Plant</t>
  </si>
  <si>
    <t>NO</t>
  </si>
  <si>
    <t>544921: E370 DST Meters AMR</t>
  </si>
  <si>
    <t>E370 DST Meters AMR</t>
  </si>
  <si>
    <t>W_GAS PRECAP: Gas precap</t>
  </si>
  <si>
    <t>33353349: G3813 DST Modules, AMR</t>
  </si>
  <si>
    <t>G3813 DST Modules, AMR</t>
  </si>
  <si>
    <t>547958: G3810 DST Meters (AMR)</t>
  </si>
  <si>
    <t>G3810 DST Meters (AMR)</t>
  </si>
  <si>
    <t>548052: G383 DST House Regulators</t>
  </si>
  <si>
    <t>G383 DST House Regulators</t>
  </si>
  <si>
    <t>Year-to-Date June 2024</t>
  </si>
  <si>
    <t>Amounts still in CWIP</t>
  </si>
  <si>
    <t>2024 Adds</t>
  </si>
  <si>
    <t>Electric AMI Subject to Refund Portion Only</t>
  </si>
  <si>
    <t>From Tab 2023 Program - In Rates</t>
  </si>
  <si>
    <t>From Tab 2023 Program - In Rates x 79%</t>
  </si>
  <si>
    <t>Gas AMI Subject to Refund Portion Only</t>
  </si>
  <si>
    <t>Rate Year 1 - 2023 - Set in Rates</t>
  </si>
  <si>
    <t>Amounts are from the "NEW-PSE-WP-SEF-6E-11G-ProvProforma-22GRC-01-2022.xlsx" file in the 2022 GRC Compliance Filing to set rates.</t>
  </si>
  <si>
    <t>Electric 4-Factor</t>
  </si>
  <si>
    <t>Gas 4-Factor</t>
  </si>
  <si>
    <t>Calcluation of Gross Plant AMA Balance</t>
  </si>
  <si>
    <t>Activity</t>
  </si>
  <si>
    <t>Cumulative Balances</t>
  </si>
  <si>
    <t>Allocate to Electric vs. Gas</t>
  </si>
  <si>
    <t>Month</t>
  </si>
  <si>
    <t>W_R.10009.12.01.05: 
G AMI Gas Module Deployment</t>
  </si>
  <si>
    <t>W_R.10009.12.01.03: 
E AMI Netwrk Installtion TransDist</t>
  </si>
  <si>
    <t>W_R.10009.12.01.04: 
E AMI Electric Meter Deployment</t>
  </si>
  <si>
    <t>W_R.10009.12.01.01: 
C AMI Network Installations Gen Plant</t>
  </si>
  <si>
    <t>All AMI</t>
  </si>
  <si>
    <t>Jan - 2022</t>
  </si>
  <si>
    <t>Feb - 2022</t>
  </si>
  <si>
    <t>Mar - 2022</t>
  </si>
  <si>
    <t>Apr - 2022</t>
  </si>
  <si>
    <t>May - 2022</t>
  </si>
  <si>
    <t>Jun - 2022</t>
  </si>
  <si>
    <t>Jul - 2022</t>
  </si>
  <si>
    <t>Aug - 2022</t>
  </si>
  <si>
    <t>Sep - 2022</t>
  </si>
  <si>
    <t>Oct - 2022</t>
  </si>
  <si>
    <t>Nov - 2022</t>
  </si>
  <si>
    <t>Dec - 2022</t>
  </si>
  <si>
    <t>Jan - 2023</t>
  </si>
  <si>
    <t>Feb - 2023</t>
  </si>
  <si>
    <t>Mar - 2023</t>
  </si>
  <si>
    <t>Apr - 2023</t>
  </si>
  <si>
    <t>May - 2023</t>
  </si>
  <si>
    <t>Jun - 2023</t>
  </si>
  <si>
    <t>Jul - 2023</t>
  </si>
  <si>
    <t>Aug - 2023</t>
  </si>
  <si>
    <t>Sep - 2023</t>
  </si>
  <si>
    <t>Oct - 2023</t>
  </si>
  <si>
    <t>Nov - 2023</t>
  </si>
  <si>
    <t>Dec - 2023</t>
  </si>
  <si>
    <t>Dec - 2023 AMA</t>
  </si>
  <si>
    <t>Calc From JAK-5</t>
  </si>
  <si>
    <t>minor unreconciled diff</t>
  </si>
  <si>
    <t>From Alteryx 2022 GRC</t>
  </si>
  <si>
    <t>Agrees to Attachment B to 2023 and 2024 MYRP Annual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</si>
</sst>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 numFmtId="167" formatCode="_(&quot;$&quot;* #,##0.0_);_(&quot;$&quot;* \(#,##0.0\);_(&quot;$&quot;* &quot;-&quot;??_);_(@_)"/>
  </numFmts>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color theme="1"/>
      <name val="Times New Roman"/>
      <family val="1"/>
    </font>
    <font>
      <b/>
      <i/>
      <sz val="11"/>
      <color theme="1"/>
      <name val="Times New Roman"/>
      <family val="1"/>
    </font>
    <font>
      <sz val="11"/>
      <color theme="1"/>
      <name val="Times New Roman"/>
      <family val="1"/>
    </font>
    <font>
      <sz val="11"/>
      <color theme="1"/>
      <name val="Calibri"/>
      <family val="2"/>
    </font>
    <font>
      <b/>
      <sz val="12"/>
      <name val="Calibri"/>
      <family val="2"/>
      <scheme val="minor"/>
    </font>
    <font>
      <sz val="10"/>
      <name val="Calibri"/>
      <family val="2"/>
      <scheme val="minor"/>
    </font>
    <font>
      <b/>
      <sz val="10"/>
      <name val="Calibri"/>
      <family val="2"/>
      <scheme val="minor"/>
    </font>
    <font>
      <b/>
      <sz val="10"/>
      <name val="Arial"/>
      <family val="2"/>
    </font>
    <font>
      <sz val="10"/>
      <name val="Arial"/>
    </font>
    <font>
      <sz val="10"/>
      <color rgb="FFFF0000"/>
      <name val="Arial"/>
      <family val="2"/>
    </font>
    <font>
      <b/>
      <i/>
      <sz val="10"/>
      <name val="Arial"/>
      <family val="2"/>
    </font>
    <font>
      <sz val="10"/>
      <name val="Arial"/>
      <family val="2"/>
    </font>
    <font>
      <b/>
      <sz val="11"/>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0">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9" fontId="13" fillId="0" borderId="0" applyFont="0" applyFill="0" applyBorder="0" applyAlignment="0" applyProtection="0"/>
    <xf numFmtId="0" fontId="1" fillId="0" borderId="0"/>
    <xf numFmtId="43" fontId="1" fillId="0" borderId="0" applyFont="0" applyFill="0" applyBorder="0" applyAlignment="0" applyProtection="0"/>
  </cellStyleXfs>
  <cellXfs count="133">
    <xf numFmtId="0" fontId="0" fillId="0" borderId="0" xfId="0"/>
    <xf numFmtId="0" fontId="2" fillId="0" borderId="0" xfId="3"/>
    <xf numFmtId="0" fontId="5" fillId="0" borderId="1" xfId="3" applyFont="1" applyBorder="1" applyAlignment="1">
      <alignment horizontal="centerContinuous"/>
    </xf>
    <xf numFmtId="0" fontId="4" fillId="0" borderId="2" xfId="3" applyFont="1" applyBorder="1" applyAlignment="1">
      <alignment horizontal="centerContinuous"/>
    </xf>
    <xf numFmtId="0" fontId="4" fillId="0" borderId="3" xfId="3" applyFont="1" applyBorder="1" applyAlignment="1">
      <alignment horizontal="centerContinuous"/>
    </xf>
    <xf numFmtId="0" fontId="5" fillId="0" borderId="0" xfId="3" applyFont="1" applyAlignment="1">
      <alignment horizontal="centerContinuous"/>
    </xf>
    <xf numFmtId="0" fontId="2" fillId="0" borderId="0" xfId="3" applyAlignment="1">
      <alignment horizontal="centerContinuous"/>
    </xf>
    <xf numFmtId="0" fontId="2" fillId="0" borderId="4" xfId="3" applyBorder="1" applyAlignment="1">
      <alignment horizontal="centerContinuous"/>
    </xf>
    <xf numFmtId="0" fontId="2" fillId="0" borderId="5" xfId="3" applyBorder="1"/>
    <xf numFmtId="0" fontId="2" fillId="0" borderId="4" xfId="3" applyBorder="1"/>
    <xf numFmtId="0" fontId="6" fillId="2" borderId="6" xfId="3" applyFont="1" applyFill="1" applyBorder="1" applyAlignment="1">
      <alignment horizontal="left"/>
    </xf>
    <xf numFmtId="0" fontId="6" fillId="2" borderId="7" xfId="3" applyFont="1" applyFill="1" applyBorder="1"/>
    <xf numFmtId="0" fontId="7" fillId="2" borderId="7" xfId="3" applyFont="1" applyFill="1" applyBorder="1"/>
    <xf numFmtId="0" fontId="7" fillId="2" borderId="8" xfId="3" applyFont="1" applyFill="1" applyBorder="1"/>
    <xf numFmtId="0" fontId="7" fillId="2" borderId="5" xfId="3" applyFont="1" applyFill="1" applyBorder="1" applyAlignment="1">
      <alignment horizontal="center"/>
    </xf>
    <xf numFmtId="0" fontId="7" fillId="2" borderId="0" xfId="3" applyFont="1" applyFill="1"/>
    <xf numFmtId="0" fontId="6" fillId="2" borderId="0" xfId="3" applyFont="1" applyFill="1"/>
    <xf numFmtId="0" fontId="6" fillId="2" borderId="4" xfId="3" applyFont="1" applyFill="1" applyBorder="1" applyAlignment="1">
      <alignment horizontal="center"/>
    </xf>
    <xf numFmtId="10" fontId="7" fillId="2" borderId="0" xfId="3" applyNumberFormat="1" applyFont="1" applyFill="1"/>
    <xf numFmtId="0" fontId="7" fillId="2" borderId="4" xfId="3" applyFont="1" applyFill="1" applyBorder="1" applyAlignment="1">
      <alignment horizontal="left" indent="1"/>
    </xf>
    <xf numFmtId="164" fontId="7" fillId="2" borderId="0" xfId="4" applyNumberFormat="1" applyFont="1" applyFill="1" applyBorder="1"/>
    <xf numFmtId="41" fontId="7" fillId="2" borderId="0" xfId="3" applyNumberFormat="1" applyFont="1" applyFill="1"/>
    <xf numFmtId="165" fontId="7" fillId="2" borderId="9" xfId="5" applyNumberFormat="1" applyFont="1" applyFill="1" applyBorder="1"/>
    <xf numFmtId="0" fontId="7" fillId="2" borderId="10" xfId="3" applyFont="1" applyFill="1" applyBorder="1" applyAlignment="1">
      <alignment horizontal="left" indent="1"/>
    </xf>
    <xf numFmtId="164" fontId="2" fillId="0" borderId="0" xfId="3" applyNumberFormat="1"/>
    <xf numFmtId="165" fontId="7" fillId="2" borderId="0" xfId="5" applyNumberFormat="1" applyFont="1" applyFill="1" applyBorder="1"/>
    <xf numFmtId="0" fontId="7" fillId="2" borderId="4" xfId="3" quotePrefix="1" applyFont="1" applyFill="1" applyBorder="1" applyAlignment="1">
      <alignment horizontal="left" indent="1"/>
    </xf>
    <xf numFmtId="5" fontId="7" fillId="2" borderId="0" xfId="3" applyNumberFormat="1" applyFont="1" applyFill="1"/>
    <xf numFmtId="164" fontId="7" fillId="2" borderId="11" xfId="4" applyNumberFormat="1" applyFont="1" applyFill="1" applyBorder="1"/>
    <xf numFmtId="0" fontId="7" fillId="2" borderId="12" xfId="3" applyFont="1" applyFill="1" applyBorder="1" applyAlignment="1">
      <alignment horizontal="center"/>
    </xf>
    <xf numFmtId="0" fontId="7" fillId="2" borderId="9" xfId="3" applyFont="1" applyFill="1" applyBorder="1"/>
    <xf numFmtId="5" fontId="7" fillId="2" borderId="9" xfId="3" applyNumberFormat="1" applyFont="1" applyFill="1" applyBorder="1"/>
    <xf numFmtId="0" fontId="9" fillId="0" borderId="0" xfId="0" applyFont="1"/>
    <xf numFmtId="0" fontId="10" fillId="0" borderId="0" xfId="0" applyFont="1"/>
    <xf numFmtId="0" fontId="11" fillId="0" borderId="0" xfId="0" applyFont="1" applyAlignment="1">
      <alignment horizontal="centerContinuous"/>
    </xf>
    <xf numFmtId="0" fontId="4" fillId="0" borderId="0" xfId="0" applyFont="1"/>
    <xf numFmtId="0" fontId="4" fillId="0" borderId="0" xfId="0" applyFont="1" applyAlignment="1">
      <alignment horizontal="center"/>
    </xf>
    <xf numFmtId="0" fontId="11" fillId="0" borderId="0" xfId="0" applyFont="1" applyAlignment="1">
      <alignment horizontal="center"/>
    </xf>
    <xf numFmtId="0" fontId="10" fillId="0" borderId="0" xfId="0" applyFont="1" applyAlignment="1">
      <alignment horizontal="left"/>
    </xf>
    <xf numFmtId="0" fontId="10" fillId="0" borderId="0" xfId="0" applyFont="1" applyAlignment="1">
      <alignment horizontal="center"/>
    </xf>
    <xf numFmtId="43" fontId="10" fillId="3" borderId="0" xfId="5" applyFont="1" applyFill="1"/>
    <xf numFmtId="43" fontId="10" fillId="4" borderId="0" xfId="5" applyFont="1" applyFill="1"/>
    <xf numFmtId="43" fontId="10" fillId="0" borderId="0" xfId="5" applyFont="1"/>
    <xf numFmtId="0" fontId="10" fillId="0" borderId="9" xfId="0" applyFont="1" applyBorder="1" applyAlignment="1">
      <alignment horizontal="left"/>
    </xf>
    <xf numFmtId="0" fontId="10" fillId="0" borderId="9" xfId="0" applyFont="1" applyBorder="1" applyAlignment="1">
      <alignment horizontal="center"/>
    </xf>
    <xf numFmtId="43" fontId="10" fillId="0" borderId="9" xfId="5" applyFont="1" applyBorder="1"/>
    <xf numFmtId="43" fontId="10" fillId="3" borderId="9" xfId="5" applyFont="1" applyFill="1" applyBorder="1"/>
    <xf numFmtId="43" fontId="10" fillId="0" borderId="0" xfId="0" applyNumberFormat="1" applyFont="1"/>
    <xf numFmtId="0" fontId="5" fillId="0" borderId="5" xfId="3" applyFont="1" applyBorder="1" applyAlignment="1">
      <alignment horizontal="centerContinuous"/>
    </xf>
    <xf numFmtId="0" fontId="2" fillId="0" borderId="12" xfId="3" applyBorder="1"/>
    <xf numFmtId="0" fontId="0" fillId="5" borderId="0" xfId="0" applyFill="1"/>
    <xf numFmtId="0" fontId="12" fillId="5" borderId="0" xfId="0" applyFont="1" applyFill="1"/>
    <xf numFmtId="0" fontId="12" fillId="5" borderId="0" xfId="0" applyFont="1" applyFill="1" applyAlignment="1">
      <alignment horizontal="centerContinuous"/>
    </xf>
    <xf numFmtId="0" fontId="0" fillId="5" borderId="0" xfId="0" applyFill="1" applyAlignment="1">
      <alignment horizontal="centerContinuous"/>
    </xf>
    <xf numFmtId="0" fontId="12" fillId="5" borderId="9" xfId="0" applyFont="1" applyFill="1" applyBorder="1" applyAlignment="1">
      <alignment horizontal="center"/>
    </xf>
    <xf numFmtId="164" fontId="0" fillId="5" borderId="0" xfId="2" applyNumberFormat="1" applyFont="1" applyFill="1"/>
    <xf numFmtId="165" fontId="0" fillId="5" borderId="0" xfId="1" applyNumberFormat="1" applyFont="1" applyFill="1"/>
    <xf numFmtId="164" fontId="0" fillId="5" borderId="13" xfId="2" applyNumberFormat="1" applyFont="1" applyFill="1" applyBorder="1"/>
    <xf numFmtId="0" fontId="0" fillId="0" borderId="0" xfId="0" applyAlignment="1">
      <alignment horizontal="center"/>
    </xf>
    <xf numFmtId="42" fontId="0" fillId="0" borderId="0" xfId="0" applyNumberFormat="1"/>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applyAlignment="1">
      <alignment horizontal="center" wrapText="1"/>
    </xf>
    <xf numFmtId="0" fontId="0" fillId="0" borderId="0" xfId="0" applyAlignment="1">
      <alignment horizontal="center" wrapText="1"/>
    </xf>
    <xf numFmtId="0" fontId="0" fillId="0" borderId="18" xfId="0" applyBorder="1" applyAlignment="1">
      <alignment horizontal="center" wrapText="1"/>
    </xf>
    <xf numFmtId="42" fontId="0" fillId="0" borderId="17" xfId="0" applyNumberFormat="1" applyBorder="1"/>
    <xf numFmtId="42" fontId="0" fillId="0" borderId="18" xfId="0" applyNumberFormat="1" applyBorder="1"/>
    <xf numFmtId="41" fontId="0" fillId="0" borderId="17" xfId="0" applyNumberFormat="1" applyBorder="1"/>
    <xf numFmtId="41" fontId="0" fillId="0" borderId="0" xfId="0" applyNumberFormat="1"/>
    <xf numFmtId="41" fontId="0" fillId="0" borderId="18" xfId="0" applyNumberFormat="1" applyBorder="1"/>
    <xf numFmtId="41" fontId="0" fillId="0" borderId="19" xfId="0" applyNumberFormat="1" applyBorder="1"/>
    <xf numFmtId="41" fontId="0" fillId="0" borderId="9" xfId="0" applyNumberFormat="1" applyBorder="1"/>
    <xf numFmtId="41" fontId="0" fillId="0" borderId="20" xfId="0" applyNumberFormat="1" applyBorder="1"/>
    <xf numFmtId="10" fontId="0" fillId="0" borderId="0" xfId="0" applyNumberFormat="1"/>
    <xf numFmtId="164" fontId="0" fillId="0" borderId="0" xfId="0" applyNumberFormat="1"/>
    <xf numFmtId="0" fontId="0" fillId="0" borderId="0" xfId="0" applyAlignment="1">
      <alignment horizontal="right"/>
    </xf>
    <xf numFmtId="41" fontId="0" fillId="3" borderId="0" xfId="0" applyNumberFormat="1" applyFill="1"/>
    <xf numFmtId="41" fontId="0" fillId="3" borderId="19" xfId="0" applyNumberFormat="1" applyFill="1" applyBorder="1"/>
    <xf numFmtId="41" fontId="0" fillId="3" borderId="9" xfId="0" applyNumberFormat="1" applyFill="1" applyBorder="1"/>
    <xf numFmtId="0" fontId="0" fillId="3" borderId="0" xfId="0" applyFill="1"/>
    <xf numFmtId="165" fontId="0" fillId="0" borderId="0" xfId="1" applyNumberFormat="1" applyFont="1"/>
    <xf numFmtId="44" fontId="0" fillId="0" borderId="0" xfId="2" applyFont="1"/>
    <xf numFmtId="164" fontId="0" fillId="0" borderId="0" xfId="2" applyNumberFormat="1" applyFont="1"/>
    <xf numFmtId="0" fontId="12" fillId="0" borderId="0" xfId="0" applyFont="1" applyAlignment="1">
      <alignment horizontal="center"/>
    </xf>
    <xf numFmtId="165" fontId="0" fillId="0" borderId="0" xfId="0" applyNumberFormat="1"/>
    <xf numFmtId="43" fontId="0" fillId="0" borderId="0" xfId="0" applyNumberFormat="1"/>
    <xf numFmtId="164" fontId="0" fillId="0" borderId="13" xfId="0" applyNumberFormat="1" applyBorder="1"/>
    <xf numFmtId="164" fontId="0" fillId="0" borderId="13" xfId="2" applyNumberFormat="1" applyFont="1" applyBorder="1"/>
    <xf numFmtId="1" fontId="14" fillId="0" borderId="0" xfId="0" applyNumberFormat="1" applyFont="1"/>
    <xf numFmtId="0" fontId="12" fillId="0" borderId="0" xfId="0" applyFont="1" applyAlignment="1">
      <alignment horizontal="centerContinuous"/>
    </xf>
    <xf numFmtId="0" fontId="12" fillId="0" borderId="9" xfId="0" applyFont="1" applyBorder="1" applyAlignment="1">
      <alignment horizontal="centerContinuous"/>
    </xf>
    <xf numFmtId="14" fontId="12" fillId="0" borderId="9" xfId="0" applyNumberFormat="1" applyFont="1" applyBorder="1" applyAlignment="1">
      <alignment horizontal="center"/>
    </xf>
    <xf numFmtId="14" fontId="12" fillId="0" borderId="0" xfId="0" applyNumberFormat="1" applyFont="1" applyAlignment="1">
      <alignment horizontal="center"/>
    </xf>
    <xf numFmtId="0" fontId="12" fillId="0" borderId="0" xfId="0" applyFont="1" applyAlignment="1">
      <alignment horizontal="left"/>
    </xf>
    <xf numFmtId="10" fontId="0" fillId="0" borderId="0" xfId="7" applyNumberFormat="1" applyFont="1" applyAlignment="1">
      <alignment horizontal="center"/>
    </xf>
    <xf numFmtId="44" fontId="0" fillId="0" borderId="0" xfId="0" applyNumberFormat="1"/>
    <xf numFmtId="0" fontId="12" fillId="0" borderId="9" xfId="0" applyFont="1" applyBorder="1" applyAlignment="1">
      <alignment horizontal="center"/>
    </xf>
    <xf numFmtId="0" fontId="0" fillId="0" borderId="0" xfId="0" applyAlignment="1">
      <alignment horizontal="centerContinuous"/>
    </xf>
    <xf numFmtId="44" fontId="12" fillId="0" borderId="7" xfId="2" applyFont="1" applyBorder="1"/>
    <xf numFmtId="44" fontId="12" fillId="0" borderId="13" xfId="0" applyNumberFormat="1" applyFont="1" applyBorder="1"/>
    <xf numFmtId="0" fontId="0" fillId="0" borderId="0" xfId="0" applyAlignment="1">
      <alignment horizontal="left" indent="3"/>
    </xf>
    <xf numFmtId="0" fontId="0" fillId="0" borderId="0" xfId="0" applyAlignment="1">
      <alignment horizontal="left" indent="4"/>
    </xf>
    <xf numFmtId="0" fontId="16" fillId="0" borderId="0" xfId="0" applyFont="1"/>
    <xf numFmtId="0" fontId="16" fillId="0" borderId="0" xfId="0" applyFont="1" applyAlignment="1">
      <alignment horizontal="left" indent="3"/>
    </xf>
    <xf numFmtId="0" fontId="0" fillId="0" borderId="0" xfId="0" applyAlignment="1">
      <alignment horizontal="left" indent="7"/>
    </xf>
    <xf numFmtId="0" fontId="12" fillId="5" borderId="0" xfId="0" applyFont="1" applyFill="1" applyAlignment="1">
      <alignment horizontal="center"/>
    </xf>
    <xf numFmtId="0" fontId="0" fillId="5" borderId="0" xfId="0" applyFill="1" applyAlignment="1">
      <alignment horizontal="center"/>
    </xf>
    <xf numFmtId="167" fontId="0" fillId="5" borderId="0" xfId="0" applyNumberFormat="1" applyFill="1"/>
    <xf numFmtId="166" fontId="0" fillId="5" borderId="0" xfId="1" applyNumberFormat="1" applyFont="1" applyFill="1"/>
    <xf numFmtId="167" fontId="0" fillId="5" borderId="13" xfId="0" applyNumberFormat="1" applyFill="1" applyBorder="1"/>
    <xf numFmtId="0" fontId="0" fillId="0" borderId="0" xfId="0" applyAlignment="1">
      <alignment horizontal="left"/>
    </xf>
    <xf numFmtId="43" fontId="0" fillId="0" borderId="0" xfId="1" applyFont="1"/>
    <xf numFmtId="44" fontId="0" fillId="0" borderId="13" xfId="2" applyFont="1" applyBorder="1"/>
    <xf numFmtId="0" fontId="12" fillId="0" borderId="0" xfId="0" applyFont="1"/>
    <xf numFmtId="0" fontId="17" fillId="6" borderId="21" xfId="8" applyFont="1" applyFill="1" applyBorder="1"/>
    <xf numFmtId="0" fontId="17" fillId="6" borderId="22" xfId="8" applyFont="1" applyFill="1" applyBorder="1"/>
    <xf numFmtId="43" fontId="17" fillId="6" borderId="22" xfId="9" applyFont="1" applyFill="1" applyBorder="1"/>
    <xf numFmtId="0" fontId="17" fillId="6" borderId="23" xfId="8" applyFont="1" applyFill="1" applyBorder="1"/>
    <xf numFmtId="0" fontId="1" fillId="0" borderId="0" xfId="8"/>
    <xf numFmtId="0" fontId="1" fillId="7" borderId="21" xfId="8" applyFill="1" applyBorder="1"/>
    <xf numFmtId="0" fontId="1" fillId="7" borderId="22" xfId="8" applyFill="1" applyBorder="1"/>
    <xf numFmtId="43" fontId="0" fillId="7" borderId="22" xfId="9" applyFont="1" applyFill="1" applyBorder="1"/>
    <xf numFmtId="0" fontId="1" fillId="7" borderId="23" xfId="8" applyFill="1" applyBorder="1"/>
    <xf numFmtId="0" fontId="1" fillId="0" borderId="21" xfId="8" applyBorder="1"/>
    <xf numFmtId="0" fontId="1" fillId="0" borderId="22" xfId="8" applyBorder="1"/>
    <xf numFmtId="43" fontId="0" fillId="0" borderId="22" xfId="9" applyFont="1" applyBorder="1"/>
    <xf numFmtId="0" fontId="1" fillId="0" borderId="23" xfId="8" applyBorder="1"/>
    <xf numFmtId="43" fontId="0" fillId="3" borderId="22" xfId="9" applyFont="1" applyFill="1" applyBorder="1"/>
    <xf numFmtId="43" fontId="1" fillId="0" borderId="0" xfId="8" applyNumberFormat="1"/>
    <xf numFmtId="0" fontId="1" fillId="0" borderId="0" xfId="8" applyAlignment="1">
      <alignment horizontal="right"/>
    </xf>
    <xf numFmtId="43" fontId="1" fillId="0" borderId="13" xfId="8" applyNumberFormat="1" applyBorder="1"/>
    <xf numFmtId="165" fontId="1" fillId="0" borderId="0" xfId="6" applyNumberFormat="1" applyFont="1"/>
  </cellXfs>
  <cellStyles count="10">
    <cellStyle name="Comma" xfId="1" builtinId="3"/>
    <cellStyle name="Comma 2" xfId="9"/>
    <cellStyle name="Comma 2 2" xfId="5"/>
    <cellStyle name="Comma 3" xfId="6"/>
    <cellStyle name="Currency" xfId="2" builtinId="4"/>
    <cellStyle name="Currency 2" xfId="4"/>
    <cellStyle name="Normal" xfId="0" builtinId="0"/>
    <cellStyle name="Normal 2" xfId="8"/>
    <cellStyle name="Normal 2 2" xfId="3"/>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workbookViewId="0">
      <selection activeCell="K19" sqref="K19"/>
    </sheetView>
  </sheetViews>
  <sheetFormatPr defaultRowHeight="13.2" x14ac:dyDescent="0.25"/>
  <cols>
    <col min="2" max="2" width="42.88671875" bestFit="1" customWidth="1"/>
    <col min="3" max="3" width="12.6640625" bestFit="1" customWidth="1"/>
    <col min="4" max="5" width="11.33203125" bestFit="1" customWidth="1"/>
  </cols>
  <sheetData>
    <row r="1" spans="1:6" x14ac:dyDescent="0.25">
      <c r="A1" s="50"/>
      <c r="B1" s="50"/>
      <c r="C1" s="50"/>
      <c r="D1" s="50"/>
      <c r="E1" s="50"/>
      <c r="F1" s="50"/>
    </row>
    <row r="2" spans="1:6" x14ac:dyDescent="0.25">
      <c r="A2" s="50"/>
      <c r="B2" s="51" t="s">
        <v>0</v>
      </c>
      <c r="C2" s="50"/>
      <c r="D2" s="50"/>
      <c r="E2" s="50"/>
      <c r="F2" s="50"/>
    </row>
    <row r="3" spans="1:6" x14ac:dyDescent="0.25">
      <c r="A3" s="50"/>
      <c r="B3" s="51" t="s">
        <v>1</v>
      </c>
      <c r="C3" s="50"/>
      <c r="D3" s="50"/>
      <c r="E3" s="50"/>
      <c r="F3" s="50"/>
    </row>
    <row r="4" spans="1:6" x14ac:dyDescent="0.25">
      <c r="A4" s="50"/>
      <c r="B4" s="50"/>
      <c r="C4" s="52">
        <v>2023</v>
      </c>
      <c r="D4" s="53"/>
      <c r="E4" s="53"/>
      <c r="F4" s="50"/>
    </row>
    <row r="5" spans="1:6" x14ac:dyDescent="0.25">
      <c r="A5" s="50"/>
      <c r="B5" s="54" t="s">
        <v>2</v>
      </c>
      <c r="C5" s="54" t="s">
        <v>3</v>
      </c>
      <c r="D5" s="54" t="s">
        <v>4</v>
      </c>
      <c r="E5" s="54" t="s">
        <v>5</v>
      </c>
      <c r="F5" s="50"/>
    </row>
    <row r="6" spans="1:6" x14ac:dyDescent="0.25">
      <c r="A6" s="50"/>
      <c r="B6" s="50"/>
      <c r="C6" s="50"/>
      <c r="D6" s="50"/>
      <c r="E6" s="50"/>
      <c r="F6" s="50"/>
    </row>
    <row r="7" spans="1:6" x14ac:dyDescent="0.25">
      <c r="A7" s="50"/>
      <c r="B7" s="50" t="s">
        <v>6</v>
      </c>
      <c r="C7" s="55">
        <f>'Electric Rev Req - In Rates'!D21</f>
        <v>2969909.3579993811</v>
      </c>
      <c r="D7" s="55">
        <f>'Gas Rev Req - In Rates'!D21</f>
        <v>1533309.0332693551</v>
      </c>
      <c r="E7" s="55">
        <f>SUM(C7:D7)</f>
        <v>4503218.3912687358</v>
      </c>
      <c r="F7" s="50"/>
    </row>
    <row r="8" spans="1:6" x14ac:dyDescent="0.25">
      <c r="A8" s="50"/>
      <c r="B8" s="50" t="s">
        <v>7</v>
      </c>
      <c r="C8" s="56">
        <f>'Electric Rev Req - Actual'!E21</f>
        <v>3652074.760013246</v>
      </c>
      <c r="D8" s="56">
        <f>'Gas Rev Req - Actual'!E21</f>
        <v>1837341.0680430192</v>
      </c>
      <c r="E8" s="56">
        <f>SUM(C8:D8)</f>
        <v>5489415.8280562647</v>
      </c>
      <c r="F8" s="50"/>
    </row>
    <row r="9" spans="1:6" ht="13.8" thickBot="1" x14ac:dyDescent="0.3">
      <c r="A9" s="50"/>
      <c r="B9" s="50" t="s">
        <v>8</v>
      </c>
      <c r="C9" s="57">
        <f>C7-C8</f>
        <v>-682165.40201386483</v>
      </c>
      <c r="D9" s="57">
        <f t="shared" ref="D9:E9" si="0">D7-D8</f>
        <v>-304032.03477366408</v>
      </c>
      <c r="E9" s="57">
        <f t="shared" si="0"/>
        <v>-986197.43678752892</v>
      </c>
      <c r="F9" s="50"/>
    </row>
    <row r="10" spans="1:6" ht="13.8" thickTop="1" x14ac:dyDescent="0.25">
      <c r="A10" s="50"/>
      <c r="B10" s="50"/>
      <c r="C10" s="50"/>
      <c r="D10" s="50"/>
      <c r="E10" s="50"/>
      <c r="F10" s="5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O11"/>
  <sheetViews>
    <sheetView workbookViewId="0">
      <selection activeCell="C21" sqref="C21"/>
    </sheetView>
  </sheetViews>
  <sheetFormatPr defaultRowHeight="13.2" x14ac:dyDescent="0.25"/>
  <cols>
    <col min="2" max="2" width="34.88671875" bestFit="1" customWidth="1"/>
    <col min="3" max="3" width="13.5546875" bestFit="1" customWidth="1"/>
    <col min="4" max="4" width="12.33203125" bestFit="1" customWidth="1"/>
    <col min="5" max="5" width="13.6640625" bestFit="1" customWidth="1"/>
    <col min="6" max="6" width="14" bestFit="1" customWidth="1"/>
    <col min="7" max="7" width="12" bestFit="1" customWidth="1"/>
    <col min="8" max="8" width="14" bestFit="1" customWidth="1"/>
    <col min="9" max="9" width="11.33203125" bestFit="1" customWidth="1"/>
    <col min="10" max="10" width="12.33203125" bestFit="1" customWidth="1"/>
    <col min="11" max="11" width="11.88671875" bestFit="1" customWidth="1"/>
    <col min="12" max="12" width="14" bestFit="1" customWidth="1"/>
    <col min="13" max="13" width="12.33203125" bestFit="1" customWidth="1"/>
    <col min="14" max="15" width="15" bestFit="1" customWidth="1"/>
  </cols>
  <sheetData>
    <row r="5" spans="2:15" x14ac:dyDescent="0.25">
      <c r="B5" s="114" t="s">
        <v>99</v>
      </c>
    </row>
    <row r="7" spans="2:15" x14ac:dyDescent="0.25">
      <c r="B7" s="97" t="s">
        <v>100</v>
      </c>
      <c r="C7" s="97">
        <v>202101</v>
      </c>
      <c r="D7" s="97">
        <v>202102</v>
      </c>
      <c r="E7" s="97">
        <v>202103</v>
      </c>
      <c r="F7" s="97">
        <v>202104</v>
      </c>
      <c r="G7" s="97">
        <v>202105</v>
      </c>
      <c r="H7" s="97">
        <v>202106</v>
      </c>
      <c r="I7" s="97">
        <v>202107</v>
      </c>
      <c r="J7" s="97">
        <v>202108</v>
      </c>
      <c r="K7" s="97">
        <v>202109</v>
      </c>
      <c r="L7" s="97">
        <v>202110</v>
      </c>
      <c r="M7" s="97">
        <v>202111</v>
      </c>
      <c r="N7" s="97">
        <v>202112</v>
      </c>
      <c r="O7" s="97" t="s">
        <v>101</v>
      </c>
    </row>
    <row r="8" spans="2:15" x14ac:dyDescent="0.25">
      <c r="B8" s="111" t="s">
        <v>102</v>
      </c>
      <c r="C8" s="112">
        <v>100216.87</v>
      </c>
      <c r="D8" s="112">
        <v>941019.49</v>
      </c>
      <c r="E8" s="112">
        <v>-2410585.71</v>
      </c>
      <c r="F8" s="112">
        <v>2197957.2600000007</v>
      </c>
      <c r="G8" s="112">
        <v>-405521.01</v>
      </c>
      <c r="H8" s="112">
        <v>1209218.95</v>
      </c>
      <c r="I8" s="112">
        <v>37439.090000000018</v>
      </c>
      <c r="J8" s="112">
        <v>387375.13000000006</v>
      </c>
      <c r="K8" s="112">
        <v>-19375.850000000006</v>
      </c>
      <c r="L8" s="112">
        <v>446185.15999999992</v>
      </c>
      <c r="M8" s="112">
        <v>183386.88000000006</v>
      </c>
      <c r="N8" s="112">
        <v>2912303.1399999978</v>
      </c>
      <c r="O8" s="112">
        <v>5579619.3999999985</v>
      </c>
    </row>
    <row r="9" spans="2:15" x14ac:dyDescent="0.25">
      <c r="B9" s="111" t="s">
        <v>103</v>
      </c>
      <c r="C9" s="112"/>
      <c r="D9" s="112"/>
      <c r="E9" s="112">
        <v>2398618.62</v>
      </c>
      <c r="F9" s="112">
        <v>657.43000000000006</v>
      </c>
      <c r="G9" s="112">
        <v>436894.93</v>
      </c>
      <c r="H9" s="112"/>
      <c r="I9" s="112">
        <v>-3867.1</v>
      </c>
      <c r="J9" s="112"/>
      <c r="K9" s="112"/>
      <c r="L9" s="112">
        <v>1661087.8699999999</v>
      </c>
      <c r="M9" s="112">
        <v>7347.62</v>
      </c>
      <c r="N9" s="112">
        <v>31303174.530000001</v>
      </c>
      <c r="O9" s="112">
        <v>35803913.899999999</v>
      </c>
    </row>
    <row r="10" spans="2:15" ht="13.8" thickBot="1" x14ac:dyDescent="0.3">
      <c r="B10" s="111" t="s">
        <v>101</v>
      </c>
      <c r="C10" s="113">
        <f>SUM(C8:C9)</f>
        <v>100216.87</v>
      </c>
      <c r="D10" s="113">
        <f t="shared" ref="D10:O10" si="0">SUM(D8:D9)</f>
        <v>941019.49</v>
      </c>
      <c r="E10" s="113">
        <f t="shared" si="0"/>
        <v>-11967.089999999851</v>
      </c>
      <c r="F10" s="113">
        <f t="shared" si="0"/>
        <v>2198614.6900000009</v>
      </c>
      <c r="G10" s="113">
        <f t="shared" si="0"/>
        <v>31373.919999999984</v>
      </c>
      <c r="H10" s="113">
        <f t="shared" si="0"/>
        <v>1209218.95</v>
      </c>
      <c r="I10" s="113">
        <f t="shared" si="0"/>
        <v>33571.99000000002</v>
      </c>
      <c r="J10" s="113">
        <f t="shared" si="0"/>
        <v>387375.13000000006</v>
      </c>
      <c r="K10" s="113">
        <f t="shared" si="0"/>
        <v>-19375.850000000006</v>
      </c>
      <c r="L10" s="113">
        <f t="shared" si="0"/>
        <v>2107273.0299999998</v>
      </c>
      <c r="M10" s="113">
        <f t="shared" si="0"/>
        <v>190734.50000000006</v>
      </c>
      <c r="N10" s="113">
        <f t="shared" si="0"/>
        <v>34215477.670000002</v>
      </c>
      <c r="O10" s="113">
        <f t="shared" si="0"/>
        <v>41383533.299999997</v>
      </c>
    </row>
    <row r="11" spans="2:15" ht="13.8" thickTop="1" x14ac:dyDescent="0.25"/>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workbookViewId="0">
      <pane xSplit="5" ySplit="1" topLeftCell="G22" activePane="bottomRight" state="frozen"/>
      <selection pane="topRight" activeCell="F1" sqref="F1"/>
      <selection pane="bottomLeft" activeCell="A2" sqref="A2"/>
      <selection pane="bottomRight" activeCell="H52" sqref="H52"/>
    </sheetView>
  </sheetViews>
  <sheetFormatPr defaultColWidth="9.109375" defaultRowHeight="14.4" x14ac:dyDescent="0.3"/>
  <cols>
    <col min="1" max="1" width="24" style="119" bestFit="1" customWidth="1"/>
    <col min="2" max="2" width="54.33203125" style="119" bestFit="1" customWidth="1"/>
    <col min="3" max="3" width="45.33203125" style="119" bestFit="1" customWidth="1"/>
    <col min="4" max="4" width="51.6640625" style="119" bestFit="1" customWidth="1"/>
    <col min="5" max="5" width="15.44140625" style="119" bestFit="1" customWidth="1"/>
    <col min="6" max="10" width="13.33203125" style="119" bestFit="1" customWidth="1"/>
    <col min="11" max="11" width="14.33203125" style="119" bestFit="1" customWidth="1"/>
    <col min="12" max="12" width="9.5546875" style="119" bestFit="1" customWidth="1"/>
    <col min="13" max="13" width="10.5546875" style="119" bestFit="1" customWidth="1"/>
    <col min="14" max="14" width="10.44140625" style="119" bestFit="1" customWidth="1"/>
    <col min="15" max="15" width="10.109375" style="119" bestFit="1" customWidth="1"/>
    <col min="16" max="16" width="10.6640625" style="119" bestFit="1" customWidth="1"/>
    <col min="17" max="17" width="10.44140625" style="119" bestFit="1" customWidth="1"/>
    <col min="18" max="18" width="15.5546875" style="119" bestFit="1" customWidth="1"/>
    <col min="19" max="19" width="36" style="119" bestFit="1" customWidth="1"/>
    <col min="20" max="20" width="35.44140625" style="119" bestFit="1" customWidth="1"/>
    <col min="21" max="21" width="27.109375" style="119" bestFit="1" customWidth="1"/>
    <col min="22" max="22" width="9.33203125" style="119" bestFit="1" customWidth="1"/>
    <col min="23" max="23" width="12.6640625" style="119" bestFit="1" customWidth="1"/>
    <col min="24" max="24" width="12" style="119" bestFit="1" customWidth="1"/>
    <col min="25" max="25" width="16.33203125" style="119" bestFit="1" customWidth="1"/>
    <col min="26" max="26" width="10.88671875" style="119" bestFit="1" customWidth="1"/>
    <col min="27" max="16384" width="9.109375" style="119"/>
  </cols>
  <sheetData>
    <row r="1" spans="1:26" x14ac:dyDescent="0.3">
      <c r="A1" s="115" t="s">
        <v>104</v>
      </c>
      <c r="B1" s="116" t="s">
        <v>105</v>
      </c>
      <c r="C1" s="116" t="s">
        <v>106</v>
      </c>
      <c r="D1" s="116" t="s">
        <v>107</v>
      </c>
      <c r="E1" s="116" t="s">
        <v>108</v>
      </c>
      <c r="F1" s="117" t="s">
        <v>109</v>
      </c>
      <c r="G1" s="117" t="s">
        <v>110</v>
      </c>
      <c r="H1" s="117" t="s">
        <v>111</v>
      </c>
      <c r="I1" s="117" t="s">
        <v>112</v>
      </c>
      <c r="J1" s="117" t="s">
        <v>113</v>
      </c>
      <c r="K1" s="117" t="s">
        <v>114</v>
      </c>
      <c r="L1" s="117" t="s">
        <v>115</v>
      </c>
      <c r="M1" s="117" t="s">
        <v>116</v>
      </c>
      <c r="N1" s="117" t="s">
        <v>117</v>
      </c>
      <c r="O1" s="117" t="s">
        <v>118</v>
      </c>
      <c r="P1" s="117" t="s">
        <v>119</v>
      </c>
      <c r="Q1" s="117" t="s">
        <v>120</v>
      </c>
      <c r="R1" s="116" t="s">
        <v>121</v>
      </c>
      <c r="S1" s="116" t="s">
        <v>122</v>
      </c>
      <c r="T1" s="116" t="s">
        <v>123</v>
      </c>
      <c r="U1" s="116" t="s">
        <v>124</v>
      </c>
      <c r="V1" s="116" t="s">
        <v>70</v>
      </c>
      <c r="W1" s="116" t="s">
        <v>125</v>
      </c>
      <c r="X1" s="116" t="s">
        <v>126</v>
      </c>
      <c r="Y1" s="116" t="s">
        <v>127</v>
      </c>
      <c r="Z1" s="118" t="s">
        <v>128</v>
      </c>
    </row>
    <row r="2" spans="1:26" x14ac:dyDescent="0.3">
      <c r="A2" s="120" t="s">
        <v>129</v>
      </c>
      <c r="B2" s="121" t="s">
        <v>26</v>
      </c>
      <c r="C2" s="121" t="s">
        <v>130</v>
      </c>
      <c r="D2" s="121" t="s">
        <v>66</v>
      </c>
      <c r="E2" s="121" t="s">
        <v>131</v>
      </c>
      <c r="F2" s="122">
        <v>54.67</v>
      </c>
      <c r="G2" s="122">
        <v>0.91</v>
      </c>
      <c r="H2" s="122">
        <v>1495.38</v>
      </c>
      <c r="I2" s="122">
        <v>228034.32999999996</v>
      </c>
      <c r="J2" s="122">
        <v>598966.56000000006</v>
      </c>
      <c r="K2" s="122">
        <v>377.03</v>
      </c>
      <c r="L2" s="122">
        <v>0</v>
      </c>
      <c r="M2" s="122">
        <v>0</v>
      </c>
      <c r="N2" s="122">
        <v>0</v>
      </c>
      <c r="O2" s="122">
        <v>0</v>
      </c>
      <c r="P2" s="122">
        <v>0</v>
      </c>
      <c r="Q2" s="122">
        <v>0</v>
      </c>
      <c r="R2" s="121" t="s">
        <v>132</v>
      </c>
      <c r="S2" s="121" t="s">
        <v>103</v>
      </c>
      <c r="T2" s="121" t="s">
        <v>133</v>
      </c>
      <c r="U2" s="121" t="s">
        <v>134</v>
      </c>
      <c r="V2" s="121" t="s">
        <v>73</v>
      </c>
      <c r="W2" s="121">
        <v>41947.39999999998</v>
      </c>
      <c r="X2" s="121">
        <v>828928.88</v>
      </c>
      <c r="Y2" s="121" t="s">
        <v>135</v>
      </c>
      <c r="Z2" s="123" t="s">
        <v>136</v>
      </c>
    </row>
    <row r="3" spans="1:26" x14ac:dyDescent="0.3">
      <c r="A3" s="124" t="s">
        <v>129</v>
      </c>
      <c r="B3" s="125" t="s">
        <v>26</v>
      </c>
      <c r="C3" s="125" t="s">
        <v>137</v>
      </c>
      <c r="D3" s="125" t="s">
        <v>66</v>
      </c>
      <c r="E3" s="125" t="s">
        <v>131</v>
      </c>
      <c r="F3" s="126">
        <v>0</v>
      </c>
      <c r="G3" s="126">
        <v>0</v>
      </c>
      <c r="H3" s="126">
        <v>0</v>
      </c>
      <c r="I3" s="126">
        <v>0</v>
      </c>
      <c r="J3" s="126">
        <v>0</v>
      </c>
      <c r="K3" s="126">
        <v>0</v>
      </c>
      <c r="L3" s="126">
        <v>0</v>
      </c>
      <c r="M3" s="126">
        <v>0</v>
      </c>
      <c r="N3" s="126">
        <v>0</v>
      </c>
      <c r="O3" s="126">
        <v>0</v>
      </c>
      <c r="P3" s="126">
        <v>0</v>
      </c>
      <c r="Q3" s="126">
        <v>0</v>
      </c>
      <c r="R3" s="125" t="s">
        <v>132</v>
      </c>
      <c r="S3" s="125" t="s">
        <v>138</v>
      </c>
      <c r="T3" s="125" t="s">
        <v>133</v>
      </c>
      <c r="U3" s="125" t="s">
        <v>134</v>
      </c>
      <c r="V3" s="125" t="s">
        <v>76</v>
      </c>
      <c r="W3" s="125">
        <v>1096.4100000000001</v>
      </c>
      <c r="X3" s="125">
        <v>0</v>
      </c>
      <c r="Y3" s="125" t="s">
        <v>135</v>
      </c>
      <c r="Z3" s="127" t="s">
        <v>136</v>
      </c>
    </row>
    <row r="4" spans="1:26" x14ac:dyDescent="0.3">
      <c r="A4" s="120" t="s">
        <v>129</v>
      </c>
      <c r="B4" s="121" t="s">
        <v>26</v>
      </c>
      <c r="C4" s="121" t="s">
        <v>139</v>
      </c>
      <c r="D4" s="121" t="s">
        <v>66</v>
      </c>
      <c r="E4" s="121" t="s">
        <v>131</v>
      </c>
      <c r="F4" s="122">
        <v>0</v>
      </c>
      <c r="G4" s="122">
        <v>0</v>
      </c>
      <c r="H4" s="122">
        <v>0</v>
      </c>
      <c r="I4" s="122">
        <v>0</v>
      </c>
      <c r="J4" s="122">
        <v>0</v>
      </c>
      <c r="K4" s="122">
        <v>0</v>
      </c>
      <c r="L4" s="122">
        <v>0</v>
      </c>
      <c r="M4" s="122">
        <v>0</v>
      </c>
      <c r="N4" s="122">
        <v>0</v>
      </c>
      <c r="O4" s="122">
        <v>0</v>
      </c>
      <c r="P4" s="122">
        <v>0</v>
      </c>
      <c r="Q4" s="122">
        <v>0</v>
      </c>
      <c r="R4" s="121" t="s">
        <v>132</v>
      </c>
      <c r="S4" s="121" t="s">
        <v>140</v>
      </c>
      <c r="T4" s="121" t="s">
        <v>133</v>
      </c>
      <c r="U4" s="121" t="s">
        <v>134</v>
      </c>
      <c r="V4" s="121" t="s">
        <v>76</v>
      </c>
      <c r="W4" s="121">
        <v>0</v>
      </c>
      <c r="X4" s="121">
        <v>0</v>
      </c>
      <c r="Y4" s="121" t="s">
        <v>135</v>
      </c>
      <c r="Z4" s="123" t="s">
        <v>136</v>
      </c>
    </row>
    <row r="5" spans="1:26" x14ac:dyDescent="0.3">
      <c r="A5" s="124" t="s">
        <v>129</v>
      </c>
      <c r="B5" s="125" t="s">
        <v>26</v>
      </c>
      <c r="C5" s="125" t="s">
        <v>141</v>
      </c>
      <c r="D5" s="125" t="s">
        <v>66</v>
      </c>
      <c r="E5" s="125" t="s">
        <v>131</v>
      </c>
      <c r="F5" s="126">
        <v>0</v>
      </c>
      <c r="G5" s="126">
        <v>0</v>
      </c>
      <c r="H5" s="126">
        <v>0</v>
      </c>
      <c r="I5" s="126">
        <v>0</v>
      </c>
      <c r="J5" s="126">
        <v>0</v>
      </c>
      <c r="K5" s="126">
        <v>0</v>
      </c>
      <c r="L5" s="126">
        <v>0</v>
      </c>
      <c r="M5" s="126">
        <v>0</v>
      </c>
      <c r="N5" s="126">
        <v>0</v>
      </c>
      <c r="O5" s="126">
        <v>0</v>
      </c>
      <c r="P5" s="126">
        <v>0</v>
      </c>
      <c r="Q5" s="126">
        <v>0</v>
      </c>
      <c r="R5" s="125" t="s">
        <v>132</v>
      </c>
      <c r="S5" s="125" t="s">
        <v>142</v>
      </c>
      <c r="T5" s="125" t="s">
        <v>133</v>
      </c>
      <c r="U5" s="125" t="s">
        <v>134</v>
      </c>
      <c r="V5" s="125" t="s">
        <v>76</v>
      </c>
      <c r="W5" s="125">
        <v>282.95999999999998</v>
      </c>
      <c r="X5" s="125">
        <v>0</v>
      </c>
      <c r="Y5" s="125" t="s">
        <v>135</v>
      </c>
      <c r="Z5" s="127" t="s">
        <v>136</v>
      </c>
    </row>
    <row r="6" spans="1:26" x14ac:dyDescent="0.3">
      <c r="A6" s="120" t="s">
        <v>129</v>
      </c>
      <c r="B6" s="121" t="s">
        <v>26</v>
      </c>
      <c r="C6" s="121" t="s">
        <v>143</v>
      </c>
      <c r="D6" s="121" t="s">
        <v>66</v>
      </c>
      <c r="E6" s="121" t="s">
        <v>131</v>
      </c>
      <c r="F6" s="122">
        <v>0</v>
      </c>
      <c r="G6" s="122">
        <v>0</v>
      </c>
      <c r="H6" s="122">
        <v>0</v>
      </c>
      <c r="I6" s="122">
        <v>0</v>
      </c>
      <c r="J6" s="122">
        <v>0</v>
      </c>
      <c r="K6" s="122">
        <v>0</v>
      </c>
      <c r="L6" s="122">
        <v>0</v>
      </c>
      <c r="M6" s="122">
        <v>0</v>
      </c>
      <c r="N6" s="122">
        <v>0</v>
      </c>
      <c r="O6" s="122">
        <v>0</v>
      </c>
      <c r="P6" s="122">
        <v>0</v>
      </c>
      <c r="Q6" s="122">
        <v>0</v>
      </c>
      <c r="R6" s="121" t="s">
        <v>132</v>
      </c>
      <c r="S6" s="121" t="s">
        <v>144</v>
      </c>
      <c r="T6" s="121" t="s">
        <v>133</v>
      </c>
      <c r="U6" s="121" t="s">
        <v>134</v>
      </c>
      <c r="V6" s="121" t="s">
        <v>76</v>
      </c>
      <c r="W6" s="121">
        <v>0</v>
      </c>
      <c r="X6" s="121">
        <v>0</v>
      </c>
      <c r="Y6" s="121" t="s">
        <v>135</v>
      </c>
      <c r="Z6" s="123" t="s">
        <v>136</v>
      </c>
    </row>
    <row r="7" spans="1:26" x14ac:dyDescent="0.3">
      <c r="A7" s="124" t="s">
        <v>129</v>
      </c>
      <c r="B7" s="125" t="s">
        <v>26</v>
      </c>
      <c r="C7" s="125" t="s">
        <v>145</v>
      </c>
      <c r="D7" s="125" t="s">
        <v>66</v>
      </c>
      <c r="E7" s="125" t="s">
        <v>131</v>
      </c>
      <c r="F7" s="126">
        <v>0</v>
      </c>
      <c r="G7" s="126">
        <v>0</v>
      </c>
      <c r="H7" s="126">
        <v>0</v>
      </c>
      <c r="I7" s="126">
        <v>0</v>
      </c>
      <c r="J7" s="126">
        <v>0</v>
      </c>
      <c r="K7" s="126">
        <v>0</v>
      </c>
      <c r="L7" s="126">
        <v>0</v>
      </c>
      <c r="M7" s="126">
        <v>0</v>
      </c>
      <c r="N7" s="126">
        <v>0</v>
      </c>
      <c r="O7" s="126">
        <v>0</v>
      </c>
      <c r="P7" s="126">
        <v>0</v>
      </c>
      <c r="Q7" s="126">
        <v>0</v>
      </c>
      <c r="R7" s="125" t="s">
        <v>132</v>
      </c>
      <c r="S7" s="125" t="s">
        <v>146</v>
      </c>
      <c r="T7" s="125" t="s">
        <v>133</v>
      </c>
      <c r="U7" s="125" t="s">
        <v>134</v>
      </c>
      <c r="V7" s="125" t="s">
        <v>76</v>
      </c>
      <c r="W7" s="125">
        <v>0</v>
      </c>
      <c r="X7" s="125">
        <v>0</v>
      </c>
      <c r="Y7" s="125" t="s">
        <v>135</v>
      </c>
      <c r="Z7" s="127" t="s">
        <v>136</v>
      </c>
    </row>
    <row r="8" spans="1:26" x14ac:dyDescent="0.3">
      <c r="A8" s="120" t="s">
        <v>129</v>
      </c>
      <c r="B8" s="121" t="s">
        <v>26</v>
      </c>
      <c r="C8" s="121" t="s">
        <v>147</v>
      </c>
      <c r="D8" s="121" t="s">
        <v>66</v>
      </c>
      <c r="E8" s="121" t="s">
        <v>131</v>
      </c>
      <c r="F8" s="122">
        <v>0</v>
      </c>
      <c r="G8" s="122">
        <v>0</v>
      </c>
      <c r="H8" s="122">
        <v>0</v>
      </c>
      <c r="I8" s="122">
        <v>0</v>
      </c>
      <c r="J8" s="122">
        <v>0</v>
      </c>
      <c r="K8" s="122">
        <v>0</v>
      </c>
      <c r="L8" s="122">
        <v>0</v>
      </c>
      <c r="M8" s="122">
        <v>0</v>
      </c>
      <c r="N8" s="122">
        <v>0</v>
      </c>
      <c r="O8" s="122">
        <v>0</v>
      </c>
      <c r="P8" s="122">
        <v>0</v>
      </c>
      <c r="Q8" s="122">
        <v>0</v>
      </c>
      <c r="R8" s="121" t="s">
        <v>132</v>
      </c>
      <c r="S8" s="121" t="s">
        <v>148</v>
      </c>
      <c r="T8" s="121" t="s">
        <v>133</v>
      </c>
      <c r="U8" s="121" t="s">
        <v>134</v>
      </c>
      <c r="V8" s="121" t="s">
        <v>76</v>
      </c>
      <c r="W8" s="121">
        <v>371.39000000000004</v>
      </c>
      <c r="X8" s="121">
        <v>0</v>
      </c>
      <c r="Y8" s="121" t="s">
        <v>135</v>
      </c>
      <c r="Z8" s="123" t="s">
        <v>136</v>
      </c>
    </row>
    <row r="9" spans="1:26" x14ac:dyDescent="0.3">
      <c r="A9" s="124" t="s">
        <v>129</v>
      </c>
      <c r="B9" s="125" t="s">
        <v>26</v>
      </c>
      <c r="C9" s="125" t="s">
        <v>149</v>
      </c>
      <c r="D9" s="125" t="s">
        <v>66</v>
      </c>
      <c r="E9" s="125" t="s">
        <v>131</v>
      </c>
      <c r="F9" s="126">
        <v>0</v>
      </c>
      <c r="G9" s="126">
        <v>0</v>
      </c>
      <c r="H9" s="126">
        <v>0</v>
      </c>
      <c r="I9" s="126">
        <v>0</v>
      </c>
      <c r="J9" s="126">
        <v>0</v>
      </c>
      <c r="K9" s="126">
        <v>0</v>
      </c>
      <c r="L9" s="126">
        <v>0</v>
      </c>
      <c r="M9" s="126">
        <v>0</v>
      </c>
      <c r="N9" s="126">
        <v>0</v>
      </c>
      <c r="O9" s="126">
        <v>0</v>
      </c>
      <c r="P9" s="126">
        <v>0</v>
      </c>
      <c r="Q9" s="126">
        <v>0</v>
      </c>
      <c r="R9" s="125" t="s">
        <v>132</v>
      </c>
      <c r="S9" s="125" t="s">
        <v>150</v>
      </c>
      <c r="T9" s="125" t="s">
        <v>133</v>
      </c>
      <c r="U9" s="125" t="s">
        <v>134</v>
      </c>
      <c r="V9" s="125" t="s">
        <v>76</v>
      </c>
      <c r="W9" s="125">
        <v>0</v>
      </c>
      <c r="X9" s="125">
        <v>0</v>
      </c>
      <c r="Y9" s="125" t="s">
        <v>135</v>
      </c>
      <c r="Z9" s="127" t="s">
        <v>136</v>
      </c>
    </row>
    <row r="10" spans="1:26" x14ac:dyDescent="0.3">
      <c r="A10" s="120" t="s">
        <v>129</v>
      </c>
      <c r="B10" s="121" t="s">
        <v>26</v>
      </c>
      <c r="C10" s="121" t="s">
        <v>151</v>
      </c>
      <c r="D10" s="121" t="s">
        <v>66</v>
      </c>
      <c r="E10" s="121" t="s">
        <v>131</v>
      </c>
      <c r="F10" s="122">
        <v>0</v>
      </c>
      <c r="G10" s="122">
        <v>0</v>
      </c>
      <c r="H10" s="122">
        <v>0</v>
      </c>
      <c r="I10" s="122">
        <v>0</v>
      </c>
      <c r="J10" s="122">
        <v>0</v>
      </c>
      <c r="K10" s="122">
        <v>0</v>
      </c>
      <c r="L10" s="122">
        <v>0</v>
      </c>
      <c r="M10" s="122">
        <v>0</v>
      </c>
      <c r="N10" s="122">
        <v>0</v>
      </c>
      <c r="O10" s="122">
        <v>0</v>
      </c>
      <c r="P10" s="122">
        <v>0</v>
      </c>
      <c r="Q10" s="122">
        <v>0</v>
      </c>
      <c r="R10" s="121" t="s">
        <v>132</v>
      </c>
      <c r="S10" s="121" t="s">
        <v>152</v>
      </c>
      <c r="T10" s="121" t="s">
        <v>133</v>
      </c>
      <c r="U10" s="121" t="s">
        <v>134</v>
      </c>
      <c r="V10" s="121" t="s">
        <v>76</v>
      </c>
      <c r="W10" s="121">
        <v>17.690000000000001</v>
      </c>
      <c r="X10" s="121">
        <v>0</v>
      </c>
      <c r="Y10" s="121" t="s">
        <v>135</v>
      </c>
      <c r="Z10" s="123" t="s">
        <v>136</v>
      </c>
    </row>
    <row r="11" spans="1:26" x14ac:dyDescent="0.3">
      <c r="A11" s="124" t="s">
        <v>129</v>
      </c>
      <c r="B11" s="125" t="s">
        <v>26</v>
      </c>
      <c r="C11" s="125" t="s">
        <v>153</v>
      </c>
      <c r="D11" s="125" t="s">
        <v>66</v>
      </c>
      <c r="E11" s="125" t="s">
        <v>131</v>
      </c>
      <c r="F11" s="126">
        <v>3597.9500000000007</v>
      </c>
      <c r="G11" s="126">
        <v>0</v>
      </c>
      <c r="H11" s="126">
        <v>0</v>
      </c>
      <c r="I11" s="126">
        <v>0</v>
      </c>
      <c r="J11" s="126">
        <v>9868.69</v>
      </c>
      <c r="K11" s="126">
        <v>0</v>
      </c>
      <c r="L11" s="126">
        <v>0</v>
      </c>
      <c r="M11" s="126">
        <v>0</v>
      </c>
      <c r="N11" s="126">
        <v>0</v>
      </c>
      <c r="O11" s="126">
        <v>0</v>
      </c>
      <c r="P11" s="126">
        <v>0</v>
      </c>
      <c r="Q11" s="126">
        <v>0</v>
      </c>
      <c r="R11" s="125" t="s">
        <v>132</v>
      </c>
      <c r="S11" s="125" t="s">
        <v>102</v>
      </c>
      <c r="T11" s="125" t="s">
        <v>133</v>
      </c>
      <c r="U11" s="125" t="s">
        <v>134</v>
      </c>
      <c r="V11" s="125" t="s">
        <v>73</v>
      </c>
      <c r="W11" s="125">
        <v>37097.840000000026</v>
      </c>
      <c r="X11" s="125">
        <v>13466.640000000001</v>
      </c>
      <c r="Y11" s="125" t="s">
        <v>135</v>
      </c>
      <c r="Z11" s="127" t="s">
        <v>136</v>
      </c>
    </row>
    <row r="12" spans="1:26" x14ac:dyDescent="0.3">
      <c r="A12" s="120" t="s">
        <v>129</v>
      </c>
      <c r="B12" s="121" t="s">
        <v>27</v>
      </c>
      <c r="C12" s="121" t="s">
        <v>137</v>
      </c>
      <c r="D12" s="121" t="s">
        <v>66</v>
      </c>
      <c r="E12" s="121" t="s">
        <v>131</v>
      </c>
      <c r="F12" s="122">
        <v>0</v>
      </c>
      <c r="G12" s="122">
        <v>0</v>
      </c>
      <c r="H12" s="122">
        <v>0</v>
      </c>
      <c r="I12" s="122">
        <v>0</v>
      </c>
      <c r="J12" s="122">
        <v>0</v>
      </c>
      <c r="K12" s="122">
        <v>0</v>
      </c>
      <c r="L12" s="122">
        <v>0</v>
      </c>
      <c r="M12" s="122">
        <v>0</v>
      </c>
      <c r="N12" s="122">
        <v>0</v>
      </c>
      <c r="O12" s="122">
        <v>0</v>
      </c>
      <c r="P12" s="122">
        <v>0</v>
      </c>
      <c r="Q12" s="128">
        <v>0</v>
      </c>
      <c r="R12" s="121" t="s">
        <v>154</v>
      </c>
      <c r="S12" s="121" t="s">
        <v>138</v>
      </c>
      <c r="T12" s="121" t="s">
        <v>133</v>
      </c>
      <c r="U12" s="121" t="s">
        <v>134</v>
      </c>
      <c r="V12" s="121" t="s">
        <v>76</v>
      </c>
      <c r="W12" s="121">
        <v>21341.192213887825</v>
      </c>
      <c r="X12" s="121">
        <v>0</v>
      </c>
      <c r="Y12" s="121" t="s">
        <v>135</v>
      </c>
      <c r="Z12" s="123" t="s">
        <v>136</v>
      </c>
    </row>
    <row r="13" spans="1:26" x14ac:dyDescent="0.3">
      <c r="A13" s="124" t="s">
        <v>129</v>
      </c>
      <c r="B13" s="125" t="s">
        <v>27</v>
      </c>
      <c r="C13" s="125" t="s">
        <v>139</v>
      </c>
      <c r="D13" s="125" t="s">
        <v>66</v>
      </c>
      <c r="E13" s="125" t="s">
        <v>131</v>
      </c>
      <c r="F13" s="126">
        <v>0</v>
      </c>
      <c r="G13" s="126">
        <v>0</v>
      </c>
      <c r="H13" s="126">
        <v>0</v>
      </c>
      <c r="I13" s="126">
        <v>0</v>
      </c>
      <c r="J13" s="126">
        <v>0</v>
      </c>
      <c r="K13" s="126">
        <v>0</v>
      </c>
      <c r="L13" s="126">
        <v>0</v>
      </c>
      <c r="M13" s="126">
        <v>0</v>
      </c>
      <c r="N13" s="126">
        <v>0</v>
      </c>
      <c r="O13" s="126">
        <v>0</v>
      </c>
      <c r="P13" s="126">
        <v>0</v>
      </c>
      <c r="Q13" s="128">
        <v>0</v>
      </c>
      <c r="R13" s="125" t="s">
        <v>154</v>
      </c>
      <c r="S13" s="125" t="s">
        <v>140</v>
      </c>
      <c r="T13" s="125" t="s">
        <v>133</v>
      </c>
      <c r="U13" s="125" t="s">
        <v>134</v>
      </c>
      <c r="V13" s="125" t="s">
        <v>76</v>
      </c>
      <c r="W13" s="125">
        <v>0</v>
      </c>
      <c r="X13" s="125">
        <v>0</v>
      </c>
      <c r="Y13" s="125" t="s">
        <v>135</v>
      </c>
      <c r="Z13" s="127" t="s">
        <v>136</v>
      </c>
    </row>
    <row r="14" spans="1:26" x14ac:dyDescent="0.3">
      <c r="A14" s="120" t="s">
        <v>129</v>
      </c>
      <c r="B14" s="121" t="s">
        <v>27</v>
      </c>
      <c r="C14" s="121" t="s">
        <v>141</v>
      </c>
      <c r="D14" s="121" t="s">
        <v>66</v>
      </c>
      <c r="E14" s="121" t="s">
        <v>131</v>
      </c>
      <c r="F14" s="122">
        <v>0</v>
      </c>
      <c r="G14" s="122">
        <v>0</v>
      </c>
      <c r="H14" s="122">
        <v>0</v>
      </c>
      <c r="I14" s="122">
        <v>0</v>
      </c>
      <c r="J14" s="122">
        <v>0</v>
      </c>
      <c r="K14" s="122">
        <v>0</v>
      </c>
      <c r="L14" s="122">
        <v>0</v>
      </c>
      <c r="M14" s="122">
        <v>0</v>
      </c>
      <c r="N14" s="122">
        <v>0</v>
      </c>
      <c r="O14" s="122">
        <v>0</v>
      </c>
      <c r="P14" s="122">
        <v>0</v>
      </c>
      <c r="Q14" s="128">
        <v>0</v>
      </c>
      <c r="R14" s="121" t="s">
        <v>154</v>
      </c>
      <c r="S14" s="121" t="s">
        <v>142</v>
      </c>
      <c r="T14" s="121" t="s">
        <v>133</v>
      </c>
      <c r="U14" s="121" t="s">
        <v>134</v>
      </c>
      <c r="V14" s="121" t="s">
        <v>76</v>
      </c>
      <c r="W14" s="121">
        <v>63262.089174492736</v>
      </c>
      <c r="X14" s="121">
        <v>0</v>
      </c>
      <c r="Y14" s="121" t="s">
        <v>135</v>
      </c>
      <c r="Z14" s="123" t="s">
        <v>136</v>
      </c>
    </row>
    <row r="15" spans="1:26" x14ac:dyDescent="0.3">
      <c r="A15" s="124" t="s">
        <v>129</v>
      </c>
      <c r="B15" s="125" t="s">
        <v>27</v>
      </c>
      <c r="C15" s="125" t="s">
        <v>143</v>
      </c>
      <c r="D15" s="125" t="s">
        <v>66</v>
      </c>
      <c r="E15" s="125" t="s">
        <v>131</v>
      </c>
      <c r="F15" s="126">
        <v>0</v>
      </c>
      <c r="G15" s="126">
        <v>0</v>
      </c>
      <c r="H15" s="126">
        <v>0</v>
      </c>
      <c r="I15" s="126">
        <v>0</v>
      </c>
      <c r="J15" s="126">
        <v>0</v>
      </c>
      <c r="K15" s="126">
        <v>0</v>
      </c>
      <c r="L15" s="126">
        <v>0</v>
      </c>
      <c r="M15" s="126">
        <v>0</v>
      </c>
      <c r="N15" s="126">
        <v>0</v>
      </c>
      <c r="O15" s="126">
        <v>0</v>
      </c>
      <c r="P15" s="126">
        <v>0</v>
      </c>
      <c r="Q15" s="128">
        <v>0</v>
      </c>
      <c r="R15" s="125" t="s">
        <v>154</v>
      </c>
      <c r="S15" s="125" t="s">
        <v>144</v>
      </c>
      <c r="T15" s="125" t="s">
        <v>133</v>
      </c>
      <c r="U15" s="125" t="s">
        <v>134</v>
      </c>
      <c r="V15" s="125" t="s">
        <v>76</v>
      </c>
      <c r="W15" s="125">
        <v>0</v>
      </c>
      <c r="X15" s="125">
        <v>0</v>
      </c>
      <c r="Y15" s="125" t="s">
        <v>135</v>
      </c>
      <c r="Z15" s="127" t="s">
        <v>136</v>
      </c>
    </row>
    <row r="16" spans="1:26" x14ac:dyDescent="0.3">
      <c r="A16" s="120" t="s">
        <v>129</v>
      </c>
      <c r="B16" s="121" t="s">
        <v>27</v>
      </c>
      <c r="C16" s="121" t="s">
        <v>145</v>
      </c>
      <c r="D16" s="121" t="s">
        <v>66</v>
      </c>
      <c r="E16" s="121" t="s">
        <v>131</v>
      </c>
      <c r="F16" s="122">
        <v>0</v>
      </c>
      <c r="G16" s="122">
        <v>0</v>
      </c>
      <c r="H16" s="122">
        <v>0</v>
      </c>
      <c r="I16" s="122">
        <v>0</v>
      </c>
      <c r="J16" s="122">
        <v>0</v>
      </c>
      <c r="K16" s="122">
        <v>0</v>
      </c>
      <c r="L16" s="122">
        <v>0</v>
      </c>
      <c r="M16" s="122">
        <v>0</v>
      </c>
      <c r="N16" s="122">
        <v>0</v>
      </c>
      <c r="O16" s="122">
        <v>0</v>
      </c>
      <c r="P16" s="122">
        <v>0</v>
      </c>
      <c r="Q16" s="128">
        <v>0</v>
      </c>
      <c r="R16" s="121" t="s">
        <v>154</v>
      </c>
      <c r="S16" s="121" t="s">
        <v>146</v>
      </c>
      <c r="T16" s="121" t="s">
        <v>133</v>
      </c>
      <c r="U16" s="121" t="s">
        <v>134</v>
      </c>
      <c r="V16" s="121" t="s">
        <v>76</v>
      </c>
      <c r="W16" s="121">
        <v>2094.71</v>
      </c>
      <c r="X16" s="121">
        <v>0</v>
      </c>
      <c r="Y16" s="121" t="s">
        <v>135</v>
      </c>
      <c r="Z16" s="123" t="s">
        <v>136</v>
      </c>
    </row>
    <row r="17" spans="1:26" x14ac:dyDescent="0.3">
      <c r="A17" s="124" t="s">
        <v>129</v>
      </c>
      <c r="B17" s="125" t="s">
        <v>27</v>
      </c>
      <c r="C17" s="125" t="s">
        <v>147</v>
      </c>
      <c r="D17" s="125" t="s">
        <v>66</v>
      </c>
      <c r="E17" s="125" t="s">
        <v>131</v>
      </c>
      <c r="F17" s="126">
        <v>0</v>
      </c>
      <c r="G17" s="126">
        <v>0</v>
      </c>
      <c r="H17" s="126">
        <v>0</v>
      </c>
      <c r="I17" s="126">
        <v>0</v>
      </c>
      <c r="J17" s="126">
        <v>0</v>
      </c>
      <c r="K17" s="126">
        <v>0</v>
      </c>
      <c r="L17" s="126">
        <v>0</v>
      </c>
      <c r="M17" s="126">
        <v>0</v>
      </c>
      <c r="N17" s="126">
        <v>0</v>
      </c>
      <c r="O17" s="126">
        <v>0</v>
      </c>
      <c r="P17" s="126">
        <v>0</v>
      </c>
      <c r="Q17" s="128">
        <v>0</v>
      </c>
      <c r="R17" s="125" t="s">
        <v>154</v>
      </c>
      <c r="S17" s="125" t="s">
        <v>148</v>
      </c>
      <c r="T17" s="125" t="s">
        <v>133</v>
      </c>
      <c r="U17" s="125" t="s">
        <v>134</v>
      </c>
      <c r="V17" s="125" t="s">
        <v>76</v>
      </c>
      <c r="W17" s="125">
        <v>12208.263705431658</v>
      </c>
      <c r="X17" s="125">
        <v>0</v>
      </c>
      <c r="Y17" s="125" t="s">
        <v>135</v>
      </c>
      <c r="Z17" s="127" t="s">
        <v>136</v>
      </c>
    </row>
    <row r="18" spans="1:26" x14ac:dyDescent="0.3">
      <c r="A18" s="120" t="s">
        <v>129</v>
      </c>
      <c r="B18" s="121" t="s">
        <v>27</v>
      </c>
      <c r="C18" s="121" t="s">
        <v>149</v>
      </c>
      <c r="D18" s="121" t="s">
        <v>66</v>
      </c>
      <c r="E18" s="121" t="s">
        <v>131</v>
      </c>
      <c r="F18" s="122">
        <v>0</v>
      </c>
      <c r="G18" s="122">
        <v>0</v>
      </c>
      <c r="H18" s="122">
        <v>0</v>
      </c>
      <c r="I18" s="122">
        <v>0</v>
      </c>
      <c r="J18" s="122">
        <v>0</v>
      </c>
      <c r="K18" s="122">
        <v>0</v>
      </c>
      <c r="L18" s="122">
        <v>0</v>
      </c>
      <c r="M18" s="122">
        <v>0</v>
      </c>
      <c r="N18" s="122">
        <v>0</v>
      </c>
      <c r="O18" s="122">
        <v>0</v>
      </c>
      <c r="P18" s="122">
        <v>0</v>
      </c>
      <c r="Q18" s="128">
        <v>0</v>
      </c>
      <c r="R18" s="121" t="s">
        <v>154</v>
      </c>
      <c r="S18" s="121" t="s">
        <v>150</v>
      </c>
      <c r="T18" s="121" t="s">
        <v>133</v>
      </c>
      <c r="U18" s="121" t="s">
        <v>134</v>
      </c>
      <c r="V18" s="121" t="s">
        <v>76</v>
      </c>
      <c r="W18" s="121">
        <v>0</v>
      </c>
      <c r="X18" s="121">
        <v>0</v>
      </c>
      <c r="Y18" s="121" t="s">
        <v>135</v>
      </c>
      <c r="Z18" s="123" t="s">
        <v>136</v>
      </c>
    </row>
    <row r="19" spans="1:26" x14ac:dyDescent="0.3">
      <c r="A19" s="124" t="s">
        <v>129</v>
      </c>
      <c r="B19" s="125" t="s">
        <v>27</v>
      </c>
      <c r="C19" s="125" t="s">
        <v>151</v>
      </c>
      <c r="D19" s="125" t="s">
        <v>66</v>
      </c>
      <c r="E19" s="125" t="s">
        <v>131</v>
      </c>
      <c r="F19" s="126">
        <v>0</v>
      </c>
      <c r="G19" s="126">
        <v>0</v>
      </c>
      <c r="H19" s="126">
        <v>0</v>
      </c>
      <c r="I19" s="126">
        <v>0</v>
      </c>
      <c r="J19" s="126">
        <v>0</v>
      </c>
      <c r="K19" s="126">
        <v>0</v>
      </c>
      <c r="L19" s="126">
        <v>0</v>
      </c>
      <c r="M19" s="126">
        <v>0</v>
      </c>
      <c r="N19" s="126">
        <v>0</v>
      </c>
      <c r="O19" s="126">
        <v>0</v>
      </c>
      <c r="P19" s="126">
        <v>0</v>
      </c>
      <c r="Q19" s="128">
        <v>0</v>
      </c>
      <c r="R19" s="125" t="s">
        <v>154</v>
      </c>
      <c r="S19" s="125" t="s">
        <v>152</v>
      </c>
      <c r="T19" s="125" t="s">
        <v>133</v>
      </c>
      <c r="U19" s="125" t="s">
        <v>134</v>
      </c>
      <c r="V19" s="125" t="s">
        <v>76</v>
      </c>
      <c r="W19" s="125">
        <v>1932.0549061877853</v>
      </c>
      <c r="X19" s="125">
        <v>0</v>
      </c>
      <c r="Y19" s="125" t="s">
        <v>135</v>
      </c>
      <c r="Z19" s="127" t="s">
        <v>136</v>
      </c>
    </row>
    <row r="20" spans="1:26" x14ac:dyDescent="0.3">
      <c r="A20" s="120" t="s">
        <v>129</v>
      </c>
      <c r="B20" s="121" t="s">
        <v>28</v>
      </c>
      <c r="C20" s="121" t="s">
        <v>155</v>
      </c>
      <c r="D20" s="121" t="s">
        <v>66</v>
      </c>
      <c r="E20" s="121" t="s">
        <v>131</v>
      </c>
      <c r="F20" s="122">
        <v>-279724.92000000004</v>
      </c>
      <c r="G20" s="122">
        <v>14703.099999999999</v>
      </c>
      <c r="H20" s="122">
        <v>38356.03</v>
      </c>
      <c r="I20" s="122">
        <v>65877.180000000008</v>
      </c>
      <c r="J20" s="122">
        <v>91907.78</v>
      </c>
      <c r="K20" s="122">
        <v>73571.459999999992</v>
      </c>
      <c r="L20" s="122">
        <v>0</v>
      </c>
      <c r="M20" s="122">
        <v>0</v>
      </c>
      <c r="N20" s="122">
        <v>0</v>
      </c>
      <c r="O20" s="122">
        <v>0</v>
      </c>
      <c r="P20" s="122">
        <v>0</v>
      </c>
      <c r="Q20" s="128">
        <v>0</v>
      </c>
      <c r="R20" s="121" t="s">
        <v>156</v>
      </c>
      <c r="S20" s="121" t="s">
        <v>157</v>
      </c>
      <c r="T20" s="121" t="s">
        <v>133</v>
      </c>
      <c r="U20" s="121" t="s">
        <v>134</v>
      </c>
      <c r="V20" s="121" t="s">
        <v>76</v>
      </c>
      <c r="W20" s="121">
        <v>322383.39999999979</v>
      </c>
      <c r="X20" s="121">
        <v>4690.6299999999464</v>
      </c>
      <c r="Y20" s="121" t="s">
        <v>135</v>
      </c>
      <c r="Z20" s="123" t="s">
        <v>136</v>
      </c>
    </row>
    <row r="21" spans="1:26" x14ac:dyDescent="0.3">
      <c r="A21" s="124" t="s">
        <v>129</v>
      </c>
      <c r="B21" s="125" t="s">
        <v>28</v>
      </c>
      <c r="C21" s="125" t="s">
        <v>137</v>
      </c>
      <c r="D21" s="125" t="s">
        <v>66</v>
      </c>
      <c r="E21" s="125" t="s">
        <v>131</v>
      </c>
      <c r="F21" s="126">
        <v>153271.15035346142</v>
      </c>
      <c r="G21" s="126">
        <v>854940.50632969802</v>
      </c>
      <c r="H21" s="126">
        <v>11853.020714781896</v>
      </c>
      <c r="I21" s="126">
        <v>19265.394541393904</v>
      </c>
      <c r="J21" s="126">
        <v>19015.109713985225</v>
      </c>
      <c r="K21" s="126">
        <v>16590.431118276909</v>
      </c>
      <c r="L21" s="126">
        <v>0</v>
      </c>
      <c r="M21" s="126">
        <v>0</v>
      </c>
      <c r="N21" s="126">
        <v>0</v>
      </c>
      <c r="O21" s="126">
        <v>0</v>
      </c>
      <c r="P21" s="126">
        <v>0</v>
      </c>
      <c r="Q21" s="128">
        <v>0</v>
      </c>
      <c r="R21" s="125" t="s">
        <v>156</v>
      </c>
      <c r="S21" s="125" t="s">
        <v>138</v>
      </c>
      <c r="T21" s="125" t="s">
        <v>133</v>
      </c>
      <c r="U21" s="125" t="s">
        <v>134</v>
      </c>
      <c r="V21" s="125" t="s">
        <v>76</v>
      </c>
      <c r="W21" s="125">
        <v>4960809.1204099692</v>
      </c>
      <c r="X21" s="125">
        <v>1074935.6127715972</v>
      </c>
      <c r="Y21" s="125" t="s">
        <v>135</v>
      </c>
      <c r="Z21" s="127" t="s">
        <v>136</v>
      </c>
    </row>
    <row r="22" spans="1:26" x14ac:dyDescent="0.3">
      <c r="A22" s="120" t="s">
        <v>129</v>
      </c>
      <c r="B22" s="121" t="s">
        <v>28</v>
      </c>
      <c r="C22" s="121" t="s">
        <v>139</v>
      </c>
      <c r="D22" s="121" t="s">
        <v>66</v>
      </c>
      <c r="E22" s="121" t="s">
        <v>131</v>
      </c>
      <c r="F22" s="122">
        <v>0</v>
      </c>
      <c r="G22" s="122">
        <v>0</v>
      </c>
      <c r="H22" s="122">
        <v>0</v>
      </c>
      <c r="I22" s="122">
        <v>0</v>
      </c>
      <c r="J22" s="122">
        <v>0</v>
      </c>
      <c r="K22" s="122">
        <v>0</v>
      </c>
      <c r="L22" s="122">
        <v>0</v>
      </c>
      <c r="M22" s="122">
        <v>0</v>
      </c>
      <c r="N22" s="122">
        <v>0</v>
      </c>
      <c r="O22" s="122">
        <v>0</v>
      </c>
      <c r="P22" s="122">
        <v>0</v>
      </c>
      <c r="Q22" s="128">
        <v>0</v>
      </c>
      <c r="R22" s="121" t="s">
        <v>156</v>
      </c>
      <c r="S22" s="121" t="s">
        <v>140</v>
      </c>
      <c r="T22" s="121" t="s">
        <v>133</v>
      </c>
      <c r="U22" s="121" t="s">
        <v>134</v>
      </c>
      <c r="V22" s="121" t="s">
        <v>76</v>
      </c>
      <c r="W22" s="121">
        <v>0</v>
      </c>
      <c r="X22" s="121">
        <v>0</v>
      </c>
      <c r="Y22" s="121" t="s">
        <v>135</v>
      </c>
      <c r="Z22" s="123" t="s">
        <v>136</v>
      </c>
    </row>
    <row r="23" spans="1:26" x14ac:dyDescent="0.3">
      <c r="A23" s="124" t="s">
        <v>129</v>
      </c>
      <c r="B23" s="125" t="s">
        <v>28</v>
      </c>
      <c r="C23" s="125" t="s">
        <v>141</v>
      </c>
      <c r="D23" s="125" t="s">
        <v>66</v>
      </c>
      <c r="E23" s="125" t="s">
        <v>131</v>
      </c>
      <c r="F23" s="126">
        <v>39553.891052171195</v>
      </c>
      <c r="G23" s="126">
        <v>220629.85378876553</v>
      </c>
      <c r="H23" s="126">
        <v>3058.8404663605438</v>
      </c>
      <c r="I23" s="126">
        <v>4971.7098822829157</v>
      </c>
      <c r="J23" s="126">
        <v>4907.1236108536714</v>
      </c>
      <c r="K23" s="126">
        <v>4281.4016919380583</v>
      </c>
      <c r="L23" s="126">
        <v>0</v>
      </c>
      <c r="M23" s="126">
        <v>0</v>
      </c>
      <c r="N23" s="126">
        <v>0</v>
      </c>
      <c r="O23" s="126">
        <v>0</v>
      </c>
      <c r="P23" s="126">
        <v>0</v>
      </c>
      <c r="Q23" s="128">
        <v>0</v>
      </c>
      <c r="R23" s="125" t="s">
        <v>156</v>
      </c>
      <c r="S23" s="125" t="s">
        <v>142</v>
      </c>
      <c r="T23" s="125" t="s">
        <v>133</v>
      </c>
      <c r="U23" s="125" t="s">
        <v>134</v>
      </c>
      <c r="V23" s="125" t="s">
        <v>76</v>
      </c>
      <c r="W23" s="125">
        <v>1280209.4598667799</v>
      </c>
      <c r="X23" s="125">
        <v>277402.82049237197</v>
      </c>
      <c r="Y23" s="125" t="s">
        <v>135</v>
      </c>
      <c r="Z23" s="127" t="s">
        <v>136</v>
      </c>
    </row>
    <row r="24" spans="1:26" x14ac:dyDescent="0.3">
      <c r="A24" s="120" t="s">
        <v>129</v>
      </c>
      <c r="B24" s="121" t="s">
        <v>28</v>
      </c>
      <c r="C24" s="121" t="s">
        <v>143</v>
      </c>
      <c r="D24" s="121" t="s">
        <v>66</v>
      </c>
      <c r="E24" s="121" t="s">
        <v>131</v>
      </c>
      <c r="F24" s="122">
        <v>0</v>
      </c>
      <c r="G24" s="122">
        <v>0</v>
      </c>
      <c r="H24" s="122">
        <v>0</v>
      </c>
      <c r="I24" s="122">
        <v>0</v>
      </c>
      <c r="J24" s="122">
        <v>0</v>
      </c>
      <c r="K24" s="122">
        <v>0</v>
      </c>
      <c r="L24" s="122">
        <v>0</v>
      </c>
      <c r="M24" s="122">
        <v>0</v>
      </c>
      <c r="N24" s="122">
        <v>0</v>
      </c>
      <c r="O24" s="122">
        <v>0</v>
      </c>
      <c r="P24" s="122">
        <v>0</v>
      </c>
      <c r="Q24" s="128">
        <v>0</v>
      </c>
      <c r="R24" s="121" t="s">
        <v>156</v>
      </c>
      <c r="S24" s="121" t="s">
        <v>144</v>
      </c>
      <c r="T24" s="121" t="s">
        <v>133</v>
      </c>
      <c r="U24" s="121" t="s">
        <v>134</v>
      </c>
      <c r="V24" s="121" t="s">
        <v>76</v>
      </c>
      <c r="W24" s="121">
        <v>0</v>
      </c>
      <c r="X24" s="121">
        <v>0</v>
      </c>
      <c r="Y24" s="121" t="s">
        <v>135</v>
      </c>
      <c r="Z24" s="123" t="s">
        <v>136</v>
      </c>
    </row>
    <row r="25" spans="1:26" x14ac:dyDescent="0.3">
      <c r="A25" s="124" t="s">
        <v>129</v>
      </c>
      <c r="B25" s="125" t="s">
        <v>28</v>
      </c>
      <c r="C25" s="125" t="s">
        <v>145</v>
      </c>
      <c r="D25" s="125" t="s">
        <v>66</v>
      </c>
      <c r="E25" s="125" t="s">
        <v>131</v>
      </c>
      <c r="F25" s="126">
        <v>0</v>
      </c>
      <c r="G25" s="126">
        <v>0</v>
      </c>
      <c r="H25" s="126">
        <v>0</v>
      </c>
      <c r="I25" s="126">
        <v>0</v>
      </c>
      <c r="J25" s="126">
        <v>0</v>
      </c>
      <c r="K25" s="126">
        <v>0</v>
      </c>
      <c r="L25" s="126">
        <v>0</v>
      </c>
      <c r="M25" s="126">
        <v>0</v>
      </c>
      <c r="N25" s="126">
        <v>0</v>
      </c>
      <c r="O25" s="126">
        <v>0</v>
      </c>
      <c r="P25" s="126">
        <v>0</v>
      </c>
      <c r="Q25" s="128">
        <v>0</v>
      </c>
      <c r="R25" s="125" t="s">
        <v>156</v>
      </c>
      <c r="S25" s="125" t="s">
        <v>146</v>
      </c>
      <c r="T25" s="125" t="s">
        <v>133</v>
      </c>
      <c r="U25" s="125" t="s">
        <v>134</v>
      </c>
      <c r="V25" s="125" t="s">
        <v>76</v>
      </c>
      <c r="W25" s="125">
        <v>0</v>
      </c>
      <c r="X25" s="125">
        <v>0</v>
      </c>
      <c r="Y25" s="125" t="s">
        <v>135</v>
      </c>
      <c r="Z25" s="127" t="s">
        <v>136</v>
      </c>
    </row>
    <row r="26" spans="1:26" x14ac:dyDescent="0.3">
      <c r="A26" s="120" t="s">
        <v>129</v>
      </c>
      <c r="B26" s="121" t="s">
        <v>28</v>
      </c>
      <c r="C26" s="121" t="s">
        <v>147</v>
      </c>
      <c r="D26" s="121" t="s">
        <v>66</v>
      </c>
      <c r="E26" s="121" t="s">
        <v>131</v>
      </c>
      <c r="F26" s="122">
        <v>51914.451931764168</v>
      </c>
      <c r="G26" s="122">
        <v>289576.62802668626</v>
      </c>
      <c r="H26" s="122">
        <v>4014.7303268087494</v>
      </c>
      <c r="I26" s="122">
        <v>6525.3723450875941</v>
      </c>
      <c r="J26" s="122">
        <v>6440.6008735974456</v>
      </c>
      <c r="K26" s="122">
        <v>5619.3396476715243</v>
      </c>
      <c r="L26" s="122">
        <v>0</v>
      </c>
      <c r="M26" s="122">
        <v>0</v>
      </c>
      <c r="N26" s="122">
        <v>0</v>
      </c>
      <c r="O26" s="122">
        <v>0</v>
      </c>
      <c r="P26" s="122">
        <v>0</v>
      </c>
      <c r="Q26" s="128">
        <v>0</v>
      </c>
      <c r="R26" s="121" t="s">
        <v>156</v>
      </c>
      <c r="S26" s="121" t="s">
        <v>148</v>
      </c>
      <c r="T26" s="121" t="s">
        <v>133</v>
      </c>
      <c r="U26" s="121" t="s">
        <v>134</v>
      </c>
      <c r="V26" s="121" t="s">
        <v>76</v>
      </c>
      <c r="W26" s="121">
        <v>1680274.5675359899</v>
      </c>
      <c r="X26" s="121">
        <v>364091.12315161567</v>
      </c>
      <c r="Y26" s="121" t="s">
        <v>135</v>
      </c>
      <c r="Z26" s="123" t="s">
        <v>136</v>
      </c>
    </row>
    <row r="27" spans="1:26" x14ac:dyDescent="0.3">
      <c r="A27" s="124" t="s">
        <v>129</v>
      </c>
      <c r="B27" s="125" t="s">
        <v>28</v>
      </c>
      <c r="C27" s="125" t="s">
        <v>149</v>
      </c>
      <c r="D27" s="125" t="s">
        <v>66</v>
      </c>
      <c r="E27" s="125" t="s">
        <v>131</v>
      </c>
      <c r="F27" s="126">
        <v>0</v>
      </c>
      <c r="G27" s="126">
        <v>0</v>
      </c>
      <c r="H27" s="126">
        <v>0</v>
      </c>
      <c r="I27" s="126">
        <v>0</v>
      </c>
      <c r="J27" s="126">
        <v>0</v>
      </c>
      <c r="K27" s="126">
        <v>0</v>
      </c>
      <c r="L27" s="126">
        <v>0</v>
      </c>
      <c r="M27" s="126">
        <v>0</v>
      </c>
      <c r="N27" s="126">
        <v>0</v>
      </c>
      <c r="O27" s="126">
        <v>0</v>
      </c>
      <c r="P27" s="126">
        <v>0</v>
      </c>
      <c r="Q27" s="128">
        <v>0</v>
      </c>
      <c r="R27" s="125" t="s">
        <v>156</v>
      </c>
      <c r="S27" s="125" t="s">
        <v>150</v>
      </c>
      <c r="T27" s="125" t="s">
        <v>133</v>
      </c>
      <c r="U27" s="125" t="s">
        <v>134</v>
      </c>
      <c r="V27" s="125" t="s">
        <v>76</v>
      </c>
      <c r="W27" s="125">
        <v>0</v>
      </c>
      <c r="X27" s="125">
        <v>0</v>
      </c>
      <c r="Y27" s="125" t="s">
        <v>135</v>
      </c>
      <c r="Z27" s="127" t="s">
        <v>136</v>
      </c>
    </row>
    <row r="28" spans="1:26" x14ac:dyDescent="0.3">
      <c r="A28" s="120" t="s">
        <v>129</v>
      </c>
      <c r="B28" s="121" t="s">
        <v>28</v>
      </c>
      <c r="C28" s="121" t="s">
        <v>151</v>
      </c>
      <c r="D28" s="121" t="s">
        <v>66</v>
      </c>
      <c r="E28" s="121" t="s">
        <v>131</v>
      </c>
      <c r="F28" s="122">
        <v>2472.1066626032216</v>
      </c>
      <c r="G28" s="122">
        <v>13789.361854850305</v>
      </c>
      <c r="H28" s="122">
        <v>191.17849204880983</v>
      </c>
      <c r="I28" s="122">
        <v>310.73323123558987</v>
      </c>
      <c r="J28" s="122">
        <v>306.69580156366266</v>
      </c>
      <c r="K28" s="122">
        <v>267.58754211351163</v>
      </c>
      <c r="L28" s="122">
        <v>0</v>
      </c>
      <c r="M28" s="122">
        <v>0</v>
      </c>
      <c r="N28" s="122">
        <v>0</v>
      </c>
      <c r="O28" s="122">
        <v>0</v>
      </c>
      <c r="P28" s="122">
        <v>0</v>
      </c>
      <c r="Q28" s="128">
        <v>0</v>
      </c>
      <c r="R28" s="121" t="s">
        <v>156</v>
      </c>
      <c r="S28" s="121" t="s">
        <v>152</v>
      </c>
      <c r="T28" s="121" t="s">
        <v>133</v>
      </c>
      <c r="U28" s="121" t="s">
        <v>134</v>
      </c>
      <c r="V28" s="121" t="s">
        <v>76</v>
      </c>
      <c r="W28" s="121">
        <v>80012.612187260675</v>
      </c>
      <c r="X28" s="121">
        <v>17337.663584415102</v>
      </c>
      <c r="Y28" s="121" t="s">
        <v>135</v>
      </c>
      <c r="Z28" s="123" t="s">
        <v>136</v>
      </c>
    </row>
    <row r="29" spans="1:26" x14ac:dyDescent="0.3">
      <c r="A29" s="124" t="s">
        <v>129</v>
      </c>
      <c r="B29" s="125" t="s">
        <v>28</v>
      </c>
      <c r="C29" s="125" t="s">
        <v>158</v>
      </c>
      <c r="D29" s="125" t="s">
        <v>66</v>
      </c>
      <c r="E29" s="125" t="s">
        <v>131</v>
      </c>
      <c r="F29" s="126">
        <v>0</v>
      </c>
      <c r="G29" s="126">
        <v>0</v>
      </c>
      <c r="H29" s="126">
        <v>0</v>
      </c>
      <c r="I29" s="126">
        <v>0</v>
      </c>
      <c r="J29" s="126">
        <v>0</v>
      </c>
      <c r="K29" s="126">
        <v>0</v>
      </c>
      <c r="L29" s="126">
        <v>0</v>
      </c>
      <c r="M29" s="126">
        <v>0</v>
      </c>
      <c r="N29" s="126">
        <v>0</v>
      </c>
      <c r="O29" s="126">
        <v>0</v>
      </c>
      <c r="P29" s="126">
        <v>0</v>
      </c>
      <c r="Q29" s="128">
        <v>1.0000000000000003E-4</v>
      </c>
      <c r="R29" s="125" t="s">
        <v>156</v>
      </c>
      <c r="S29" s="125" t="s">
        <v>159</v>
      </c>
      <c r="T29" s="125" t="s">
        <v>133</v>
      </c>
      <c r="U29" s="125" t="s">
        <v>134</v>
      </c>
      <c r="V29" s="125" t="s">
        <v>76</v>
      </c>
      <c r="W29" s="125">
        <v>0</v>
      </c>
      <c r="X29" s="125">
        <v>1.0000000000000003E-4</v>
      </c>
      <c r="Y29" s="125" t="s">
        <v>135</v>
      </c>
      <c r="Z29" s="127" t="s">
        <v>136</v>
      </c>
    </row>
    <row r="30" spans="1:26" x14ac:dyDescent="0.3">
      <c r="A30" s="120" t="s">
        <v>129</v>
      </c>
      <c r="B30" s="121" t="s">
        <v>28</v>
      </c>
      <c r="C30" s="121" t="s">
        <v>160</v>
      </c>
      <c r="D30" s="121" t="s">
        <v>66</v>
      </c>
      <c r="E30" s="121" t="s">
        <v>131</v>
      </c>
      <c r="F30" s="122">
        <v>0</v>
      </c>
      <c r="G30" s="122">
        <v>0</v>
      </c>
      <c r="H30" s="122">
        <v>0</v>
      </c>
      <c r="I30" s="122">
        <v>0</v>
      </c>
      <c r="J30" s="122">
        <v>0</v>
      </c>
      <c r="K30" s="122">
        <v>0</v>
      </c>
      <c r="L30" s="122">
        <v>0</v>
      </c>
      <c r="M30" s="122">
        <v>0</v>
      </c>
      <c r="N30" s="122">
        <v>0</v>
      </c>
      <c r="O30" s="122">
        <v>0</v>
      </c>
      <c r="P30" s="122">
        <v>0</v>
      </c>
      <c r="Q30" s="128">
        <v>0</v>
      </c>
      <c r="R30" s="121" t="s">
        <v>156</v>
      </c>
      <c r="S30" s="121" t="s">
        <v>161</v>
      </c>
      <c r="T30" s="121" t="s">
        <v>133</v>
      </c>
      <c r="U30" s="121" t="s">
        <v>134</v>
      </c>
      <c r="V30" s="121" t="s">
        <v>76</v>
      </c>
      <c r="W30" s="121">
        <v>0</v>
      </c>
      <c r="X30" s="121">
        <v>0</v>
      </c>
      <c r="Y30" s="121" t="s">
        <v>135</v>
      </c>
      <c r="Z30" s="123" t="s">
        <v>136</v>
      </c>
    </row>
    <row r="31" spans="1:26" x14ac:dyDescent="0.3">
      <c r="A31" s="124" t="s">
        <v>129</v>
      </c>
      <c r="B31" s="125" t="s">
        <v>29</v>
      </c>
      <c r="C31" s="125" t="s">
        <v>162</v>
      </c>
      <c r="D31" s="125" t="s">
        <v>66</v>
      </c>
      <c r="E31" s="125" t="s">
        <v>131</v>
      </c>
      <c r="F31" s="126">
        <v>267.69604129402541</v>
      </c>
      <c r="G31" s="126">
        <v>18173.158406971386</v>
      </c>
      <c r="H31" s="126">
        <v>121.70881877445416</v>
      </c>
      <c r="I31" s="126">
        <v>40.358406225572274</v>
      </c>
      <c r="J31" s="126">
        <v>0</v>
      </c>
      <c r="K31" s="126">
        <v>40.252806209282724</v>
      </c>
      <c r="L31" s="126">
        <v>0</v>
      </c>
      <c r="M31" s="126">
        <v>0</v>
      </c>
      <c r="N31" s="126">
        <v>0</v>
      </c>
      <c r="O31" s="126">
        <v>0</v>
      </c>
      <c r="P31" s="126">
        <v>0</v>
      </c>
      <c r="Q31" s="128">
        <v>0</v>
      </c>
      <c r="R31" s="125" t="s">
        <v>163</v>
      </c>
      <c r="S31" s="125" t="s">
        <v>164</v>
      </c>
      <c r="T31" s="125" t="s">
        <v>133</v>
      </c>
      <c r="U31" s="125" t="s">
        <v>134</v>
      </c>
      <c r="V31" s="125" t="s">
        <v>79</v>
      </c>
      <c r="W31" s="125">
        <v>120978.58552052529</v>
      </c>
      <c r="X31" s="125">
        <v>18643.174479474721</v>
      </c>
      <c r="Y31" s="125" t="s">
        <v>135</v>
      </c>
      <c r="Z31" s="127" t="s">
        <v>136</v>
      </c>
    </row>
    <row r="32" spans="1:26" x14ac:dyDescent="0.3">
      <c r="A32" s="120" t="s">
        <v>129</v>
      </c>
      <c r="B32" s="121" t="s">
        <v>29</v>
      </c>
      <c r="C32" s="121" t="s">
        <v>165</v>
      </c>
      <c r="D32" s="121" t="s">
        <v>66</v>
      </c>
      <c r="E32" s="121" t="s">
        <v>131</v>
      </c>
      <c r="F32" s="122">
        <v>2.7882315888346727</v>
      </c>
      <c r="G32" s="122">
        <v>189.2953586238757</v>
      </c>
      <c r="H32" s="122">
        <v>1.2676779660479103</v>
      </c>
      <c r="I32" s="122">
        <v>0.42035953378020313</v>
      </c>
      <c r="J32" s="122">
        <v>0</v>
      </c>
      <c r="K32" s="122">
        <v>0.41925963966231961</v>
      </c>
      <c r="L32" s="122">
        <v>0</v>
      </c>
      <c r="M32" s="122">
        <v>0</v>
      </c>
      <c r="N32" s="122">
        <v>0</v>
      </c>
      <c r="O32" s="122">
        <v>0</v>
      </c>
      <c r="P32" s="122">
        <v>0</v>
      </c>
      <c r="Q32" s="128">
        <v>0</v>
      </c>
      <c r="R32" s="121" t="s">
        <v>163</v>
      </c>
      <c r="S32" s="121" t="s">
        <v>166</v>
      </c>
      <c r="T32" s="121" t="s">
        <v>133</v>
      </c>
      <c r="U32" s="121" t="s">
        <v>134</v>
      </c>
      <c r="V32" s="121" t="s">
        <v>79</v>
      </c>
      <c r="W32" s="121">
        <v>1166.0991126477991</v>
      </c>
      <c r="X32" s="121">
        <v>194.1908873522008</v>
      </c>
      <c r="Y32" s="121" t="s">
        <v>135</v>
      </c>
      <c r="Z32" s="123" t="s">
        <v>136</v>
      </c>
    </row>
    <row r="33" spans="1:26" x14ac:dyDescent="0.3">
      <c r="A33" s="124" t="s">
        <v>129</v>
      </c>
      <c r="B33" s="125" t="s">
        <v>29</v>
      </c>
      <c r="C33" s="125" t="s">
        <v>167</v>
      </c>
      <c r="D33" s="125" t="s">
        <v>66</v>
      </c>
      <c r="E33" s="125" t="s">
        <v>131</v>
      </c>
      <c r="F33" s="126">
        <v>10727.467097839895</v>
      </c>
      <c r="G33" s="126">
        <v>5041.552625942647</v>
      </c>
      <c r="H33" s="126">
        <v>6209.4724184797396</v>
      </c>
      <c r="I33" s="126">
        <v>8399.5864839763908</v>
      </c>
      <c r="J33" s="126">
        <v>5588.2667951892845</v>
      </c>
      <c r="K33" s="126">
        <v>2764.3775810619063</v>
      </c>
      <c r="L33" s="126">
        <v>0</v>
      </c>
      <c r="M33" s="126">
        <v>0</v>
      </c>
      <c r="N33" s="126">
        <v>0</v>
      </c>
      <c r="O33" s="126">
        <v>0</v>
      </c>
      <c r="P33" s="126">
        <v>0</v>
      </c>
      <c r="Q33" s="128">
        <v>0</v>
      </c>
      <c r="R33" s="125" t="s">
        <v>163</v>
      </c>
      <c r="S33" s="125" t="s">
        <v>168</v>
      </c>
      <c r="T33" s="125" t="s">
        <v>133</v>
      </c>
      <c r="U33" s="125" t="s">
        <v>134</v>
      </c>
      <c r="V33" s="125" t="s">
        <v>79</v>
      </c>
      <c r="W33" s="125">
        <v>109834.58909691146</v>
      </c>
      <c r="X33" s="125">
        <v>38730.72300248986</v>
      </c>
      <c r="Y33" s="125" t="s">
        <v>135</v>
      </c>
      <c r="Z33" s="127" t="s">
        <v>136</v>
      </c>
    </row>
    <row r="34" spans="1:26" x14ac:dyDescent="0.3">
      <c r="A34" s="120" t="s">
        <v>129</v>
      </c>
      <c r="B34" s="121" t="s">
        <v>29</v>
      </c>
      <c r="C34" s="121" t="s">
        <v>169</v>
      </c>
      <c r="D34" s="121" t="s">
        <v>66</v>
      </c>
      <c r="E34" s="121" t="s">
        <v>131</v>
      </c>
      <c r="F34" s="122">
        <v>-478363.03709783987</v>
      </c>
      <c r="G34" s="122">
        <v>14208.027374057356</v>
      </c>
      <c r="H34" s="122">
        <v>-173651.80241847975</v>
      </c>
      <c r="I34" s="122">
        <v>23671.62351602361</v>
      </c>
      <c r="J34" s="122">
        <v>49710.973204810718</v>
      </c>
      <c r="K34" s="122">
        <v>7790.5224189380942</v>
      </c>
      <c r="L34" s="122">
        <v>0</v>
      </c>
      <c r="M34" s="122">
        <v>0</v>
      </c>
      <c r="N34" s="122">
        <v>0</v>
      </c>
      <c r="O34" s="122">
        <v>0</v>
      </c>
      <c r="P34" s="122">
        <v>0</v>
      </c>
      <c r="Q34" s="128">
        <v>0</v>
      </c>
      <c r="R34" s="121" t="s">
        <v>163</v>
      </c>
      <c r="S34" s="121" t="s">
        <v>170</v>
      </c>
      <c r="T34" s="121" t="s">
        <v>133</v>
      </c>
      <c r="U34" s="121" t="s">
        <v>134</v>
      </c>
      <c r="V34" s="121" t="s">
        <v>79</v>
      </c>
      <c r="W34" s="121">
        <v>3068161.5609030887</v>
      </c>
      <c r="X34" s="121">
        <v>-556633.69300248974</v>
      </c>
      <c r="Y34" s="121" t="s">
        <v>135</v>
      </c>
      <c r="Z34" s="123" t="s">
        <v>136</v>
      </c>
    </row>
    <row r="35" spans="1:26" x14ac:dyDescent="0.3">
      <c r="A35" s="124" t="s">
        <v>129</v>
      </c>
      <c r="B35" s="125" t="s">
        <v>29</v>
      </c>
      <c r="C35" s="125" t="s">
        <v>171</v>
      </c>
      <c r="D35" s="125" t="s">
        <v>66</v>
      </c>
      <c r="E35" s="125" t="s">
        <v>131</v>
      </c>
      <c r="F35" s="126">
        <v>0</v>
      </c>
      <c r="G35" s="126">
        <v>0</v>
      </c>
      <c r="H35" s="126">
        <v>0</v>
      </c>
      <c r="I35" s="126">
        <v>0</v>
      </c>
      <c r="J35" s="126">
        <v>0</v>
      </c>
      <c r="K35" s="126">
        <v>0</v>
      </c>
      <c r="L35" s="126">
        <v>0</v>
      </c>
      <c r="M35" s="126">
        <v>0</v>
      </c>
      <c r="N35" s="126">
        <v>0</v>
      </c>
      <c r="O35" s="126">
        <v>0</v>
      </c>
      <c r="P35" s="126">
        <v>0</v>
      </c>
      <c r="Q35" s="128">
        <v>0</v>
      </c>
      <c r="R35" s="125" t="s">
        <v>163</v>
      </c>
      <c r="S35" s="125" t="s">
        <v>172</v>
      </c>
      <c r="T35" s="125" t="s">
        <v>133</v>
      </c>
      <c r="U35" s="125" t="s">
        <v>134</v>
      </c>
      <c r="V35" s="125" t="s">
        <v>79</v>
      </c>
      <c r="W35" s="125">
        <v>0</v>
      </c>
      <c r="X35" s="125">
        <v>0</v>
      </c>
      <c r="Y35" s="125" t="s">
        <v>135</v>
      </c>
      <c r="Z35" s="127" t="s">
        <v>136</v>
      </c>
    </row>
    <row r="36" spans="1:26" x14ac:dyDescent="0.3">
      <c r="A36" s="120" t="s">
        <v>129</v>
      </c>
      <c r="B36" s="121" t="s">
        <v>29</v>
      </c>
      <c r="C36" s="121" t="s">
        <v>173</v>
      </c>
      <c r="D36" s="121" t="s">
        <v>66</v>
      </c>
      <c r="E36" s="121" t="s">
        <v>131</v>
      </c>
      <c r="F36" s="122">
        <v>0</v>
      </c>
      <c r="G36" s="122">
        <v>491766.70000000007</v>
      </c>
      <c r="H36" s="122">
        <v>-33558.22</v>
      </c>
      <c r="I36" s="122">
        <v>1.89</v>
      </c>
      <c r="J36" s="122">
        <v>464473.59999999998</v>
      </c>
      <c r="K36" s="122">
        <v>0</v>
      </c>
      <c r="L36" s="122">
        <v>0</v>
      </c>
      <c r="M36" s="122">
        <v>0</v>
      </c>
      <c r="N36" s="122">
        <v>0</v>
      </c>
      <c r="O36" s="122">
        <v>0</v>
      </c>
      <c r="P36" s="122">
        <v>0</v>
      </c>
      <c r="Q36" s="128">
        <v>0</v>
      </c>
      <c r="R36" s="121" t="s">
        <v>163</v>
      </c>
      <c r="S36" s="121" t="s">
        <v>174</v>
      </c>
      <c r="T36" s="121" t="s">
        <v>133</v>
      </c>
      <c r="U36" s="121" t="s">
        <v>134</v>
      </c>
      <c r="V36" s="121" t="s">
        <v>79</v>
      </c>
      <c r="W36" s="121">
        <v>22.130000000000003</v>
      </c>
      <c r="X36" s="121">
        <v>922683.97000000009</v>
      </c>
      <c r="Y36" s="121" t="s">
        <v>135</v>
      </c>
      <c r="Z36" s="123" t="s">
        <v>136</v>
      </c>
    </row>
    <row r="37" spans="1:26" x14ac:dyDescent="0.3">
      <c r="A37" s="124" t="s">
        <v>129</v>
      </c>
      <c r="B37" s="125" t="s">
        <v>29</v>
      </c>
      <c r="C37" s="125" t="s">
        <v>175</v>
      </c>
      <c r="D37" s="125" t="s">
        <v>66</v>
      </c>
      <c r="E37" s="125" t="s">
        <v>131</v>
      </c>
      <c r="F37" s="126">
        <v>0</v>
      </c>
      <c r="G37" s="126">
        <v>0</v>
      </c>
      <c r="H37" s="126">
        <v>0</v>
      </c>
      <c r="I37" s="126">
        <v>0</v>
      </c>
      <c r="J37" s="126">
        <v>0</v>
      </c>
      <c r="K37" s="126">
        <v>0</v>
      </c>
      <c r="L37" s="126">
        <v>0</v>
      </c>
      <c r="M37" s="126">
        <v>0</v>
      </c>
      <c r="N37" s="126">
        <v>0</v>
      </c>
      <c r="O37" s="126">
        <v>0</v>
      </c>
      <c r="P37" s="126">
        <v>0</v>
      </c>
      <c r="Q37" s="128">
        <v>0</v>
      </c>
      <c r="R37" s="125" t="s">
        <v>163</v>
      </c>
      <c r="S37" s="125" t="s">
        <v>176</v>
      </c>
      <c r="T37" s="125" t="s">
        <v>133</v>
      </c>
      <c r="U37" s="125" t="s">
        <v>134</v>
      </c>
      <c r="V37" s="125" t="s">
        <v>79</v>
      </c>
      <c r="W37" s="125">
        <v>0</v>
      </c>
      <c r="X37" s="125">
        <v>0</v>
      </c>
      <c r="Y37" s="125" t="s">
        <v>135</v>
      </c>
      <c r="Z37" s="127" t="s">
        <v>136</v>
      </c>
    </row>
    <row r="38" spans="1:26" x14ac:dyDescent="0.3">
      <c r="A38" s="120" t="s">
        <v>129</v>
      </c>
      <c r="B38" s="121" t="s">
        <v>29</v>
      </c>
      <c r="C38" s="121" t="s">
        <v>177</v>
      </c>
      <c r="D38" s="121" t="s">
        <v>66</v>
      </c>
      <c r="E38" s="121" t="s">
        <v>131</v>
      </c>
      <c r="F38" s="122">
        <v>8.3657271171398921</v>
      </c>
      <c r="G38" s="122">
        <v>567.90623440474349</v>
      </c>
      <c r="H38" s="122">
        <v>3.8035032594979219</v>
      </c>
      <c r="I38" s="122">
        <v>1.2612342406475203</v>
      </c>
      <c r="J38" s="122">
        <v>0</v>
      </c>
      <c r="K38" s="122">
        <v>1.2579341510549604</v>
      </c>
      <c r="L38" s="122">
        <v>0</v>
      </c>
      <c r="M38" s="122">
        <v>0</v>
      </c>
      <c r="N38" s="122">
        <v>0</v>
      </c>
      <c r="O38" s="122">
        <v>0</v>
      </c>
      <c r="P38" s="122">
        <v>0</v>
      </c>
      <c r="Q38" s="128">
        <v>0</v>
      </c>
      <c r="R38" s="121" t="s">
        <v>163</v>
      </c>
      <c r="S38" s="121" t="s">
        <v>178</v>
      </c>
      <c r="T38" s="121" t="s">
        <v>133</v>
      </c>
      <c r="U38" s="121" t="s">
        <v>134</v>
      </c>
      <c r="V38" s="121" t="s">
        <v>79</v>
      </c>
      <c r="W38" s="121">
        <v>3498.4353668269159</v>
      </c>
      <c r="X38" s="121">
        <v>582.59463317308371</v>
      </c>
      <c r="Y38" s="121" t="s">
        <v>135</v>
      </c>
      <c r="Z38" s="123" t="s">
        <v>136</v>
      </c>
    </row>
    <row r="39" spans="1:26" x14ac:dyDescent="0.3">
      <c r="A39" s="124" t="s">
        <v>129</v>
      </c>
      <c r="B39" s="125" t="s">
        <v>29</v>
      </c>
      <c r="C39" s="125" t="s">
        <v>179</v>
      </c>
      <c r="D39" s="125" t="s">
        <v>66</v>
      </c>
      <c r="E39" s="125" t="s">
        <v>131</v>
      </c>
      <c r="F39" s="126">
        <v>0</v>
      </c>
      <c r="G39" s="126">
        <v>0</v>
      </c>
      <c r="H39" s="126">
        <v>0</v>
      </c>
      <c r="I39" s="126">
        <v>0</v>
      </c>
      <c r="J39" s="126">
        <v>0</v>
      </c>
      <c r="K39" s="126">
        <v>0</v>
      </c>
      <c r="L39" s="126">
        <v>0</v>
      </c>
      <c r="M39" s="126">
        <v>0</v>
      </c>
      <c r="N39" s="126">
        <v>0</v>
      </c>
      <c r="O39" s="126">
        <v>0</v>
      </c>
      <c r="P39" s="126">
        <v>0</v>
      </c>
      <c r="Q39" s="128">
        <v>0</v>
      </c>
      <c r="R39" s="125" t="s">
        <v>163</v>
      </c>
      <c r="S39" s="125" t="s">
        <v>180</v>
      </c>
      <c r="T39" s="125" t="s">
        <v>133</v>
      </c>
      <c r="U39" s="125" t="s">
        <v>134</v>
      </c>
      <c r="V39" s="125" t="s">
        <v>79</v>
      </c>
      <c r="W39" s="125">
        <v>0</v>
      </c>
      <c r="X39" s="125">
        <v>0</v>
      </c>
      <c r="Y39" s="125" t="s">
        <v>135</v>
      </c>
      <c r="Z39" s="127" t="s">
        <v>136</v>
      </c>
    </row>
    <row r="40" spans="1:26" x14ac:dyDescent="0.3">
      <c r="A40" s="120" t="s">
        <v>129</v>
      </c>
      <c r="B40" s="121" t="s">
        <v>29</v>
      </c>
      <c r="C40" s="121" t="s">
        <v>181</v>
      </c>
      <c r="D40" s="121" t="s">
        <v>66</v>
      </c>
      <c r="E40" s="121" t="s">
        <v>131</v>
      </c>
      <c r="F40" s="122">
        <v>0</v>
      </c>
      <c r="G40" s="122">
        <v>0</v>
      </c>
      <c r="H40" s="122">
        <v>0</v>
      </c>
      <c r="I40" s="122">
        <v>0</v>
      </c>
      <c r="J40" s="122">
        <v>0</v>
      </c>
      <c r="K40" s="122">
        <v>0</v>
      </c>
      <c r="L40" s="122">
        <v>0</v>
      </c>
      <c r="M40" s="122">
        <v>0</v>
      </c>
      <c r="N40" s="122">
        <v>0</v>
      </c>
      <c r="O40" s="122">
        <v>0</v>
      </c>
      <c r="P40" s="122">
        <v>0</v>
      </c>
      <c r="Q40" s="128">
        <v>0</v>
      </c>
      <c r="R40" s="121" t="s">
        <v>163</v>
      </c>
      <c r="S40" s="121" t="s">
        <v>182</v>
      </c>
      <c r="T40" s="121" t="s">
        <v>133</v>
      </c>
      <c r="U40" s="121" t="s">
        <v>134</v>
      </c>
      <c r="V40" s="121" t="s">
        <v>79</v>
      </c>
      <c r="W40" s="121">
        <v>0</v>
      </c>
      <c r="X40" s="121">
        <v>0</v>
      </c>
      <c r="Y40" s="121" t="s">
        <v>135</v>
      </c>
      <c r="Z40" s="123" t="s">
        <v>136</v>
      </c>
    </row>
    <row r="41" spans="1:26" x14ac:dyDescent="0.3">
      <c r="A41" s="124" t="s">
        <v>129</v>
      </c>
      <c r="B41" s="125" t="s">
        <v>29</v>
      </c>
      <c r="C41" s="125" t="s">
        <v>183</v>
      </c>
      <c r="D41" s="125" t="s">
        <v>66</v>
      </c>
      <c r="E41" s="125" t="s">
        <v>131</v>
      </c>
      <c r="F41" s="126">
        <v>0</v>
      </c>
      <c r="G41" s="126">
        <v>0</v>
      </c>
      <c r="H41" s="126">
        <v>0</v>
      </c>
      <c r="I41" s="126">
        <v>0</v>
      </c>
      <c r="J41" s="126">
        <v>0</v>
      </c>
      <c r="K41" s="126">
        <v>0</v>
      </c>
      <c r="L41" s="126">
        <v>0</v>
      </c>
      <c r="M41" s="126">
        <v>0</v>
      </c>
      <c r="N41" s="126">
        <v>0</v>
      </c>
      <c r="O41" s="126">
        <v>0</v>
      </c>
      <c r="P41" s="126">
        <v>0</v>
      </c>
      <c r="Q41" s="128">
        <v>0</v>
      </c>
      <c r="R41" s="125" t="s">
        <v>163</v>
      </c>
      <c r="S41" s="125" t="s">
        <v>184</v>
      </c>
      <c r="T41" s="125" t="s">
        <v>133</v>
      </c>
      <c r="U41" s="125" t="s">
        <v>134</v>
      </c>
      <c r="V41" s="125" t="s">
        <v>79</v>
      </c>
      <c r="W41" s="125">
        <v>0</v>
      </c>
      <c r="X41" s="125">
        <v>0</v>
      </c>
      <c r="Y41" s="125" t="s">
        <v>135</v>
      </c>
      <c r="Z41" s="127" t="s">
        <v>136</v>
      </c>
    </row>
    <row r="42" spans="1:26" x14ac:dyDescent="0.3">
      <c r="A42" s="120" t="s">
        <v>129</v>
      </c>
      <c r="B42" s="121" t="s">
        <v>185</v>
      </c>
      <c r="C42" s="121" t="s">
        <v>155</v>
      </c>
      <c r="D42" s="121" t="s">
        <v>66</v>
      </c>
      <c r="E42" s="121" t="s">
        <v>131</v>
      </c>
      <c r="F42" s="121">
        <v>0</v>
      </c>
      <c r="G42" s="121">
        <v>27623.65</v>
      </c>
      <c r="H42" s="121">
        <v>3440179.44</v>
      </c>
      <c r="I42" s="121">
        <v>848841.15</v>
      </c>
      <c r="J42" s="121">
        <v>0</v>
      </c>
      <c r="K42" s="121">
        <v>1084164.04</v>
      </c>
      <c r="L42" s="121">
        <v>0</v>
      </c>
      <c r="M42" s="121">
        <v>0</v>
      </c>
      <c r="N42" s="121">
        <v>0</v>
      </c>
      <c r="O42" s="121">
        <v>0</v>
      </c>
      <c r="P42" s="121">
        <v>0</v>
      </c>
      <c r="Q42" s="121">
        <v>0</v>
      </c>
      <c r="R42" s="121" t="s">
        <v>186</v>
      </c>
      <c r="S42" s="121" t="s">
        <v>157</v>
      </c>
      <c r="T42" s="121" t="s">
        <v>187</v>
      </c>
      <c r="U42" s="121" t="s">
        <v>187</v>
      </c>
      <c r="V42" s="121" t="s">
        <v>76</v>
      </c>
      <c r="W42" s="121">
        <v>23004631.970000003</v>
      </c>
      <c r="X42" s="121">
        <v>5400808.2800000003</v>
      </c>
      <c r="Y42" s="121" t="s">
        <v>135</v>
      </c>
      <c r="Z42" s="123" t="s">
        <v>188</v>
      </c>
    </row>
    <row r="43" spans="1:26" x14ac:dyDescent="0.3">
      <c r="A43" s="124" t="s">
        <v>129</v>
      </c>
      <c r="B43" s="125" t="s">
        <v>185</v>
      </c>
      <c r="C43" s="125" t="s">
        <v>147</v>
      </c>
      <c r="D43" s="125" t="s">
        <v>66</v>
      </c>
      <c r="E43" s="125" t="s">
        <v>131</v>
      </c>
      <c r="F43" s="125">
        <v>2182364.77</v>
      </c>
      <c r="G43" s="125">
        <v>1727827.38</v>
      </c>
      <c r="H43" s="125">
        <v>2411264.2000000002</v>
      </c>
      <c r="I43" s="125">
        <v>2409147.56</v>
      </c>
      <c r="J43" s="125">
        <v>3030673.26</v>
      </c>
      <c r="K43" s="125">
        <v>2371204.5</v>
      </c>
      <c r="L43" s="125">
        <v>0</v>
      </c>
      <c r="M43" s="125">
        <v>0</v>
      </c>
      <c r="N43" s="125">
        <v>0</v>
      </c>
      <c r="O43" s="125">
        <v>0</v>
      </c>
      <c r="P43" s="125">
        <v>0</v>
      </c>
      <c r="Q43" s="125">
        <v>0</v>
      </c>
      <c r="R43" s="125" t="s">
        <v>186</v>
      </c>
      <c r="S43" s="125" t="s">
        <v>148</v>
      </c>
      <c r="T43" s="125" t="s">
        <v>187</v>
      </c>
      <c r="U43" s="125" t="s">
        <v>187</v>
      </c>
      <c r="V43" s="125" t="s">
        <v>76</v>
      </c>
      <c r="W43" s="125">
        <v>26018685.899999999</v>
      </c>
      <c r="X43" s="125">
        <v>14132481.67</v>
      </c>
      <c r="Y43" s="125" t="s">
        <v>135</v>
      </c>
      <c r="Z43" s="127" t="s">
        <v>188</v>
      </c>
    </row>
    <row r="44" spans="1:26" x14ac:dyDescent="0.3">
      <c r="A44" s="120" t="s">
        <v>129</v>
      </c>
      <c r="B44" s="121" t="s">
        <v>185</v>
      </c>
      <c r="C44" s="121" t="s">
        <v>189</v>
      </c>
      <c r="D44" s="121" t="s">
        <v>66</v>
      </c>
      <c r="E44" s="121" t="s">
        <v>131</v>
      </c>
      <c r="F44" s="121">
        <v>79533</v>
      </c>
      <c r="G44" s="121">
        <v>0</v>
      </c>
      <c r="H44" s="121">
        <v>14889.93</v>
      </c>
      <c r="I44" s="121">
        <v>37126.92</v>
      </c>
      <c r="J44" s="121">
        <v>60035.42</v>
      </c>
      <c r="K44" s="121">
        <v>45875.29</v>
      </c>
      <c r="L44" s="121">
        <v>0</v>
      </c>
      <c r="M44" s="121">
        <v>0</v>
      </c>
      <c r="N44" s="121">
        <v>0</v>
      </c>
      <c r="O44" s="121">
        <v>0</v>
      </c>
      <c r="P44" s="121">
        <v>0</v>
      </c>
      <c r="Q44" s="121">
        <v>0</v>
      </c>
      <c r="R44" s="121" t="s">
        <v>186</v>
      </c>
      <c r="S44" s="121" t="s">
        <v>190</v>
      </c>
      <c r="T44" s="121" t="s">
        <v>187</v>
      </c>
      <c r="U44" s="121" t="s">
        <v>187</v>
      </c>
      <c r="V44" s="121" t="s">
        <v>76</v>
      </c>
      <c r="W44" s="121">
        <v>-1442281.8699999999</v>
      </c>
      <c r="X44" s="121">
        <v>237460.55999999997</v>
      </c>
      <c r="Y44" s="121" t="s">
        <v>135</v>
      </c>
      <c r="Z44" s="123" t="s">
        <v>188</v>
      </c>
    </row>
    <row r="45" spans="1:26" x14ac:dyDescent="0.3">
      <c r="A45" s="124" t="s">
        <v>129</v>
      </c>
      <c r="B45" s="125" t="s">
        <v>191</v>
      </c>
      <c r="C45" s="125" t="s">
        <v>167</v>
      </c>
      <c r="D45" s="125" t="s">
        <v>66</v>
      </c>
      <c r="E45" s="125" t="s">
        <v>131</v>
      </c>
      <c r="F45" s="126">
        <v>12619.579938532393</v>
      </c>
      <c r="G45" s="126">
        <v>268117.71817493567</v>
      </c>
      <c r="H45" s="126">
        <v>0</v>
      </c>
      <c r="I45" s="126">
        <v>0</v>
      </c>
      <c r="J45" s="126">
        <v>450604.36811372981</v>
      </c>
      <c r="K45" s="126">
        <v>200123.1019328782</v>
      </c>
      <c r="L45" s="126">
        <v>0</v>
      </c>
      <c r="M45" s="126">
        <v>0</v>
      </c>
      <c r="N45" s="126">
        <v>0</v>
      </c>
      <c r="O45" s="126">
        <v>0</v>
      </c>
      <c r="P45" s="126">
        <v>0</v>
      </c>
      <c r="Q45" s="126">
        <v>0</v>
      </c>
      <c r="R45" s="125" t="s">
        <v>186</v>
      </c>
      <c r="S45" s="125" t="s">
        <v>168</v>
      </c>
      <c r="T45" s="125" t="s">
        <v>187</v>
      </c>
      <c r="U45" s="125" t="s">
        <v>187</v>
      </c>
      <c r="V45" s="125" t="s">
        <v>79</v>
      </c>
      <c r="W45" s="125">
        <v>3608381.5513456338</v>
      </c>
      <c r="X45" s="125">
        <v>931464.76816007611</v>
      </c>
      <c r="Y45" s="125" t="s">
        <v>135</v>
      </c>
      <c r="Z45" s="127" t="s">
        <v>188</v>
      </c>
    </row>
    <row r="46" spans="1:26" x14ac:dyDescent="0.3">
      <c r="A46" s="120" t="s">
        <v>129</v>
      </c>
      <c r="B46" s="121" t="s">
        <v>191</v>
      </c>
      <c r="C46" s="121" t="s">
        <v>192</v>
      </c>
      <c r="D46" s="121" t="s">
        <v>66</v>
      </c>
      <c r="E46" s="121" t="s">
        <v>131</v>
      </c>
      <c r="F46" s="122">
        <v>0</v>
      </c>
      <c r="G46" s="122">
        <v>0</v>
      </c>
      <c r="H46" s="122">
        <v>0</v>
      </c>
      <c r="I46" s="122">
        <v>0</v>
      </c>
      <c r="J46" s="122">
        <v>0</v>
      </c>
      <c r="K46" s="122">
        <v>0</v>
      </c>
      <c r="L46" s="122">
        <v>0</v>
      </c>
      <c r="M46" s="122">
        <v>0</v>
      </c>
      <c r="N46" s="122">
        <v>0</v>
      </c>
      <c r="O46" s="122">
        <v>0</v>
      </c>
      <c r="P46" s="122">
        <v>0</v>
      </c>
      <c r="Q46" s="122">
        <v>0</v>
      </c>
      <c r="R46" s="121" t="s">
        <v>186</v>
      </c>
      <c r="S46" s="121" t="s">
        <v>193</v>
      </c>
      <c r="T46" s="121" t="s">
        <v>187</v>
      </c>
      <c r="U46" s="121" t="s">
        <v>187</v>
      </c>
      <c r="V46" s="121" t="s">
        <v>79</v>
      </c>
      <c r="W46" s="121">
        <v>-6009209.615460176</v>
      </c>
      <c r="X46" s="121">
        <v>0</v>
      </c>
      <c r="Y46" s="121" t="s">
        <v>135</v>
      </c>
      <c r="Z46" s="123" t="s">
        <v>188</v>
      </c>
    </row>
    <row r="47" spans="1:26" x14ac:dyDescent="0.3">
      <c r="A47" s="124" t="s">
        <v>129</v>
      </c>
      <c r="B47" s="125" t="s">
        <v>191</v>
      </c>
      <c r="C47" s="125" t="s">
        <v>169</v>
      </c>
      <c r="D47" s="125" t="s">
        <v>66</v>
      </c>
      <c r="E47" s="125" t="s">
        <v>131</v>
      </c>
      <c r="F47" s="126">
        <v>1339.6184483273469</v>
      </c>
      <c r="G47" s="126">
        <v>28461.758896892952</v>
      </c>
      <c r="H47" s="126">
        <v>0</v>
      </c>
      <c r="I47" s="126">
        <v>0</v>
      </c>
      <c r="J47" s="126">
        <v>47833.440365071292</v>
      </c>
      <c r="K47" s="126">
        <v>21243.860777584279</v>
      </c>
      <c r="L47" s="126">
        <v>0</v>
      </c>
      <c r="M47" s="126">
        <v>0</v>
      </c>
      <c r="N47" s="126">
        <v>0</v>
      </c>
      <c r="O47" s="126">
        <v>0</v>
      </c>
      <c r="P47" s="126">
        <v>0</v>
      </c>
      <c r="Q47" s="126">
        <v>0</v>
      </c>
      <c r="R47" s="125" t="s">
        <v>186</v>
      </c>
      <c r="S47" s="125" t="s">
        <v>170</v>
      </c>
      <c r="T47" s="125" t="s">
        <v>187</v>
      </c>
      <c r="U47" s="125" t="s">
        <v>187</v>
      </c>
      <c r="V47" s="125" t="s">
        <v>79</v>
      </c>
      <c r="W47" s="125">
        <v>384030.14614272409</v>
      </c>
      <c r="X47" s="125">
        <v>98878.678487875877</v>
      </c>
      <c r="Y47" s="125" t="s">
        <v>135</v>
      </c>
      <c r="Z47" s="127" t="s">
        <v>188</v>
      </c>
    </row>
    <row r="48" spans="1:26" x14ac:dyDescent="0.3">
      <c r="A48" s="120" t="s">
        <v>129</v>
      </c>
      <c r="B48" s="121" t="s">
        <v>191</v>
      </c>
      <c r="C48" s="121" t="s">
        <v>194</v>
      </c>
      <c r="D48" s="121" t="s">
        <v>66</v>
      </c>
      <c r="E48" s="121" t="s">
        <v>131</v>
      </c>
      <c r="F48" s="122">
        <v>1413877.796431008</v>
      </c>
      <c r="G48" s="122">
        <v>1152234.4829281713</v>
      </c>
      <c r="H48" s="122">
        <v>751292.87179432053</v>
      </c>
      <c r="I48" s="122">
        <v>0</v>
      </c>
      <c r="J48" s="122">
        <v>779171.09552782064</v>
      </c>
      <c r="K48" s="122">
        <v>377870.57415562199</v>
      </c>
      <c r="L48" s="122">
        <v>0</v>
      </c>
      <c r="M48" s="122">
        <v>0</v>
      </c>
      <c r="N48" s="122">
        <v>0</v>
      </c>
      <c r="O48" s="122">
        <v>0</v>
      </c>
      <c r="P48" s="122">
        <v>0</v>
      </c>
      <c r="Q48" s="122">
        <v>0</v>
      </c>
      <c r="R48" s="121" t="s">
        <v>186</v>
      </c>
      <c r="S48" s="121" t="s">
        <v>195</v>
      </c>
      <c r="T48" s="121" t="s">
        <v>187</v>
      </c>
      <c r="U48" s="121" t="s">
        <v>187</v>
      </c>
      <c r="V48" s="121" t="s">
        <v>79</v>
      </c>
      <c r="W48" s="121">
        <v>6956450.1582215885</v>
      </c>
      <c r="X48" s="121">
        <v>4474446.8208369426</v>
      </c>
      <c r="Y48" s="121" t="s">
        <v>135</v>
      </c>
      <c r="Z48" s="123" t="s">
        <v>188</v>
      </c>
    </row>
    <row r="49" spans="1:26" x14ac:dyDescent="0.3">
      <c r="A49" s="124" t="s">
        <v>129</v>
      </c>
      <c r="B49" s="125" t="s">
        <v>191</v>
      </c>
      <c r="C49" s="125" t="s">
        <v>196</v>
      </c>
      <c r="D49" s="125" t="s">
        <v>66</v>
      </c>
      <c r="E49" s="125" t="s">
        <v>131</v>
      </c>
      <c r="F49" s="126">
        <v>50044.51</v>
      </c>
      <c r="G49" s="126">
        <v>34139.74</v>
      </c>
      <c r="H49" s="126">
        <v>77558.649999999994</v>
      </c>
      <c r="I49" s="126">
        <v>2836.59</v>
      </c>
      <c r="J49" s="126">
        <v>6037.86</v>
      </c>
      <c r="K49" s="126">
        <v>1401.08</v>
      </c>
      <c r="L49" s="126">
        <v>0</v>
      </c>
      <c r="M49" s="126">
        <v>0</v>
      </c>
      <c r="N49" s="126">
        <v>0</v>
      </c>
      <c r="O49" s="126">
        <v>0</v>
      </c>
      <c r="P49" s="126">
        <v>0</v>
      </c>
      <c r="Q49" s="126">
        <v>0</v>
      </c>
      <c r="R49" s="125" t="s">
        <v>186</v>
      </c>
      <c r="S49" s="125" t="s">
        <v>197</v>
      </c>
      <c r="T49" s="125" t="s">
        <v>187</v>
      </c>
      <c r="U49" s="125" t="s">
        <v>187</v>
      </c>
      <c r="V49" s="125" t="s">
        <v>79</v>
      </c>
      <c r="W49" s="125">
        <v>533534.08000000007</v>
      </c>
      <c r="X49" s="125">
        <v>172018.42999999996</v>
      </c>
      <c r="Y49" s="125" t="s">
        <v>135</v>
      </c>
      <c r="Z49" s="127" t="s">
        <v>188</v>
      </c>
    </row>
    <row r="50" spans="1:26" x14ac:dyDescent="0.3">
      <c r="A50" s="120" t="s">
        <v>129</v>
      </c>
      <c r="B50" s="121" t="s">
        <v>191</v>
      </c>
      <c r="C50" s="121" t="s">
        <v>175</v>
      </c>
      <c r="D50" s="121" t="s">
        <v>66</v>
      </c>
      <c r="E50" s="121" t="s">
        <v>131</v>
      </c>
      <c r="F50" s="122">
        <v>529304.82518213219</v>
      </c>
      <c r="G50" s="122">
        <v>0</v>
      </c>
      <c r="H50" s="122">
        <v>42485.148205679463</v>
      </c>
      <c r="I50" s="122">
        <v>0</v>
      </c>
      <c r="J50" s="122">
        <v>-23175.494006621688</v>
      </c>
      <c r="K50" s="122">
        <v>3528.293133915533</v>
      </c>
      <c r="L50" s="122">
        <v>0</v>
      </c>
      <c r="M50" s="122">
        <v>0</v>
      </c>
      <c r="N50" s="122">
        <v>0</v>
      </c>
      <c r="O50" s="122">
        <v>0</v>
      </c>
      <c r="P50" s="122">
        <v>0</v>
      </c>
      <c r="Q50" s="122">
        <v>0</v>
      </c>
      <c r="R50" s="121" t="s">
        <v>186</v>
      </c>
      <c r="S50" s="121" t="s">
        <v>176</v>
      </c>
      <c r="T50" s="121" t="s">
        <v>187</v>
      </c>
      <c r="U50" s="121" t="s">
        <v>187</v>
      </c>
      <c r="V50" s="121" t="s">
        <v>79</v>
      </c>
      <c r="W50" s="121">
        <v>973562.25975022814</v>
      </c>
      <c r="X50" s="121">
        <v>552142.77251510555</v>
      </c>
      <c r="Y50" s="121" t="s">
        <v>135</v>
      </c>
      <c r="Z50" s="123" t="s">
        <v>188</v>
      </c>
    </row>
    <row r="51" spans="1:26" x14ac:dyDescent="0.3">
      <c r="F51" s="129">
        <f t="shared" ref="F51:I51" si="0">SUM(F2:F50)</f>
        <v>3772866.6799999997</v>
      </c>
      <c r="G51" s="129">
        <f t="shared" si="0"/>
        <v>5161991.7300000004</v>
      </c>
      <c r="H51" s="129">
        <f t="shared" si="0"/>
        <v>6595765.6500000013</v>
      </c>
      <c r="I51" s="129">
        <f t="shared" si="0"/>
        <v>3655052.08</v>
      </c>
      <c r="J51" s="129">
        <f>SUM(J2:J50)</f>
        <v>5602365.3500000006</v>
      </c>
      <c r="K51" s="129">
        <f>SUM(K2:K50)</f>
        <v>4216714.82</v>
      </c>
    </row>
    <row r="52" spans="1:26" x14ac:dyDescent="0.3">
      <c r="J52" s="130" t="s">
        <v>198</v>
      </c>
      <c r="K52" s="129">
        <f>SUM(F51:K51)</f>
        <v>29004756.310000002</v>
      </c>
    </row>
    <row r="53" spans="1:26" x14ac:dyDescent="0.3">
      <c r="J53" s="130" t="s">
        <v>199</v>
      </c>
      <c r="K53" s="129">
        <v>5000000</v>
      </c>
    </row>
    <row r="54" spans="1:26" ht="15" thickBot="1" x14ac:dyDescent="0.35">
      <c r="J54" s="119" t="s">
        <v>200</v>
      </c>
      <c r="K54" s="131">
        <f>SUM(K52:K53)</f>
        <v>34004756.310000002</v>
      </c>
    </row>
    <row r="55" spans="1:26" ht="15" thickTop="1"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
  <sheetViews>
    <sheetView workbookViewId="0">
      <selection activeCell="I30" sqref="I30"/>
    </sheetView>
  </sheetViews>
  <sheetFormatPr defaultRowHeight="13.2"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workbookViewId="0">
      <pane ySplit="5" topLeftCell="A6" activePane="bottomLeft" state="frozen"/>
      <selection activeCell="E35" sqref="E35"/>
      <selection pane="bottomLeft" activeCell="D11" sqref="D11"/>
    </sheetView>
  </sheetViews>
  <sheetFormatPr defaultColWidth="8.88671875" defaultRowHeight="14.4" x14ac:dyDescent="0.3"/>
  <cols>
    <col min="1" max="1" width="4.44140625" style="1" bestFit="1" customWidth="1"/>
    <col min="2" max="2" width="38" style="1" bestFit="1" customWidth="1"/>
    <col min="3" max="3" width="9.109375" style="1" bestFit="1" customWidth="1"/>
    <col min="4" max="4" width="13.5546875" style="1" bestFit="1" customWidth="1"/>
    <col min="5" max="5" width="54.5546875" style="1" customWidth="1"/>
    <col min="6" max="16384" width="8.88671875" style="1"/>
  </cols>
  <sheetData>
    <row r="2" spans="1:5" ht="15" thickBot="1" x14ac:dyDescent="0.35"/>
    <row r="3" spans="1:5" ht="17.399999999999999" x14ac:dyDescent="0.3">
      <c r="A3" s="2" t="s">
        <v>39</v>
      </c>
      <c r="B3" s="3"/>
      <c r="C3" s="3"/>
      <c r="D3" s="3"/>
      <c r="E3" s="4"/>
    </row>
    <row r="4" spans="1:5" ht="17.399999999999999" x14ac:dyDescent="0.3">
      <c r="A4" s="5" t="s">
        <v>201</v>
      </c>
      <c r="B4" s="6"/>
      <c r="C4" s="6"/>
      <c r="D4" s="6"/>
      <c r="E4" s="7"/>
    </row>
    <row r="5" spans="1:5" x14ac:dyDescent="0.3">
      <c r="A5" s="8"/>
      <c r="E5" s="9"/>
    </row>
    <row r="6" spans="1:5" x14ac:dyDescent="0.3">
      <c r="A6" s="10" t="s">
        <v>41</v>
      </c>
      <c r="B6" s="11"/>
      <c r="C6" s="11"/>
      <c r="D6" s="12"/>
      <c r="E6" s="13"/>
    </row>
    <row r="7" spans="1:5" x14ac:dyDescent="0.3">
      <c r="A7" s="14"/>
      <c r="B7" s="15"/>
      <c r="C7" s="15"/>
      <c r="D7" s="16"/>
      <c r="E7" s="17" t="s">
        <v>42</v>
      </c>
    </row>
    <row r="8" spans="1:5" x14ac:dyDescent="0.3">
      <c r="A8" s="14">
        <f>ROW()</f>
        <v>8</v>
      </c>
      <c r="B8" s="15" t="s">
        <v>43</v>
      </c>
      <c r="C8" s="15"/>
      <c r="D8" s="18">
        <v>2.5499999999999998E-2</v>
      </c>
      <c r="E8" s="19" t="s">
        <v>44</v>
      </c>
    </row>
    <row r="9" spans="1:5" x14ac:dyDescent="0.3">
      <c r="A9" s="14">
        <f>ROW()</f>
        <v>9</v>
      </c>
      <c r="B9" s="15"/>
      <c r="C9" s="15"/>
      <c r="D9" s="18"/>
      <c r="E9" s="19"/>
    </row>
    <row r="10" spans="1:5" x14ac:dyDescent="0.3">
      <c r="A10" s="14"/>
      <c r="B10" s="15"/>
      <c r="C10" s="15"/>
      <c r="D10" s="18"/>
      <c r="E10" s="19"/>
    </row>
    <row r="11" spans="1:5" x14ac:dyDescent="0.3">
      <c r="A11" s="14">
        <f>ROW()</f>
        <v>11</v>
      </c>
      <c r="B11" s="15" t="s">
        <v>45</v>
      </c>
      <c r="C11" s="15"/>
      <c r="D11" s="20">
        <f>-'2023 GP AMA - In Rates'!N34</f>
        <v>32908426.689668</v>
      </c>
      <c r="E11" s="19" t="s">
        <v>202</v>
      </c>
    </row>
    <row r="12" spans="1:5" x14ac:dyDescent="0.3">
      <c r="A12" s="14">
        <f>ROW()</f>
        <v>12</v>
      </c>
      <c r="B12" s="15" t="s">
        <v>47</v>
      </c>
      <c r="C12" s="15"/>
      <c r="D12" s="21">
        <f>'2023 Program - In Rates'!F7</f>
        <v>-2409955.7928419998</v>
      </c>
      <c r="E12" s="19" t="s">
        <v>202</v>
      </c>
    </row>
    <row r="13" spans="1:5" x14ac:dyDescent="0.3">
      <c r="A13" s="14">
        <f>ROW()</f>
        <v>13</v>
      </c>
      <c r="B13" s="15" t="s">
        <v>48</v>
      </c>
      <c r="C13" s="15"/>
      <c r="D13" s="22">
        <f>'2023 Program - In Rates'!H4</f>
        <v>-1438489.850238</v>
      </c>
      <c r="E13" s="23" t="s">
        <v>202</v>
      </c>
    </row>
    <row r="14" spans="1:5" x14ac:dyDescent="0.3">
      <c r="A14" s="14">
        <f>ROW()</f>
        <v>14</v>
      </c>
      <c r="B14" s="15" t="s">
        <v>49</v>
      </c>
      <c r="C14" s="15"/>
      <c r="D14" s="20">
        <f>SUM(D11:D13)</f>
        <v>29059981.046588</v>
      </c>
      <c r="E14" s="19"/>
    </row>
    <row r="15" spans="1:5" x14ac:dyDescent="0.3">
      <c r="A15" s="14">
        <f>ROW()</f>
        <v>15</v>
      </c>
      <c r="B15" s="15"/>
      <c r="C15" s="15"/>
      <c r="D15" s="15"/>
      <c r="E15" s="19"/>
    </row>
    <row r="16" spans="1:5" x14ac:dyDescent="0.3">
      <c r="A16" s="14">
        <f>ROW()</f>
        <v>16</v>
      </c>
      <c r="B16" s="15" t="s">
        <v>50</v>
      </c>
      <c r="C16" s="15"/>
      <c r="D16" s="20">
        <f>-0.79*'2023 Program - In Rates'!J7</f>
        <v>-1649012.59926136</v>
      </c>
      <c r="E16" s="19" t="s">
        <v>203</v>
      </c>
    </row>
    <row r="17" spans="1:5" x14ac:dyDescent="0.3">
      <c r="A17" s="14">
        <f>ROW()</f>
        <v>17</v>
      </c>
      <c r="B17" s="15" t="s">
        <v>52</v>
      </c>
      <c r="C17" s="15"/>
      <c r="D17" s="25">
        <f>+D14*D8*0.21</f>
        <v>155616.19850447873</v>
      </c>
      <c r="E17" s="19" t="s">
        <v>53</v>
      </c>
    </row>
    <row r="18" spans="1:5" x14ac:dyDescent="0.3">
      <c r="A18" s="14">
        <f>ROW()</f>
        <v>18</v>
      </c>
      <c r="B18" s="15" t="s">
        <v>54</v>
      </c>
      <c r="C18" s="15"/>
      <c r="D18" s="22">
        <f>-D14*D8</f>
        <v>-741029.51668799401</v>
      </c>
      <c r="E18" s="23" t="s">
        <v>55</v>
      </c>
    </row>
    <row r="19" spans="1:5" x14ac:dyDescent="0.3">
      <c r="A19" s="14">
        <f>ROW()</f>
        <v>19</v>
      </c>
      <c r="B19" s="15" t="s">
        <v>56</v>
      </c>
      <c r="C19" s="15"/>
      <c r="D19" s="20">
        <f>-D16-D17-D18</f>
        <v>2234425.9174448755</v>
      </c>
      <c r="E19" s="26"/>
    </row>
    <row r="20" spans="1:5" ht="15" thickBot="1" x14ac:dyDescent="0.35">
      <c r="A20" s="14"/>
      <c r="B20" s="15"/>
      <c r="C20" s="15"/>
      <c r="D20" s="27"/>
      <c r="E20" s="19"/>
    </row>
    <row r="21" spans="1:5" ht="15" thickBot="1" x14ac:dyDescent="0.35">
      <c r="A21" s="14">
        <f>ROW()</f>
        <v>21</v>
      </c>
      <c r="B21" s="15" t="s">
        <v>57</v>
      </c>
      <c r="C21" s="15"/>
      <c r="D21" s="28">
        <f>+D19/0.79/0.952348</f>
        <v>2969909.3579993811</v>
      </c>
      <c r="E21" s="19" t="s">
        <v>58</v>
      </c>
    </row>
    <row r="22" spans="1:5" x14ac:dyDescent="0.3">
      <c r="A22" s="29"/>
      <c r="B22" s="30"/>
      <c r="C22" s="30"/>
      <c r="D22" s="31"/>
      <c r="E22" s="23" t="s">
        <v>59</v>
      </c>
    </row>
    <row r="23" spans="1:5" customFormat="1" ht="13.2" x14ac:dyDescent="0.25"/>
    <row r="24" spans="1:5" customFormat="1" ht="13.2" x14ac:dyDescent="0.25"/>
    <row r="25" spans="1:5" customFormat="1" ht="13.2" x14ac:dyDescent="0.25"/>
    <row r="26" spans="1:5" customFormat="1" ht="13.2" x14ac:dyDescent="0.25"/>
    <row r="27" spans="1:5" customFormat="1" ht="13.2" x14ac:dyDescent="0.25"/>
    <row r="28" spans="1:5" customFormat="1" ht="13.2" x14ac:dyDescent="0.25"/>
    <row r="29" spans="1:5" customFormat="1" ht="13.2" x14ac:dyDescent="0.25"/>
    <row r="30" spans="1:5" customFormat="1" ht="13.2" x14ac:dyDescent="0.25"/>
    <row r="31" spans="1:5" customFormat="1" ht="13.2" x14ac:dyDescent="0.25"/>
    <row r="32" spans="1:5" customFormat="1" ht="13.2" x14ac:dyDescent="0.25"/>
    <row r="33" spans="4:4" customFormat="1" ht="13.2" x14ac:dyDescent="0.25"/>
    <row r="34" spans="4:4" customFormat="1" ht="13.2" x14ac:dyDescent="0.25"/>
    <row r="35" spans="4:4" customFormat="1" ht="13.2" x14ac:dyDescent="0.25"/>
    <row r="36" spans="4:4" customFormat="1" ht="13.2" x14ac:dyDescent="0.25"/>
    <row r="37" spans="4:4" customFormat="1" ht="13.2" x14ac:dyDescent="0.25"/>
    <row r="38" spans="4:4" customFormat="1" ht="13.2" x14ac:dyDescent="0.25"/>
    <row r="40" spans="4:4" x14ac:dyDescent="0.3">
      <c r="D40" s="132"/>
    </row>
    <row r="41" spans="4:4" x14ac:dyDescent="0.3">
      <c r="D41" s="132"/>
    </row>
    <row r="42" spans="4:4" x14ac:dyDescent="0.3">
      <c r="D42" s="132"/>
    </row>
  </sheetData>
  <pageMargins left="0.7" right="0.7" top="0.75" bottom="0.75" header="0.3" footer="0.3"/>
  <pageSetup orientation="portrait" horizontalDpi="4294967293"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workbookViewId="0">
      <pane ySplit="5" topLeftCell="A6" activePane="bottomLeft" state="frozen"/>
      <selection activeCell="E35" sqref="E35"/>
      <selection pane="bottomLeft" activeCell="D12" sqref="D12"/>
    </sheetView>
  </sheetViews>
  <sheetFormatPr defaultColWidth="8.88671875" defaultRowHeight="14.4" x14ac:dyDescent="0.3"/>
  <cols>
    <col min="1" max="1" width="4.44140625" style="1" bestFit="1" customWidth="1"/>
    <col min="2" max="2" width="38" style="1" bestFit="1" customWidth="1"/>
    <col min="3" max="3" width="9.109375" style="1" bestFit="1" customWidth="1"/>
    <col min="4" max="4" width="13.5546875" style="1" bestFit="1" customWidth="1"/>
    <col min="5" max="5" width="54.5546875" style="1" customWidth="1"/>
    <col min="6" max="16384" width="8.88671875" style="1"/>
  </cols>
  <sheetData>
    <row r="2" spans="1:5" ht="15" thickBot="1" x14ac:dyDescent="0.35"/>
    <row r="3" spans="1:5" ht="17.399999999999999" x14ac:dyDescent="0.3">
      <c r="A3" s="2" t="s">
        <v>39</v>
      </c>
      <c r="B3" s="3"/>
      <c r="C3" s="3"/>
      <c r="D3" s="3"/>
      <c r="E3" s="4"/>
    </row>
    <row r="4" spans="1:5" ht="17.399999999999999" x14ac:dyDescent="0.3">
      <c r="A4" s="5" t="s">
        <v>204</v>
      </c>
      <c r="B4" s="6"/>
      <c r="C4" s="6"/>
      <c r="D4" s="6"/>
      <c r="E4" s="7"/>
    </row>
    <row r="5" spans="1:5" x14ac:dyDescent="0.3">
      <c r="A5" s="8"/>
      <c r="E5" s="9"/>
    </row>
    <row r="6" spans="1:5" x14ac:dyDescent="0.3">
      <c r="A6" s="10" t="s">
        <v>41</v>
      </c>
      <c r="B6" s="11"/>
      <c r="C6" s="11"/>
      <c r="D6" s="12"/>
      <c r="E6" s="13"/>
    </row>
    <row r="7" spans="1:5" x14ac:dyDescent="0.3">
      <c r="A7" s="14">
        <v>1</v>
      </c>
      <c r="B7" s="15"/>
      <c r="C7" s="15"/>
      <c r="D7" s="16"/>
      <c r="E7" s="17" t="s">
        <v>42</v>
      </c>
    </row>
    <row r="8" spans="1:5" x14ac:dyDescent="0.3">
      <c r="A8" s="14">
        <v>2</v>
      </c>
      <c r="B8" s="15" t="s">
        <v>43</v>
      </c>
      <c r="C8" s="15"/>
      <c r="D8" s="18">
        <v>2.5499999999999998E-2</v>
      </c>
      <c r="E8" s="19" t="s">
        <v>61</v>
      </c>
    </row>
    <row r="9" spans="1:5" x14ac:dyDescent="0.3">
      <c r="A9" s="14">
        <f t="shared" ref="A9:A19" si="0">+A8+1</f>
        <v>3</v>
      </c>
      <c r="B9" s="15"/>
      <c r="C9" s="15"/>
      <c r="D9" s="18"/>
      <c r="E9" s="19"/>
    </row>
    <row r="10" spans="1:5" x14ac:dyDescent="0.3">
      <c r="A10" s="14"/>
      <c r="B10" s="15"/>
      <c r="C10" s="15"/>
      <c r="D10" s="18"/>
      <c r="E10" s="19"/>
    </row>
    <row r="11" spans="1:5" x14ac:dyDescent="0.3">
      <c r="A11" s="14">
        <f>+A9+1</f>
        <v>4</v>
      </c>
      <c r="B11" s="15" t="s">
        <v>45</v>
      </c>
      <c r="C11" s="15"/>
      <c r="D11" s="20">
        <f>-'2023 GP AMA - In Rates'!N35</f>
        <v>17048092.410332002</v>
      </c>
      <c r="E11" s="19" t="s">
        <v>202</v>
      </c>
    </row>
    <row r="12" spans="1:5" x14ac:dyDescent="0.3">
      <c r="A12" s="14">
        <f>+A11+1</f>
        <v>5</v>
      </c>
      <c r="B12" s="15" t="s">
        <v>47</v>
      </c>
      <c r="C12" s="15"/>
      <c r="D12" s="21">
        <f>'2023 Program - In Rates'!G7</f>
        <v>-1252882.4371580002</v>
      </c>
      <c r="E12" s="19" t="s">
        <v>202</v>
      </c>
    </row>
    <row r="13" spans="1:5" x14ac:dyDescent="0.3">
      <c r="A13" s="14">
        <f t="shared" si="0"/>
        <v>6</v>
      </c>
      <c r="B13" s="15" t="s">
        <v>48</v>
      </c>
      <c r="C13" s="15"/>
      <c r="D13" s="22">
        <f>'2023 Program - In Rates'!I7</f>
        <v>-1913185.0097620003</v>
      </c>
      <c r="E13" s="23" t="s">
        <v>202</v>
      </c>
    </row>
    <row r="14" spans="1:5" x14ac:dyDescent="0.3">
      <c r="A14" s="14">
        <f t="shared" si="0"/>
        <v>7</v>
      </c>
      <c r="B14" s="15" t="s">
        <v>49</v>
      </c>
      <c r="C14" s="15"/>
      <c r="D14" s="20">
        <f>SUM(D11:D13)</f>
        <v>13882024.963412002</v>
      </c>
      <c r="E14" s="19"/>
    </row>
    <row r="15" spans="1:5" x14ac:dyDescent="0.3">
      <c r="A15" s="14">
        <f t="shared" si="0"/>
        <v>8</v>
      </c>
      <c r="B15" s="15"/>
      <c r="C15" s="15"/>
      <c r="D15" s="15"/>
      <c r="E15" s="19"/>
    </row>
    <row r="16" spans="1:5" x14ac:dyDescent="0.3">
      <c r="A16" s="14">
        <f t="shared" si="0"/>
        <v>9</v>
      </c>
      <c r="B16" s="15" t="s">
        <v>50</v>
      </c>
      <c r="C16" s="15"/>
      <c r="D16" s="20">
        <f>-0.79*'2023 Program - In Rates'!K7</f>
        <v>-877689.43073864002</v>
      </c>
      <c r="E16" s="19" t="s">
        <v>203</v>
      </c>
    </row>
    <row r="17" spans="1:5" x14ac:dyDescent="0.3">
      <c r="A17" s="14">
        <v>10</v>
      </c>
      <c r="B17" s="15" t="s">
        <v>52</v>
      </c>
      <c r="C17" s="15"/>
      <c r="D17" s="25">
        <f>+D14*D8*0.21</f>
        <v>74338.243679071253</v>
      </c>
      <c r="E17" s="19" t="s">
        <v>53</v>
      </c>
    </row>
    <row r="18" spans="1:5" x14ac:dyDescent="0.3">
      <c r="A18" s="14">
        <f>+A17+1</f>
        <v>11</v>
      </c>
      <c r="B18" s="15" t="s">
        <v>54</v>
      </c>
      <c r="C18" s="15"/>
      <c r="D18" s="22">
        <f>-D14*D8</f>
        <v>-353991.636567006</v>
      </c>
      <c r="E18" s="23" t="s">
        <v>55</v>
      </c>
    </row>
    <row r="19" spans="1:5" x14ac:dyDescent="0.3">
      <c r="A19" s="14">
        <f t="shared" si="0"/>
        <v>12</v>
      </c>
      <c r="B19" s="15" t="s">
        <v>56</v>
      </c>
      <c r="C19" s="15"/>
      <c r="D19" s="20">
        <f>-D16-D17-D18</f>
        <v>1157342.8236265746</v>
      </c>
      <c r="E19" s="26"/>
    </row>
    <row r="20" spans="1:5" ht="15" thickBot="1" x14ac:dyDescent="0.35">
      <c r="A20" s="14"/>
      <c r="B20" s="15"/>
      <c r="C20" s="15"/>
      <c r="D20" s="27"/>
      <c r="E20" s="19"/>
    </row>
    <row r="21" spans="1:5" ht="15" thickBot="1" x14ac:dyDescent="0.35">
      <c r="A21" s="14">
        <f>+A19+1</f>
        <v>13</v>
      </c>
      <c r="B21" s="15" t="s">
        <v>57</v>
      </c>
      <c r="C21" s="15"/>
      <c r="D21" s="28">
        <f>+D19/0.79/0.955444</f>
        <v>1533309.0332693551</v>
      </c>
      <c r="E21" s="19" t="s">
        <v>62</v>
      </c>
    </row>
    <row r="22" spans="1:5" x14ac:dyDescent="0.3">
      <c r="A22" s="29"/>
      <c r="B22" s="30"/>
      <c r="C22" s="30"/>
      <c r="D22" s="31"/>
      <c r="E22" s="23" t="s">
        <v>63</v>
      </c>
    </row>
    <row r="23" spans="1:5" customFormat="1" ht="13.2" x14ac:dyDescent="0.25"/>
    <row r="24" spans="1:5" customFormat="1" ht="13.2" x14ac:dyDescent="0.25"/>
    <row r="25" spans="1:5" customFormat="1" ht="13.2" x14ac:dyDescent="0.25"/>
    <row r="26" spans="1:5" customFormat="1" ht="13.2" x14ac:dyDescent="0.25"/>
    <row r="28" spans="1:5" x14ac:dyDescent="0.3">
      <c r="D28" s="132"/>
    </row>
    <row r="29" spans="1:5" x14ac:dyDescent="0.3">
      <c r="D29" s="132"/>
    </row>
    <row r="30" spans="1:5" x14ac:dyDescent="0.3">
      <c r="D30" s="132"/>
    </row>
  </sheetData>
  <pageMargins left="0.7" right="0.7" top="0.75" bottom="0.75" header="0.3" footer="0.3"/>
  <pageSetup orientation="portrait" horizontalDpi="4294967293"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E21" sqref="E21"/>
    </sheetView>
  </sheetViews>
  <sheetFormatPr defaultColWidth="8.6640625" defaultRowHeight="13.8" x14ac:dyDescent="0.3"/>
  <cols>
    <col min="1" max="1" width="41.88671875" style="33" bestFit="1" customWidth="1"/>
    <col min="2" max="2" width="32.44140625" style="33" bestFit="1" customWidth="1"/>
    <col min="3" max="3" width="9.33203125" style="33" bestFit="1" customWidth="1"/>
    <col min="4" max="4" width="14.88671875" style="33" bestFit="1" customWidth="1"/>
    <col min="5" max="5" width="13.88671875" style="33" bestFit="1" customWidth="1"/>
    <col min="6" max="7" width="13.44140625" style="33" bestFit="1" customWidth="1"/>
    <col min="8" max="9" width="13.109375" style="33" bestFit="1" customWidth="1"/>
    <col min="10" max="11" width="12.44140625" style="33" bestFit="1" customWidth="1"/>
    <col min="12" max="16384" width="8.6640625" style="33"/>
  </cols>
  <sheetData>
    <row r="1" spans="1:11" ht="15.6" x14ac:dyDescent="0.3">
      <c r="A1" s="32" t="s">
        <v>205</v>
      </c>
      <c r="B1" s="32" t="s">
        <v>65</v>
      </c>
    </row>
    <row r="2" spans="1:11" ht="27.75" customHeight="1" x14ac:dyDescent="0.3">
      <c r="D2" s="34" t="s">
        <v>66</v>
      </c>
      <c r="E2" s="34"/>
      <c r="F2" s="34" t="s">
        <v>47</v>
      </c>
      <c r="G2" s="34"/>
      <c r="H2" s="34" t="s">
        <v>67</v>
      </c>
      <c r="I2" s="34"/>
      <c r="J2" s="34" t="s">
        <v>50</v>
      </c>
      <c r="K2" s="34"/>
    </row>
    <row r="3" spans="1:11" ht="14.4" x14ac:dyDescent="0.3">
      <c r="A3" s="35" t="s">
        <v>68</v>
      </c>
      <c r="B3" s="35" t="s">
        <v>69</v>
      </c>
      <c r="C3" s="36" t="s">
        <v>70</v>
      </c>
      <c r="D3" s="37" t="s">
        <v>3</v>
      </c>
      <c r="E3" s="37" t="s">
        <v>4</v>
      </c>
      <c r="F3" s="37" t="s">
        <v>3</v>
      </c>
      <c r="G3" s="37" t="s">
        <v>4</v>
      </c>
      <c r="H3" s="37" t="s">
        <v>3</v>
      </c>
      <c r="I3" s="37" t="s">
        <v>4</v>
      </c>
      <c r="J3" s="37" t="s">
        <v>3</v>
      </c>
      <c r="K3" s="37" t="s">
        <v>4</v>
      </c>
    </row>
    <row r="4" spans="1:11" x14ac:dyDescent="0.3">
      <c r="A4" s="38" t="s">
        <v>71</v>
      </c>
      <c r="B4" s="38" t="s">
        <v>72</v>
      </c>
      <c r="C4" s="39" t="s">
        <v>73</v>
      </c>
      <c r="D4" s="42">
        <v>28310158.159667999</v>
      </c>
      <c r="E4" s="42">
        <v>14623051.060332</v>
      </c>
      <c r="F4" s="42">
        <v>-2437000.5828419998</v>
      </c>
      <c r="G4" s="42">
        <v>-1258784.3471580001</v>
      </c>
      <c r="H4" s="42">
        <v>-1438489.850238</v>
      </c>
      <c r="I4" s="42">
        <v>-743023.41976200009</v>
      </c>
      <c r="J4" s="42">
        <v>1887353.3805839999</v>
      </c>
      <c r="K4" s="42">
        <v>974874.97941599996</v>
      </c>
    </row>
    <row r="5" spans="1:11" x14ac:dyDescent="0.3">
      <c r="A5" s="38" t="s">
        <v>77</v>
      </c>
      <c r="B5" s="38" t="s">
        <v>72</v>
      </c>
      <c r="C5" s="39" t="s">
        <v>76</v>
      </c>
      <c r="D5" s="42">
        <v>4598268.53</v>
      </c>
      <c r="E5" s="42"/>
      <c r="F5" s="42">
        <v>27044.789999999997</v>
      </c>
      <c r="G5" s="42"/>
      <c r="H5" s="42">
        <v>-1327864.98</v>
      </c>
      <c r="I5" s="42">
        <v>-1170161.5900000001</v>
      </c>
      <c r="J5" s="42">
        <v>200004.34000000003</v>
      </c>
      <c r="K5" s="42">
        <v>136124.29999999999</v>
      </c>
    </row>
    <row r="6" spans="1:11" x14ac:dyDescent="0.3">
      <c r="A6" s="43" t="s">
        <v>80</v>
      </c>
      <c r="B6" s="43" t="s">
        <v>72</v>
      </c>
      <c r="C6" s="44" t="s">
        <v>79</v>
      </c>
      <c r="D6" s="45"/>
      <c r="E6" s="45">
        <v>2425041.35</v>
      </c>
      <c r="F6" s="45"/>
      <c r="G6" s="45">
        <v>5901.91</v>
      </c>
      <c r="H6" s="45"/>
      <c r="I6" s="45"/>
      <c r="J6" s="45"/>
      <c r="K6" s="45"/>
    </row>
    <row r="7" spans="1:11" x14ac:dyDescent="0.3">
      <c r="A7" s="47"/>
      <c r="B7" s="47"/>
      <c r="C7" s="47"/>
      <c r="D7" s="42">
        <f t="shared" ref="D7:K7" si="0">SUM(D4:D6)</f>
        <v>32908426.689668</v>
      </c>
      <c r="E7" s="42">
        <f t="shared" si="0"/>
        <v>17048092.410332002</v>
      </c>
      <c r="F7" s="42">
        <f t="shared" si="0"/>
        <v>-2409955.7928419998</v>
      </c>
      <c r="G7" s="42">
        <f t="shared" si="0"/>
        <v>-1252882.4371580002</v>
      </c>
      <c r="H7" s="42">
        <f t="shared" si="0"/>
        <v>-2766354.830238</v>
      </c>
      <c r="I7" s="42">
        <f t="shared" si="0"/>
        <v>-1913185.0097620003</v>
      </c>
      <c r="J7" s="42">
        <f t="shared" si="0"/>
        <v>2087357.720584</v>
      </c>
      <c r="K7" s="42">
        <f t="shared" si="0"/>
        <v>1110999.279416</v>
      </c>
    </row>
    <row r="8" spans="1:11" x14ac:dyDescent="0.3">
      <c r="A8" s="47"/>
      <c r="B8" s="47"/>
      <c r="C8" s="47"/>
      <c r="D8" s="42"/>
      <c r="E8" s="42"/>
      <c r="F8" s="47"/>
      <c r="G8" s="42"/>
    </row>
    <row r="9" spans="1:11" x14ac:dyDescent="0.3">
      <c r="A9" s="47" t="s">
        <v>206</v>
      </c>
      <c r="B9" s="47"/>
      <c r="C9" s="47"/>
      <c r="D9" s="42"/>
      <c r="E9" s="42"/>
      <c r="F9" s="47"/>
      <c r="G9" s="42"/>
    </row>
    <row r="10" spans="1:11" x14ac:dyDescent="0.3">
      <c r="A10" s="47"/>
      <c r="B10" s="47"/>
      <c r="C10" s="47"/>
      <c r="D10" s="42"/>
      <c r="E10" s="42"/>
    </row>
    <row r="11" spans="1:11" x14ac:dyDescent="0.3">
      <c r="A11" s="47"/>
      <c r="B11" s="47"/>
      <c r="C11" s="47"/>
      <c r="D11" s="42"/>
      <c r="E11" s="42"/>
    </row>
    <row r="12" spans="1:11" x14ac:dyDescent="0.3">
      <c r="A12" s="47"/>
      <c r="B12" s="47"/>
      <c r="C12" s="47"/>
      <c r="D12" s="42"/>
      <c r="E12" s="42"/>
    </row>
    <row r="13" spans="1:11" x14ac:dyDescent="0.3">
      <c r="A13" s="47"/>
      <c r="B13" s="47"/>
      <c r="C13" s="47"/>
      <c r="D13" s="42"/>
      <c r="E13" s="42"/>
    </row>
    <row r="14" spans="1:11" x14ac:dyDescent="0.3">
      <c r="A14" s="47"/>
      <c r="B14" s="47"/>
      <c r="C14" s="47"/>
      <c r="D14" s="42"/>
      <c r="E14" s="42"/>
    </row>
    <row r="15" spans="1:11" x14ac:dyDescent="0.3">
      <c r="A15" s="47"/>
      <c r="B15" s="47"/>
      <c r="C15" s="47"/>
      <c r="D15" s="42"/>
      <c r="E15" s="42"/>
    </row>
    <row r="16" spans="1:11" x14ac:dyDescent="0.3">
      <c r="A16" s="47"/>
      <c r="B16" s="47"/>
      <c r="C16" s="47"/>
      <c r="D16" s="42"/>
      <c r="E16" s="42"/>
    </row>
    <row r="17" spans="1:5" x14ac:dyDescent="0.3">
      <c r="A17" s="47"/>
      <c r="B17" s="47"/>
      <c r="C17" s="47"/>
      <c r="D17" s="42"/>
      <c r="E17" s="42"/>
    </row>
  </sheetData>
  <pageMargins left="0.7" right="0.7" top="0.75" bottom="0.75" header="0.3" footer="0.3"/>
  <pageSetup orientation="portrait" horizontalDpi="200" verticalDpi="20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zoomScale="85" zoomScaleNormal="85" workbookViewId="0">
      <pane xSplit="2" ySplit="5" topLeftCell="C6" activePane="bottomRight" state="frozen"/>
      <selection pane="topRight" activeCell="C1" sqref="C1"/>
      <selection pane="bottomLeft" activeCell="A6" sqref="A6"/>
      <selection pane="bottomRight" activeCell="F13" sqref="F13"/>
    </sheetView>
  </sheetViews>
  <sheetFormatPr defaultRowHeight="13.2" x14ac:dyDescent="0.25"/>
  <cols>
    <col min="1" max="1" width="4" customWidth="1"/>
    <col min="2" max="2" width="15.44140625" customWidth="1"/>
    <col min="3" max="15" width="19.88671875" customWidth="1"/>
  </cols>
  <sheetData>
    <row r="1" spans="2:15" x14ac:dyDescent="0.25">
      <c r="M1" s="76" t="s">
        <v>207</v>
      </c>
      <c r="N1" s="76" t="s">
        <v>208</v>
      </c>
    </row>
    <row r="2" spans="2:15" x14ac:dyDescent="0.25">
      <c r="B2" t="s">
        <v>209</v>
      </c>
      <c r="M2" s="74">
        <v>0.65939999999999999</v>
      </c>
      <c r="N2" s="74">
        <v>0.34060000000000001</v>
      </c>
    </row>
    <row r="4" spans="2:15" x14ac:dyDescent="0.25">
      <c r="C4" s="60" t="s">
        <v>210</v>
      </c>
      <c r="D4" s="61"/>
      <c r="E4" s="61"/>
      <c r="F4" s="61"/>
      <c r="G4" s="62"/>
      <c r="H4" s="60" t="s">
        <v>211</v>
      </c>
      <c r="I4" s="61"/>
      <c r="J4" s="61"/>
      <c r="K4" s="61"/>
      <c r="L4" s="62"/>
      <c r="M4" s="60" t="s">
        <v>212</v>
      </c>
      <c r="N4" s="61"/>
      <c r="O4" s="62"/>
    </row>
    <row r="5" spans="2:15" ht="39.6" x14ac:dyDescent="0.25">
      <c r="B5" s="58" t="s">
        <v>213</v>
      </c>
      <c r="C5" s="63" t="s">
        <v>214</v>
      </c>
      <c r="D5" s="64" t="s">
        <v>215</v>
      </c>
      <c r="E5" s="64" t="s">
        <v>216</v>
      </c>
      <c r="F5" s="64" t="s">
        <v>217</v>
      </c>
      <c r="G5" s="65" t="s">
        <v>218</v>
      </c>
      <c r="H5" s="63" t="s">
        <v>214</v>
      </c>
      <c r="I5" s="64" t="s">
        <v>215</v>
      </c>
      <c r="J5" s="64" t="s">
        <v>216</v>
      </c>
      <c r="K5" s="64" t="s">
        <v>217</v>
      </c>
      <c r="L5" s="65" t="s">
        <v>218</v>
      </c>
      <c r="M5" s="63" t="s">
        <v>3</v>
      </c>
      <c r="N5" s="64" t="s">
        <v>4</v>
      </c>
      <c r="O5" s="65" t="s">
        <v>218</v>
      </c>
    </row>
    <row r="6" spans="2:15" x14ac:dyDescent="0.25">
      <c r="B6" t="s">
        <v>219</v>
      </c>
      <c r="C6" s="66">
        <v>0</v>
      </c>
      <c r="D6" s="59">
        <v>0</v>
      </c>
      <c r="E6" s="59">
        <v>0</v>
      </c>
      <c r="F6" s="59">
        <v>0</v>
      </c>
      <c r="G6" s="67">
        <f>SUM(C6:F6)</f>
        <v>0</v>
      </c>
      <c r="H6" s="66">
        <f>C6</f>
        <v>0</v>
      </c>
      <c r="I6" s="59">
        <f t="shared" ref="I6:K6" si="0">D6</f>
        <v>0</v>
      </c>
      <c r="J6" s="59">
        <f t="shared" si="0"/>
        <v>0</v>
      </c>
      <c r="K6" s="59">
        <f t="shared" si="0"/>
        <v>0</v>
      </c>
      <c r="L6" s="67">
        <f>SUM(H6:K6)</f>
        <v>0</v>
      </c>
      <c r="M6" s="66">
        <f>I6+J6+(K6*$M$2)</f>
        <v>0</v>
      </c>
      <c r="N6" s="59">
        <f>H6+K6*$N$2</f>
        <v>0</v>
      </c>
      <c r="O6" s="67">
        <f>SUM(M6:N6)</f>
        <v>0</v>
      </c>
    </row>
    <row r="7" spans="2:15" x14ac:dyDescent="0.25">
      <c r="B7" t="s">
        <v>220</v>
      </c>
      <c r="C7" s="68">
        <v>0</v>
      </c>
      <c r="D7" s="69">
        <v>0</v>
      </c>
      <c r="E7" s="69">
        <v>0</v>
      </c>
      <c r="F7" s="69">
        <v>0</v>
      </c>
      <c r="G7" s="70">
        <f t="shared" ref="G7:G29" si="1">SUM(C7:F7)</f>
        <v>0</v>
      </c>
      <c r="H7" s="68">
        <f>H6+C7</f>
        <v>0</v>
      </c>
      <c r="I7" s="69">
        <f t="shared" ref="I7:K22" si="2">I6+D7</f>
        <v>0</v>
      </c>
      <c r="J7" s="69">
        <f t="shared" si="2"/>
        <v>0</v>
      </c>
      <c r="K7" s="69">
        <f t="shared" si="2"/>
        <v>0</v>
      </c>
      <c r="L7" s="70">
        <f t="shared" ref="L7:L29" si="3">SUM(H7:K7)</f>
        <v>0</v>
      </c>
      <c r="M7" s="68">
        <f t="shared" ref="M7:M29" si="4">I7+J7+(K7*$M$2)</f>
        <v>0</v>
      </c>
      <c r="N7" s="69">
        <f t="shared" ref="N7:N29" si="5">H7+K7*$N$2</f>
        <v>0</v>
      </c>
      <c r="O7" s="70">
        <f t="shared" ref="O7:O29" si="6">SUM(M7:N7)</f>
        <v>0</v>
      </c>
    </row>
    <row r="8" spans="2:15" x14ac:dyDescent="0.25">
      <c r="B8" t="s">
        <v>221</v>
      </c>
      <c r="C8" s="68">
        <v>0</v>
      </c>
      <c r="D8" s="69">
        <v>-1283134.1956212255</v>
      </c>
      <c r="E8" s="69">
        <v>0</v>
      </c>
      <c r="F8" s="69">
        <v>-41865506.642646454</v>
      </c>
      <c r="G8" s="70">
        <f t="shared" si="1"/>
        <v>-43148640.838267677</v>
      </c>
      <c r="H8" s="68">
        <f t="shared" ref="H8:H29" si="7">H7+C8</f>
        <v>0</v>
      </c>
      <c r="I8" s="69">
        <f t="shared" si="2"/>
        <v>-1283134.1956212255</v>
      </c>
      <c r="J8" s="69">
        <f t="shared" si="2"/>
        <v>0</v>
      </c>
      <c r="K8" s="69">
        <f t="shared" si="2"/>
        <v>-41865506.642646454</v>
      </c>
      <c r="L8" s="70">
        <f t="shared" si="3"/>
        <v>-43148640.838267677</v>
      </c>
      <c r="M8" s="68">
        <f t="shared" si="4"/>
        <v>-28889249.275782298</v>
      </c>
      <c r="N8" s="69">
        <f t="shared" si="5"/>
        <v>-14259391.562485384</v>
      </c>
      <c r="O8" s="70">
        <f t="shared" si="6"/>
        <v>-43148640.838267684</v>
      </c>
    </row>
    <row r="9" spans="2:15" x14ac:dyDescent="0.25">
      <c r="B9" t="s">
        <v>222</v>
      </c>
      <c r="C9" s="68">
        <v>0</v>
      </c>
      <c r="D9" s="69">
        <v>0</v>
      </c>
      <c r="E9" s="69">
        <v>0</v>
      </c>
      <c r="F9" s="69">
        <v>-74082.200261834776</v>
      </c>
      <c r="G9" s="70">
        <f t="shared" si="1"/>
        <v>-74082.200261834776</v>
      </c>
      <c r="H9" s="68">
        <f t="shared" si="7"/>
        <v>0</v>
      </c>
      <c r="I9" s="69">
        <f t="shared" si="2"/>
        <v>-1283134.1956212255</v>
      </c>
      <c r="J9" s="69">
        <f t="shared" si="2"/>
        <v>0</v>
      </c>
      <c r="K9" s="69">
        <f t="shared" si="2"/>
        <v>-41939588.842908286</v>
      </c>
      <c r="L9" s="70">
        <f t="shared" si="3"/>
        <v>-43222723.038529508</v>
      </c>
      <c r="M9" s="68">
        <f t="shared" si="4"/>
        <v>-28938099.078634948</v>
      </c>
      <c r="N9" s="69">
        <f t="shared" si="5"/>
        <v>-14284623.959894562</v>
      </c>
      <c r="O9" s="70">
        <f t="shared" si="6"/>
        <v>-43222723.038529508</v>
      </c>
    </row>
    <row r="10" spans="2:15" x14ac:dyDescent="0.25">
      <c r="B10" t="s">
        <v>223</v>
      </c>
      <c r="C10" s="68">
        <v>0</v>
      </c>
      <c r="D10" s="69">
        <v>0</v>
      </c>
      <c r="E10" s="69">
        <v>0</v>
      </c>
      <c r="F10" s="69">
        <v>-74082.200261834776</v>
      </c>
      <c r="G10" s="70">
        <f t="shared" si="1"/>
        <v>-74082.200261834776</v>
      </c>
      <c r="H10" s="68">
        <f t="shared" si="7"/>
        <v>0</v>
      </c>
      <c r="I10" s="69">
        <f t="shared" si="2"/>
        <v>-1283134.1956212255</v>
      </c>
      <c r="J10" s="69">
        <f t="shared" si="2"/>
        <v>0</v>
      </c>
      <c r="K10" s="69">
        <f t="shared" si="2"/>
        <v>-42013671.043170117</v>
      </c>
      <c r="L10" s="70">
        <f t="shared" si="3"/>
        <v>-43296805.238791339</v>
      </c>
      <c r="M10" s="68">
        <f t="shared" si="4"/>
        <v>-28986948.881487601</v>
      </c>
      <c r="N10" s="69">
        <f t="shared" si="5"/>
        <v>-14309856.357303742</v>
      </c>
      <c r="O10" s="70">
        <f t="shared" si="6"/>
        <v>-43296805.238791347</v>
      </c>
    </row>
    <row r="11" spans="2:15" x14ac:dyDescent="0.25">
      <c r="B11" t="s">
        <v>224</v>
      </c>
      <c r="C11" s="68">
        <v>0</v>
      </c>
      <c r="D11" s="69">
        <v>0</v>
      </c>
      <c r="E11" s="69">
        <v>0</v>
      </c>
      <c r="F11" s="69">
        <v>-74082.200261834776</v>
      </c>
      <c r="G11" s="70">
        <f t="shared" si="1"/>
        <v>-74082.200261834776</v>
      </c>
      <c r="H11" s="68">
        <f t="shared" si="7"/>
        <v>0</v>
      </c>
      <c r="I11" s="69">
        <f t="shared" si="2"/>
        <v>-1283134.1956212255</v>
      </c>
      <c r="J11" s="69">
        <f t="shared" si="2"/>
        <v>0</v>
      </c>
      <c r="K11" s="69">
        <f t="shared" si="2"/>
        <v>-42087753.243431948</v>
      </c>
      <c r="L11" s="70">
        <f t="shared" si="3"/>
        <v>-43370887.43905317</v>
      </c>
      <c r="M11" s="68">
        <f t="shared" si="4"/>
        <v>-29035798.684340253</v>
      </c>
      <c r="N11" s="69">
        <f t="shared" si="5"/>
        <v>-14335088.754712922</v>
      </c>
      <c r="O11" s="70">
        <f t="shared" si="6"/>
        <v>-43370887.439053178</v>
      </c>
    </row>
    <row r="12" spans="2:15" x14ac:dyDescent="0.25">
      <c r="B12" t="s">
        <v>225</v>
      </c>
      <c r="C12" s="68">
        <v>0</v>
      </c>
      <c r="D12" s="69">
        <v>0</v>
      </c>
      <c r="E12" s="69">
        <v>0</v>
      </c>
      <c r="F12" s="69">
        <v>-74082.200261834776</v>
      </c>
      <c r="G12" s="70">
        <f t="shared" si="1"/>
        <v>-74082.200261834776</v>
      </c>
      <c r="H12" s="68">
        <f t="shared" si="7"/>
        <v>0</v>
      </c>
      <c r="I12" s="69">
        <f t="shared" si="2"/>
        <v>-1283134.1956212255</v>
      </c>
      <c r="J12" s="69">
        <f t="shared" si="2"/>
        <v>0</v>
      </c>
      <c r="K12" s="69">
        <f t="shared" si="2"/>
        <v>-42161835.443693779</v>
      </c>
      <c r="L12" s="70">
        <f t="shared" si="3"/>
        <v>-43444969.639315002</v>
      </c>
      <c r="M12" s="68">
        <f t="shared" si="4"/>
        <v>-29084648.487192903</v>
      </c>
      <c r="N12" s="69">
        <f t="shared" si="5"/>
        <v>-14360321.152122103</v>
      </c>
      <c r="O12" s="70">
        <f t="shared" si="6"/>
        <v>-43444969.639315009</v>
      </c>
    </row>
    <row r="13" spans="2:15" x14ac:dyDescent="0.25">
      <c r="B13" t="s">
        <v>226</v>
      </c>
      <c r="C13" s="68">
        <v>0</v>
      </c>
      <c r="D13" s="69">
        <v>0</v>
      </c>
      <c r="E13" s="69">
        <v>0</v>
      </c>
      <c r="F13" s="69">
        <v>-74082.200261834776</v>
      </c>
      <c r="G13" s="70">
        <f t="shared" si="1"/>
        <v>-74082.200261834776</v>
      </c>
      <c r="H13" s="68">
        <f t="shared" si="7"/>
        <v>0</v>
      </c>
      <c r="I13" s="69">
        <f t="shared" si="2"/>
        <v>-1283134.1956212255</v>
      </c>
      <c r="J13" s="69">
        <f t="shared" si="2"/>
        <v>0</v>
      </c>
      <c r="K13" s="69">
        <f t="shared" si="2"/>
        <v>-42235917.643955611</v>
      </c>
      <c r="L13" s="70">
        <f t="shared" si="3"/>
        <v>-43519051.839576833</v>
      </c>
      <c r="M13" s="68">
        <f t="shared" si="4"/>
        <v>-29133498.290045556</v>
      </c>
      <c r="N13" s="69">
        <f t="shared" si="5"/>
        <v>-14385553.549531281</v>
      </c>
      <c r="O13" s="70">
        <f t="shared" si="6"/>
        <v>-43519051.83957684</v>
      </c>
    </row>
    <row r="14" spans="2:15" x14ac:dyDescent="0.25">
      <c r="B14" t="s">
        <v>227</v>
      </c>
      <c r="C14" s="68">
        <v>0</v>
      </c>
      <c r="D14" s="69">
        <v>0</v>
      </c>
      <c r="E14" s="69">
        <v>0</v>
      </c>
      <c r="F14" s="69">
        <v>-74082.200261834776</v>
      </c>
      <c r="G14" s="70">
        <f t="shared" si="1"/>
        <v>-74082.200261834776</v>
      </c>
      <c r="H14" s="68">
        <f t="shared" si="7"/>
        <v>0</v>
      </c>
      <c r="I14" s="69">
        <f t="shared" si="2"/>
        <v>-1283134.1956212255</v>
      </c>
      <c r="J14" s="69">
        <f t="shared" si="2"/>
        <v>0</v>
      </c>
      <c r="K14" s="69">
        <f t="shared" si="2"/>
        <v>-42309999.844217442</v>
      </c>
      <c r="L14" s="70">
        <f t="shared" si="3"/>
        <v>-43593134.039838664</v>
      </c>
      <c r="M14" s="68">
        <f t="shared" si="4"/>
        <v>-29182348.092898205</v>
      </c>
      <c r="N14" s="69">
        <f t="shared" si="5"/>
        <v>-14410785.946940461</v>
      </c>
      <c r="O14" s="70">
        <f t="shared" si="6"/>
        <v>-43593134.039838664</v>
      </c>
    </row>
    <row r="15" spans="2:15" x14ac:dyDescent="0.25">
      <c r="B15" t="s">
        <v>228</v>
      </c>
      <c r="C15" s="68">
        <v>0</v>
      </c>
      <c r="D15" s="69">
        <v>0</v>
      </c>
      <c r="E15" s="69">
        <v>0</v>
      </c>
      <c r="F15" s="69">
        <v>-74082.200261834776</v>
      </c>
      <c r="G15" s="70">
        <f t="shared" si="1"/>
        <v>-74082.200261834776</v>
      </c>
      <c r="H15" s="68">
        <f t="shared" si="7"/>
        <v>0</v>
      </c>
      <c r="I15" s="69">
        <f t="shared" si="2"/>
        <v>-1283134.1956212255</v>
      </c>
      <c r="J15" s="69">
        <f t="shared" si="2"/>
        <v>0</v>
      </c>
      <c r="K15" s="69">
        <f t="shared" si="2"/>
        <v>-42384082.044479273</v>
      </c>
      <c r="L15" s="70">
        <f t="shared" si="3"/>
        <v>-43667216.240100496</v>
      </c>
      <c r="M15" s="68">
        <f t="shared" si="4"/>
        <v>-29231197.895750858</v>
      </c>
      <c r="N15" s="69">
        <f t="shared" si="5"/>
        <v>-14436018.344349641</v>
      </c>
      <c r="O15" s="70">
        <f t="shared" si="6"/>
        <v>-43667216.240100503</v>
      </c>
    </row>
    <row r="16" spans="2:15" x14ac:dyDescent="0.25">
      <c r="B16" t="s">
        <v>229</v>
      </c>
      <c r="C16" s="68">
        <v>0</v>
      </c>
      <c r="D16" s="69">
        <v>0</v>
      </c>
      <c r="E16" s="69">
        <v>0</v>
      </c>
      <c r="F16" s="69">
        <v>-74082.200261834776</v>
      </c>
      <c r="G16" s="70">
        <f t="shared" si="1"/>
        <v>-74082.200261834776</v>
      </c>
      <c r="H16" s="68">
        <f t="shared" si="7"/>
        <v>0</v>
      </c>
      <c r="I16" s="69">
        <f t="shared" si="2"/>
        <v>-1283134.1956212255</v>
      </c>
      <c r="J16" s="69">
        <f t="shared" si="2"/>
        <v>0</v>
      </c>
      <c r="K16" s="69">
        <f t="shared" si="2"/>
        <v>-42458164.244741105</v>
      </c>
      <c r="L16" s="70">
        <f t="shared" si="3"/>
        <v>-43741298.440362327</v>
      </c>
      <c r="M16" s="68">
        <f t="shared" si="4"/>
        <v>-29280047.698603511</v>
      </c>
      <c r="N16" s="69">
        <f t="shared" si="5"/>
        <v>-14461250.741758822</v>
      </c>
      <c r="O16" s="70">
        <f t="shared" si="6"/>
        <v>-43741298.440362334</v>
      </c>
    </row>
    <row r="17" spans="2:15" x14ac:dyDescent="0.25">
      <c r="B17" t="s">
        <v>230</v>
      </c>
      <c r="C17" s="68">
        <v>0</v>
      </c>
      <c r="D17" s="69">
        <v>0</v>
      </c>
      <c r="E17" s="69">
        <v>0</v>
      </c>
      <c r="F17" s="69">
        <v>-74082.200261834776</v>
      </c>
      <c r="G17" s="70">
        <f t="shared" si="1"/>
        <v>-74082.200261834776</v>
      </c>
      <c r="H17" s="68">
        <f t="shared" si="7"/>
        <v>0</v>
      </c>
      <c r="I17" s="77">
        <f t="shared" si="2"/>
        <v>-1283134.1956212255</v>
      </c>
      <c r="J17" s="69">
        <f t="shared" si="2"/>
        <v>0</v>
      </c>
      <c r="K17" s="77">
        <f t="shared" si="2"/>
        <v>-42532246.445002936</v>
      </c>
      <c r="L17" s="70">
        <f t="shared" si="3"/>
        <v>-43815380.640624158</v>
      </c>
      <c r="M17" s="68">
        <f t="shared" si="4"/>
        <v>-29328897.50145616</v>
      </c>
      <c r="N17" s="69">
        <f t="shared" si="5"/>
        <v>-14486483.139168</v>
      </c>
      <c r="O17" s="70">
        <f t="shared" si="6"/>
        <v>-43815380.640624158</v>
      </c>
    </row>
    <row r="18" spans="2:15" x14ac:dyDescent="0.25">
      <c r="B18" t="s">
        <v>231</v>
      </c>
      <c r="C18" s="68">
        <v>0</v>
      </c>
      <c r="D18" s="69">
        <v>0</v>
      </c>
      <c r="E18" s="69">
        <v>0</v>
      </c>
      <c r="F18" s="69">
        <v>0</v>
      </c>
      <c r="G18" s="70">
        <f t="shared" si="1"/>
        <v>0</v>
      </c>
      <c r="H18" s="68">
        <f t="shared" si="7"/>
        <v>0</v>
      </c>
      <c r="I18" s="69">
        <f t="shared" si="2"/>
        <v>-1283134.1956212255</v>
      </c>
      <c r="J18" s="69">
        <f t="shared" si="2"/>
        <v>0</v>
      </c>
      <c r="K18" s="69">
        <f t="shared" si="2"/>
        <v>-42532246.445002936</v>
      </c>
      <c r="L18" s="70">
        <f t="shared" si="3"/>
        <v>-43815380.640624158</v>
      </c>
      <c r="M18" s="68">
        <f t="shared" si="4"/>
        <v>-29328897.50145616</v>
      </c>
      <c r="N18" s="69">
        <f t="shared" si="5"/>
        <v>-14486483.139168</v>
      </c>
      <c r="O18" s="70">
        <f t="shared" si="6"/>
        <v>-43815380.640624158</v>
      </c>
    </row>
    <row r="19" spans="2:15" x14ac:dyDescent="0.25">
      <c r="B19" t="s">
        <v>232</v>
      </c>
      <c r="C19" s="68">
        <v>0</v>
      </c>
      <c r="D19" s="69">
        <v>0</v>
      </c>
      <c r="E19" s="69">
        <v>0</v>
      </c>
      <c r="F19" s="69">
        <v>0</v>
      </c>
      <c r="G19" s="70">
        <f t="shared" si="1"/>
        <v>0</v>
      </c>
      <c r="H19" s="68">
        <f t="shared" si="7"/>
        <v>0</v>
      </c>
      <c r="I19" s="69">
        <f t="shared" si="2"/>
        <v>-1283134.1956212255</v>
      </c>
      <c r="J19" s="69">
        <f t="shared" si="2"/>
        <v>0</v>
      </c>
      <c r="K19" s="69">
        <f t="shared" si="2"/>
        <v>-42532246.445002936</v>
      </c>
      <c r="L19" s="70">
        <f t="shared" si="3"/>
        <v>-43815380.640624158</v>
      </c>
      <c r="M19" s="68">
        <f t="shared" si="4"/>
        <v>-29328897.50145616</v>
      </c>
      <c r="N19" s="69">
        <f t="shared" si="5"/>
        <v>-14486483.139168</v>
      </c>
      <c r="O19" s="70">
        <f t="shared" si="6"/>
        <v>-43815380.640624158</v>
      </c>
    </row>
    <row r="20" spans="2:15" x14ac:dyDescent="0.25">
      <c r="B20" t="s">
        <v>233</v>
      </c>
      <c r="C20" s="68">
        <v>0</v>
      </c>
      <c r="D20" s="69">
        <v>0</v>
      </c>
      <c r="E20" s="69">
        <v>0</v>
      </c>
      <c r="F20" s="69">
        <v>0</v>
      </c>
      <c r="G20" s="70">
        <f t="shared" si="1"/>
        <v>0</v>
      </c>
      <c r="H20" s="68">
        <f t="shared" si="7"/>
        <v>0</v>
      </c>
      <c r="I20" s="69">
        <f t="shared" si="2"/>
        <v>-1283134.1956212255</v>
      </c>
      <c r="J20" s="69">
        <f t="shared" si="2"/>
        <v>0</v>
      </c>
      <c r="K20" s="69">
        <f t="shared" si="2"/>
        <v>-42532246.445002936</v>
      </c>
      <c r="L20" s="70">
        <f t="shared" si="3"/>
        <v>-43815380.640624158</v>
      </c>
      <c r="M20" s="68">
        <f t="shared" si="4"/>
        <v>-29328897.50145616</v>
      </c>
      <c r="N20" s="69">
        <f t="shared" si="5"/>
        <v>-14486483.139168</v>
      </c>
      <c r="O20" s="70">
        <f t="shared" si="6"/>
        <v>-43815380.640624158</v>
      </c>
    </row>
    <row r="21" spans="2:15" x14ac:dyDescent="0.25">
      <c r="B21" t="s">
        <v>234</v>
      </c>
      <c r="C21" s="68">
        <v>0</v>
      </c>
      <c r="D21" s="69">
        <v>0</v>
      </c>
      <c r="E21" s="69">
        <v>0</v>
      </c>
      <c r="F21" s="69">
        <v>0</v>
      </c>
      <c r="G21" s="70">
        <f t="shared" si="1"/>
        <v>0</v>
      </c>
      <c r="H21" s="68">
        <f t="shared" si="7"/>
        <v>0</v>
      </c>
      <c r="I21" s="69">
        <f t="shared" si="2"/>
        <v>-1283134.1956212255</v>
      </c>
      <c r="J21" s="69">
        <f t="shared" si="2"/>
        <v>0</v>
      </c>
      <c r="K21" s="69">
        <f t="shared" si="2"/>
        <v>-42532246.445002936</v>
      </c>
      <c r="L21" s="70">
        <f t="shared" si="3"/>
        <v>-43815380.640624158</v>
      </c>
      <c r="M21" s="68">
        <f t="shared" si="4"/>
        <v>-29328897.50145616</v>
      </c>
      <c r="N21" s="69">
        <f t="shared" si="5"/>
        <v>-14486483.139168</v>
      </c>
      <c r="O21" s="70">
        <f t="shared" si="6"/>
        <v>-43815380.640624158</v>
      </c>
    </row>
    <row r="22" spans="2:15" x14ac:dyDescent="0.25">
      <c r="B22" t="s">
        <v>235</v>
      </c>
      <c r="C22" s="68">
        <v>0</v>
      </c>
      <c r="D22" s="69">
        <v>0</v>
      </c>
      <c r="E22" s="69">
        <v>0</v>
      </c>
      <c r="F22" s="69">
        <v>0</v>
      </c>
      <c r="G22" s="70">
        <f t="shared" si="1"/>
        <v>0</v>
      </c>
      <c r="H22" s="68">
        <f t="shared" si="7"/>
        <v>0</v>
      </c>
      <c r="I22" s="69">
        <f t="shared" si="2"/>
        <v>-1283134.1956212255</v>
      </c>
      <c r="J22" s="69">
        <f t="shared" si="2"/>
        <v>0</v>
      </c>
      <c r="K22" s="69">
        <f t="shared" si="2"/>
        <v>-42532246.445002936</v>
      </c>
      <c r="L22" s="70">
        <f t="shared" si="3"/>
        <v>-43815380.640624158</v>
      </c>
      <c r="M22" s="68">
        <f t="shared" si="4"/>
        <v>-29328897.50145616</v>
      </c>
      <c r="N22" s="69">
        <f t="shared" si="5"/>
        <v>-14486483.139168</v>
      </c>
      <c r="O22" s="70">
        <f t="shared" si="6"/>
        <v>-43815380.640624158</v>
      </c>
    </row>
    <row r="23" spans="2:15" x14ac:dyDescent="0.25">
      <c r="B23" t="s">
        <v>236</v>
      </c>
      <c r="C23" s="68">
        <v>0</v>
      </c>
      <c r="D23" s="69">
        <v>0</v>
      </c>
      <c r="E23" s="69">
        <v>0</v>
      </c>
      <c r="F23" s="69">
        <v>0</v>
      </c>
      <c r="G23" s="70">
        <f t="shared" si="1"/>
        <v>0</v>
      </c>
      <c r="H23" s="68">
        <f t="shared" si="7"/>
        <v>0</v>
      </c>
      <c r="I23" s="69">
        <f t="shared" ref="I23:I29" si="8">I22+D23</f>
        <v>-1283134.1956212255</v>
      </c>
      <c r="J23" s="69">
        <f t="shared" ref="J23:J29" si="9">J22+E23</f>
        <v>0</v>
      </c>
      <c r="K23" s="69">
        <f t="shared" ref="K23:K29" si="10">K22+F23</f>
        <v>-42532246.445002936</v>
      </c>
      <c r="L23" s="70">
        <f t="shared" si="3"/>
        <v>-43815380.640624158</v>
      </c>
      <c r="M23" s="68">
        <f t="shared" si="4"/>
        <v>-29328897.50145616</v>
      </c>
      <c r="N23" s="69">
        <f t="shared" si="5"/>
        <v>-14486483.139168</v>
      </c>
      <c r="O23" s="70">
        <f t="shared" si="6"/>
        <v>-43815380.640624158</v>
      </c>
    </row>
    <row r="24" spans="2:15" x14ac:dyDescent="0.25">
      <c r="B24" t="s">
        <v>237</v>
      </c>
      <c r="C24" s="68">
        <v>0</v>
      </c>
      <c r="D24" s="69">
        <v>0</v>
      </c>
      <c r="E24" s="69">
        <v>0</v>
      </c>
      <c r="F24" s="69">
        <v>0</v>
      </c>
      <c r="G24" s="70">
        <f t="shared" si="1"/>
        <v>0</v>
      </c>
      <c r="H24" s="68">
        <f t="shared" si="7"/>
        <v>0</v>
      </c>
      <c r="I24" s="69">
        <f t="shared" si="8"/>
        <v>-1283134.1956212255</v>
      </c>
      <c r="J24" s="69">
        <f t="shared" si="9"/>
        <v>0</v>
      </c>
      <c r="K24" s="69">
        <f t="shared" si="10"/>
        <v>-42532246.445002936</v>
      </c>
      <c r="L24" s="70">
        <f t="shared" si="3"/>
        <v>-43815380.640624158</v>
      </c>
      <c r="M24" s="68">
        <f t="shared" si="4"/>
        <v>-29328897.50145616</v>
      </c>
      <c r="N24" s="69">
        <f t="shared" si="5"/>
        <v>-14486483.139168</v>
      </c>
      <c r="O24" s="70">
        <f t="shared" si="6"/>
        <v>-43815380.640624158</v>
      </c>
    </row>
    <row r="25" spans="2:15" x14ac:dyDescent="0.25">
      <c r="B25" t="s">
        <v>238</v>
      </c>
      <c r="C25" s="68">
        <v>0</v>
      </c>
      <c r="D25" s="69">
        <v>0</v>
      </c>
      <c r="E25" s="69">
        <v>0</v>
      </c>
      <c r="F25" s="69">
        <v>0</v>
      </c>
      <c r="G25" s="70">
        <f t="shared" si="1"/>
        <v>0</v>
      </c>
      <c r="H25" s="68">
        <f t="shared" si="7"/>
        <v>0</v>
      </c>
      <c r="I25" s="69">
        <f t="shared" si="8"/>
        <v>-1283134.1956212255</v>
      </c>
      <c r="J25" s="69">
        <f t="shared" si="9"/>
        <v>0</v>
      </c>
      <c r="K25" s="69">
        <f t="shared" si="10"/>
        <v>-42532246.445002936</v>
      </c>
      <c r="L25" s="70">
        <f t="shared" si="3"/>
        <v>-43815380.640624158</v>
      </c>
      <c r="M25" s="68">
        <f t="shared" si="4"/>
        <v>-29328897.50145616</v>
      </c>
      <c r="N25" s="69">
        <f t="shared" si="5"/>
        <v>-14486483.139168</v>
      </c>
      <c r="O25" s="70">
        <f t="shared" si="6"/>
        <v>-43815380.640624158</v>
      </c>
    </row>
    <row r="26" spans="2:15" x14ac:dyDescent="0.25">
      <c r="B26" t="s">
        <v>239</v>
      </c>
      <c r="C26" s="68">
        <v>0</v>
      </c>
      <c r="D26" s="69">
        <v>0</v>
      </c>
      <c r="E26" s="69">
        <v>0</v>
      </c>
      <c r="F26" s="69">
        <v>0</v>
      </c>
      <c r="G26" s="70">
        <f t="shared" si="1"/>
        <v>0</v>
      </c>
      <c r="H26" s="68">
        <f t="shared" si="7"/>
        <v>0</v>
      </c>
      <c r="I26" s="69">
        <f t="shared" si="8"/>
        <v>-1283134.1956212255</v>
      </c>
      <c r="J26" s="69">
        <f t="shared" si="9"/>
        <v>0</v>
      </c>
      <c r="K26" s="69">
        <f t="shared" si="10"/>
        <v>-42532246.445002936</v>
      </c>
      <c r="L26" s="70">
        <f t="shared" si="3"/>
        <v>-43815380.640624158</v>
      </c>
      <c r="M26" s="68">
        <f t="shared" si="4"/>
        <v>-29328897.50145616</v>
      </c>
      <c r="N26" s="69">
        <f t="shared" si="5"/>
        <v>-14486483.139168</v>
      </c>
      <c r="O26" s="70">
        <f t="shared" si="6"/>
        <v>-43815380.640624158</v>
      </c>
    </row>
    <row r="27" spans="2:15" x14ac:dyDescent="0.25">
      <c r="B27" t="s">
        <v>240</v>
      </c>
      <c r="C27" s="68">
        <v>0</v>
      </c>
      <c r="D27" s="69">
        <v>0</v>
      </c>
      <c r="E27" s="69">
        <v>0</v>
      </c>
      <c r="F27" s="69">
        <v>0</v>
      </c>
      <c r="G27" s="70">
        <f t="shared" si="1"/>
        <v>0</v>
      </c>
      <c r="H27" s="68">
        <f t="shared" si="7"/>
        <v>0</v>
      </c>
      <c r="I27" s="69">
        <f t="shared" si="8"/>
        <v>-1283134.1956212255</v>
      </c>
      <c r="J27" s="69">
        <f t="shared" si="9"/>
        <v>0</v>
      </c>
      <c r="K27" s="69">
        <f t="shared" si="10"/>
        <v>-42532246.445002936</v>
      </c>
      <c r="L27" s="70">
        <f t="shared" si="3"/>
        <v>-43815380.640624158</v>
      </c>
      <c r="M27" s="68">
        <f t="shared" si="4"/>
        <v>-29328897.50145616</v>
      </c>
      <c r="N27" s="69">
        <f t="shared" si="5"/>
        <v>-14486483.139168</v>
      </c>
      <c r="O27" s="70">
        <f t="shared" si="6"/>
        <v>-43815380.640624158</v>
      </c>
    </row>
    <row r="28" spans="2:15" x14ac:dyDescent="0.25">
      <c r="B28" t="s">
        <v>241</v>
      </c>
      <c r="C28" s="68">
        <v>0</v>
      </c>
      <c r="D28" s="69">
        <v>0</v>
      </c>
      <c r="E28" s="69">
        <v>0</v>
      </c>
      <c r="F28" s="69">
        <v>0</v>
      </c>
      <c r="G28" s="70">
        <f t="shared" si="1"/>
        <v>0</v>
      </c>
      <c r="H28" s="68">
        <f t="shared" si="7"/>
        <v>0</v>
      </c>
      <c r="I28" s="69">
        <f t="shared" si="8"/>
        <v>-1283134.1956212255</v>
      </c>
      <c r="J28" s="69">
        <f t="shared" si="9"/>
        <v>0</v>
      </c>
      <c r="K28" s="69">
        <f t="shared" si="10"/>
        <v>-42532246.445002936</v>
      </c>
      <c r="L28" s="70">
        <f t="shared" si="3"/>
        <v>-43815380.640624158</v>
      </c>
      <c r="M28" s="68">
        <f t="shared" si="4"/>
        <v>-29328897.50145616</v>
      </c>
      <c r="N28" s="69">
        <f t="shared" si="5"/>
        <v>-14486483.139168</v>
      </c>
      <c r="O28" s="70">
        <f t="shared" si="6"/>
        <v>-43815380.640624158</v>
      </c>
    </row>
    <row r="29" spans="2:15" x14ac:dyDescent="0.25">
      <c r="B29" t="s">
        <v>242</v>
      </c>
      <c r="C29" s="71">
        <v>-62537804.720619835</v>
      </c>
      <c r="D29" s="72">
        <v>0</v>
      </c>
      <c r="E29" s="72">
        <v>-104544526.2964678</v>
      </c>
      <c r="F29" s="72">
        <v>0</v>
      </c>
      <c r="G29" s="73">
        <f t="shared" si="1"/>
        <v>-167082331.01708764</v>
      </c>
      <c r="H29" s="78">
        <f t="shared" si="7"/>
        <v>-62537804.720619835</v>
      </c>
      <c r="I29" s="72">
        <f t="shared" si="8"/>
        <v>-1283134.1956212255</v>
      </c>
      <c r="J29" s="79">
        <f t="shared" si="9"/>
        <v>-104544526.2964678</v>
      </c>
      <c r="K29" s="72">
        <f t="shared" si="10"/>
        <v>-42532246.445002936</v>
      </c>
      <c r="L29" s="73">
        <f t="shared" si="3"/>
        <v>-210897711.6577118</v>
      </c>
      <c r="M29" s="71">
        <f t="shared" si="4"/>
        <v>-133873423.79792395</v>
      </c>
      <c r="N29" s="72">
        <f t="shared" si="5"/>
        <v>-77024287.859787837</v>
      </c>
      <c r="O29" s="73">
        <f t="shared" si="6"/>
        <v>-210897711.6577118</v>
      </c>
    </row>
    <row r="31" spans="2:15" x14ac:dyDescent="0.25">
      <c r="C31" s="59"/>
      <c r="D31" s="59"/>
      <c r="E31" s="59"/>
      <c r="F31" s="59"/>
      <c r="G31" t="s">
        <v>243</v>
      </c>
      <c r="H31" s="59">
        <f t="shared" ref="H31:O31" si="11">(H17+H29+SUM(H18:H28)*2)/24</f>
        <v>-2605741.8633591598</v>
      </c>
      <c r="I31" s="59">
        <f t="shared" si="11"/>
        <v>-1283134.1956212258</v>
      </c>
      <c r="J31" s="59">
        <f t="shared" si="11"/>
        <v>-4356021.9290194912</v>
      </c>
      <c r="K31" s="59">
        <f t="shared" si="11"/>
        <v>-42532246.445002928</v>
      </c>
      <c r="L31" s="59">
        <f t="shared" si="11"/>
        <v>-50777144.433002807</v>
      </c>
      <c r="M31" s="59">
        <f t="shared" si="11"/>
        <v>-33684919.430475652</v>
      </c>
      <c r="N31" s="59">
        <f t="shared" si="11"/>
        <v>-17092225.002527159</v>
      </c>
      <c r="O31" s="59">
        <f t="shared" si="11"/>
        <v>-50777144.433002807</v>
      </c>
    </row>
    <row r="33" spans="4:14" x14ac:dyDescent="0.25">
      <c r="L33" s="58" t="s">
        <v>244</v>
      </c>
      <c r="M33" t="s">
        <v>245</v>
      </c>
      <c r="N33" s="58" t="s">
        <v>246</v>
      </c>
    </row>
    <row r="34" spans="4:14" x14ac:dyDescent="0.25">
      <c r="G34" s="76" t="s">
        <v>3</v>
      </c>
      <c r="I34" s="59">
        <f>I31</f>
        <v>-1283134.1956212258</v>
      </c>
      <c r="J34" s="59">
        <f>J31</f>
        <v>-4356021.9290194912</v>
      </c>
      <c r="K34" s="75">
        <f>K31*M2</f>
        <v>-28045763.30583493</v>
      </c>
      <c r="L34" s="75">
        <f>SUM(I34:K34)</f>
        <v>-33684919.430475645</v>
      </c>
      <c r="M34" s="75">
        <f>N34-L34</f>
        <v>776492.74080764502</v>
      </c>
      <c r="N34" s="75">
        <f>-'2023 Program - In Rates'!D7</f>
        <v>-32908426.689668</v>
      </c>
    </row>
    <row r="35" spans="4:14" x14ac:dyDescent="0.25">
      <c r="G35" s="76" t="s">
        <v>4</v>
      </c>
      <c r="H35" s="59">
        <f>H31</f>
        <v>-2605741.8633591598</v>
      </c>
      <c r="K35" s="75">
        <f>K31*N2</f>
        <v>-14486483.139167998</v>
      </c>
      <c r="L35" s="75">
        <f>SUM(H35:K35)</f>
        <v>-17092225.002527159</v>
      </c>
      <c r="M35" s="75">
        <f t="shared" ref="M35" si="12">N35-L35</f>
        <v>44132.592195156962</v>
      </c>
      <c r="N35" s="75">
        <f>-'2023 Program - In Rates'!E7</f>
        <v>-17048092.410332002</v>
      </c>
    </row>
    <row r="36" spans="4:14" x14ac:dyDescent="0.25">
      <c r="G36" s="76" t="s">
        <v>88</v>
      </c>
      <c r="H36" s="75">
        <f t="shared" ref="H36:M36" si="13">SUM(H34:H35)</f>
        <v>-2605741.8633591598</v>
      </c>
      <c r="I36" s="75">
        <f t="shared" si="13"/>
        <v>-1283134.1956212258</v>
      </c>
      <c r="J36" s="75">
        <f t="shared" si="13"/>
        <v>-4356021.9290194912</v>
      </c>
      <c r="K36" s="75">
        <f t="shared" si="13"/>
        <v>-42532246.445002928</v>
      </c>
      <c r="L36" s="75">
        <f t="shared" si="13"/>
        <v>-50777144.4330028</v>
      </c>
      <c r="M36" s="75">
        <f t="shared" si="13"/>
        <v>820625.33300280198</v>
      </c>
      <c r="N36" s="75">
        <f>SUM(N34:N35)</f>
        <v>-49956519.100000001</v>
      </c>
    </row>
    <row r="37" spans="4:14" x14ac:dyDescent="0.25">
      <c r="L37" s="75"/>
      <c r="M37" s="75"/>
      <c r="N37" s="75"/>
    </row>
    <row r="38" spans="4:14" x14ac:dyDescent="0.25">
      <c r="D38" s="80" t="s">
        <v>247</v>
      </c>
      <c r="E38" s="80"/>
      <c r="F38" s="80"/>
    </row>
  </sheetData>
  <sortState ref="C40:C43">
    <sortCondition ref="C4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E8" sqref="E8"/>
    </sheetView>
  </sheetViews>
  <sheetFormatPr defaultRowHeight="13.2" x14ac:dyDescent="0.25"/>
  <cols>
    <col min="2" max="2" width="5" bestFit="1" customWidth="1"/>
    <col min="3" max="3" width="55.88671875" bestFit="1" customWidth="1"/>
    <col min="4" max="5" width="11.33203125" bestFit="1" customWidth="1"/>
  </cols>
  <sheetData>
    <row r="1" spans="1:7" x14ac:dyDescent="0.25">
      <c r="A1" s="50"/>
      <c r="B1" s="50"/>
      <c r="C1" s="50"/>
      <c r="D1" s="50"/>
      <c r="E1" s="50"/>
      <c r="F1" s="50"/>
      <c r="G1" s="50"/>
    </row>
    <row r="2" spans="1:7" x14ac:dyDescent="0.25">
      <c r="A2" s="50"/>
      <c r="B2" s="50"/>
      <c r="C2" s="50"/>
      <c r="D2" s="53" t="s">
        <v>9</v>
      </c>
      <c r="E2" s="53"/>
      <c r="F2" s="53"/>
      <c r="G2" s="50"/>
    </row>
    <row r="3" spans="1:7" x14ac:dyDescent="0.25">
      <c r="A3" s="50"/>
      <c r="B3" s="50"/>
      <c r="C3" s="50"/>
      <c r="D3" s="106" t="s">
        <v>10</v>
      </c>
      <c r="E3" s="106" t="s">
        <v>10</v>
      </c>
      <c r="F3" s="50"/>
      <c r="G3" s="50"/>
    </row>
    <row r="4" spans="1:7" x14ac:dyDescent="0.25">
      <c r="A4" s="50"/>
      <c r="B4" s="54" t="s">
        <v>11</v>
      </c>
      <c r="C4" s="54" t="s">
        <v>2</v>
      </c>
      <c r="D4" s="54" t="s">
        <v>12</v>
      </c>
      <c r="E4" s="54" t="s">
        <v>13</v>
      </c>
      <c r="F4" s="54" t="s">
        <v>14</v>
      </c>
      <c r="G4" s="50"/>
    </row>
    <row r="5" spans="1:7" x14ac:dyDescent="0.25">
      <c r="A5" s="50"/>
      <c r="B5" s="50"/>
      <c r="C5" s="106"/>
      <c r="D5" s="106" t="s">
        <v>15</v>
      </c>
      <c r="E5" s="106" t="s">
        <v>16</v>
      </c>
      <c r="F5" s="106" t="s">
        <v>17</v>
      </c>
      <c r="G5" s="50"/>
    </row>
    <row r="6" spans="1:7" x14ac:dyDescent="0.25">
      <c r="A6" s="50"/>
      <c r="B6" s="107">
        <f>ROW()</f>
        <v>6</v>
      </c>
      <c r="C6" s="50" t="s">
        <v>18</v>
      </c>
      <c r="D6" s="108">
        <f>-'Adjusted Variance'!G11/1000000</f>
        <v>210.89771165771177</v>
      </c>
      <c r="E6" s="108">
        <f>-'Adjusted Variance'!H11/1000000</f>
        <v>104.57998149550814</v>
      </c>
      <c r="F6" s="108">
        <f>E6-D6</f>
        <v>-106.31773016220363</v>
      </c>
      <c r="G6" s="50"/>
    </row>
    <row r="7" spans="1:7" x14ac:dyDescent="0.25">
      <c r="A7" s="50"/>
      <c r="B7" s="107">
        <f>ROW()</f>
        <v>7</v>
      </c>
      <c r="C7" s="50" t="s">
        <v>19</v>
      </c>
      <c r="D7" s="109">
        <f>-'Adjusted Variance'!G12/1000000</f>
        <v>0</v>
      </c>
      <c r="E7" s="109">
        <f>-'Adjusted Variance'!H12/1000000</f>
        <v>41.383533299999996</v>
      </c>
      <c r="F7" s="109">
        <f>E7-D7</f>
        <v>41.383533299999996</v>
      </c>
      <c r="G7" s="50"/>
    </row>
    <row r="8" spans="1:7" x14ac:dyDescent="0.25">
      <c r="A8" s="50"/>
      <c r="B8" s="107">
        <f>ROW()</f>
        <v>8</v>
      </c>
      <c r="C8" s="50" t="s">
        <v>20</v>
      </c>
      <c r="D8" s="109">
        <f>-'Adjusted Variance'!G13/1000000</f>
        <v>0</v>
      </c>
      <c r="E8" s="109">
        <f>-'Adjusted Variance'!H13/1000000</f>
        <v>34.004756310000005</v>
      </c>
      <c r="F8" s="109">
        <f>E8-D8</f>
        <v>34.004756310000005</v>
      </c>
      <c r="G8" s="50"/>
    </row>
    <row r="9" spans="1:7" ht="13.8" thickBot="1" x14ac:dyDescent="0.3">
      <c r="A9" s="50"/>
      <c r="B9" s="107">
        <f>ROW()</f>
        <v>9</v>
      </c>
      <c r="C9" s="50" t="s">
        <v>21</v>
      </c>
      <c r="D9" s="110">
        <f>SUM(D6:D8)</f>
        <v>210.89771165771177</v>
      </c>
      <c r="E9" s="110">
        <f t="shared" ref="E9:F9" si="0">SUM(E6:E8)</f>
        <v>179.96827110550814</v>
      </c>
      <c r="F9" s="110">
        <f t="shared" si="0"/>
        <v>-30.92944055220363</v>
      </c>
      <c r="G9" s="50"/>
    </row>
    <row r="10" spans="1:7" ht="13.8" thickTop="1" x14ac:dyDescent="0.25">
      <c r="A10" s="50"/>
      <c r="B10" s="50"/>
      <c r="C10" s="50"/>
      <c r="D10" s="50"/>
      <c r="E10" s="50"/>
      <c r="F10" s="50"/>
      <c r="G10" s="5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
  <sheetViews>
    <sheetView workbookViewId="0"/>
  </sheetViews>
  <sheetFormatPr defaultRowHeight="13.2"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26"/>
  <sheetViews>
    <sheetView workbookViewId="0">
      <selection activeCell="H13" sqref="H13"/>
    </sheetView>
  </sheetViews>
  <sheetFormatPr defaultRowHeight="13.2" x14ac:dyDescent="0.25"/>
  <cols>
    <col min="2" max="2" width="74.109375" customWidth="1"/>
    <col min="3" max="3" width="15.5546875" bestFit="1" customWidth="1"/>
    <col min="4" max="9" width="16.5546875" bestFit="1" customWidth="1"/>
  </cols>
  <sheetData>
    <row r="5" spans="2:9" x14ac:dyDescent="0.25">
      <c r="C5" s="90">
        <v>2022</v>
      </c>
      <c r="D5" s="90"/>
      <c r="E5" s="90">
        <v>2023</v>
      </c>
      <c r="F5" s="90"/>
      <c r="G5" s="90" t="s">
        <v>22</v>
      </c>
      <c r="H5" s="90"/>
    </row>
    <row r="6" spans="2:9" x14ac:dyDescent="0.25">
      <c r="B6" s="97" t="s">
        <v>23</v>
      </c>
      <c r="C6" s="97" t="s">
        <v>12</v>
      </c>
      <c r="D6" s="97" t="s">
        <v>24</v>
      </c>
      <c r="E6" s="97" t="s">
        <v>12</v>
      </c>
      <c r="F6" s="97" t="s">
        <v>24</v>
      </c>
      <c r="G6" s="97" t="s">
        <v>12</v>
      </c>
      <c r="H6" s="97" t="s">
        <v>24</v>
      </c>
      <c r="I6" s="97" t="s">
        <v>25</v>
      </c>
    </row>
    <row r="7" spans="2:9" x14ac:dyDescent="0.25">
      <c r="B7" t="s">
        <v>26</v>
      </c>
      <c r="C7" s="82">
        <v>-42532246.445002936</v>
      </c>
      <c r="D7" s="82">
        <v>-3826724.8500000006</v>
      </c>
      <c r="E7" s="82">
        <v>0</v>
      </c>
      <c r="F7" s="82">
        <v>-80813.69</v>
      </c>
      <c r="G7" s="82">
        <f>C7+E7</f>
        <v>-42532246.445002936</v>
      </c>
      <c r="H7" s="82">
        <f>D7+F7</f>
        <v>-3907538.5400000005</v>
      </c>
      <c r="I7" s="96">
        <f>G7-H7</f>
        <v>-38624707.905002937</v>
      </c>
    </row>
    <row r="8" spans="2:9" x14ac:dyDescent="0.25">
      <c r="B8" t="s">
        <v>27</v>
      </c>
      <c r="C8" s="86">
        <v>-1283134.1956212255</v>
      </c>
      <c r="D8" s="86">
        <v>-125899.80000000002</v>
      </c>
      <c r="E8" s="86">
        <v>0</v>
      </c>
      <c r="F8" s="86">
        <v>-100838.31000000001</v>
      </c>
      <c r="G8" s="86">
        <f t="shared" ref="G8:G10" si="0">C8+E8</f>
        <v>-1283134.1956212255</v>
      </c>
      <c r="H8" s="86">
        <f t="shared" ref="H8:H10" si="1">D8+F8</f>
        <v>-226738.11000000004</v>
      </c>
      <c r="I8" s="86">
        <f t="shared" ref="I8:I10" si="2">G8-H8</f>
        <v>-1056396.0856212254</v>
      </c>
    </row>
    <row r="9" spans="2:9" x14ac:dyDescent="0.25">
      <c r="B9" t="s">
        <v>28</v>
      </c>
      <c r="C9" s="86">
        <v>0</v>
      </c>
      <c r="D9" s="86">
        <v>-40350087.849999994</v>
      </c>
      <c r="E9" s="86">
        <v>-104544526.2964678</v>
      </c>
      <c r="F9" s="86">
        <v>-27840619.771862037</v>
      </c>
      <c r="G9" s="86">
        <f t="shared" si="0"/>
        <v>-104544526.2964678</v>
      </c>
      <c r="H9" s="86">
        <f t="shared" si="1"/>
        <v>-68190707.621862024</v>
      </c>
      <c r="I9" s="86">
        <f t="shared" si="2"/>
        <v>-36353818.674605772</v>
      </c>
    </row>
    <row r="10" spans="2:9" x14ac:dyDescent="0.25">
      <c r="B10" t="s">
        <v>29</v>
      </c>
      <c r="C10" s="86">
        <v>0</v>
      </c>
      <c r="D10" s="86">
        <v>-25815026.250000007</v>
      </c>
      <c r="E10" s="86">
        <v>-62537804.720619835</v>
      </c>
      <c r="F10" s="86">
        <v>-6439970.9736460894</v>
      </c>
      <c r="G10" s="86">
        <f t="shared" si="0"/>
        <v>-62537804.720619835</v>
      </c>
      <c r="H10" s="86">
        <f t="shared" si="1"/>
        <v>-32254997.223646097</v>
      </c>
      <c r="I10" s="86">
        <f t="shared" si="2"/>
        <v>-30282807.496973738</v>
      </c>
    </row>
    <row r="11" spans="2:9" x14ac:dyDescent="0.25">
      <c r="B11" t="s">
        <v>30</v>
      </c>
      <c r="C11" s="99">
        <f t="shared" ref="C11:I11" si="3">SUM(C7:C10)</f>
        <v>-43815380.640624158</v>
      </c>
      <c r="D11" s="99">
        <f t="shared" si="3"/>
        <v>-70117738.75</v>
      </c>
      <c r="E11" s="99">
        <f t="shared" si="3"/>
        <v>-167082331.01708764</v>
      </c>
      <c r="F11" s="99">
        <f t="shared" si="3"/>
        <v>-34462242.745508127</v>
      </c>
      <c r="G11" s="99">
        <f t="shared" si="3"/>
        <v>-210897711.65771177</v>
      </c>
      <c r="H11" s="99">
        <f t="shared" si="3"/>
        <v>-104579981.49550813</v>
      </c>
      <c r="I11" s="99">
        <f t="shared" si="3"/>
        <v>-106317730.16220367</v>
      </c>
    </row>
    <row r="12" spans="2:9" x14ac:dyDescent="0.25">
      <c r="B12" s="103" t="s">
        <v>31</v>
      </c>
      <c r="C12" s="86"/>
      <c r="D12" s="86">
        <f>-'NW Eq 2021 Act'!O10</f>
        <v>-41383533.299999997</v>
      </c>
      <c r="E12" s="86"/>
      <c r="F12" s="86"/>
      <c r="G12" s="86">
        <f t="shared" ref="G12:G13" si="4">C12+E12</f>
        <v>0</v>
      </c>
      <c r="H12" s="86">
        <f t="shared" ref="H12:H13" si="5">D12+F12</f>
        <v>-41383533.299999997</v>
      </c>
      <c r="I12" s="86">
        <f t="shared" ref="I12:I13" si="6">G12-H12</f>
        <v>41383533.299999997</v>
      </c>
    </row>
    <row r="13" spans="2:9" x14ac:dyDescent="0.25">
      <c r="B13" s="103" t="s">
        <v>32</v>
      </c>
      <c r="C13" s="86"/>
      <c r="D13" s="86"/>
      <c r="E13" s="86"/>
      <c r="F13" s="86">
        <f>-'2024 Adds'!K54</f>
        <v>-34004756.310000002</v>
      </c>
      <c r="G13" s="86">
        <f t="shared" si="4"/>
        <v>0</v>
      </c>
      <c r="H13" s="86">
        <f t="shared" si="5"/>
        <v>-34004756.310000002</v>
      </c>
      <c r="I13" s="86">
        <f t="shared" si="6"/>
        <v>34004756.310000002</v>
      </c>
    </row>
    <row r="14" spans="2:9" ht="13.8" thickBot="1" x14ac:dyDescent="0.3">
      <c r="B14" t="s">
        <v>33</v>
      </c>
      <c r="C14" s="100">
        <f t="shared" ref="C14" si="7">SUM(C11:C13)</f>
        <v>-43815380.640624158</v>
      </c>
      <c r="D14" s="100">
        <f>SUM(D11:D13)</f>
        <v>-111501272.05</v>
      </c>
      <c r="E14" s="100">
        <f t="shared" ref="E14:I14" si="8">SUM(E11:E13)</f>
        <v>-167082331.01708764</v>
      </c>
      <c r="F14" s="100">
        <f t="shared" si="8"/>
        <v>-68466999.055508137</v>
      </c>
      <c r="G14" s="100">
        <f t="shared" si="8"/>
        <v>-210897711.65771177</v>
      </c>
      <c r="H14" s="100">
        <f t="shared" si="8"/>
        <v>-179968271.10550815</v>
      </c>
      <c r="I14" s="100">
        <f t="shared" si="8"/>
        <v>-30929440.55220367</v>
      </c>
    </row>
    <row r="15" spans="2:9" ht="13.8" thickTop="1" x14ac:dyDescent="0.25">
      <c r="C15" s="96"/>
      <c r="D15" s="96"/>
      <c r="F15" s="96"/>
    </row>
    <row r="18" spans="2:2" x14ac:dyDescent="0.25">
      <c r="B18" s="104" t="s">
        <v>34</v>
      </c>
    </row>
    <row r="19" spans="2:2" x14ac:dyDescent="0.25">
      <c r="B19" s="105" t="s">
        <v>35</v>
      </c>
    </row>
    <row r="20" spans="2:2" x14ac:dyDescent="0.25">
      <c r="B20" s="105" t="s">
        <v>36</v>
      </c>
    </row>
    <row r="21" spans="2:2" x14ac:dyDescent="0.25">
      <c r="B21" s="105"/>
    </row>
    <row r="22" spans="2:2" x14ac:dyDescent="0.25">
      <c r="B22" s="101"/>
    </row>
    <row r="23" spans="2:2" x14ac:dyDescent="0.25">
      <c r="B23" s="104" t="s">
        <v>37</v>
      </c>
    </row>
    <row r="24" spans="2:2" x14ac:dyDescent="0.25">
      <c r="B24" s="105" t="s">
        <v>38</v>
      </c>
    </row>
    <row r="25" spans="2:2" x14ac:dyDescent="0.25">
      <c r="B25" s="102"/>
    </row>
    <row r="26" spans="2:2" x14ac:dyDescent="0.25">
      <c r="B26" s="10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
  <sheetViews>
    <sheetView workbookViewId="0"/>
  </sheetViews>
  <sheetFormatPr defaultRowHeight="13.2"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2"/>
  <sheetViews>
    <sheetView zoomScaleNormal="100" workbookViewId="0">
      <pane ySplit="5" topLeftCell="A6" activePane="bottomLeft" state="frozen"/>
      <selection activeCell="A5" sqref="A5"/>
      <selection pane="bottomLeft" activeCell="E11" sqref="E11"/>
    </sheetView>
  </sheetViews>
  <sheetFormatPr defaultColWidth="8.88671875" defaultRowHeight="14.4" x14ac:dyDescent="0.3"/>
  <cols>
    <col min="1" max="1" width="8.88671875" style="1"/>
    <col min="2" max="2" width="4.44140625" style="1" bestFit="1" customWidth="1"/>
    <col min="3" max="3" width="38" style="1" bestFit="1" customWidth="1"/>
    <col min="4" max="4" width="9.109375" style="1" bestFit="1" customWidth="1"/>
    <col min="5" max="5" width="13.5546875" style="1" bestFit="1" customWidth="1"/>
    <col min="6" max="6" width="54.5546875" style="1" customWidth="1"/>
    <col min="7" max="8" width="8.88671875" style="1"/>
    <col min="9" max="9" width="9.5546875" style="1" bestFit="1" customWidth="1"/>
    <col min="10" max="16384" width="8.88671875" style="1"/>
  </cols>
  <sheetData>
    <row r="2" spans="2:9" ht="15" thickBot="1" x14ac:dyDescent="0.35"/>
    <row r="3" spans="2:9" ht="17.399999999999999" x14ac:dyDescent="0.3">
      <c r="B3" s="2" t="s">
        <v>39</v>
      </c>
      <c r="C3" s="3"/>
      <c r="D3" s="3"/>
      <c r="E3" s="3"/>
      <c r="F3" s="4"/>
    </row>
    <row r="4" spans="2:9" ht="17.399999999999999" x14ac:dyDescent="0.3">
      <c r="B4" s="48" t="s">
        <v>40</v>
      </c>
      <c r="C4" s="6"/>
      <c r="D4" s="6"/>
      <c r="E4" s="6"/>
      <c r="F4" s="7"/>
    </row>
    <row r="5" spans="2:9" x14ac:dyDescent="0.3">
      <c r="B5" s="49"/>
      <c r="F5" s="9"/>
    </row>
    <row r="6" spans="2:9" x14ac:dyDescent="0.3">
      <c r="B6" s="10" t="s">
        <v>41</v>
      </c>
      <c r="C6" s="11"/>
      <c r="D6" s="11"/>
      <c r="E6" s="12"/>
      <c r="F6" s="13"/>
    </row>
    <row r="7" spans="2:9" x14ac:dyDescent="0.3">
      <c r="B7" s="14"/>
      <c r="C7" s="15"/>
      <c r="D7" s="15"/>
      <c r="E7" s="16"/>
      <c r="F7" s="17" t="s">
        <v>42</v>
      </c>
    </row>
    <row r="8" spans="2:9" x14ac:dyDescent="0.3">
      <c r="B8" s="14">
        <f>ROW()</f>
        <v>8</v>
      </c>
      <c r="C8" s="15" t="s">
        <v>43</v>
      </c>
      <c r="D8" s="15"/>
      <c r="E8" s="18">
        <v>2.5499999999999998E-2</v>
      </c>
      <c r="F8" s="19" t="s">
        <v>44</v>
      </c>
    </row>
    <row r="9" spans="2:9" x14ac:dyDescent="0.3">
      <c r="B9" s="14">
        <f>ROW()</f>
        <v>9</v>
      </c>
      <c r="C9" s="15"/>
      <c r="D9" s="15"/>
      <c r="E9" s="18"/>
      <c r="F9" s="19"/>
    </row>
    <row r="10" spans="2:9" x14ac:dyDescent="0.3">
      <c r="B10" s="14"/>
      <c r="C10" s="15"/>
      <c r="D10" s="15"/>
      <c r="E10" s="18"/>
      <c r="F10" s="19"/>
    </row>
    <row r="11" spans="2:9" x14ac:dyDescent="0.3">
      <c r="B11" s="14">
        <f>ROW()</f>
        <v>11</v>
      </c>
      <c r="C11" s="15" t="s">
        <v>45</v>
      </c>
      <c r="D11" s="15"/>
      <c r="E11" s="20">
        <f>'2023 GP AMA - Actual'!H5</f>
        <v>46856923.340027764</v>
      </c>
      <c r="F11" s="19" t="s">
        <v>46</v>
      </c>
    </row>
    <row r="12" spans="2:9" x14ac:dyDescent="0.3">
      <c r="B12" s="14">
        <f>ROW()</f>
        <v>12</v>
      </c>
      <c r="C12" s="15" t="s">
        <v>47</v>
      </c>
      <c r="D12" s="15"/>
      <c r="E12" s="21">
        <f>'2023 Program - Actual'!F9</f>
        <v>-1705798.7330283138</v>
      </c>
      <c r="F12" s="19" t="s">
        <v>46</v>
      </c>
    </row>
    <row r="13" spans="2:9" x14ac:dyDescent="0.3">
      <c r="B13" s="14">
        <f>ROW()</f>
        <v>13</v>
      </c>
      <c r="C13" s="15" t="s">
        <v>48</v>
      </c>
      <c r="D13" s="15"/>
      <c r="E13" s="22">
        <f>'2023 Program - Actual'!H4</f>
        <v>-454726.98588401458</v>
      </c>
      <c r="F13" s="23" t="s">
        <v>46</v>
      </c>
    </row>
    <row r="14" spans="2:9" x14ac:dyDescent="0.3">
      <c r="B14" s="14">
        <f>ROW()</f>
        <v>14</v>
      </c>
      <c r="C14" s="15" t="s">
        <v>49</v>
      </c>
      <c r="D14" s="15"/>
      <c r="E14" s="20">
        <f>SUM(E11:E13)</f>
        <v>44696397.621115431</v>
      </c>
      <c r="F14" s="19"/>
    </row>
    <row r="15" spans="2:9" x14ac:dyDescent="0.3">
      <c r="B15" s="14">
        <f>ROW()</f>
        <v>15</v>
      </c>
      <c r="C15" s="15"/>
      <c r="D15" s="15"/>
      <c r="E15" s="15"/>
      <c r="F15" s="19"/>
      <c r="I15" s="24"/>
    </row>
    <row r="16" spans="2:9" x14ac:dyDescent="0.3">
      <c r="B16" s="14">
        <f>ROW()</f>
        <v>16</v>
      </c>
      <c r="C16" s="15" t="s">
        <v>50</v>
      </c>
      <c r="D16" s="15"/>
      <c r="E16" s="20">
        <f>-0.79*'2023 Program - Actual'!J9</f>
        <v>-1847247.4838264144</v>
      </c>
      <c r="F16" s="19" t="s">
        <v>51</v>
      </c>
    </row>
    <row r="17" spans="2:9" x14ac:dyDescent="0.3">
      <c r="B17" s="14">
        <f>ROW()</f>
        <v>17</v>
      </c>
      <c r="C17" s="15" t="s">
        <v>52</v>
      </c>
      <c r="D17" s="15"/>
      <c r="E17" s="25">
        <f>+E14*E8*0.21</f>
        <v>239349.20926107312</v>
      </c>
      <c r="F17" s="19" t="s">
        <v>53</v>
      </c>
      <c r="I17" s="24"/>
    </row>
    <row r="18" spans="2:9" x14ac:dyDescent="0.3">
      <c r="B18" s="14">
        <f>ROW()</f>
        <v>18</v>
      </c>
      <c r="C18" s="15" t="s">
        <v>54</v>
      </c>
      <c r="D18" s="15"/>
      <c r="E18" s="22">
        <f>-E14*E8</f>
        <v>-1139758.1393384435</v>
      </c>
      <c r="F18" s="23" t="s">
        <v>55</v>
      </c>
    </row>
    <row r="19" spans="2:9" x14ac:dyDescent="0.3">
      <c r="B19" s="14">
        <f>ROW()</f>
        <v>19</v>
      </c>
      <c r="C19" s="15" t="s">
        <v>56</v>
      </c>
      <c r="D19" s="15"/>
      <c r="E19" s="20">
        <f>-E16-E17-E18</f>
        <v>2747656.4139037849</v>
      </c>
      <c r="F19" s="26"/>
    </row>
    <row r="20" spans="2:9" ht="15" thickBot="1" x14ac:dyDescent="0.35">
      <c r="B20" s="14"/>
      <c r="C20" s="15"/>
      <c r="D20" s="15"/>
      <c r="E20" s="27"/>
      <c r="F20" s="19"/>
    </row>
    <row r="21" spans="2:9" ht="15" thickBot="1" x14ac:dyDescent="0.35">
      <c r="B21" s="14">
        <f>ROW()</f>
        <v>21</v>
      </c>
      <c r="C21" s="15" t="s">
        <v>57</v>
      </c>
      <c r="D21" s="15"/>
      <c r="E21" s="28">
        <f>+E19/0.79/0.952348</f>
        <v>3652074.760013246</v>
      </c>
      <c r="F21" s="19" t="s">
        <v>58</v>
      </c>
    </row>
    <row r="22" spans="2:9" x14ac:dyDescent="0.3">
      <c r="B22" s="29"/>
      <c r="C22" s="30"/>
      <c r="D22" s="30"/>
      <c r="E22" s="31"/>
      <c r="F22" s="23" t="s">
        <v>59</v>
      </c>
    </row>
    <row r="23" spans="2:9" customFormat="1" ht="13.2" x14ac:dyDescent="0.25"/>
    <row r="24" spans="2:9" customFormat="1" ht="13.2" x14ac:dyDescent="0.25"/>
    <row r="25" spans="2:9" customFormat="1" ht="13.2" x14ac:dyDescent="0.25"/>
    <row r="26" spans="2:9" customFormat="1" ht="13.2" x14ac:dyDescent="0.25"/>
    <row r="27" spans="2:9" customFormat="1" ht="13.2" x14ac:dyDescent="0.25"/>
    <row r="28" spans="2:9" customFormat="1" ht="13.2" x14ac:dyDescent="0.25"/>
    <row r="29" spans="2:9" customFormat="1" ht="13.2" x14ac:dyDescent="0.25"/>
    <row r="30" spans="2:9" customFormat="1" ht="13.2" x14ac:dyDescent="0.25"/>
    <row r="31" spans="2:9" customFormat="1" ht="13.2" x14ac:dyDescent="0.25"/>
    <row r="32" spans="2:9" customFormat="1" ht="13.2" x14ac:dyDescent="0.25"/>
    <row r="33" spans="5:5" customFormat="1" ht="13.2" x14ac:dyDescent="0.25"/>
    <row r="34" spans="5:5" customFormat="1" ht="13.2" x14ac:dyDescent="0.25"/>
    <row r="35" spans="5:5" customFormat="1" ht="13.2" x14ac:dyDescent="0.25"/>
    <row r="36" spans="5:5" customFormat="1" ht="13.2" x14ac:dyDescent="0.25"/>
    <row r="37" spans="5:5" customFormat="1" ht="13.2" x14ac:dyDescent="0.25"/>
    <row r="38" spans="5:5" customFormat="1" ht="13.2" x14ac:dyDescent="0.25"/>
    <row r="40" spans="5:5" x14ac:dyDescent="0.3">
      <c r="E40" s="132"/>
    </row>
    <row r="41" spans="5:5" x14ac:dyDescent="0.3">
      <c r="E41" s="132"/>
    </row>
    <row r="42" spans="5:5" x14ac:dyDescent="0.3">
      <c r="E42" s="132"/>
    </row>
  </sheetData>
  <pageMargins left="0.7" right="0.7" top="0.75" bottom="0.75" header="0.3" footer="0.3"/>
  <pageSetup orientation="portrait" horizontalDpi="4294967293"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2"/>
  <sheetViews>
    <sheetView workbookViewId="0">
      <pane ySplit="5" topLeftCell="A6" activePane="bottomLeft" state="frozen"/>
      <selection activeCell="A5" sqref="A5"/>
      <selection pane="bottomLeft" activeCell="E12" sqref="E12"/>
    </sheetView>
  </sheetViews>
  <sheetFormatPr defaultColWidth="8.88671875" defaultRowHeight="14.4" x14ac:dyDescent="0.3"/>
  <cols>
    <col min="1" max="1" width="8.88671875" style="1"/>
    <col min="2" max="2" width="4.44140625" style="1" bestFit="1" customWidth="1"/>
    <col min="3" max="3" width="38" style="1" bestFit="1" customWidth="1"/>
    <col min="4" max="4" width="9.109375" style="1" bestFit="1" customWidth="1"/>
    <col min="5" max="5" width="13.5546875" style="1" bestFit="1" customWidth="1"/>
    <col min="6" max="6" width="54.5546875" style="1" customWidth="1"/>
    <col min="7" max="8" width="8.88671875" style="1"/>
    <col min="9" max="9" width="9.5546875" style="1" bestFit="1" customWidth="1"/>
    <col min="10" max="16384" width="8.88671875" style="1"/>
  </cols>
  <sheetData>
    <row r="2" spans="2:9" ht="15" thickBot="1" x14ac:dyDescent="0.35"/>
    <row r="3" spans="2:9" ht="17.399999999999999" x14ac:dyDescent="0.3">
      <c r="B3" s="2" t="s">
        <v>39</v>
      </c>
      <c r="C3" s="3"/>
      <c r="D3" s="3"/>
      <c r="E3" s="3"/>
      <c r="F3" s="4"/>
    </row>
    <row r="4" spans="2:9" ht="17.399999999999999" x14ac:dyDescent="0.3">
      <c r="B4" s="48" t="s">
        <v>60</v>
      </c>
      <c r="C4" s="6"/>
      <c r="D4" s="6"/>
      <c r="E4" s="6"/>
      <c r="F4" s="7"/>
    </row>
    <row r="5" spans="2:9" x14ac:dyDescent="0.3">
      <c r="B5" s="49"/>
      <c r="F5" s="9"/>
    </row>
    <row r="6" spans="2:9" x14ac:dyDescent="0.3">
      <c r="B6" s="10" t="s">
        <v>41</v>
      </c>
      <c r="C6" s="11"/>
      <c r="D6" s="11"/>
      <c r="E6" s="12"/>
      <c r="F6" s="13"/>
    </row>
    <row r="7" spans="2:9" x14ac:dyDescent="0.3">
      <c r="B7" s="14"/>
      <c r="C7" s="15"/>
      <c r="D7" s="15"/>
      <c r="E7" s="16"/>
      <c r="F7" s="17" t="s">
        <v>42</v>
      </c>
    </row>
    <row r="8" spans="2:9" x14ac:dyDescent="0.3">
      <c r="B8" s="14">
        <f>ROW()</f>
        <v>8</v>
      </c>
      <c r="C8" s="15" t="s">
        <v>43</v>
      </c>
      <c r="D8" s="15"/>
      <c r="E8" s="18">
        <v>2.5499999999999998E-2</v>
      </c>
      <c r="F8" s="19" t="s">
        <v>61</v>
      </c>
    </row>
    <row r="9" spans="2:9" x14ac:dyDescent="0.3">
      <c r="B9" s="14">
        <f>ROW()</f>
        <v>9</v>
      </c>
      <c r="C9" s="15"/>
      <c r="D9" s="15"/>
      <c r="E9" s="18"/>
      <c r="F9" s="19"/>
    </row>
    <row r="10" spans="2:9" x14ac:dyDescent="0.3">
      <c r="B10" s="14"/>
      <c r="C10" s="15"/>
      <c r="D10" s="15"/>
      <c r="E10" s="18"/>
      <c r="F10" s="19"/>
    </row>
    <row r="11" spans="2:9" x14ac:dyDescent="0.3">
      <c r="B11" s="14">
        <f>ROW()</f>
        <v>11</v>
      </c>
      <c r="C11" s="15" t="s">
        <v>45</v>
      </c>
      <c r="D11" s="15"/>
      <c r="E11" s="20">
        <f>'2023 GP AMA - Actual'!H6</f>
        <v>23012671.601704076</v>
      </c>
      <c r="F11" s="19" t="s">
        <v>46</v>
      </c>
    </row>
    <row r="12" spans="2:9" x14ac:dyDescent="0.3">
      <c r="B12" s="14">
        <f>ROW()</f>
        <v>12</v>
      </c>
      <c r="C12" s="15" t="s">
        <v>47</v>
      </c>
      <c r="D12" s="15"/>
      <c r="E12" s="21">
        <f>'2023 Program - Actual'!G9</f>
        <v>-885035.79550874699</v>
      </c>
      <c r="F12" s="19" t="s">
        <v>46</v>
      </c>
    </row>
    <row r="13" spans="2:9" x14ac:dyDescent="0.3">
      <c r="B13" s="14">
        <f>ROW()</f>
        <v>13</v>
      </c>
      <c r="C13" s="15" t="s">
        <v>48</v>
      </c>
      <c r="D13" s="15"/>
      <c r="E13" s="22">
        <f>'2023 Program - Actual'!I9</f>
        <v>-1556258.1577013691</v>
      </c>
      <c r="F13" s="23" t="s">
        <v>46</v>
      </c>
    </row>
    <row r="14" spans="2:9" x14ac:dyDescent="0.3">
      <c r="B14" s="14">
        <f>ROW()</f>
        <v>14</v>
      </c>
      <c r="C14" s="15" t="s">
        <v>49</v>
      </c>
      <c r="D14" s="15"/>
      <c r="E14" s="20">
        <f>SUM(E11:E13)</f>
        <v>20571377.64849396</v>
      </c>
      <c r="F14" s="19"/>
    </row>
    <row r="15" spans="2:9" x14ac:dyDescent="0.3">
      <c r="B15" s="14">
        <f>ROW()</f>
        <v>15</v>
      </c>
      <c r="C15" s="15"/>
      <c r="D15" s="15"/>
      <c r="E15" s="15"/>
      <c r="F15" s="19"/>
    </row>
    <row r="16" spans="2:9" x14ac:dyDescent="0.3">
      <c r="B16" s="14">
        <f>ROW()</f>
        <v>16</v>
      </c>
      <c r="C16" s="15" t="s">
        <v>50</v>
      </c>
      <c r="D16" s="15"/>
      <c r="E16" s="20">
        <f>-0.79*'2023 Program - Actual'!K9</f>
        <v>-972416.03180917166</v>
      </c>
      <c r="F16" s="19" t="s">
        <v>51</v>
      </c>
      <c r="I16" s="24"/>
    </row>
    <row r="17" spans="2:6" x14ac:dyDescent="0.3">
      <c r="B17" s="14">
        <f>ROW()</f>
        <v>17</v>
      </c>
      <c r="C17" s="15" t="s">
        <v>52</v>
      </c>
      <c r="D17" s="15"/>
      <c r="E17" s="25">
        <f>+E14*E8*0.21</f>
        <v>110159.72730768516</v>
      </c>
      <c r="F17" s="19" t="s">
        <v>53</v>
      </c>
    </row>
    <row r="18" spans="2:6" x14ac:dyDescent="0.3">
      <c r="B18" s="14">
        <f>ROW()</f>
        <v>18</v>
      </c>
      <c r="C18" s="15" t="s">
        <v>54</v>
      </c>
      <c r="D18" s="15"/>
      <c r="E18" s="22">
        <f>-E14*E8</f>
        <v>-524570.13003659598</v>
      </c>
      <c r="F18" s="23" t="s">
        <v>55</v>
      </c>
    </row>
    <row r="19" spans="2:6" x14ac:dyDescent="0.3">
      <c r="B19" s="14">
        <f>ROW()</f>
        <v>19</v>
      </c>
      <c r="C19" s="15" t="s">
        <v>56</v>
      </c>
      <c r="D19" s="15"/>
      <c r="E19" s="20">
        <f>-E16-E17-E18</f>
        <v>1386826.4345380825</v>
      </c>
      <c r="F19" s="26"/>
    </row>
    <row r="20" spans="2:6" ht="15" thickBot="1" x14ac:dyDescent="0.35">
      <c r="B20" s="14"/>
      <c r="C20" s="15"/>
      <c r="D20" s="15"/>
      <c r="E20" s="27"/>
      <c r="F20" s="19"/>
    </row>
    <row r="21" spans="2:6" ht="15" thickBot="1" x14ac:dyDescent="0.35">
      <c r="B21" s="14">
        <f>ROW()</f>
        <v>21</v>
      </c>
      <c r="C21" s="15" t="s">
        <v>57</v>
      </c>
      <c r="D21" s="15"/>
      <c r="E21" s="28">
        <f>+E19/0.79/0.955444</f>
        <v>1837341.0680430192</v>
      </c>
      <c r="F21" s="19" t="s">
        <v>62</v>
      </c>
    </row>
    <row r="22" spans="2:6" x14ac:dyDescent="0.3">
      <c r="B22" s="29"/>
      <c r="C22" s="30"/>
      <c r="D22" s="30"/>
      <c r="E22" s="31"/>
      <c r="F22" s="23" t="s">
        <v>63</v>
      </c>
    </row>
    <row r="23" spans="2:6" customFormat="1" ht="13.2" x14ac:dyDescent="0.25"/>
    <row r="24" spans="2:6" customFormat="1" ht="13.2" x14ac:dyDescent="0.25"/>
    <row r="25" spans="2:6" customFormat="1" ht="13.2" x14ac:dyDescent="0.25"/>
    <row r="26" spans="2:6" customFormat="1" ht="13.2" x14ac:dyDescent="0.25"/>
    <row r="27" spans="2:6" customFormat="1" ht="13.2" x14ac:dyDescent="0.25"/>
    <row r="28" spans="2:6" customFormat="1" ht="13.2" x14ac:dyDescent="0.25"/>
    <row r="29" spans="2:6" customFormat="1" ht="13.2" x14ac:dyDescent="0.25"/>
    <row r="30" spans="2:6" customFormat="1" ht="13.2" x14ac:dyDescent="0.25"/>
    <row r="31" spans="2:6" customFormat="1" ht="13.2" x14ac:dyDescent="0.25"/>
    <row r="32" spans="2:6" customFormat="1" ht="13.2" x14ac:dyDescent="0.25"/>
    <row r="33" spans="5:5" customFormat="1" ht="13.2" x14ac:dyDescent="0.25"/>
    <row r="34" spans="5:5" customFormat="1" ht="13.2" x14ac:dyDescent="0.25"/>
    <row r="35" spans="5:5" customFormat="1" ht="13.2" x14ac:dyDescent="0.25"/>
    <row r="36" spans="5:5" customFormat="1" ht="13.2" x14ac:dyDescent="0.25"/>
    <row r="37" spans="5:5" customFormat="1" ht="13.2" x14ac:dyDescent="0.25"/>
    <row r="38" spans="5:5" customFormat="1" ht="13.2" x14ac:dyDescent="0.25"/>
    <row r="40" spans="5:5" x14ac:dyDescent="0.3">
      <c r="E40" s="132"/>
    </row>
    <row r="41" spans="5:5" x14ac:dyDescent="0.3">
      <c r="E41" s="132"/>
    </row>
    <row r="42" spans="5:5" x14ac:dyDescent="0.3">
      <c r="E42" s="132"/>
    </row>
  </sheetData>
  <pageMargins left="0.7" right="0.7" top="0.75" bottom="0.75" header="0.3" footer="0.3"/>
  <pageSetup orientation="portrait" horizontalDpi="4294967293"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A12" sqref="A12"/>
    </sheetView>
  </sheetViews>
  <sheetFormatPr defaultColWidth="8.6640625" defaultRowHeight="13.8" x14ac:dyDescent="0.3"/>
  <cols>
    <col min="1" max="1" width="41.88671875" style="33" bestFit="1" customWidth="1"/>
    <col min="2" max="2" width="24.33203125" style="33" bestFit="1" customWidth="1"/>
    <col min="3" max="3" width="9.33203125" style="33" bestFit="1" customWidth="1"/>
    <col min="4" max="5" width="13.5546875" style="33" bestFit="1" customWidth="1"/>
    <col min="6" max="6" width="13.109375" style="33" bestFit="1" customWidth="1"/>
    <col min="7" max="7" width="11.5546875" style="33" bestFit="1" customWidth="1"/>
    <col min="8" max="9" width="13.109375" style="33" bestFit="1" customWidth="1"/>
    <col min="10" max="11" width="12.44140625" style="33" bestFit="1" customWidth="1"/>
    <col min="12" max="16384" width="8.6640625" style="33"/>
  </cols>
  <sheetData>
    <row r="1" spans="1:11" ht="15.6" x14ac:dyDescent="0.3">
      <c r="A1" s="32" t="s">
        <v>64</v>
      </c>
      <c r="B1" s="32" t="s">
        <v>65</v>
      </c>
    </row>
    <row r="2" spans="1:11" ht="28.5" customHeight="1" x14ac:dyDescent="0.3">
      <c r="D2" s="34" t="s">
        <v>66</v>
      </c>
      <c r="E2" s="34"/>
      <c r="F2" s="34" t="s">
        <v>47</v>
      </c>
      <c r="G2" s="34"/>
      <c r="H2" s="34" t="s">
        <v>67</v>
      </c>
      <c r="I2" s="34"/>
      <c r="J2" s="34" t="s">
        <v>50</v>
      </c>
      <c r="K2" s="34"/>
    </row>
    <row r="3" spans="1:11" ht="14.4" x14ac:dyDescent="0.3">
      <c r="A3" s="35" t="s">
        <v>68</v>
      </c>
      <c r="B3" s="35" t="s">
        <v>69</v>
      </c>
      <c r="C3" s="36" t="s">
        <v>70</v>
      </c>
      <c r="D3" s="37" t="s">
        <v>3</v>
      </c>
      <c r="E3" s="37" t="s">
        <v>4</v>
      </c>
      <c r="F3" s="37" t="s">
        <v>3</v>
      </c>
      <c r="G3" s="37" t="s">
        <v>4</v>
      </c>
      <c r="H3" s="37" t="s">
        <v>3</v>
      </c>
      <c r="I3" s="37" t="s">
        <v>4</v>
      </c>
      <c r="J3" s="37" t="s">
        <v>3</v>
      </c>
      <c r="K3" s="37" t="s">
        <v>4</v>
      </c>
    </row>
    <row r="4" spans="1:11" x14ac:dyDescent="0.3">
      <c r="A4" s="38" t="s">
        <v>71</v>
      </c>
      <c r="B4" s="38" t="s">
        <v>72</v>
      </c>
      <c r="C4" s="39" t="s">
        <v>73</v>
      </c>
      <c r="D4" s="40">
        <v>2585143.9233339997</v>
      </c>
      <c r="E4" s="40">
        <v>1335304.8533326667</v>
      </c>
      <c r="F4" s="40">
        <v>-188944.70831136056</v>
      </c>
      <c r="G4" s="40">
        <v>-97595.64399582865</v>
      </c>
      <c r="H4" s="40">
        <v>-454726.98588401458</v>
      </c>
      <c r="I4" s="40">
        <v>-234880.21139231935</v>
      </c>
      <c r="J4" s="40">
        <v>184822.5372357915</v>
      </c>
      <c r="K4" s="40">
        <v>95466.418232500146</v>
      </c>
    </row>
    <row r="5" spans="1:11" x14ac:dyDescent="0.3">
      <c r="A5" s="38" t="s">
        <v>74</v>
      </c>
      <c r="B5" s="38" t="s">
        <v>75</v>
      </c>
      <c r="C5" s="39" t="s">
        <v>76</v>
      </c>
      <c r="D5" s="41">
        <v>29181980.298458986</v>
      </c>
      <c r="E5" s="42"/>
      <c r="F5" s="41">
        <v>-1037630.4897642183</v>
      </c>
      <c r="G5" s="42"/>
      <c r="H5" s="41">
        <v>-1074325.3438282926</v>
      </c>
      <c r="I5" s="42"/>
      <c r="J5" s="41">
        <v>1404524.3624491347</v>
      </c>
      <c r="K5" s="42"/>
    </row>
    <row r="6" spans="1:11" x14ac:dyDescent="0.3">
      <c r="A6" s="38" t="s">
        <v>77</v>
      </c>
      <c r="B6" s="38" t="s">
        <v>72</v>
      </c>
      <c r="C6" s="39" t="s">
        <v>76</v>
      </c>
      <c r="D6" s="40">
        <v>15089799.116666663</v>
      </c>
      <c r="E6" s="42"/>
      <c r="F6" s="40">
        <v>-479223.53495273483</v>
      </c>
      <c r="G6" s="42"/>
      <c r="H6" s="40">
        <v>-686458.46548178222</v>
      </c>
      <c r="I6" s="42"/>
      <c r="J6" s="40">
        <v>748941.05452572461</v>
      </c>
      <c r="K6" s="42"/>
    </row>
    <row r="7" spans="1:11" x14ac:dyDescent="0.3">
      <c r="A7" s="38" t="s">
        <v>78</v>
      </c>
      <c r="B7" s="38" t="s">
        <v>75</v>
      </c>
      <c r="C7" s="39" t="s">
        <v>79</v>
      </c>
      <c r="D7" s="42"/>
      <c r="E7" s="41">
        <v>10637212.779727323</v>
      </c>
      <c r="F7" s="42"/>
      <c r="G7" s="41">
        <v>-462283.28626045812</v>
      </c>
      <c r="H7" s="42"/>
      <c r="I7" s="41">
        <v>-522130.20702365314</v>
      </c>
      <c r="J7" s="42"/>
      <c r="K7" s="41">
        <v>498793.24570571509</v>
      </c>
    </row>
    <row r="8" spans="1:11" x14ac:dyDescent="0.3">
      <c r="A8" s="43" t="s">
        <v>80</v>
      </c>
      <c r="B8" s="43" t="s">
        <v>72</v>
      </c>
      <c r="C8" s="44" t="s">
        <v>79</v>
      </c>
      <c r="D8" s="45"/>
      <c r="E8" s="46">
        <v>11040154.186666667</v>
      </c>
      <c r="F8" s="45"/>
      <c r="G8" s="46">
        <v>-325156.86525246024</v>
      </c>
      <c r="H8" s="45"/>
      <c r="I8" s="46">
        <v>-799247.73928539664</v>
      </c>
      <c r="J8" s="45"/>
      <c r="K8" s="46">
        <v>636646.70544048306</v>
      </c>
    </row>
    <row r="9" spans="1:11" x14ac:dyDescent="0.3">
      <c r="A9" s="47"/>
      <c r="B9" s="47"/>
      <c r="C9" s="47"/>
      <c r="D9" s="42">
        <f t="shared" ref="D9:E9" si="0">SUM(D4:D8)</f>
        <v>46856923.338459648</v>
      </c>
      <c r="E9" s="42">
        <f t="shared" si="0"/>
        <v>23012671.819726657</v>
      </c>
      <c r="F9" s="42">
        <f t="shared" ref="F9:K9" si="1">SUM(F4:F8)</f>
        <v>-1705798.7330283138</v>
      </c>
      <c r="G9" s="42">
        <f t="shared" si="1"/>
        <v>-885035.79550874699</v>
      </c>
      <c r="H9" s="42">
        <f t="shared" si="1"/>
        <v>-2215510.7951940894</v>
      </c>
      <c r="I9" s="42">
        <f t="shared" si="1"/>
        <v>-1556258.1577013691</v>
      </c>
      <c r="J9" s="42">
        <f t="shared" si="1"/>
        <v>2338287.9542106511</v>
      </c>
      <c r="K9" s="42">
        <f t="shared" si="1"/>
        <v>1230906.3693786983</v>
      </c>
    </row>
    <row r="10" spans="1:11" x14ac:dyDescent="0.3">
      <c r="A10" s="47"/>
      <c r="B10" s="47"/>
      <c r="C10" s="47"/>
      <c r="D10" s="42"/>
      <c r="E10" s="42"/>
      <c r="F10" s="47"/>
      <c r="G10" s="42"/>
    </row>
    <row r="11" spans="1:11" x14ac:dyDescent="0.3">
      <c r="A11" s="47" t="s">
        <v>81</v>
      </c>
      <c r="B11" s="47"/>
      <c r="C11" s="47"/>
      <c r="D11" s="42"/>
      <c r="E11" s="42"/>
      <c r="F11" s="47"/>
      <c r="G11" s="42"/>
    </row>
    <row r="12" spans="1:11" x14ac:dyDescent="0.3">
      <c r="A12" s="47"/>
      <c r="B12" s="47"/>
      <c r="C12" s="47"/>
      <c r="D12" s="42"/>
      <c r="E12" s="42"/>
    </row>
    <row r="13" spans="1:11" x14ac:dyDescent="0.3">
      <c r="A13" s="47"/>
      <c r="B13" s="47"/>
      <c r="C13" s="47"/>
      <c r="D13" s="42"/>
      <c r="E13" s="42"/>
    </row>
    <row r="14" spans="1:11" x14ac:dyDescent="0.3">
      <c r="A14" s="47"/>
      <c r="B14" s="47"/>
      <c r="C14" s="47"/>
      <c r="D14" s="42"/>
      <c r="E14" s="42"/>
    </row>
    <row r="15" spans="1:11" x14ac:dyDescent="0.3">
      <c r="A15" s="47"/>
      <c r="B15" s="47"/>
      <c r="C15" s="47"/>
      <c r="D15" s="42"/>
      <c r="E15" s="42"/>
    </row>
    <row r="16" spans="1:11" x14ac:dyDescent="0.3">
      <c r="A16" s="47"/>
      <c r="B16" s="47"/>
      <c r="C16" s="47"/>
      <c r="D16" s="42"/>
      <c r="E16" s="42"/>
    </row>
    <row r="17" spans="1:5" x14ac:dyDescent="0.3">
      <c r="A17" s="47"/>
      <c r="B17" s="47"/>
      <c r="C17" s="47"/>
      <c r="D17" s="42"/>
      <c r="E17" s="42"/>
    </row>
    <row r="18" spans="1:5" x14ac:dyDescent="0.3">
      <c r="A18" s="47"/>
      <c r="B18" s="47"/>
      <c r="C18" s="47"/>
      <c r="D18" s="42"/>
      <c r="E18" s="42"/>
    </row>
    <row r="19" spans="1:5" x14ac:dyDescent="0.3">
      <c r="A19" s="47"/>
      <c r="B19" s="47"/>
      <c r="C19" s="47"/>
      <c r="D19" s="42"/>
      <c r="E19" s="42"/>
    </row>
  </sheetData>
  <pageMargins left="0.7" right="0.7" top="0.75" bottom="0.75" header="0.3" footer="0.3"/>
  <pageSetup orientation="portrait" horizontalDpi="200" verticalDpi="200" copies="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32"/>
  <sheetViews>
    <sheetView zoomScale="85" zoomScaleNormal="85" workbookViewId="0">
      <selection activeCell="H5" sqref="H5"/>
    </sheetView>
  </sheetViews>
  <sheetFormatPr defaultRowHeight="13.2" x14ac:dyDescent="0.25"/>
  <cols>
    <col min="1" max="1" width="2.88671875" customWidth="1"/>
    <col min="2" max="2" width="9.44140625" customWidth="1"/>
    <col min="3" max="3" width="8" customWidth="1"/>
    <col min="4" max="4" width="12.33203125" customWidth="1"/>
    <col min="5" max="5" width="12.33203125" bestFit="1" customWidth="1"/>
    <col min="6" max="6" width="12.33203125" customWidth="1"/>
    <col min="7" max="7" width="15" bestFit="1" customWidth="1"/>
    <col min="8" max="8" width="14" bestFit="1" customWidth="1"/>
    <col min="9" max="14" width="12.33203125" bestFit="1" customWidth="1"/>
    <col min="15" max="19" width="13.44140625" bestFit="1" customWidth="1"/>
    <col min="20" max="20" width="15" bestFit="1" customWidth="1"/>
    <col min="22" max="22" width="12.5546875" bestFit="1" customWidth="1"/>
    <col min="23" max="24" width="13.44140625" bestFit="1" customWidth="1"/>
  </cols>
  <sheetData>
    <row r="2" spans="2:24" x14ac:dyDescent="0.25">
      <c r="E2" s="84" t="s">
        <v>82</v>
      </c>
    </row>
    <row r="3" spans="2:24" x14ac:dyDescent="0.25">
      <c r="E3" s="84" t="s">
        <v>83</v>
      </c>
      <c r="G3" s="84" t="s">
        <v>84</v>
      </c>
      <c r="H3" s="84"/>
    </row>
    <row r="4" spans="2:24" x14ac:dyDescent="0.25">
      <c r="D4" s="84" t="s">
        <v>85</v>
      </c>
      <c r="E4" s="84" t="s">
        <v>86</v>
      </c>
      <c r="F4" s="84" t="s">
        <v>85</v>
      </c>
      <c r="G4" s="84" t="s">
        <v>87</v>
      </c>
      <c r="H4" s="84" t="s">
        <v>88</v>
      </c>
    </row>
    <row r="5" spans="2:24" x14ac:dyDescent="0.25">
      <c r="B5" s="74">
        <f>'2023 GP AMA - In Rates'!M2</f>
        <v>0.65939999999999999</v>
      </c>
      <c r="C5" t="s">
        <v>3</v>
      </c>
      <c r="D5" s="83">
        <f>T15+T16+T14*B5</f>
        <v>17671817.298595086</v>
      </c>
      <c r="E5" s="83">
        <f>17674943.04-D5</f>
        <v>3125.7414049133658</v>
      </c>
      <c r="F5" s="83">
        <f>SUM(D5:E5)</f>
        <v>17674943.039999999</v>
      </c>
      <c r="G5" s="75">
        <f>T25</f>
        <v>29181980.300027762</v>
      </c>
      <c r="H5" s="75">
        <f>SUM(F5:G5)</f>
        <v>46856923.340027764</v>
      </c>
    </row>
    <row r="6" spans="2:24" x14ac:dyDescent="0.25">
      <c r="B6" s="74">
        <f>'2023 GP AMA - In Rates'!N2</f>
        <v>0.34060000000000001</v>
      </c>
      <c r="C6" t="s">
        <v>4</v>
      </c>
      <c r="D6" s="81">
        <f>T17+T14*B6</f>
        <v>12378584.781404918</v>
      </c>
      <c r="E6" s="83">
        <f>(1335304.85+11040154.19)-12378585</f>
        <v>-3125.9600000008941</v>
      </c>
      <c r="F6" s="81">
        <f>SUM(D6:E6)</f>
        <v>12375458.821404917</v>
      </c>
      <c r="G6" s="85">
        <f>T26</f>
        <v>10637212.780299161</v>
      </c>
      <c r="H6" s="85">
        <f>SUM(F6:G6)</f>
        <v>23012671.601704076</v>
      </c>
    </row>
    <row r="7" spans="2:24" ht="13.8" thickBot="1" x14ac:dyDescent="0.3">
      <c r="C7" t="s">
        <v>88</v>
      </c>
      <c r="D7" s="87">
        <f>SUM(D5:D6)</f>
        <v>30050402.080000006</v>
      </c>
      <c r="E7" s="87">
        <f>SUM(E5:E6)</f>
        <v>-0.21859508752822876</v>
      </c>
      <c r="F7" s="87">
        <f>SUM(F5:F6)</f>
        <v>30050401.861404918</v>
      </c>
      <c r="G7" s="87">
        <f>SUM(G5:G6)</f>
        <v>39819193.080326922</v>
      </c>
      <c r="H7" s="87">
        <f>SUM(H5:H6)</f>
        <v>69869594.94173184</v>
      </c>
    </row>
    <row r="8" spans="2:24" ht="13.8" thickTop="1" x14ac:dyDescent="0.25">
      <c r="D8" s="89">
        <f>D7-T18</f>
        <v>0</v>
      </c>
      <c r="F8" s="89">
        <f>T18-F7</f>
        <v>0.21859508380293846</v>
      </c>
      <c r="G8" s="89">
        <f>T27-G7</f>
        <v>0</v>
      </c>
      <c r="H8" s="89">
        <f>'2023 Program - Actual'!D9-H5</f>
        <v>-1.5681162476539612E-3</v>
      </c>
    </row>
    <row r="9" spans="2:24" x14ac:dyDescent="0.25">
      <c r="H9" s="89">
        <f>'2023 Program - Actual'!E9-H6</f>
        <v>0.21802258118987083</v>
      </c>
    </row>
    <row r="10" spans="2:24" x14ac:dyDescent="0.25">
      <c r="V10" s="58"/>
      <c r="W10" s="58" t="s">
        <v>89</v>
      </c>
    </row>
    <row r="11" spans="2:24" x14ac:dyDescent="0.25">
      <c r="B11" s="91" t="s">
        <v>90</v>
      </c>
      <c r="C11" s="91"/>
      <c r="D11" s="91"/>
      <c r="E11" s="91"/>
      <c r="F11" s="91"/>
      <c r="G11" s="92">
        <v>44926</v>
      </c>
      <c r="H11" s="92">
        <v>44957</v>
      </c>
      <c r="I11" s="92">
        <v>44985</v>
      </c>
      <c r="J11" s="92">
        <v>45016</v>
      </c>
      <c r="K11" s="92">
        <v>45046</v>
      </c>
      <c r="L11" s="92">
        <v>45077</v>
      </c>
      <c r="M11" s="92">
        <v>45107</v>
      </c>
      <c r="N11" s="92">
        <v>45138</v>
      </c>
      <c r="O11" s="92">
        <v>45169</v>
      </c>
      <c r="P11" s="92">
        <v>45199</v>
      </c>
      <c r="Q11" s="92">
        <v>45230</v>
      </c>
      <c r="R11" s="92">
        <v>45260</v>
      </c>
      <c r="S11" s="92">
        <v>45291</v>
      </c>
      <c r="T11" s="92" t="s">
        <v>91</v>
      </c>
      <c r="V11" s="58" t="s">
        <v>92</v>
      </c>
      <c r="W11" s="58" t="s">
        <v>93</v>
      </c>
      <c r="X11" s="58" t="s">
        <v>94</v>
      </c>
    </row>
    <row r="12" spans="2:24" x14ac:dyDescent="0.25">
      <c r="B12" s="90"/>
      <c r="C12" s="90"/>
      <c r="D12" s="90"/>
      <c r="E12" s="90"/>
      <c r="F12" s="90"/>
      <c r="G12" s="93"/>
      <c r="H12" s="93"/>
      <c r="I12" s="93"/>
      <c r="J12" s="93"/>
      <c r="K12" s="93"/>
      <c r="L12" s="93"/>
      <c r="M12" s="93"/>
      <c r="N12" s="93"/>
      <c r="O12" s="93"/>
      <c r="P12" s="93"/>
      <c r="Q12" s="93"/>
      <c r="R12" s="93"/>
      <c r="S12" s="93"/>
      <c r="T12" s="93"/>
    </row>
    <row r="13" spans="2:24" x14ac:dyDescent="0.25">
      <c r="B13" s="94" t="s">
        <v>95</v>
      </c>
      <c r="C13" s="90"/>
      <c r="D13" s="90"/>
      <c r="E13" s="90"/>
      <c r="F13" s="90"/>
      <c r="G13" s="93"/>
      <c r="H13" s="93"/>
      <c r="I13" s="93"/>
      <c r="J13" s="93"/>
      <c r="K13" s="93"/>
      <c r="L13" s="93"/>
      <c r="M13" s="93"/>
      <c r="N13" s="93"/>
      <c r="O13" s="93"/>
      <c r="P13" s="93"/>
      <c r="Q13" s="93"/>
      <c r="R13" s="93"/>
      <c r="S13" s="93"/>
      <c r="T13" s="93"/>
    </row>
    <row r="14" spans="2:24" x14ac:dyDescent="0.25">
      <c r="B14" t="s">
        <v>26</v>
      </c>
      <c r="G14" s="83">
        <v>3826724.8500000006</v>
      </c>
      <c r="H14" s="83">
        <v>3900865.5400000005</v>
      </c>
      <c r="I14" s="83">
        <v>3777605.790000001</v>
      </c>
      <c r="J14" s="83">
        <v>4349379.8400000008</v>
      </c>
      <c r="K14" s="83">
        <v>3853281.4499999997</v>
      </c>
      <c r="L14" s="83">
        <v>3896097.34</v>
      </c>
      <c r="M14" s="83">
        <v>3893094.05</v>
      </c>
      <c r="N14" s="83">
        <v>3893895.36</v>
      </c>
      <c r="O14" s="83">
        <v>3896552.27</v>
      </c>
      <c r="P14" s="83">
        <v>3898310.9200000004</v>
      </c>
      <c r="Q14" s="83">
        <v>3998421.81</v>
      </c>
      <c r="R14" s="83">
        <v>3930875.2</v>
      </c>
      <c r="S14" s="83">
        <v>3907538.5400000005</v>
      </c>
      <c r="T14" s="83">
        <f>(G14+S14+SUM(H14:R14)*2)/24</f>
        <v>3929625.9387500007</v>
      </c>
      <c r="V14" s="75">
        <f>S14-G14</f>
        <v>80813.689999999944</v>
      </c>
      <c r="W14" s="75">
        <v>80813.69</v>
      </c>
      <c r="X14" s="75">
        <f>V14-W14</f>
        <v>0</v>
      </c>
    </row>
    <row r="15" spans="2:24" x14ac:dyDescent="0.25">
      <c r="B15" t="s">
        <v>27</v>
      </c>
      <c r="G15" s="81">
        <v>131730.64000000001</v>
      </c>
      <c r="H15" s="81">
        <v>132128.08000000002</v>
      </c>
      <c r="I15" s="81">
        <v>132128.08000000002</v>
      </c>
      <c r="J15" s="81">
        <v>132128.08000000002</v>
      </c>
      <c r="K15" s="81">
        <v>231541.98000000004</v>
      </c>
      <c r="L15" s="81">
        <v>231541.98000000004</v>
      </c>
      <c r="M15" s="81">
        <v>231541.98000000004</v>
      </c>
      <c r="N15" s="81">
        <v>231541.98000000004</v>
      </c>
      <c r="O15" s="81">
        <v>231541.98000000004</v>
      </c>
      <c r="P15" s="81">
        <v>231541.98000000004</v>
      </c>
      <c r="Q15" s="81">
        <v>231541.98000000004</v>
      </c>
      <c r="R15" s="81">
        <v>232141.88</v>
      </c>
      <c r="S15" s="81">
        <v>232568.95</v>
      </c>
      <c r="T15" s="81">
        <f t="shared" ref="T15:T17" si="0">(G15+S15+SUM(H15:R15)*2)/24</f>
        <v>202622.48124999998</v>
      </c>
      <c r="V15" s="75">
        <f>S15-G15</f>
        <v>100838.31</v>
      </c>
      <c r="W15" s="75">
        <v>100838.31</v>
      </c>
      <c r="X15" s="75">
        <f t="shared" ref="X15:X17" si="1">V15-W15</f>
        <v>0</v>
      </c>
    </row>
    <row r="16" spans="2:24" x14ac:dyDescent="0.25">
      <c r="B16" t="s">
        <v>28</v>
      </c>
      <c r="G16" s="81">
        <v>12758718.42</v>
      </c>
      <c r="H16" s="81">
        <v>13968999.809999999</v>
      </c>
      <c r="I16" s="81">
        <v>15100306.839999998</v>
      </c>
      <c r="J16" s="81">
        <v>15142740.699999999</v>
      </c>
      <c r="K16" s="81">
        <v>14117166.319999998</v>
      </c>
      <c r="L16" s="81">
        <v>14540052.34</v>
      </c>
      <c r="M16" s="81">
        <v>13575205.76</v>
      </c>
      <c r="N16" s="81">
        <v>13997720.199999999</v>
      </c>
      <c r="O16" s="81">
        <v>13134257</v>
      </c>
      <c r="P16" s="81">
        <v>13571810.509999998</v>
      </c>
      <c r="Q16" s="81">
        <v>13637832.329999998</v>
      </c>
      <c r="R16" s="81">
        <v>20829338.870000001</v>
      </c>
      <c r="S16" s="81">
        <v>21082407.580000002</v>
      </c>
      <c r="T16" s="81">
        <f t="shared" si="0"/>
        <v>14877999.473333335</v>
      </c>
      <c r="V16" s="75">
        <f>S16-G16+X25</f>
        <v>27840620.160000004</v>
      </c>
      <c r="W16" s="75">
        <v>27840619.771862</v>
      </c>
      <c r="X16" s="75">
        <f t="shared" si="1"/>
        <v>0.38813800364732742</v>
      </c>
    </row>
    <row r="17" spans="2:24" x14ac:dyDescent="0.25">
      <c r="B17" t="s">
        <v>29</v>
      </c>
      <c r="G17" s="81">
        <v>8909147.4299999978</v>
      </c>
      <c r="H17" s="81">
        <v>9985933.2300000004</v>
      </c>
      <c r="I17" s="81">
        <v>10666718.99</v>
      </c>
      <c r="J17" s="81">
        <v>9417529.8900000006</v>
      </c>
      <c r="K17" s="81">
        <v>9891331.0800000019</v>
      </c>
      <c r="L17" s="81">
        <v>9923363.5600000024</v>
      </c>
      <c r="M17" s="81">
        <v>12433820.84</v>
      </c>
      <c r="N17" s="81">
        <v>12240791.870000001</v>
      </c>
      <c r="O17" s="81">
        <v>11633014.010000002</v>
      </c>
      <c r="P17" s="81">
        <v>11839733.520000001</v>
      </c>
      <c r="Q17" s="81">
        <v>11912938.640000002</v>
      </c>
      <c r="R17" s="81">
        <v>11975696.480000002</v>
      </c>
      <c r="S17" s="81">
        <v>12212808.830000002</v>
      </c>
      <c r="T17" s="81">
        <f t="shared" si="0"/>
        <v>11040154.186666667</v>
      </c>
      <c r="V17" s="75">
        <f>S17-G17+X26</f>
        <v>6439970.6702331593</v>
      </c>
      <c r="W17" s="75">
        <v>6439970.9736460904</v>
      </c>
      <c r="X17" s="75">
        <f t="shared" si="1"/>
        <v>-0.30341293103992939</v>
      </c>
    </row>
    <row r="18" spans="2:24" ht="13.8" thickBot="1" x14ac:dyDescent="0.3">
      <c r="B18" t="s">
        <v>96</v>
      </c>
      <c r="G18" s="88">
        <f>SUM(G14:G17)</f>
        <v>25626321.339999996</v>
      </c>
      <c r="H18" s="88">
        <f t="shared" ref="H18:T18" si="2">SUM(H14:H17)</f>
        <v>27987926.66</v>
      </c>
      <c r="I18" s="88">
        <f t="shared" si="2"/>
        <v>29676759.700000003</v>
      </c>
      <c r="J18" s="88">
        <f t="shared" si="2"/>
        <v>29041778.510000002</v>
      </c>
      <c r="K18" s="88">
        <f t="shared" si="2"/>
        <v>28093320.830000002</v>
      </c>
      <c r="L18" s="88">
        <f t="shared" si="2"/>
        <v>28591055.220000003</v>
      </c>
      <c r="M18" s="88">
        <f t="shared" si="2"/>
        <v>30133662.629999999</v>
      </c>
      <c r="N18" s="88">
        <f t="shared" si="2"/>
        <v>30363949.41</v>
      </c>
      <c r="O18" s="88">
        <f t="shared" si="2"/>
        <v>28895365.260000002</v>
      </c>
      <c r="P18" s="88">
        <f t="shared" si="2"/>
        <v>29541396.93</v>
      </c>
      <c r="Q18" s="88">
        <f t="shared" si="2"/>
        <v>29780734.759999998</v>
      </c>
      <c r="R18" s="88">
        <f t="shared" si="2"/>
        <v>36968052.430000007</v>
      </c>
      <c r="S18" s="88">
        <f t="shared" si="2"/>
        <v>37435323.900000006</v>
      </c>
      <c r="T18" s="88">
        <f t="shared" si="2"/>
        <v>30050402.080000002</v>
      </c>
      <c r="V18" s="88">
        <f t="shared" ref="V18" si="3">SUM(V14:V17)</f>
        <v>34462242.830233164</v>
      </c>
      <c r="W18" s="88">
        <f t="shared" ref="W18" si="4">SUM(W14:W17)</f>
        <v>34462242.74550809</v>
      </c>
      <c r="X18" s="88">
        <f t="shared" ref="X18" si="5">SUM(X14:X17)</f>
        <v>8.4725072607398033E-2</v>
      </c>
    </row>
    <row r="19" spans="2:24" ht="13.8" thickTop="1" x14ac:dyDescent="0.25"/>
    <row r="20" spans="2:24" x14ac:dyDescent="0.25">
      <c r="B20" s="94" t="s">
        <v>97</v>
      </c>
    </row>
    <row r="21" spans="2:24" x14ac:dyDescent="0.25">
      <c r="B21" t="s">
        <v>3</v>
      </c>
      <c r="C21" s="95">
        <v>1</v>
      </c>
      <c r="G21" s="83">
        <v>48353383.955148324</v>
      </c>
      <c r="H21" s="83">
        <v>51479818.783250205</v>
      </c>
      <c r="I21" s="83">
        <v>54531991.403290227</v>
      </c>
      <c r="J21" s="83">
        <v>57569832.780810699</v>
      </c>
      <c r="K21" s="83">
        <v>62409675.591536134</v>
      </c>
      <c r="L21" s="83">
        <v>66854581.182237618</v>
      </c>
      <c r="M21" s="83">
        <v>72317926.698719069</v>
      </c>
      <c r="N21" s="83">
        <v>76391042.50431256</v>
      </c>
      <c r="O21" s="83">
        <v>80533130.016197652</v>
      </c>
      <c r="P21" s="83">
        <v>82625911.530499056</v>
      </c>
      <c r="Q21" s="83">
        <v>87948363.090765953</v>
      </c>
      <c r="R21" s="83">
        <v>90419809.114383116</v>
      </c>
      <c r="S21" s="83">
        <v>92933954.564636946</v>
      </c>
      <c r="T21" s="83">
        <f t="shared" ref="T21:T22" si="6">(G21+S21+SUM(H21:R21)*2)/24</f>
        <v>71143812.662991241</v>
      </c>
    </row>
    <row r="22" spans="2:24" x14ac:dyDescent="0.25">
      <c r="B22" t="s">
        <v>4</v>
      </c>
      <c r="C22" s="95">
        <v>1</v>
      </c>
      <c r="G22" s="81">
        <v>14860704.332351629</v>
      </c>
      <c r="H22" s="81">
        <v>15821568.284249701</v>
      </c>
      <c r="I22" s="81">
        <v>16759608.834209686</v>
      </c>
      <c r="J22" s="81">
        <v>17693244.886689294</v>
      </c>
      <c r="K22" s="81">
        <v>19180699.685963802</v>
      </c>
      <c r="L22" s="81">
        <v>20546776.315262433</v>
      </c>
      <c r="M22" s="81">
        <v>22225855.538781084</v>
      </c>
      <c r="N22" s="81">
        <v>23477668.023187537</v>
      </c>
      <c r="O22" s="81">
        <v>24750677.951302327</v>
      </c>
      <c r="P22" s="81">
        <v>25393863.697000958</v>
      </c>
      <c r="Q22" s="81">
        <v>27029641.226734083</v>
      </c>
      <c r="R22" s="81">
        <v>27789203.963116888</v>
      </c>
      <c r="S22" s="81">
        <v>28561889.742863048</v>
      </c>
      <c r="T22" s="81">
        <f t="shared" si="6"/>
        <v>21865008.787008759</v>
      </c>
    </row>
    <row r="23" spans="2:24" ht="13.8" thickBot="1" x14ac:dyDescent="0.3">
      <c r="G23" s="87">
        <f>SUM(G21:G22)</f>
        <v>63214088.287499949</v>
      </c>
      <c r="H23" s="87">
        <f t="shared" ref="H23:T23" si="7">SUM(H21:H22)</f>
        <v>67301387.067499906</v>
      </c>
      <c r="I23" s="87">
        <f t="shared" si="7"/>
        <v>71291600.237499908</v>
      </c>
      <c r="J23" s="87">
        <f t="shared" si="7"/>
        <v>75263077.667499989</v>
      </c>
      <c r="K23" s="87">
        <f t="shared" si="7"/>
        <v>81590375.277499944</v>
      </c>
      <c r="L23" s="87">
        <f t="shared" si="7"/>
        <v>87401357.497500047</v>
      </c>
      <c r="M23" s="87">
        <f t="shared" si="7"/>
        <v>94543782.237500161</v>
      </c>
      <c r="N23" s="87">
        <f t="shared" si="7"/>
        <v>99868710.527500093</v>
      </c>
      <c r="O23" s="87">
        <f t="shared" si="7"/>
        <v>105283807.96749997</v>
      </c>
      <c r="P23" s="87">
        <f t="shared" si="7"/>
        <v>108019775.22750002</v>
      </c>
      <c r="Q23" s="87">
        <f t="shared" si="7"/>
        <v>114978004.31750004</v>
      </c>
      <c r="R23" s="87">
        <f t="shared" si="7"/>
        <v>118209013.0775</v>
      </c>
      <c r="S23" s="87">
        <f t="shared" si="7"/>
        <v>121495844.30749999</v>
      </c>
      <c r="T23" s="87">
        <f t="shared" si="7"/>
        <v>93008821.450000003</v>
      </c>
    </row>
    <row r="24" spans="2:24" ht="13.8" thickTop="1" x14ac:dyDescent="0.25">
      <c r="V24" s="98" t="s">
        <v>98</v>
      </c>
      <c r="W24" s="98"/>
      <c r="X24" s="98"/>
    </row>
    <row r="25" spans="2:24" x14ac:dyDescent="0.25">
      <c r="B25" t="s">
        <v>3</v>
      </c>
      <c r="C25" s="95">
        <v>0.41018296894296369</v>
      </c>
      <c r="G25" s="83">
        <f>G21*$C25</f>
        <v>19833734.589161802</v>
      </c>
      <c r="H25" s="83">
        <f t="shared" ref="H25:T26" si="8">H21*$C25</f>
        <v>21116144.909159318</v>
      </c>
      <c r="I25" s="83">
        <f t="shared" si="8"/>
        <v>22368094.136173759</v>
      </c>
      <c r="J25" s="83">
        <f t="shared" si="8"/>
        <v>23614164.931582887</v>
      </c>
      <c r="K25" s="83">
        <f t="shared" si="8"/>
        <v>25599386.024903506</v>
      </c>
      <c r="L25" s="83">
        <f t="shared" si="8"/>
        <v>27422610.596768618</v>
      </c>
      <c r="M25" s="83">
        <f t="shared" si="8"/>
        <v>29663581.88108021</v>
      </c>
      <c r="N25" s="83">
        <f t="shared" si="8"/>
        <v>31334304.615067057</v>
      </c>
      <c r="O25" s="83">
        <f t="shared" si="8"/>
        <v>33033318.368313659</v>
      </c>
      <c r="P25" s="83">
        <f t="shared" si="8"/>
        <v>33891741.703198761</v>
      </c>
      <c r="Q25" s="83">
        <f t="shared" si="8"/>
        <v>36074920.686244145</v>
      </c>
      <c r="R25" s="83">
        <f t="shared" si="8"/>
        <v>37088665.753793716</v>
      </c>
      <c r="S25" s="83">
        <f t="shared" si="8"/>
        <v>38119925.398933277</v>
      </c>
      <c r="T25" s="83">
        <f t="shared" si="8"/>
        <v>29181980.300027762</v>
      </c>
      <c r="V25" s="75">
        <f>S25-G25</f>
        <v>18286190.809771474</v>
      </c>
      <c r="W25" s="75">
        <f>19516931-V25</f>
        <v>1230740.1902285255</v>
      </c>
      <c r="X25" s="75">
        <f>SUM(V25:W25)</f>
        <v>19516931</v>
      </c>
    </row>
    <row r="26" spans="2:24" x14ac:dyDescent="0.25">
      <c r="B26" t="s">
        <v>4</v>
      </c>
      <c r="C26" s="95">
        <v>0.48649478643792415</v>
      </c>
      <c r="G26" s="81">
        <f>G22*$C26</f>
        <v>7229655.1804845398</v>
      </c>
      <c r="H26" s="81">
        <f t="shared" si="8"/>
        <v>7697110.4835590925</v>
      </c>
      <c r="I26" s="81">
        <f t="shared" si="8"/>
        <v>8153462.3205819884</v>
      </c>
      <c r="J26" s="81">
        <f t="shared" si="8"/>
        <v>8607671.392543802</v>
      </c>
      <c r="K26" s="81">
        <f t="shared" si="8"/>
        <v>9331310.3974529188</v>
      </c>
      <c r="L26" s="81">
        <f t="shared" si="8"/>
        <v>9995899.5554813948</v>
      </c>
      <c r="M26" s="81">
        <f t="shared" si="8"/>
        <v>10812762.843739457</v>
      </c>
      <c r="N26" s="81">
        <f t="shared" si="8"/>
        <v>11421763.091001101</v>
      </c>
      <c r="O26" s="81">
        <f t="shared" si="8"/>
        <v>12041075.784112664</v>
      </c>
      <c r="P26" s="81">
        <f t="shared" si="8"/>
        <v>12353982.296106236</v>
      </c>
      <c r="Q26" s="81">
        <f t="shared" si="8"/>
        <v>13149779.536093708</v>
      </c>
      <c r="R26" s="81">
        <f t="shared" si="8"/>
        <v>13519302.847316466</v>
      </c>
      <c r="S26" s="81">
        <f t="shared" si="8"/>
        <v>13895210.450717695</v>
      </c>
      <c r="T26" s="81">
        <f t="shared" si="8"/>
        <v>10637212.780299161</v>
      </c>
      <c r="V26" s="75">
        <f>S26-G26</f>
        <v>6665555.2702331552</v>
      </c>
      <c r="W26" s="75">
        <v>-3529246</v>
      </c>
      <c r="X26" s="75">
        <f>SUM(V26:W26)</f>
        <v>3136309.2702331552</v>
      </c>
    </row>
    <row r="27" spans="2:24" ht="13.8" thickBot="1" x14ac:dyDescent="0.3">
      <c r="G27" s="87">
        <f>SUM(G25:G26)</f>
        <v>27063389.769646343</v>
      </c>
      <c r="H27" s="87">
        <f t="shared" ref="H27:T27" si="9">SUM(H25:H26)</f>
        <v>28813255.392718412</v>
      </c>
      <c r="I27" s="87">
        <f t="shared" si="9"/>
        <v>30521556.456755746</v>
      </c>
      <c r="J27" s="87">
        <f t="shared" si="9"/>
        <v>32221836.324126691</v>
      </c>
      <c r="K27" s="87">
        <f t="shared" si="9"/>
        <v>34930696.422356427</v>
      </c>
      <c r="L27" s="87">
        <f t="shared" si="9"/>
        <v>37418510.152250014</v>
      </c>
      <c r="M27" s="87">
        <f t="shared" si="9"/>
        <v>40476344.724819668</v>
      </c>
      <c r="N27" s="87">
        <f t="shared" si="9"/>
        <v>42756067.706068158</v>
      </c>
      <c r="O27" s="87">
        <f t="shared" si="9"/>
        <v>45074394.152426325</v>
      </c>
      <c r="P27" s="87">
        <f t="shared" si="9"/>
        <v>46245723.999304995</v>
      </c>
      <c r="Q27" s="87">
        <f t="shared" si="9"/>
        <v>49224700.222337857</v>
      </c>
      <c r="R27" s="87">
        <f t="shared" si="9"/>
        <v>50607968.601110183</v>
      </c>
      <c r="S27" s="87">
        <f t="shared" si="9"/>
        <v>52015135.849650972</v>
      </c>
      <c r="T27" s="87">
        <f t="shared" si="9"/>
        <v>39819193.080326922</v>
      </c>
      <c r="V27" s="87">
        <f t="shared" ref="V27" si="10">SUM(V25:V26)</f>
        <v>24951746.080004629</v>
      </c>
      <c r="W27" s="87">
        <f t="shared" ref="W27" si="11">SUM(W25:W26)</f>
        <v>-2298505.8097714745</v>
      </c>
      <c r="X27" s="87">
        <f t="shared" ref="X27" si="12">SUM(X25:X26)</f>
        <v>22653240.270233154</v>
      </c>
    </row>
    <row r="28" spans="2:24" ht="13.8" thickTop="1" x14ac:dyDescent="0.25"/>
    <row r="29" spans="2:24" x14ac:dyDescent="0.25">
      <c r="H29" s="75"/>
    </row>
    <row r="30" spans="2:24" x14ac:dyDescent="0.25">
      <c r="H30" s="75"/>
    </row>
    <row r="31" spans="2:24" x14ac:dyDescent="0.25">
      <c r="H31" s="75"/>
    </row>
    <row r="32" spans="2:24" x14ac:dyDescent="0.25">
      <c r="H32" s="7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2024-10-18T07:00:00+00:00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ACDBF696-4129-4272-85E0-F6C940299815}"/>
</file>

<file path=customXml/itemProps2.xml><?xml version="1.0" encoding="utf-8"?>
<ds:datastoreItem xmlns:ds="http://schemas.openxmlformats.org/officeDocument/2006/customXml" ds:itemID="{18221C08-6D30-457F-B429-51375035758E}"/>
</file>

<file path=customXml/itemProps3.xml><?xml version="1.0" encoding="utf-8"?>
<ds:datastoreItem xmlns:ds="http://schemas.openxmlformats.org/officeDocument/2006/customXml" ds:itemID="{5A2FD412-9C7D-42CF-B914-2EA7CAA7ADB2}"/>
</file>

<file path=customXml/itemProps4.xml><?xml version="1.0" encoding="utf-8"?>
<ds:datastoreItem xmlns:ds="http://schemas.openxmlformats.org/officeDocument/2006/customXml" ds:itemID="{2F2F09EA-C051-438D-971C-E13418C250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AMI Rev Req Actual vs. Rates</vt:lpstr>
      <vt:lpstr>Variance Summary</vt:lpstr>
      <vt:lpstr>&lt;--- DR Tables</vt:lpstr>
      <vt:lpstr>Adjusted Variance</vt:lpstr>
      <vt:lpstr>Actual ---&gt;</vt:lpstr>
      <vt:lpstr>Electric Rev Req - Actual</vt:lpstr>
      <vt:lpstr>Gas Rev Req - Actual</vt:lpstr>
      <vt:lpstr>2023 Program - Actual</vt:lpstr>
      <vt:lpstr>2023 GP AMA - Actual</vt:lpstr>
      <vt:lpstr>NW Eq 2021 Act</vt:lpstr>
      <vt:lpstr>2024 Adds</vt:lpstr>
      <vt:lpstr>In Rates ---&gt;</vt:lpstr>
      <vt:lpstr>Electric Rev Req - In Rates</vt:lpstr>
      <vt:lpstr>Gas Rev Req - In Rates</vt:lpstr>
      <vt:lpstr>2023 Program - In Rates</vt:lpstr>
      <vt:lpstr>2023 GP AMA - In Rates</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Free, Susan</dc:creator>
  <cp:keywords/>
  <dc:description/>
  <cp:lastModifiedBy>Peterson, Pete</cp:lastModifiedBy>
  <cp:revision/>
  <dcterms:created xsi:type="dcterms:W3CDTF">2024-07-25T13:12:51Z</dcterms:created>
  <dcterms:modified xsi:type="dcterms:W3CDTF">2024-10-15T17:02:37Z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89cc04-6351-41d8-9f1d-a834e5351c1d_Enabled">
    <vt:lpwstr>true</vt:lpwstr>
  </property>
  <property fmtid="{D5CDD505-2E9C-101B-9397-08002B2CF9AE}" pid="3" name="MSIP_Label_b689cc04-6351-41d8-9f1d-a834e5351c1d_SetDate">
    <vt:lpwstr>2024-07-26T20:01:17Z</vt:lpwstr>
  </property>
  <property fmtid="{D5CDD505-2E9C-101B-9397-08002B2CF9AE}" pid="4" name="MSIP_Label_b689cc04-6351-41d8-9f1d-a834e5351c1d_Method">
    <vt:lpwstr>Standard</vt:lpwstr>
  </property>
  <property fmtid="{D5CDD505-2E9C-101B-9397-08002B2CF9AE}" pid="5" name="MSIP_Label_b689cc04-6351-41d8-9f1d-a834e5351c1d_Name">
    <vt:lpwstr>Internal Use Only</vt:lpwstr>
  </property>
  <property fmtid="{D5CDD505-2E9C-101B-9397-08002B2CF9AE}" pid="6" name="MSIP_Label_b689cc04-6351-41d8-9f1d-a834e5351c1d_SiteId">
    <vt:lpwstr>58e8b525-6212-4087-a0d0-fa755583444b</vt:lpwstr>
  </property>
  <property fmtid="{D5CDD505-2E9C-101B-9397-08002B2CF9AE}" pid="7" name="MSIP_Label_b689cc04-6351-41d8-9f1d-a834e5351c1d_ActionId">
    <vt:lpwstr>dc753cfe-626f-471f-8b67-d7971dd0f652</vt:lpwstr>
  </property>
  <property fmtid="{D5CDD505-2E9C-101B-9397-08002B2CF9AE}" pid="8" name="MSIP_Label_b689cc04-6351-41d8-9f1d-a834e5351c1d_ContentBits">
    <vt:lpwstr>0</vt:lpwstr>
  </property>
  <property fmtid="{D5CDD505-2E9C-101B-9397-08002B2CF9AE}" pid="9" name="ContentTypeId">
    <vt:lpwstr>0x0101006E56B4D1795A2E4DB2F0B01679ED314A00A0C5B27E5DFE5A42B5D94F605CB10C32</vt:lpwstr>
  </property>
  <property fmtid="{D5CDD505-2E9C-101B-9397-08002B2CF9AE}" pid="10" name="_docset_NoMedatataSyncRequired">
    <vt:lpwstr>False</vt:lpwstr>
  </property>
</Properties>
</file>