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mickelso\Desktop\"/>
    </mc:Choice>
  </mc:AlternateContent>
  <xr:revisionPtr revIDLastSave="0" documentId="8_{43DF9690-CC20-4AD2-82F2-E5745CE06DBC}" xr6:coauthVersionLast="44" xr6:coauthVersionMax="44" xr10:uidLastSave="{00000000-0000-0000-0000-000000000000}"/>
  <bookViews>
    <workbookView xWindow="28680" yWindow="-120" windowWidth="29040" windowHeight="15840" xr2:uid="{76A3222A-4E5F-4314-9116-0CD4C93909A1}"/>
  </bookViews>
  <sheets>
    <sheet name="Revenue Distribution" sheetId="1" r:id="rId1"/>
    <sheet name="Decoup. Exhibit" sheetId="2" r:id="rId2"/>
  </sheets>
  <externalReferences>
    <externalReference r:id="rId3"/>
  </externalReferences>
  <definedNames>
    <definedName name="MONTANA_DAKOTA_UTILITIES_CO.">#REF!</definedName>
    <definedName name="_xlnm.Print_Area" localSheetId="1">'Decoup. Exhibit'!$A$1:$P$65</definedName>
    <definedName name="RATE">#REF!</definedName>
    <definedName name="RATE_VARIANCE">#REF!</definedName>
    <definedName name="SUMMARY_CURRENT">#REF!</definedName>
    <definedName name="SUMMARY_PRIOR">#REF!</definedName>
    <definedName name="VOLU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2" l="1"/>
  <c r="O50" i="2"/>
  <c r="N50" i="2"/>
  <c r="M50" i="2"/>
  <c r="L50" i="2"/>
  <c r="K50" i="2"/>
  <c r="J50" i="2"/>
  <c r="I50" i="2"/>
  <c r="H50" i="2"/>
  <c r="G50" i="2"/>
  <c r="F50" i="2"/>
  <c r="E50" i="2"/>
  <c r="D50" i="2"/>
  <c r="K47" i="2" l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I37" i="1"/>
  <c r="G37" i="1"/>
  <c r="E37" i="1"/>
  <c r="I36" i="1"/>
  <c r="G36" i="1"/>
  <c r="E36" i="1"/>
  <c r="I35" i="1"/>
  <c r="G35" i="1"/>
  <c r="E35" i="1"/>
  <c r="I34" i="1"/>
  <c r="G34" i="1"/>
  <c r="E34" i="1"/>
  <c r="I28" i="1"/>
  <c r="G28" i="1"/>
  <c r="E28" i="1"/>
  <c r="I27" i="1"/>
  <c r="G27" i="1"/>
  <c r="E27" i="1"/>
  <c r="I23" i="1"/>
  <c r="G23" i="1"/>
  <c r="E23" i="1"/>
  <c r="I22" i="1"/>
  <c r="G22" i="1"/>
  <c r="E22" i="1"/>
  <c r="I21" i="1"/>
  <c r="G21" i="1"/>
  <c r="E21" i="1"/>
  <c r="I17" i="1"/>
  <c r="G17" i="1"/>
  <c r="E17" i="1"/>
  <c r="I16" i="1"/>
  <c r="G16" i="1"/>
  <c r="E16" i="1"/>
  <c r="I15" i="1"/>
  <c r="G15" i="1"/>
  <c r="E15" i="1"/>
  <c r="I11" i="1"/>
  <c r="I12" i="1" s="1"/>
  <c r="F10" i="2" s="1"/>
  <c r="G11" i="1"/>
  <c r="E11" i="1"/>
  <c r="I7" i="1"/>
  <c r="I8" i="1" s="1"/>
  <c r="F8" i="2" s="1"/>
  <c r="G7" i="1"/>
  <c r="E7" i="1"/>
  <c r="J22" i="1" l="1"/>
  <c r="E42" i="2"/>
  <c r="I38" i="1"/>
  <c r="I41" i="1" s="1"/>
  <c r="J34" i="1"/>
  <c r="J21" i="1"/>
  <c r="J28" i="1"/>
  <c r="J37" i="1"/>
  <c r="J17" i="1"/>
  <c r="I29" i="1"/>
  <c r="F16" i="2" s="1"/>
  <c r="J27" i="1"/>
  <c r="J36" i="1"/>
  <c r="I18" i="1"/>
  <c r="F12" i="2" s="1"/>
  <c r="J15" i="1"/>
  <c r="J7" i="1"/>
  <c r="J8" i="1" s="1"/>
  <c r="J11" i="1"/>
  <c r="J12" i="1" s="1"/>
  <c r="J16" i="1"/>
  <c r="J23" i="1"/>
  <c r="J35" i="1"/>
  <c r="D42" i="2"/>
  <c r="I24" i="1"/>
  <c r="G42" i="2"/>
  <c r="F42" i="2"/>
  <c r="J24" i="1" l="1"/>
  <c r="J38" i="1"/>
  <c r="I31" i="1"/>
  <c r="I43" i="1" s="1"/>
  <c r="F14" i="2"/>
  <c r="H42" i="2"/>
  <c r="J41" i="1"/>
  <c r="J29" i="1"/>
  <c r="J18" i="1"/>
  <c r="J31" i="1" l="1"/>
  <c r="J43" i="1" l="1"/>
  <c r="L22" i="1" l="1"/>
  <c r="M22" i="1" s="1"/>
  <c r="N22" i="1" s="1"/>
  <c r="N43" i="1"/>
  <c r="L35" i="1"/>
  <c r="M35" i="1" s="1"/>
  <c r="N35" i="1" s="1"/>
  <c r="L12" i="1"/>
  <c r="M12" i="1" s="1"/>
  <c r="N12" i="1" s="1"/>
  <c r="L34" i="1"/>
  <c r="M34" i="1" s="1"/>
  <c r="N34" i="1" s="1"/>
  <c r="L8" i="1"/>
  <c r="M8" i="1" s="1"/>
  <c r="N8" i="1" s="1"/>
  <c r="L21" i="1"/>
  <c r="M21" i="1" s="1"/>
  <c r="N21" i="1" s="1"/>
  <c r="L23" i="1"/>
  <c r="M23" i="1" s="1"/>
  <c r="N23" i="1" s="1"/>
  <c r="L16" i="1"/>
  <c r="M16" i="1" s="1"/>
  <c r="N16" i="1" s="1"/>
  <c r="L28" i="1"/>
  <c r="M28" i="1" s="1"/>
  <c r="N28" i="1" s="1"/>
  <c r="F27" i="1" s="1"/>
  <c r="H27" i="1" s="1"/>
  <c r="L37" i="1"/>
  <c r="M37" i="1" s="1"/>
  <c r="N37" i="1" s="1"/>
  <c r="L17" i="1"/>
  <c r="M17" i="1" s="1"/>
  <c r="N17" i="1" s="1"/>
  <c r="L36" i="1"/>
  <c r="M36" i="1" s="1"/>
  <c r="N36" i="1" s="1"/>
  <c r="L24" i="1"/>
  <c r="M24" i="1" s="1"/>
  <c r="N24" i="1" s="1"/>
  <c r="L38" i="1"/>
  <c r="M38" i="1" s="1"/>
  <c r="N38" i="1" s="1"/>
  <c r="L27" i="1"/>
  <c r="M27" i="1" s="1"/>
  <c r="N27" i="1" s="1"/>
  <c r="L15" i="1"/>
  <c r="M15" i="1" s="1"/>
  <c r="N15" i="1" s="1"/>
  <c r="L18" i="1"/>
  <c r="M18" i="1" s="1"/>
  <c r="N18" i="1" s="1"/>
  <c r="L41" i="1"/>
  <c r="M41" i="1" s="1"/>
  <c r="N41" i="1" s="1"/>
  <c r="L29" i="1"/>
  <c r="M29" i="1" s="1"/>
  <c r="N29" i="1" s="1"/>
  <c r="F28" i="1" s="1"/>
  <c r="H28" i="1" s="1"/>
  <c r="L31" i="1"/>
  <c r="F37" i="1" l="1"/>
  <c r="H37" i="1" s="1"/>
  <c r="K37" i="1" s="1"/>
  <c r="F35" i="1"/>
  <c r="H35" i="1" s="1"/>
  <c r="K35" i="1" s="1"/>
  <c r="F36" i="1"/>
  <c r="H36" i="1" s="1"/>
  <c r="K36" i="1" s="1"/>
  <c r="F34" i="1"/>
  <c r="H34" i="1" s="1"/>
  <c r="K34" i="1" s="1"/>
  <c r="F17" i="1"/>
  <c r="F7" i="1"/>
  <c r="F15" i="1"/>
  <c r="F21" i="1"/>
  <c r="K28" i="1"/>
  <c r="F16" i="1"/>
  <c r="F22" i="1"/>
  <c r="F11" i="1"/>
  <c r="F23" i="1"/>
  <c r="K27" i="1"/>
  <c r="L43" i="1"/>
  <c r="M31" i="1"/>
  <c r="N31" i="1" s="1"/>
  <c r="K38" i="1" l="1"/>
  <c r="K41" i="1" s="1"/>
  <c r="H22" i="1"/>
  <c r="K22" i="1" s="1"/>
  <c r="H21" i="1"/>
  <c r="K21" i="1" s="1"/>
  <c r="K24" i="1" s="1"/>
  <c r="D14" i="2" s="1"/>
  <c r="H14" i="2" s="1"/>
  <c r="H15" i="1"/>
  <c r="K15" i="1" s="1"/>
  <c r="H11" i="1"/>
  <c r="K11" i="1" s="1"/>
  <c r="K12" i="1" s="1"/>
  <c r="D10" i="2" s="1"/>
  <c r="H10" i="2" s="1"/>
  <c r="H16" i="1"/>
  <c r="K16" i="1" s="1"/>
  <c r="K29" i="1"/>
  <c r="D16" i="2" s="1"/>
  <c r="H16" i="2" s="1"/>
  <c r="H7" i="1"/>
  <c r="K7" i="1" s="1"/>
  <c r="K8" i="1" s="1"/>
  <c r="H23" i="1"/>
  <c r="K23" i="1" s="1"/>
  <c r="H17" i="1"/>
  <c r="K17" i="1" s="1"/>
  <c r="O62" i="2" l="1"/>
  <c r="G62" i="2"/>
  <c r="N62" i="2"/>
  <c r="E62" i="2"/>
  <c r="M62" i="2"/>
  <c r="L62" i="2"/>
  <c r="I62" i="2"/>
  <c r="H62" i="2"/>
  <c r="K62" i="2"/>
  <c r="J62" i="2"/>
  <c r="D62" i="2"/>
  <c r="F62" i="2"/>
  <c r="K18" i="1"/>
  <c r="D12" i="2" s="1"/>
  <c r="H12" i="2" s="1"/>
  <c r="J59" i="2"/>
  <c r="K59" i="2"/>
  <c r="I59" i="2"/>
  <c r="H59" i="2"/>
  <c r="E59" i="2"/>
  <c r="N59" i="2"/>
  <c r="L59" i="2"/>
  <c r="G59" i="2"/>
  <c r="O59" i="2"/>
  <c r="M59" i="2"/>
  <c r="F59" i="2"/>
  <c r="D8" i="2"/>
  <c r="H8" i="2" s="1"/>
  <c r="I53" i="2"/>
  <c r="L53" i="2"/>
  <c r="G53" i="2"/>
  <c r="M53" i="2"/>
  <c r="J53" i="2"/>
  <c r="F53" i="2"/>
  <c r="N53" i="2"/>
  <c r="O53" i="2"/>
  <c r="K53" i="2"/>
  <c r="D53" i="2"/>
  <c r="H53" i="2"/>
  <c r="E53" i="2"/>
  <c r="K31" i="1" l="1"/>
  <c r="K43" i="1" s="1"/>
  <c r="K47" i="1" s="1"/>
  <c r="J56" i="2"/>
  <c r="F56" i="2"/>
  <c r="L56" i="2"/>
  <c r="G56" i="2"/>
  <c r="E56" i="2"/>
  <c r="K56" i="2"/>
  <c r="M56" i="2"/>
  <c r="N56" i="2"/>
  <c r="O56" i="2"/>
  <c r="I56" i="2"/>
  <c r="D56" i="2"/>
  <c r="H56" i="2"/>
</calcChain>
</file>

<file path=xl/sharedStrings.xml><?xml version="1.0" encoding="utf-8"?>
<sst xmlns="http://schemas.openxmlformats.org/spreadsheetml/2006/main" count="142" uniqueCount="107">
  <si>
    <t>Cascade Natural Gas Corporation</t>
  </si>
  <si>
    <t>Revenue Distribution</t>
  </si>
  <si>
    <t>Line No.</t>
  </si>
  <si>
    <t>Description</t>
  </si>
  <si>
    <t>Rate Schedule</t>
  </si>
  <si>
    <t>Block Descriptions</t>
  </si>
  <si>
    <t>Current Rate</t>
  </si>
  <si>
    <t>Proposed Rate</t>
  </si>
  <si>
    <t>CRM 11/1/18</t>
  </si>
  <si>
    <t>Total Rate</t>
  </si>
  <si>
    <t>Test Year Adjusted Sales @ 12/31/2018</t>
  </si>
  <si>
    <t>Test Year  Revenue @ Current Rates</t>
  </si>
  <si>
    <t>Margin Revenue @ Proposed Rates</t>
  </si>
  <si>
    <t>Revenue Percentage by class @ 12/31/2018</t>
  </si>
  <si>
    <t>Proposed Revenue Increase</t>
  </si>
  <si>
    <t>Total Revenue % Increase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</si>
  <si>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</si>
  <si>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</si>
  <si>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</si>
  <si>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</si>
  <si>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</si>
  <si>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</si>
  <si>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</si>
  <si>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</si>
  <si>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</si>
  <si>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</si>
  <si>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</si>
  <si>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Residential</t>
  </si>
  <si>
    <t xml:space="preserve">  Optional Service</t>
  </si>
  <si>
    <t xml:space="preserve"> </t>
  </si>
  <si>
    <t xml:space="preserve">     Total</t>
  </si>
  <si>
    <t>Commercial</t>
  </si>
  <si>
    <t xml:space="preserve">  General Service</t>
  </si>
  <si>
    <t>Industrial Firm</t>
  </si>
  <si>
    <t>First 500 therms/month</t>
  </si>
  <si>
    <t>Next 3,500 therms/month</t>
  </si>
  <si>
    <t>All over 4,000 therms/month</t>
  </si>
  <si>
    <t>Com-Ind Dual Service</t>
  </si>
  <si>
    <t xml:space="preserve">  Large Volume</t>
  </si>
  <si>
    <t>First 20,000 therms/month</t>
  </si>
  <si>
    <t>Next 80,000 therms/month</t>
  </si>
  <si>
    <t>All over 100,000 therms/month</t>
  </si>
  <si>
    <t xml:space="preserve">     Total </t>
  </si>
  <si>
    <t>Interruptible</t>
  </si>
  <si>
    <t xml:space="preserve">  General </t>
  </si>
  <si>
    <t>First 30,000 therms/month</t>
  </si>
  <si>
    <t>All over 30,000 therms/month</t>
  </si>
  <si>
    <t>Total Core</t>
  </si>
  <si>
    <t>Non-Core</t>
  </si>
  <si>
    <t xml:space="preserve">  Distribution Trans.</t>
  </si>
  <si>
    <t>First 100,000 therms/month</t>
  </si>
  <si>
    <t>Next 200,000 therms/month</t>
  </si>
  <si>
    <t>Over 500,000 therms/month</t>
  </si>
  <si>
    <t>Total</t>
  </si>
  <si>
    <t>Total Non-Core</t>
  </si>
  <si>
    <t>Rev. Increase</t>
  </si>
  <si>
    <t>Exh MCP-3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</si>
  <si>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</si>
  <si>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</si>
  <si>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</si>
  <si>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</si>
  <si>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</si>
  <si>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</si>
  <si>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</si>
  <si>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</si>
  <si>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</si>
  <si>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Table 1</t>
  </si>
  <si>
    <t>Rate Schedules</t>
  </si>
  <si>
    <t>Margin Revenue (1)</t>
  </si>
  <si>
    <t>Data Sources</t>
  </si>
  <si>
    <t>Rate is Column C divided by Column E</t>
  </si>
  <si>
    <t>Table 2</t>
  </si>
  <si>
    <t>January</t>
  </si>
  <si>
    <t>February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</si>
  <si>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</si>
  <si>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</si>
  <si>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</si>
  <si>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</si>
  <si>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</si>
  <si>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</si>
  <si>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</si>
  <si>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</si>
  <si>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</si>
  <si>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</si>
  <si>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t xml:space="preserve">Data Source </t>
  </si>
  <si>
    <t>Table 3</t>
  </si>
  <si>
    <t>K</t>
  </si>
  <si>
    <t>L</t>
  </si>
  <si>
    <t>M</t>
  </si>
  <si>
    <t>N</t>
  </si>
  <si>
    <t>New Authorized Revenue Per Customer (6)</t>
  </si>
  <si>
    <t xml:space="preserve">March </t>
  </si>
  <si>
    <t>July</t>
  </si>
  <si>
    <t>August</t>
  </si>
  <si>
    <t>September</t>
  </si>
  <si>
    <t>Data Source</t>
  </si>
  <si>
    <t>New Authorized Revenue Per Customer is (2018 Monthly EOP &amp; Normalized/Actual Therms * Rate) divided by customer count</t>
  </si>
  <si>
    <t>EOP Weather Normalized Or Actual Annual Therms (2)</t>
  </si>
  <si>
    <t>Rate (3)</t>
  </si>
  <si>
    <t>Customer Count (4)</t>
  </si>
  <si>
    <t>(m)</t>
  </si>
  <si>
    <t>(l)</t>
  </si>
  <si>
    <t>Revenue Distribution Worksheet, Subtotals in Column (j)</t>
  </si>
  <si>
    <t>Revenue Distribution Worksheet, Subtotals in Column (h)</t>
  </si>
  <si>
    <t>End of Period monthly average test year customer counts from UG-190210 Myhrum Workpaper "End of Period Calculations" column "P".</t>
  </si>
  <si>
    <t>2018 Monthly EOP &amp; Normalized/Actual Therms (5)</t>
  </si>
  <si>
    <t>From  UG-190210 Myhrum Workpaper - "End of Period Calculations"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</si>
</sst>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&quot;$&quot;* #,##0_);_(&quot;$&quot;* \(#,##0\);_(&quot;$&quot;* &quot;-&quot;??_);_(@_)"/>
    <numFmt numFmtId="166" formatCode="#,##0.000000"/>
    <numFmt numFmtId="167" formatCode="_(* #,##0_);_(* \(#,##0\);_(* &quot;-&quot;??_);_(@_)"/>
    <numFmt numFmtId="168" formatCode="#,##0.00000"/>
    <numFmt numFmtId="169" formatCode="0_);\(0\)"/>
    <numFmt numFmtId="170" formatCode="&quot;$&quot;#,##0"/>
    <numFmt numFmtId="171" formatCode="_(&quot;$&quot;* #,##0.00000_);_(&quot;$&quot;* \(#,##0.00000\);_(&quot;$&quot;* &quot;-&quot;??_);_(@_)"/>
    <numFmt numFmtId="172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7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10" fontId="0" fillId="0" borderId="9" xfId="0" applyNumberFormat="1" applyBorder="1" applyAlignment="1">
      <alignment horizontal="center" wrapText="1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3" xfId="0" applyBorder="1"/>
    <xf numFmtId="3" fontId="0" fillId="0" borderId="11" xfId="0" applyNumberFormat="1" applyBorder="1"/>
    <xf numFmtId="3" fontId="0" fillId="0" borderId="12" xfId="0" applyNumberFormat="1" applyBorder="1"/>
    <xf numFmtId="10" fontId="0" fillId="0" borderId="12" xfId="0" applyNumberFormat="1" applyBorder="1"/>
    <xf numFmtId="0" fontId="0" fillId="0" borderId="12" xfId="0" applyBorder="1" applyAlignment="1">
      <alignment horizontal="center"/>
    </xf>
    <xf numFmtId="164" fontId="0" fillId="0" borderId="12" xfId="0" applyNumberFormat="1" applyBorder="1"/>
    <xf numFmtId="3" fontId="0" fillId="0" borderId="5" xfId="0" applyNumberFormat="1" applyBorder="1"/>
    <xf numFmtId="165" fontId="0" fillId="0" borderId="12" xfId="2" applyNumberFormat="1" applyFont="1" applyBorder="1"/>
    <xf numFmtId="164" fontId="0" fillId="0" borderId="0" xfId="0" applyNumberFormat="1"/>
    <xf numFmtId="166" fontId="0" fillId="0" borderId="12" xfId="0" applyNumberFormat="1" applyBorder="1"/>
    <xf numFmtId="3" fontId="2" fillId="0" borderId="12" xfId="0" applyNumberFormat="1" applyFont="1" applyBorder="1"/>
    <xf numFmtId="44" fontId="0" fillId="0" borderId="0" xfId="0" applyNumberFormat="1"/>
    <xf numFmtId="10" fontId="0" fillId="0" borderId="0" xfId="3" applyNumberFormat="1" applyFont="1"/>
    <xf numFmtId="0" fontId="2" fillId="0" borderId="12" xfId="0" applyFont="1" applyBorder="1"/>
    <xf numFmtId="3" fontId="2" fillId="0" borderId="5" xfId="0" applyNumberFormat="1" applyFont="1" applyBorder="1"/>
    <xf numFmtId="166" fontId="2" fillId="0" borderId="12" xfId="0" applyNumberFormat="1" applyFont="1" applyBorder="1"/>
    <xf numFmtId="10" fontId="2" fillId="0" borderId="12" xfId="0" applyNumberFormat="1" applyFont="1" applyBorder="1"/>
    <xf numFmtId="0" fontId="0" fillId="0" borderId="5" xfId="0" applyBorder="1"/>
    <xf numFmtId="167" fontId="0" fillId="0" borderId="5" xfId="1" applyNumberFormat="1" applyFont="1" applyBorder="1"/>
    <xf numFmtId="3" fontId="0" fillId="0" borderId="12" xfId="0" applyNumberFormat="1" applyBorder="1" applyAlignment="1">
      <alignment horizontal="center"/>
    </xf>
    <xf numFmtId="3" fontId="0" fillId="0" borderId="0" xfId="0" applyNumberFormat="1"/>
    <xf numFmtId="168" fontId="0" fillId="0" borderId="12" xfId="0" applyNumberFormat="1" applyBorder="1"/>
    <xf numFmtId="0" fontId="2" fillId="0" borderId="9" xfId="0" applyFont="1" applyBorder="1"/>
    <xf numFmtId="3" fontId="0" fillId="0" borderId="9" xfId="0" applyNumberFormat="1" applyBorder="1"/>
    <xf numFmtId="168" fontId="0" fillId="0" borderId="13" xfId="0" applyNumberFormat="1" applyBorder="1"/>
    <xf numFmtId="3" fontId="0" fillId="0" borderId="14" xfId="0" applyNumberFormat="1" applyBorder="1"/>
    <xf numFmtId="10" fontId="0" fillId="0" borderId="10" xfId="0" applyNumberFormat="1" applyBorder="1"/>
    <xf numFmtId="3" fontId="0" fillId="0" borderId="15" xfId="0" applyNumberFormat="1" applyBorder="1" applyAlignment="1">
      <alignment horizontal="center"/>
    </xf>
    <xf numFmtId="10" fontId="0" fillId="0" borderId="5" xfId="0" applyNumberFormat="1" applyBorder="1"/>
    <xf numFmtId="0" fontId="0" fillId="0" borderId="16" xfId="0" applyBorder="1"/>
    <xf numFmtId="0" fontId="0" fillId="0" borderId="7" xfId="0" applyBorder="1"/>
    <xf numFmtId="3" fontId="0" fillId="0" borderId="7" xfId="0" applyNumberFormat="1" applyBorder="1"/>
    <xf numFmtId="3" fontId="0" fillId="0" borderId="17" xfId="0" applyNumberFormat="1" applyBorder="1" applyAlignment="1">
      <alignment horizontal="center"/>
    </xf>
    <xf numFmtId="10" fontId="0" fillId="0" borderId="7" xfId="0" applyNumberFormat="1" applyBorder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0" borderId="22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170" fontId="0" fillId="0" borderId="0" xfId="0" applyNumberFormat="1"/>
    <xf numFmtId="168" fontId="0" fillId="0" borderId="0" xfId="0" applyNumberFormat="1"/>
    <xf numFmtId="3" fontId="0" fillId="0" borderId="22" xfId="0" applyNumberFormat="1" applyBorder="1" applyAlignment="1">
      <alignment horizontal="right"/>
    </xf>
    <xf numFmtId="167" fontId="0" fillId="0" borderId="0" xfId="1" applyNumberFormat="1" applyFont="1" applyAlignment="1">
      <alignment horizontal="center"/>
    </xf>
    <xf numFmtId="167" fontId="0" fillId="0" borderId="0" xfId="1" applyNumberFormat="1" applyFont="1"/>
    <xf numFmtId="2" fontId="0" fillId="0" borderId="0" xfId="0" applyNumberFormat="1"/>
    <xf numFmtId="0" fontId="0" fillId="0" borderId="22" xfId="0" applyBorder="1" applyAlignment="1">
      <alignment horizontal="right"/>
    </xf>
    <xf numFmtId="1" fontId="0" fillId="0" borderId="22" xfId="0" applyNumberFormat="1" applyBorder="1" applyAlignment="1">
      <alignment horizontal="right"/>
    </xf>
    <xf numFmtId="171" fontId="3" fillId="0" borderId="0" xfId="0" applyNumberFormat="1" applyFont="1"/>
    <xf numFmtId="44" fontId="0" fillId="0" borderId="0" xfId="2" applyFont="1"/>
    <xf numFmtId="0" fontId="0" fillId="0" borderId="23" xfId="0" applyBorder="1" applyAlignment="1">
      <alignment horizontal="center"/>
    </xf>
    <xf numFmtId="0" fontId="0" fillId="0" borderId="24" xfId="0" applyBorder="1"/>
    <xf numFmtId="170" fontId="0" fillId="0" borderId="24" xfId="0" applyNumberFormat="1" applyBorder="1"/>
    <xf numFmtId="3" fontId="0" fillId="0" borderId="24" xfId="0" applyNumberFormat="1" applyBorder="1"/>
    <xf numFmtId="169" fontId="0" fillId="0" borderId="24" xfId="0" applyNumberFormat="1" applyBorder="1" applyAlignment="1">
      <alignment horizontal="center"/>
    </xf>
    <xf numFmtId="168" fontId="0" fillId="0" borderId="24" xfId="0" applyNumberFormat="1" applyBorder="1"/>
    <xf numFmtId="172" fontId="0" fillId="0" borderId="19" xfId="0" applyNumberFormat="1" applyBorder="1"/>
    <xf numFmtId="3" fontId="0" fillId="0" borderId="19" xfId="0" applyNumberFormat="1" applyBorder="1"/>
    <xf numFmtId="168" fontId="0" fillId="0" borderId="19" xfId="0" applyNumberFormat="1" applyBorder="1"/>
    <xf numFmtId="169" fontId="0" fillId="0" borderId="21" xfId="0" applyNumberFormat="1" applyBorder="1" applyAlignment="1">
      <alignment horizontal="center"/>
    </xf>
    <xf numFmtId="172" fontId="0" fillId="0" borderId="0" xfId="0" applyNumberFormat="1"/>
    <xf numFmtId="0" fontId="0" fillId="0" borderId="22" xfId="0" applyBorder="1"/>
    <xf numFmtId="169" fontId="0" fillId="0" borderId="23" xfId="0" applyNumberFormat="1" applyBorder="1" applyAlignment="1">
      <alignment horizontal="center"/>
    </xf>
    <xf numFmtId="172" fontId="0" fillId="0" borderId="24" xfId="0" applyNumberFormat="1" applyBorder="1"/>
    <xf numFmtId="0" fontId="0" fillId="0" borderId="25" xfId="0" applyBorder="1"/>
    <xf numFmtId="0" fontId="0" fillId="0" borderId="0" xfId="0" applyAlignment="1">
      <alignment wrapText="1"/>
    </xf>
    <xf numFmtId="167" fontId="0" fillId="0" borderId="0" xfId="0" applyNumberFormat="1"/>
    <xf numFmtId="3" fontId="4" fillId="0" borderId="0" xfId="0" applyNumberFormat="1" applyFont="1"/>
    <xf numFmtId="37" fontId="1" fillId="0" borderId="0" xfId="4" applyNumberFormat="1" applyFont="1"/>
    <xf numFmtId="3" fontId="6" fillId="0" borderId="0" xfId="0" applyNumberFormat="1" applyFont="1"/>
    <xf numFmtId="37" fontId="0" fillId="0" borderId="0" xfId="0" applyNumberFormat="1"/>
    <xf numFmtId="170" fontId="0" fillId="0" borderId="24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25" xfId="0" applyNumberFormat="1" applyBorder="1"/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167" fontId="0" fillId="0" borderId="0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/>
    <xf numFmtId="170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22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14" fontId="0" fillId="0" borderId="0" xfId="0" applyNumberFormat="1" applyBorder="1"/>
    <xf numFmtId="0" fontId="0" fillId="0" borderId="6" xfId="0" applyBorder="1"/>
    <xf numFmtId="167" fontId="0" fillId="0" borderId="7" xfId="0" applyNumberFormat="1" applyBorder="1"/>
    <xf numFmtId="167" fontId="0" fillId="0" borderId="8" xfId="0" applyNumberFormat="1" applyBorder="1"/>
    <xf numFmtId="0" fontId="0" fillId="0" borderId="22" xfId="0" applyBorder="1" applyAlignment="1">
      <alignment horizontal="right" wrapText="1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169" fontId="0" fillId="0" borderId="0" xfId="0" applyNumberFormat="1" applyFill="1" applyAlignment="1">
      <alignment horizontal="left"/>
    </xf>
    <xf numFmtId="172" fontId="0" fillId="0" borderId="0" xfId="0" applyNumberFormat="1" applyFill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22" xfId="0" applyFill="1" applyBorder="1" applyAlignment="1">
      <alignment wrapText="1"/>
    </xf>
  </cellXfs>
  <cellStyles count="5">
    <cellStyle name="Comma" xfId="1" builtinId="3"/>
    <cellStyle name="Currency" xfId="2" builtinId="4"/>
    <cellStyle name="Normal" xfId="0" builtinId="0"/>
    <cellStyle name="Normal 10 2 2" xfId="4" xr:uid="{ABBB9127-FC8F-41AE-B417-2F7B8223704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WA%20Rate%20Case%202019%20UG-190210\Compliance\UG%20190210%20new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IDM-2 - Revenue Summary"/>
      <sheetName val="Exh IDM-3 - Revenue Adjustments"/>
      <sheetName val="Exh IDM-4 -Revenue Distribution"/>
      <sheetName val="Exh IDM-5 Decoup. Exhibit"/>
      <sheetName val="WORKPAPERS---&gt;"/>
      <sheetName val="Index"/>
      <sheetName val="1501 Summary"/>
      <sheetName val="Rev Recon Summary"/>
      <sheetName val="End of Period Calculations"/>
      <sheetName val="Allocation Report Summary"/>
      <sheetName val="Weather Normalization"/>
      <sheetName val="WACAP2018"/>
    </sheetNames>
    <sheetDataSet>
      <sheetData sheetId="0">
        <row r="39">
          <cell r="T39">
            <v>1.341E-2</v>
          </cell>
        </row>
        <row r="44">
          <cell r="L44">
            <v>0.27205000000000001</v>
          </cell>
          <cell r="O44">
            <v>131567022.09012201</v>
          </cell>
        </row>
        <row r="76">
          <cell r="T76">
            <v>9.0900000000000009E-3</v>
          </cell>
        </row>
        <row r="81">
          <cell r="L81">
            <v>0.23141999999999999</v>
          </cell>
          <cell r="O81">
            <v>92551660.677303553</v>
          </cell>
        </row>
        <row r="116">
          <cell r="L116">
            <v>0.17851</v>
          </cell>
          <cell r="O116">
            <v>1733986.7760029139</v>
          </cell>
          <cell r="T116">
            <v>6.8399999999999997E-3</v>
          </cell>
        </row>
        <row r="117">
          <cell r="L117">
            <v>0.14457</v>
          </cell>
          <cell r="O117">
            <v>5632622.0203854125</v>
          </cell>
          <cell r="T117">
            <v>6.8399999999999997E-3</v>
          </cell>
        </row>
        <row r="118">
          <cell r="L118">
            <v>0.13944000000000001</v>
          </cell>
          <cell r="O118">
            <v>4781351.3038846143</v>
          </cell>
          <cell r="T118">
            <v>6.8399999999999997E-3</v>
          </cell>
        </row>
        <row r="154">
          <cell r="L154">
            <v>0.14330000000000001</v>
          </cell>
          <cell r="O154">
            <v>8739570.5516426321</v>
          </cell>
          <cell r="T154">
            <v>4.7299999999999998E-3</v>
          </cell>
        </row>
        <row r="155">
          <cell r="L155">
            <v>0.10983999999999999</v>
          </cell>
          <cell r="O155">
            <v>4503350.1030213647</v>
          </cell>
          <cell r="T155">
            <v>4.7299999999999998E-3</v>
          </cell>
        </row>
        <row r="156">
          <cell r="L156">
            <v>2.7089999999999999E-2</v>
          </cell>
          <cell r="O156">
            <v>771997.67252671276</v>
          </cell>
          <cell r="T156">
            <v>4.7299999999999998E-3</v>
          </cell>
        </row>
        <row r="281">
          <cell r="L281">
            <v>7.8950000000000006E-2</v>
          </cell>
          <cell r="O281">
            <v>1159981.0421854148</v>
          </cell>
          <cell r="T281">
            <v>3.3999999999999998E-3</v>
          </cell>
        </row>
        <row r="282">
          <cell r="L282">
            <v>2.248E-2</v>
          </cell>
          <cell r="O282">
            <v>866598.96930392005</v>
          </cell>
          <cell r="T282">
            <v>3.3999999999999998E-3</v>
          </cell>
        </row>
        <row r="354">
          <cell r="L354">
            <v>5.3310000000000003E-2</v>
          </cell>
          <cell r="O354">
            <v>98378564.891732141</v>
          </cell>
          <cell r="T354">
            <v>1.7099999999999999E-3</v>
          </cell>
        </row>
        <row r="355">
          <cell r="L355">
            <v>1.9449999999999999E-2</v>
          </cell>
          <cell r="O355">
            <v>71561496.231790751</v>
          </cell>
          <cell r="T355">
            <v>1.7099999999999999E-3</v>
          </cell>
        </row>
        <row r="356">
          <cell r="L356">
            <v>1.1820000000000001E-2</v>
          </cell>
          <cell r="O356">
            <v>38711378.628469028</v>
          </cell>
          <cell r="T356">
            <v>1.7099999999999999E-3</v>
          </cell>
        </row>
        <row r="357">
          <cell r="L357">
            <v>5.62E-3</v>
          </cell>
          <cell r="O357">
            <v>319536159.87201685</v>
          </cell>
          <cell r="T357">
            <v>1.7099999999999999E-3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D3EE-3509-4484-8B3F-81CA656A52E1}">
  <sheetPr>
    <pageSetUpPr fitToPage="1"/>
  </sheetPr>
  <dimension ref="A1:P47"/>
  <sheetViews>
    <sheetView tabSelected="1" zoomScale="80" zoomScaleNormal="80" workbookViewId="0">
      <pane xSplit="3" ySplit="5" topLeftCell="D6" activePane="bottomRight" state="frozen"/>
      <selection activeCell="S24" sqref="S24"/>
      <selection pane="topRight" activeCell="S24" sqref="S24"/>
      <selection pane="bottomLeft" activeCell="S24" sqref="S24"/>
      <selection pane="bottomRight" activeCell="P8" sqref="P8"/>
    </sheetView>
  </sheetViews>
  <sheetFormatPr defaultRowHeight="15" x14ac:dyDescent="0.25"/>
  <cols>
    <col min="2" max="2" width="28.5703125" customWidth="1"/>
    <col min="3" max="3" width="15.85546875" customWidth="1"/>
    <col min="4" max="4" width="28.7109375" customWidth="1"/>
    <col min="5" max="5" width="19.140625" customWidth="1"/>
    <col min="6" max="8" width="10.28515625" customWidth="1"/>
    <col min="9" max="9" width="15.28515625" bestFit="1" customWidth="1"/>
    <col min="10" max="10" width="15.140625" style="33" customWidth="1"/>
    <col min="11" max="12" width="11.5703125" style="33" customWidth="1"/>
    <col min="13" max="13" width="13.7109375" style="33" customWidth="1"/>
    <col min="14" max="14" width="12.5703125" style="47" customWidth="1"/>
    <col min="15" max="15" width="17.7109375" customWidth="1"/>
  </cols>
  <sheetData>
    <row r="1" spans="1:16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6" x14ac:dyDescent="0.2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6" x14ac:dyDescent="0.2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1:16" ht="60" x14ac:dyDescent="0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  <c r="K4" s="5" t="s">
        <v>12</v>
      </c>
      <c r="L4" s="4" t="s">
        <v>13</v>
      </c>
      <c r="M4" s="4" t="s">
        <v>14</v>
      </c>
      <c r="N4" s="5" t="s">
        <v>15</v>
      </c>
    </row>
    <row r="5" spans="1:16" x14ac:dyDescent="0.25">
      <c r="A5" s="6"/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7" t="s">
        <v>21</v>
      </c>
      <c r="H5" s="8" t="s">
        <v>22</v>
      </c>
      <c r="I5" s="9" t="s">
        <v>23</v>
      </c>
      <c r="J5" s="7" t="s">
        <v>24</v>
      </c>
      <c r="K5" s="9" t="s">
        <v>25</v>
      </c>
      <c r="L5" s="9" t="s">
        <v>26</v>
      </c>
      <c r="M5" s="7" t="s">
        <v>101</v>
      </c>
      <c r="N5" s="9" t="s">
        <v>100</v>
      </c>
    </row>
    <row r="6" spans="1:16" x14ac:dyDescent="0.25">
      <c r="A6" s="10"/>
      <c r="B6" s="11" t="s">
        <v>27</v>
      </c>
      <c r="C6" s="10"/>
      <c r="D6" s="10"/>
      <c r="E6" s="10"/>
      <c r="F6" s="10"/>
      <c r="G6" s="10"/>
      <c r="H6" s="12"/>
      <c r="I6" s="13"/>
      <c r="J6" s="14"/>
      <c r="K6" s="15"/>
      <c r="L6" s="15"/>
      <c r="M6" s="15"/>
      <c r="N6" s="16"/>
    </row>
    <row r="7" spans="1:16" x14ac:dyDescent="0.25">
      <c r="A7" s="12">
        <v>1</v>
      </c>
      <c r="B7" s="12" t="s">
        <v>28</v>
      </c>
      <c r="C7" s="17">
        <v>503</v>
      </c>
      <c r="D7" s="17"/>
      <c r="E7" s="12">
        <f>'[1]Exh IDM-2 - Revenue Summary'!L44</f>
        <v>0.27205000000000001</v>
      </c>
      <c r="F7" s="18">
        <f>(E7+G7)*(1+N8)</f>
        <v>0.31072691869107411</v>
      </c>
      <c r="G7" s="18">
        <f>'[1]Exh IDM-2 - Revenue Summary'!T39</f>
        <v>1.341E-2</v>
      </c>
      <c r="H7" s="18">
        <f>+F7</f>
        <v>0.31072691869107411</v>
      </c>
      <c r="I7" s="19">
        <f>'[1]Exh IDM-2 - Revenue Summary'!O44</f>
        <v>131567022.09012201</v>
      </c>
      <c r="J7" s="20">
        <f>I7*(E7+G7)</f>
        <v>37557122.125846229</v>
      </c>
      <c r="K7" s="15">
        <f>H7*I7</f>
        <v>40881415.375424094</v>
      </c>
      <c r="L7" s="15"/>
      <c r="M7" s="15" t="s">
        <v>29</v>
      </c>
      <c r="N7" s="16" t="s">
        <v>29</v>
      </c>
      <c r="P7" s="21"/>
    </row>
    <row r="8" spans="1:16" x14ac:dyDescent="0.25">
      <c r="A8" s="12">
        <v>2</v>
      </c>
      <c r="B8" s="12" t="s">
        <v>30</v>
      </c>
      <c r="C8" s="17"/>
      <c r="D8" s="17"/>
      <c r="E8" s="12"/>
      <c r="F8" s="18"/>
      <c r="G8" s="18"/>
      <c r="H8" s="18"/>
      <c r="I8" s="19">
        <f>SUM(I7)</f>
        <v>131567022.09012201</v>
      </c>
      <c r="J8" s="20">
        <f>SUM(J7)</f>
        <v>37557122.125846229</v>
      </c>
      <c r="K8" s="15">
        <f>SUM(K7)</f>
        <v>40881415.375424094</v>
      </c>
      <c r="L8" s="22">
        <f>J8/$J$43</f>
        <v>0.51142973070428666</v>
      </c>
      <c r="M8" s="23">
        <f>L8*$M$43</f>
        <v>3324293.2495778631</v>
      </c>
      <c r="N8" s="16">
        <f>M8/J8</f>
        <v>8.8512991981623004E-2</v>
      </c>
      <c r="O8" s="24"/>
      <c r="P8" s="25"/>
    </row>
    <row r="9" spans="1:16" x14ac:dyDescent="0.25">
      <c r="A9" s="12">
        <v>3</v>
      </c>
      <c r="B9" s="12"/>
      <c r="C9" s="17"/>
      <c r="D9" s="17"/>
      <c r="E9" s="12"/>
      <c r="F9" s="18"/>
      <c r="G9" s="18"/>
      <c r="H9" s="18"/>
      <c r="I9" s="19"/>
      <c r="J9" s="15"/>
      <c r="K9" s="15"/>
      <c r="L9" s="15"/>
      <c r="M9" s="15"/>
      <c r="N9" s="16"/>
      <c r="O9" s="24"/>
      <c r="P9" s="25"/>
    </row>
    <row r="10" spans="1:16" x14ac:dyDescent="0.25">
      <c r="A10" s="12">
        <v>4</v>
      </c>
      <c r="B10" s="26" t="s">
        <v>31</v>
      </c>
      <c r="C10" s="17"/>
      <c r="D10" s="17"/>
      <c r="E10" s="12"/>
      <c r="F10" s="18"/>
      <c r="G10" s="18"/>
      <c r="H10" s="18"/>
      <c r="I10" s="19"/>
      <c r="J10" s="15"/>
      <c r="K10" s="15"/>
      <c r="L10" s="15"/>
      <c r="M10" s="15"/>
      <c r="N10" s="16"/>
      <c r="O10" s="24"/>
      <c r="P10" s="25"/>
    </row>
    <row r="11" spans="1:16" x14ac:dyDescent="0.25">
      <c r="A11" s="12">
        <v>5</v>
      </c>
      <c r="B11" s="12" t="s">
        <v>32</v>
      </c>
      <c r="C11" s="17">
        <v>504</v>
      </c>
      <c r="D11" s="17"/>
      <c r="E11" s="12">
        <f>'[1]Exh IDM-2 - Revenue Summary'!L81</f>
        <v>0.23141999999999999</v>
      </c>
      <c r="F11" s="18">
        <f>(E11+G11)*(1+N12)</f>
        <v>0.26179825970150017</v>
      </c>
      <c r="G11" s="18">
        <f>'[1]Exh IDM-2 - Revenue Summary'!T76</f>
        <v>9.0900000000000009E-3</v>
      </c>
      <c r="H11" s="18">
        <f>+F11</f>
        <v>0.26179825970150017</v>
      </c>
      <c r="I11" s="19">
        <f>'[1]Exh IDM-2 - Revenue Summary'!O81</f>
        <v>92551660.677303553</v>
      </c>
      <c r="J11" s="20">
        <f>I11*(E11+G11)</f>
        <v>22259599.909498278</v>
      </c>
      <c r="K11" s="15">
        <f>H11*I11</f>
        <v>24229863.697801836</v>
      </c>
      <c r="L11" s="15"/>
      <c r="M11" s="15"/>
      <c r="N11" s="16" t="s">
        <v>29</v>
      </c>
      <c r="O11" s="24"/>
      <c r="P11" s="25"/>
    </row>
    <row r="12" spans="1:16" x14ac:dyDescent="0.25">
      <c r="A12" s="12">
        <v>6</v>
      </c>
      <c r="B12" s="12" t="s">
        <v>30</v>
      </c>
      <c r="C12" s="17"/>
      <c r="D12" s="17"/>
      <c r="E12" s="12"/>
      <c r="F12" s="18"/>
      <c r="G12" s="18"/>
      <c r="H12" s="18"/>
      <c r="I12" s="19">
        <f>SUM(I11)</f>
        <v>92551660.677303553</v>
      </c>
      <c r="J12" s="20">
        <f>SUM(J11)</f>
        <v>22259599.909498278</v>
      </c>
      <c r="K12" s="15">
        <f>SUM(K11)</f>
        <v>24229863.697801836</v>
      </c>
      <c r="L12" s="22">
        <f>J12/$J$43</f>
        <v>0.30311750589285497</v>
      </c>
      <c r="M12" s="23">
        <f t="shared" ref="M12:M41" si="0">L12*$M$43</f>
        <v>1970263.7883035573</v>
      </c>
      <c r="N12" s="16">
        <f>M12/J12</f>
        <v>8.8512991981623004E-2</v>
      </c>
      <c r="O12" s="24"/>
      <c r="P12" s="25"/>
    </row>
    <row r="13" spans="1:16" x14ac:dyDescent="0.25">
      <c r="A13" s="12">
        <v>7</v>
      </c>
      <c r="B13" s="12"/>
      <c r="C13" s="17"/>
      <c r="D13" s="17"/>
      <c r="E13" s="12"/>
      <c r="F13" s="18"/>
      <c r="G13" s="18"/>
      <c r="H13" s="18"/>
      <c r="I13" s="19"/>
      <c r="J13" s="15"/>
      <c r="K13" s="15"/>
      <c r="L13" s="22"/>
      <c r="M13" s="15"/>
      <c r="N13" s="16"/>
      <c r="O13" s="24"/>
      <c r="P13" s="25"/>
    </row>
    <row r="14" spans="1:16" x14ac:dyDescent="0.25">
      <c r="A14" s="12">
        <v>8</v>
      </c>
      <c r="B14" s="26" t="s">
        <v>33</v>
      </c>
      <c r="C14" s="17"/>
      <c r="D14" s="17"/>
      <c r="E14" s="12"/>
      <c r="F14" s="18"/>
      <c r="G14" s="18"/>
      <c r="H14" s="18"/>
      <c r="I14" s="19"/>
      <c r="J14" s="15"/>
      <c r="K14" s="15"/>
      <c r="L14" s="15"/>
      <c r="M14" s="15"/>
      <c r="N14" s="16"/>
      <c r="O14" s="24"/>
      <c r="P14" s="25"/>
    </row>
    <row r="15" spans="1:16" x14ac:dyDescent="0.25">
      <c r="A15" s="12">
        <v>9</v>
      </c>
      <c r="B15" s="12" t="s">
        <v>32</v>
      </c>
      <c r="C15" s="17">
        <v>505</v>
      </c>
      <c r="D15" s="17" t="s">
        <v>34</v>
      </c>
      <c r="E15" s="12">
        <f>'[1]Exh IDM-2 - Revenue Summary'!L116</f>
        <v>0.17851</v>
      </c>
      <c r="F15" s="18">
        <f t="shared" ref="F15:F17" si="1">(E15+G15)*(1+N16)</f>
        <v>0.20175588306379383</v>
      </c>
      <c r="G15" s="18">
        <f>'[1]Exh IDM-2 - Revenue Summary'!T116</f>
        <v>6.8399999999999997E-3</v>
      </c>
      <c r="H15" s="18">
        <f t="shared" ref="H15:H17" si="2">+F15</f>
        <v>0.20175588306379383</v>
      </c>
      <c r="I15" s="19">
        <f>'[1]Exh IDM-2 - Revenue Summary'!O116</f>
        <v>1733986.7760029139</v>
      </c>
      <c r="J15" s="20">
        <f t="shared" ref="J15:J17" si="3">I15*(E15+G15)</f>
        <v>321394.44893214013</v>
      </c>
      <c r="K15" s="15">
        <f>H15*I15</f>
        <v>349842.03321340878</v>
      </c>
      <c r="L15" s="22">
        <f>J15/$J$43</f>
        <v>4.376551427887487E-3</v>
      </c>
      <c r="M15" s="15">
        <f>L15*$M$43</f>
        <v>28447.584281268664</v>
      </c>
      <c r="N15" s="16">
        <f t="shared" ref="N15:N17" si="4">M15/J15</f>
        <v>8.8512991981623004E-2</v>
      </c>
      <c r="O15" s="24"/>
      <c r="P15" s="25"/>
    </row>
    <row r="16" spans="1:16" x14ac:dyDescent="0.25">
      <c r="A16" s="12">
        <v>10</v>
      </c>
      <c r="B16" s="12"/>
      <c r="C16" s="17"/>
      <c r="D16" s="17" t="s">
        <v>35</v>
      </c>
      <c r="E16" s="12">
        <f>'[1]Exh IDM-2 - Revenue Summary'!L117</f>
        <v>0.14457</v>
      </c>
      <c r="F16" s="18">
        <f t="shared" si="1"/>
        <v>0.16481175211593754</v>
      </c>
      <c r="G16" s="18">
        <f>'[1]Exh IDM-2 - Revenue Summary'!T117</f>
        <v>6.8399999999999997E-3</v>
      </c>
      <c r="H16" s="18">
        <f t="shared" si="2"/>
        <v>0.16481175211593754</v>
      </c>
      <c r="I16" s="19">
        <f>'[1]Exh IDM-2 - Revenue Summary'!O117</f>
        <v>5632622.0203854125</v>
      </c>
      <c r="J16" s="20">
        <f t="shared" si="3"/>
        <v>852835.30010655546</v>
      </c>
      <c r="K16" s="15">
        <f>H16*I16</f>
        <v>928322.30418653192</v>
      </c>
      <c r="L16" s="22">
        <f t="shared" ref="L16:L17" si="5">J16/$J$43</f>
        <v>1.1613385243073322E-2</v>
      </c>
      <c r="M16" s="15">
        <f t="shared" si="0"/>
        <v>75487.004079976599</v>
      </c>
      <c r="N16" s="16">
        <f t="shared" si="4"/>
        <v>8.8512991981623018E-2</v>
      </c>
      <c r="O16" s="24"/>
      <c r="P16" s="25"/>
    </row>
    <row r="17" spans="1:16" x14ac:dyDescent="0.25">
      <c r="A17" s="12">
        <v>11</v>
      </c>
      <c r="B17" s="12"/>
      <c r="C17" s="17"/>
      <c r="D17" s="17" t="s">
        <v>36</v>
      </c>
      <c r="E17" s="12">
        <f>'[1]Exh IDM-2 - Revenue Summary'!L118</f>
        <v>0.13944000000000001</v>
      </c>
      <c r="F17" s="18">
        <f t="shared" si="1"/>
        <v>0.15922768046707184</v>
      </c>
      <c r="G17" s="18">
        <f>'[1]Exh IDM-2 - Revenue Summary'!T118</f>
        <v>6.8399999999999997E-3</v>
      </c>
      <c r="H17" s="18">
        <f t="shared" si="2"/>
        <v>0.15922768046707184</v>
      </c>
      <c r="I17" s="19">
        <f>'[1]Exh IDM-2 - Revenue Summary'!O118</f>
        <v>4781351.3038846143</v>
      </c>
      <c r="J17" s="20">
        <f t="shared" si="3"/>
        <v>699416.06873224152</v>
      </c>
      <c r="K17" s="15">
        <f>H17*I17</f>
        <v>761323.47761575668</v>
      </c>
      <c r="L17" s="22">
        <f t="shared" si="5"/>
        <v>9.5242167513100284E-3</v>
      </c>
      <c r="M17" s="15">
        <f t="shared" si="0"/>
        <v>61907.408883515185</v>
      </c>
      <c r="N17" s="16">
        <f t="shared" si="4"/>
        <v>8.8512991981623018E-2</v>
      </c>
      <c r="O17" s="24"/>
      <c r="P17" s="25"/>
    </row>
    <row r="18" spans="1:16" x14ac:dyDescent="0.25">
      <c r="A18" s="12">
        <v>12</v>
      </c>
      <c r="B18" s="12" t="s">
        <v>30</v>
      </c>
      <c r="C18" s="17"/>
      <c r="D18" s="17"/>
      <c r="E18" s="12"/>
      <c r="F18" s="18"/>
      <c r="G18" s="18"/>
      <c r="H18" s="18"/>
      <c r="I18" s="19">
        <f>SUM(I15:I17)</f>
        <v>12147960.10027294</v>
      </c>
      <c r="J18" s="20">
        <f>SUM(J15:J17)</f>
        <v>1873645.817770937</v>
      </c>
      <c r="K18" s="15">
        <f>SUM(K15:K17)</f>
        <v>2039487.8150156974</v>
      </c>
      <c r="L18" s="22">
        <f>J18/$J$43</f>
        <v>2.5514153422270834E-2</v>
      </c>
      <c r="M18" s="23">
        <f t="shared" si="0"/>
        <v>165841.99724476042</v>
      </c>
      <c r="N18" s="16">
        <f>M18/J18</f>
        <v>8.8512991981623004E-2</v>
      </c>
      <c r="O18" s="24"/>
      <c r="P18" s="25"/>
    </row>
    <row r="19" spans="1:16" x14ac:dyDescent="0.25">
      <c r="A19" s="12">
        <v>13</v>
      </c>
      <c r="B19" s="12"/>
      <c r="C19" s="17"/>
      <c r="D19" s="17"/>
      <c r="E19" s="12"/>
      <c r="F19" s="18"/>
      <c r="G19" s="18"/>
      <c r="H19" s="18"/>
      <c r="I19" s="19"/>
      <c r="J19" s="15"/>
      <c r="K19" s="15"/>
      <c r="L19" s="15"/>
      <c r="M19" s="15"/>
      <c r="N19" s="16"/>
      <c r="O19" s="24"/>
      <c r="P19" s="25"/>
    </row>
    <row r="20" spans="1:16" x14ac:dyDescent="0.25">
      <c r="A20" s="12">
        <v>14</v>
      </c>
      <c r="B20" s="26" t="s">
        <v>37</v>
      </c>
      <c r="C20" s="17"/>
      <c r="D20" s="17"/>
      <c r="E20" s="12"/>
      <c r="F20" s="18"/>
      <c r="G20" s="18"/>
      <c r="H20" s="18"/>
      <c r="I20" s="19"/>
      <c r="J20" s="15"/>
      <c r="K20" s="15"/>
      <c r="L20" s="15"/>
      <c r="M20" s="15"/>
      <c r="N20" s="16"/>
      <c r="O20" s="24"/>
      <c r="P20" s="25"/>
    </row>
    <row r="21" spans="1:16" x14ac:dyDescent="0.25">
      <c r="A21" s="12">
        <v>15</v>
      </c>
      <c r="B21" s="12" t="s">
        <v>38</v>
      </c>
      <c r="C21" s="17">
        <v>511</v>
      </c>
      <c r="D21" s="17" t="s">
        <v>39</v>
      </c>
      <c r="E21" s="12">
        <f>'[1]Exh IDM-2 - Revenue Summary'!L154</f>
        <v>0.14330000000000001</v>
      </c>
      <c r="F21" s="18">
        <f t="shared" ref="F21:F23" si="6">(E21+G21)*(1+N22)</f>
        <v>0.16113257820303967</v>
      </c>
      <c r="G21" s="18">
        <f>'[1]Exh IDM-2 - Revenue Summary'!T154</f>
        <v>4.7299999999999998E-3</v>
      </c>
      <c r="H21" s="18">
        <f t="shared" ref="H21:H23" si="7">+F21</f>
        <v>0.16113257820303967</v>
      </c>
      <c r="I21" s="19">
        <f>'[1]Exh IDM-2 - Revenue Summary'!O154</f>
        <v>8739570.5516426321</v>
      </c>
      <c r="J21" s="20">
        <f t="shared" ref="J21:J23" si="8">I21*(E21+G21)</f>
        <v>1293718.6287596591</v>
      </c>
      <c r="K21" s="15">
        <f>H21*I21</f>
        <v>1408229.535373539</v>
      </c>
      <c r="L21" s="22">
        <f>J21/$J$43</f>
        <v>1.7617062555981541E-2</v>
      </c>
      <c r="M21" s="15">
        <f t="shared" si="0"/>
        <v>114510.90661388001</v>
      </c>
      <c r="N21" s="16">
        <f t="shared" ref="N21:N23" si="9">M21/J21</f>
        <v>8.8512991981623004E-2</v>
      </c>
      <c r="O21" s="24"/>
      <c r="P21" s="25"/>
    </row>
    <row r="22" spans="1:16" x14ac:dyDescent="0.25">
      <c r="A22" s="12">
        <v>16</v>
      </c>
      <c r="B22" s="12"/>
      <c r="C22" s="17"/>
      <c r="D22" s="17" t="s">
        <v>40</v>
      </c>
      <c r="E22" s="12">
        <f>'[1]Exh IDM-2 - Revenue Summary'!L155</f>
        <v>0.10983999999999999</v>
      </c>
      <c r="F22" s="18">
        <f t="shared" si="6"/>
        <v>0.12471093349133454</v>
      </c>
      <c r="G22" s="18">
        <f>'[1]Exh IDM-2 - Revenue Summary'!T155</f>
        <v>4.7299999999999998E-3</v>
      </c>
      <c r="H22" s="18">
        <f t="shared" si="7"/>
        <v>0.12471093349133454</v>
      </c>
      <c r="I22" s="19">
        <f>'[1]Exh IDM-2 - Revenue Summary'!O155</f>
        <v>4503350.1030213647</v>
      </c>
      <c r="J22" s="20">
        <f t="shared" si="8"/>
        <v>515948.82130315772</v>
      </c>
      <c r="K22" s="15">
        <f>H22*I22</f>
        <v>561616.99518609198</v>
      </c>
      <c r="L22" s="22">
        <f t="shared" ref="L22:L23" si="10">J22/$J$43</f>
        <v>7.0258729050668061E-3</v>
      </c>
      <c r="M22" s="15">
        <f t="shared" si="0"/>
        <v>45668.173882934243</v>
      </c>
      <c r="N22" s="16">
        <f t="shared" si="9"/>
        <v>8.8512991981623018E-2</v>
      </c>
      <c r="O22" s="24"/>
      <c r="P22" s="25"/>
    </row>
    <row r="23" spans="1:16" x14ac:dyDescent="0.25">
      <c r="A23" s="12">
        <v>17</v>
      </c>
      <c r="B23" s="12"/>
      <c r="C23" s="17"/>
      <c r="D23" s="17" t="s">
        <v>41</v>
      </c>
      <c r="E23" s="12">
        <f>'[1]Exh IDM-2 - Revenue Summary'!L156</f>
        <v>2.7089999999999999E-2</v>
      </c>
      <c r="F23" s="18">
        <f t="shared" si="6"/>
        <v>3.4636483404855242E-2</v>
      </c>
      <c r="G23" s="18">
        <f>'[1]Exh IDM-2 - Revenue Summary'!T156</f>
        <v>4.7299999999999998E-3</v>
      </c>
      <c r="H23" s="18">
        <f t="shared" si="7"/>
        <v>3.4636483404855242E-2</v>
      </c>
      <c r="I23" s="19">
        <f>'[1]Exh IDM-2 - Revenue Summary'!O156</f>
        <v>771997.67252671276</v>
      </c>
      <c r="J23" s="20">
        <f t="shared" si="8"/>
        <v>24564.9659398</v>
      </c>
      <c r="K23" s="15">
        <f>H23*I23</f>
        <v>26739.284573058358</v>
      </c>
      <c r="L23" s="22">
        <f t="shared" si="10"/>
        <v>3.3451055896282459E-4</v>
      </c>
      <c r="M23" s="15">
        <f t="shared" si="0"/>
        <v>2174.31863325836</v>
      </c>
      <c r="N23" s="16">
        <f t="shared" si="9"/>
        <v>8.8512991981623018E-2</v>
      </c>
      <c r="O23" s="24"/>
      <c r="P23" s="25"/>
    </row>
    <row r="24" spans="1:16" x14ac:dyDescent="0.25">
      <c r="A24" s="12">
        <v>18</v>
      </c>
      <c r="B24" s="12" t="s">
        <v>42</v>
      </c>
      <c r="C24" s="17"/>
      <c r="D24" s="17"/>
      <c r="E24" s="12"/>
      <c r="F24" s="18"/>
      <c r="G24" s="18"/>
      <c r="H24" s="18"/>
      <c r="I24" s="19">
        <f>SUM(I21:I23)</f>
        <v>14014918.32719071</v>
      </c>
      <c r="J24" s="20">
        <f>SUM(J21:J23)</f>
        <v>1834232.416002617</v>
      </c>
      <c r="K24" s="15">
        <f>SUM(K21:K23)</f>
        <v>1996585.8151326894</v>
      </c>
      <c r="L24" s="22">
        <f>J24/$J$43</f>
        <v>2.4977446020011174E-2</v>
      </c>
      <c r="M24" s="23">
        <f t="shared" si="0"/>
        <v>162353.39913007262</v>
      </c>
      <c r="N24" s="16">
        <f>M24/J24</f>
        <v>8.8512991981623004E-2</v>
      </c>
      <c r="O24" s="24"/>
      <c r="P24" s="25"/>
    </row>
    <row r="25" spans="1:16" x14ac:dyDescent="0.25">
      <c r="A25" s="12">
        <v>19</v>
      </c>
      <c r="B25" s="12"/>
      <c r="C25" s="17"/>
      <c r="D25" s="17"/>
      <c r="E25" s="12"/>
      <c r="F25" s="18"/>
      <c r="G25" s="18"/>
      <c r="H25" s="18"/>
      <c r="I25" s="19"/>
      <c r="J25" s="15"/>
      <c r="K25" s="15"/>
      <c r="L25" s="22"/>
      <c r="M25" s="15"/>
      <c r="N25" s="16"/>
      <c r="O25" s="24"/>
      <c r="P25" s="25"/>
    </row>
    <row r="26" spans="1:16" x14ac:dyDescent="0.25">
      <c r="A26" s="12">
        <v>20</v>
      </c>
      <c r="B26" s="26" t="s">
        <v>43</v>
      </c>
      <c r="C26" s="17"/>
      <c r="D26" s="17"/>
      <c r="E26" s="12"/>
      <c r="F26" s="18"/>
      <c r="G26" s="18"/>
      <c r="H26" s="18"/>
      <c r="I26" s="19"/>
      <c r="J26" s="15"/>
      <c r="K26" s="15"/>
      <c r="L26" s="15"/>
      <c r="M26" s="15"/>
      <c r="N26" s="16"/>
      <c r="O26" s="24"/>
      <c r="P26" s="25"/>
    </row>
    <row r="27" spans="1:16" x14ac:dyDescent="0.25">
      <c r="A27" s="12">
        <v>21</v>
      </c>
      <c r="B27" s="12" t="s">
        <v>44</v>
      </c>
      <c r="C27" s="17">
        <v>570</v>
      </c>
      <c r="D27" s="17" t="s">
        <v>45</v>
      </c>
      <c r="E27" s="12">
        <f>'[1]Exh IDM-2 - Revenue Summary'!L281</f>
        <v>7.8950000000000006E-2</v>
      </c>
      <c r="F27" s="18">
        <f t="shared" ref="F27:F28" si="11">(E27+G27)*(1+N28)</f>
        <v>8.9639044889686659E-2</v>
      </c>
      <c r="G27" s="18">
        <f>'[1]Exh IDM-2 - Revenue Summary'!T281</f>
        <v>3.3999999999999998E-3</v>
      </c>
      <c r="H27" s="18">
        <f t="shared" ref="H27:H28" si="12">+F27</f>
        <v>8.9639044889686659E-2</v>
      </c>
      <c r="I27" s="19">
        <f>'[1]Exh IDM-2 - Revenue Summary'!O281</f>
        <v>1159981.0421854148</v>
      </c>
      <c r="J27" s="20">
        <f t="shared" ref="J27:J28" si="13">I27*(E27+G27)</f>
        <v>95524.438823968914</v>
      </c>
      <c r="K27" s="15">
        <f>H27*I27</f>
        <v>103979.59271164391</v>
      </c>
      <c r="L27" s="22">
        <f>J27/$J$43</f>
        <v>1.3007929057961536E-3</v>
      </c>
      <c r="M27" s="15">
        <f t="shared" si="0"/>
        <v>8455.1538876749983</v>
      </c>
      <c r="N27" s="16">
        <f t="shared" ref="N27:N28" si="14">M27/J27</f>
        <v>8.8512991981623004E-2</v>
      </c>
      <c r="O27" s="24"/>
      <c r="P27" s="25"/>
    </row>
    <row r="28" spans="1:16" x14ac:dyDescent="0.25">
      <c r="A28" s="12">
        <v>22</v>
      </c>
      <c r="B28" s="12"/>
      <c r="C28" s="17"/>
      <c r="D28" s="17" t="s">
        <v>46</v>
      </c>
      <c r="E28" s="12">
        <f>'[1]Exh IDM-2 - Revenue Summary'!L282</f>
        <v>2.248E-2</v>
      </c>
      <c r="F28" s="18">
        <f t="shared" si="11"/>
        <v>2.8170716232484402E-2</v>
      </c>
      <c r="G28" s="18">
        <f>'[1]Exh IDM-2 - Revenue Summary'!T282</f>
        <v>3.3999999999999998E-3</v>
      </c>
      <c r="H28" s="18">
        <f t="shared" si="12"/>
        <v>2.8170716232484402E-2</v>
      </c>
      <c r="I28" s="19">
        <f>'[1]Exh IDM-2 - Revenue Summary'!O282</f>
        <v>866598.96930392005</v>
      </c>
      <c r="J28" s="20">
        <f t="shared" si="13"/>
        <v>22427.581325585452</v>
      </c>
      <c r="K28" s="15">
        <f>H28*I28</f>
        <v>24412.713651624192</v>
      </c>
      <c r="L28" s="22">
        <f>J28/$J$43</f>
        <v>3.0540497323672971E-4</v>
      </c>
      <c r="M28" s="15">
        <f t="shared" si="0"/>
        <v>1985.132326038743</v>
      </c>
      <c r="N28" s="16">
        <f t="shared" si="14"/>
        <v>8.8512991981623004E-2</v>
      </c>
      <c r="O28" s="24"/>
      <c r="P28" s="25"/>
    </row>
    <row r="29" spans="1:16" x14ac:dyDescent="0.25">
      <c r="A29" s="12">
        <v>23</v>
      </c>
      <c r="B29" s="12" t="s">
        <v>30</v>
      </c>
      <c r="C29" s="17"/>
      <c r="D29" s="17"/>
      <c r="E29" s="12"/>
      <c r="F29" s="18"/>
      <c r="G29" s="18"/>
      <c r="H29" s="18"/>
      <c r="I29" s="19">
        <f>SUM(I27:I28)</f>
        <v>2026580.011489335</v>
      </c>
      <c r="J29" s="20">
        <f>SUM(J27:J28)</f>
        <v>117952.02014955436</v>
      </c>
      <c r="K29" s="15">
        <f>SUM(K27:K28)</f>
        <v>128392.3063632681</v>
      </c>
      <c r="L29" s="22">
        <f>J29/$J$43</f>
        <v>1.6061978790328831E-3</v>
      </c>
      <c r="M29" s="23">
        <f t="shared" si="0"/>
        <v>10440.28621371374</v>
      </c>
      <c r="N29" s="16">
        <f>M29/J29</f>
        <v>8.8512991981623004E-2</v>
      </c>
      <c r="O29" s="24"/>
      <c r="P29" s="25"/>
    </row>
    <row r="30" spans="1:16" x14ac:dyDescent="0.25">
      <c r="A30" s="12">
        <v>24</v>
      </c>
      <c r="B30" s="12"/>
      <c r="C30" s="17"/>
      <c r="D30" s="17"/>
      <c r="E30" s="12"/>
      <c r="F30" s="18"/>
      <c r="G30" s="18"/>
      <c r="H30" s="18"/>
      <c r="I30" s="19"/>
      <c r="J30" s="15"/>
      <c r="K30" s="15"/>
      <c r="L30" s="22"/>
      <c r="M30" s="15"/>
      <c r="N30" s="16"/>
      <c r="O30" s="24"/>
      <c r="P30" s="25"/>
    </row>
    <row r="31" spans="1:16" x14ac:dyDescent="0.25">
      <c r="A31" s="12">
        <v>25</v>
      </c>
      <c r="B31" s="26" t="s">
        <v>47</v>
      </c>
      <c r="C31" s="17"/>
      <c r="D31" s="17"/>
      <c r="E31" s="12"/>
      <c r="F31" s="18"/>
      <c r="G31" s="18"/>
      <c r="H31" s="18"/>
      <c r="I31" s="27">
        <f>I8+I12+I24+I18+I29</f>
        <v>252308141.20637855</v>
      </c>
      <c r="J31" s="23">
        <f t="shared" ref="J31" si="15">J8+J12+J24+J18+J29</f>
        <v>63642552.289267614</v>
      </c>
      <c r="K31" s="23">
        <f>K8+K12+K24+K18+K29</f>
        <v>69275745.009737596</v>
      </c>
      <c r="L31" s="28">
        <f>J31/$J$43</f>
        <v>0.86664503391845649</v>
      </c>
      <c r="M31" s="23">
        <f t="shared" si="0"/>
        <v>5633192.7204699675</v>
      </c>
      <c r="N31" s="29">
        <f>M31/J31</f>
        <v>8.8512991981623004E-2</v>
      </c>
      <c r="O31" s="24"/>
      <c r="P31" s="25"/>
    </row>
    <row r="32" spans="1:16" x14ac:dyDescent="0.25">
      <c r="A32" s="12">
        <v>26</v>
      </c>
      <c r="B32" s="12"/>
      <c r="C32" s="17"/>
      <c r="D32" s="17"/>
      <c r="E32" s="12"/>
      <c r="F32" s="18"/>
      <c r="G32" s="18"/>
      <c r="H32" s="18"/>
      <c r="I32" s="30"/>
      <c r="J32" s="15"/>
      <c r="K32" s="15"/>
      <c r="L32" s="15"/>
      <c r="M32" s="15"/>
      <c r="N32" s="16"/>
      <c r="O32" s="24"/>
      <c r="P32" s="25"/>
    </row>
    <row r="33" spans="1:16" x14ac:dyDescent="0.25">
      <c r="A33" s="12">
        <v>27</v>
      </c>
      <c r="B33" s="26" t="s">
        <v>48</v>
      </c>
      <c r="C33" s="17"/>
      <c r="D33" s="17"/>
      <c r="E33" s="12"/>
      <c r="F33" s="18"/>
      <c r="G33" s="18"/>
      <c r="H33" s="18"/>
      <c r="I33" s="30"/>
      <c r="J33" s="15"/>
      <c r="K33" s="15"/>
      <c r="L33" s="15"/>
      <c r="M33" s="15"/>
      <c r="N33" s="16"/>
      <c r="O33" s="24"/>
      <c r="P33" s="25"/>
    </row>
    <row r="34" spans="1:16" x14ac:dyDescent="0.25">
      <c r="A34" s="12">
        <v>28</v>
      </c>
      <c r="B34" s="12" t="s">
        <v>49</v>
      </c>
      <c r="C34" s="17">
        <v>663</v>
      </c>
      <c r="D34" s="17" t="s">
        <v>50</v>
      </c>
      <c r="E34" s="12">
        <f>'[1]Exh IDM-2 - Revenue Summary'!L354</f>
        <v>5.3310000000000003E-2</v>
      </c>
      <c r="F34" s="18">
        <f t="shared" ref="F34:F37" si="16">(E34+G34)*(1+N35)</f>
        <v>5.9889984818828901E-2</v>
      </c>
      <c r="G34" s="18">
        <f>'[1]Exh IDM-2 - Revenue Summary'!T354</f>
        <v>1.7099999999999999E-3</v>
      </c>
      <c r="H34" s="18">
        <f t="shared" ref="H34:H37" si="17">+F34</f>
        <v>5.9889984818828901E-2</v>
      </c>
      <c r="I34" s="31">
        <f>'[1]Exh IDM-2 - Revenue Summary'!O354</f>
        <v>98378564.891732141</v>
      </c>
      <c r="J34" s="20">
        <f t="shared" ref="J34:J37" si="18">I34*(E34+G34)</f>
        <v>5412788.6403431026</v>
      </c>
      <c r="K34" s="15">
        <f>H34*I34</f>
        <v>5891890.7578640115</v>
      </c>
      <c r="L34" s="22">
        <f>J34/$J$43</f>
        <v>7.3708018080139867E-2</v>
      </c>
      <c r="M34" s="15">
        <f t="shared" si="0"/>
        <v>479102.11752090912</v>
      </c>
      <c r="N34" s="16">
        <f t="shared" ref="N34:N37" si="19">M34/J34</f>
        <v>8.8512991981623004E-2</v>
      </c>
      <c r="O34" s="24"/>
      <c r="P34" s="25"/>
    </row>
    <row r="35" spans="1:16" x14ac:dyDescent="0.25">
      <c r="A35" s="12">
        <v>29</v>
      </c>
      <c r="B35" s="12"/>
      <c r="C35" s="17"/>
      <c r="D35" s="17" t="s">
        <v>51</v>
      </c>
      <c r="E35" s="12">
        <f>'[1]Exh IDM-2 - Revenue Summary'!L355</f>
        <v>1.9449999999999999E-2</v>
      </c>
      <c r="F35" s="18">
        <f t="shared" si="16"/>
        <v>2.3032934910331142E-2</v>
      </c>
      <c r="G35" s="18">
        <f>'[1]Exh IDM-2 - Revenue Summary'!T355</f>
        <v>1.7099999999999999E-3</v>
      </c>
      <c r="H35" s="18">
        <f t="shared" si="17"/>
        <v>2.3032934910331142E-2</v>
      </c>
      <c r="I35" s="31">
        <f>'[1]Exh IDM-2 - Revenue Summary'!O355</f>
        <v>71561496.231790751</v>
      </c>
      <c r="J35" s="20">
        <f t="shared" si="18"/>
        <v>1514241.2602646921</v>
      </c>
      <c r="K35" s="15">
        <f>H35*I35</f>
        <v>1648271.2847927436</v>
      </c>
      <c r="L35" s="22">
        <f t="shared" ref="L35:L37" si="20">J35/$J$43</f>
        <v>2.0620003773546371E-2</v>
      </c>
      <c r="M35" s="15">
        <f t="shared" si="0"/>
        <v>134030.02452805141</v>
      </c>
      <c r="N35" s="16">
        <f t="shared" si="19"/>
        <v>8.8512991981623004E-2</v>
      </c>
      <c r="O35" s="24"/>
      <c r="P35" s="25"/>
    </row>
    <row r="36" spans="1:16" x14ac:dyDescent="0.25">
      <c r="A36" s="12">
        <v>30</v>
      </c>
      <c r="B36" s="12"/>
      <c r="C36" s="17"/>
      <c r="D36" s="17" t="s">
        <v>51</v>
      </c>
      <c r="E36" s="12">
        <f>'[1]Exh IDM-2 - Revenue Summary'!L356</f>
        <v>1.1820000000000001E-2</v>
      </c>
      <c r="F36" s="18">
        <f t="shared" si="16"/>
        <v>1.472758078151136E-2</v>
      </c>
      <c r="G36" s="18">
        <f>'[1]Exh IDM-2 - Revenue Summary'!T356</f>
        <v>1.7099999999999999E-3</v>
      </c>
      <c r="H36" s="18">
        <f t="shared" si="17"/>
        <v>1.472758078151136E-2</v>
      </c>
      <c r="I36" s="31">
        <f>'[1]Exh IDM-2 - Revenue Summary'!O356</f>
        <v>38711378.628469028</v>
      </c>
      <c r="J36" s="20">
        <f t="shared" si="18"/>
        <v>523764.95284318598</v>
      </c>
      <c r="K36" s="15">
        <f t="shared" ref="K36:K37" si="21">H36*I36</f>
        <v>570124.95591444999</v>
      </c>
      <c r="L36" s="22">
        <f t="shared" si="20"/>
        <v>7.1323081648098571E-3</v>
      </c>
      <c r="M36" s="15">
        <f t="shared" si="0"/>
        <v>46360.003071264073</v>
      </c>
      <c r="N36" s="16">
        <f t="shared" si="19"/>
        <v>8.8512991981623004E-2</v>
      </c>
      <c r="O36" s="24"/>
      <c r="P36" s="25"/>
    </row>
    <row r="37" spans="1:16" x14ac:dyDescent="0.25">
      <c r="A37" s="12">
        <v>31</v>
      </c>
      <c r="B37" s="12"/>
      <c r="C37" s="17"/>
      <c r="D37" s="17" t="s">
        <v>52</v>
      </c>
      <c r="E37" s="12">
        <f>'[1]Exh IDM-2 - Revenue Summary'!L357</f>
        <v>5.62E-3</v>
      </c>
      <c r="F37" s="18">
        <f t="shared" si="16"/>
        <v>7.978800231225297E-3</v>
      </c>
      <c r="G37" s="18">
        <f>'[1]Exh IDM-2 - Revenue Summary'!T357</f>
        <v>1.7099999999999999E-3</v>
      </c>
      <c r="H37" s="18">
        <f t="shared" si="17"/>
        <v>7.978800231225297E-3</v>
      </c>
      <c r="I37" s="31">
        <f>'[1]Exh IDM-2 - Revenue Summary'!O357</f>
        <v>319536159.87201685</v>
      </c>
      <c r="J37" s="20">
        <f t="shared" si="18"/>
        <v>2342200.0518618836</v>
      </c>
      <c r="K37" s="15">
        <f t="shared" si="21"/>
        <v>2549515.1862716917</v>
      </c>
      <c r="L37" s="22">
        <f t="shared" si="20"/>
        <v>3.189463606304737E-2</v>
      </c>
      <c r="M37" s="15">
        <f t="shared" si="0"/>
        <v>207315.13440980791</v>
      </c>
      <c r="N37" s="16">
        <f t="shared" si="19"/>
        <v>8.8512991981623018E-2</v>
      </c>
      <c r="O37" s="24"/>
      <c r="P37" s="25"/>
    </row>
    <row r="38" spans="1:16" x14ac:dyDescent="0.25">
      <c r="A38" s="12">
        <v>32</v>
      </c>
      <c r="B38" s="12" t="s">
        <v>53</v>
      </c>
      <c r="C38" s="17"/>
      <c r="D38" s="17"/>
      <c r="E38" s="12"/>
      <c r="F38" s="18"/>
      <c r="G38" s="18"/>
      <c r="H38" s="18"/>
      <c r="I38" s="19">
        <f>SUM(I34:I37)</f>
        <v>528187599.62400877</v>
      </c>
      <c r="J38" s="20">
        <f>SUM(J34:J37)</f>
        <v>9792994.9053128641</v>
      </c>
      <c r="K38" s="15">
        <f>SUM(K34:K37)</f>
        <v>10659802.184842896</v>
      </c>
      <c r="L38" s="22">
        <f>J38/$J$43</f>
        <v>0.13335496608154346</v>
      </c>
      <c r="M38" s="23">
        <f t="shared" si="0"/>
        <v>866807.27953003242</v>
      </c>
      <c r="N38" s="16">
        <f>M38/J38</f>
        <v>8.8512991981623004E-2</v>
      </c>
      <c r="P38" s="25"/>
    </row>
    <row r="39" spans="1:16" x14ac:dyDescent="0.25">
      <c r="A39" s="12">
        <v>33</v>
      </c>
      <c r="B39" s="12"/>
      <c r="C39" s="17"/>
      <c r="D39" s="17"/>
      <c r="E39" s="12"/>
      <c r="F39" s="18"/>
      <c r="G39" s="18"/>
      <c r="H39" s="18"/>
      <c r="I39" s="12"/>
      <c r="J39" s="19"/>
      <c r="K39" s="15"/>
      <c r="L39" s="15"/>
      <c r="M39" s="15"/>
      <c r="N39" s="16"/>
      <c r="P39" s="21"/>
    </row>
    <row r="40" spans="1:16" x14ac:dyDescent="0.25">
      <c r="A40" s="12">
        <v>34</v>
      </c>
      <c r="C40" s="32"/>
      <c r="D40" s="12"/>
      <c r="E40" s="12"/>
      <c r="F40" s="12"/>
      <c r="G40" s="12"/>
      <c r="H40" s="12"/>
      <c r="I40" s="12"/>
      <c r="J40"/>
      <c r="K40" s="15"/>
      <c r="M40" s="15"/>
      <c r="N40" s="16"/>
      <c r="P40" s="21"/>
    </row>
    <row r="41" spans="1:16" x14ac:dyDescent="0.25">
      <c r="A41" s="12">
        <v>35</v>
      </c>
      <c r="B41" s="26" t="s">
        <v>54</v>
      </c>
      <c r="C41" s="12"/>
      <c r="D41" s="12"/>
      <c r="E41" s="12"/>
      <c r="F41" s="12"/>
      <c r="G41" s="12"/>
      <c r="H41" s="12"/>
      <c r="I41" s="23">
        <f>SUM(I38:I39)</f>
        <v>528187599.62400877</v>
      </c>
      <c r="J41" s="27">
        <f>SUM(J38:J39)</f>
        <v>9792994.9053128641</v>
      </c>
      <c r="K41" s="23">
        <f>+K38</f>
        <v>10659802.184842896</v>
      </c>
      <c r="L41" s="28">
        <f>J41/$J$43</f>
        <v>0.13335496608154346</v>
      </c>
      <c r="M41" s="23">
        <f t="shared" si="0"/>
        <v>866807.27953003242</v>
      </c>
      <c r="N41" s="29">
        <f>M41/J41</f>
        <v>8.8512991981623004E-2</v>
      </c>
      <c r="P41" s="21"/>
    </row>
    <row r="42" spans="1:16" ht="15.75" thickBot="1" x14ac:dyDescent="0.3">
      <c r="A42" s="12">
        <v>36</v>
      </c>
      <c r="B42" s="26"/>
      <c r="C42" s="12"/>
      <c r="D42" s="12"/>
      <c r="E42" s="12"/>
      <c r="F42" s="12"/>
      <c r="G42" s="12"/>
      <c r="H42" s="12"/>
      <c r="I42" s="15"/>
      <c r="J42" s="15"/>
      <c r="K42" s="15"/>
      <c r="L42" s="22"/>
      <c r="M42" s="34"/>
      <c r="N42" s="16"/>
      <c r="P42" s="21"/>
    </row>
    <row r="43" spans="1:16" x14ac:dyDescent="0.25">
      <c r="A43" s="12">
        <v>37</v>
      </c>
      <c r="B43" s="35" t="s">
        <v>53</v>
      </c>
      <c r="C43" s="6"/>
      <c r="D43" s="6"/>
      <c r="E43" s="6"/>
      <c r="F43" s="6"/>
      <c r="G43" s="6"/>
      <c r="H43" s="6"/>
      <c r="I43" s="36">
        <f>I31+I41</f>
        <v>780495740.83038735</v>
      </c>
      <c r="J43" s="36">
        <f>J31+J41</f>
        <v>73435547.19458048</v>
      </c>
      <c r="K43" s="36">
        <f>+K31+K41</f>
        <v>79935547.194580495</v>
      </c>
      <c r="L43" s="37">
        <f>L31+L41</f>
        <v>1</v>
      </c>
      <c r="M43" s="38">
        <v>6500000</v>
      </c>
      <c r="N43" s="39">
        <f>M43/J43</f>
        <v>8.8512991981623004E-2</v>
      </c>
      <c r="O43" s="24"/>
    </row>
    <row r="44" spans="1:16" x14ac:dyDescent="0.25">
      <c r="A44" s="12">
        <v>38</v>
      </c>
      <c r="M44" s="40" t="s">
        <v>55</v>
      </c>
      <c r="N44" s="41"/>
    </row>
    <row r="45" spans="1:16" x14ac:dyDescent="0.25">
      <c r="A45" s="42">
        <v>39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5" t="s">
        <v>56</v>
      </c>
      <c r="N45" s="46"/>
    </row>
    <row r="46" spans="1:16" x14ac:dyDescent="0.25">
      <c r="O46" s="33"/>
    </row>
    <row r="47" spans="1:16" x14ac:dyDescent="0.25">
      <c r="K47" s="33">
        <f>+K43-J43</f>
        <v>6500000.0000000149</v>
      </c>
      <c r="O47" s="24"/>
    </row>
  </sheetData>
  <mergeCells count="3">
    <mergeCell ref="A1:N1"/>
    <mergeCell ref="A2:N2"/>
    <mergeCell ref="A3:N3"/>
  </mergeCells>
  <pageMargins left="0.7" right="0.7" top="0.75" bottom="0.75" header="0.3" footer="0.3"/>
  <pageSetup scale="57" fitToHeight="0" orientation="landscape" r:id="rId1"/>
  <headerFooter scaleWithDoc="0">
    <oddHeader>&amp;RDocket No. UG-1909210
CNGC Compliance Filing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EF063-EF1F-4AB6-A470-170C34FE0379}">
  <sheetPr>
    <pageSetUpPr fitToPage="1"/>
  </sheetPr>
  <dimension ref="A3:T66"/>
  <sheetViews>
    <sheetView zoomScaleNormal="100" zoomScalePageLayoutView="60" workbookViewId="0">
      <selection activeCell="D61" sqref="D61"/>
    </sheetView>
  </sheetViews>
  <sheetFormatPr defaultColWidth="12.28515625" defaultRowHeight="15" x14ac:dyDescent="0.25"/>
  <cols>
    <col min="1" max="1" width="3.7109375" style="48" bestFit="1" customWidth="1"/>
    <col min="2" max="2" width="17.28515625" style="48" bestFit="1" customWidth="1"/>
    <col min="3" max="3" width="2.85546875" bestFit="1" customWidth="1"/>
    <col min="4" max="4" width="22.7109375" bestFit="1" customWidth="1"/>
    <col min="5" max="5" width="16.7109375" customWidth="1"/>
    <col min="6" max="6" width="21.140625" customWidth="1"/>
    <col min="7" max="7" width="16.7109375" customWidth="1"/>
    <col min="8" max="9" width="16.28515625" customWidth="1"/>
    <col min="10" max="10" width="20.140625" bestFit="1" customWidth="1"/>
    <col min="11" max="11" width="13.28515625" bestFit="1" customWidth="1"/>
    <col min="12" max="12" width="18" customWidth="1"/>
    <col min="13" max="13" width="16" customWidth="1"/>
    <col min="14" max="14" width="19.5703125" customWidth="1"/>
    <col min="15" max="15" width="16.140625" customWidth="1"/>
    <col min="16" max="16" width="6.28515625" customWidth="1"/>
    <col min="18" max="18" width="2.7109375" bestFit="1" customWidth="1"/>
  </cols>
  <sheetData>
    <row r="3" spans="1:14" ht="15.75" thickBot="1" x14ac:dyDescent="0.3"/>
    <row r="4" spans="1:14" ht="6.75" customHeight="1" x14ac:dyDescent="0.25">
      <c r="B4" s="49"/>
      <c r="C4" s="50"/>
      <c r="D4" s="50"/>
      <c r="E4" s="50"/>
      <c r="F4" s="50"/>
      <c r="G4" s="50"/>
      <c r="H4" s="50"/>
      <c r="I4" s="50"/>
      <c r="J4" s="51"/>
    </row>
    <row r="5" spans="1:14" s="48" customFormat="1" ht="18" customHeight="1" x14ac:dyDescent="0.25">
      <c r="B5" s="52" t="s">
        <v>57</v>
      </c>
      <c r="C5" s="48" t="s">
        <v>58</v>
      </c>
      <c r="D5" s="48" t="s">
        <v>59</v>
      </c>
      <c r="E5" s="48" t="s">
        <v>60</v>
      </c>
      <c r="F5" s="48" t="s">
        <v>61</v>
      </c>
      <c r="G5" s="48" t="s">
        <v>62</v>
      </c>
      <c r="H5" s="48" t="s">
        <v>63</v>
      </c>
      <c r="I5" s="48" t="s">
        <v>64</v>
      </c>
      <c r="J5" s="53" t="s">
        <v>65</v>
      </c>
    </row>
    <row r="6" spans="1:14" ht="15" customHeight="1" x14ac:dyDescent="0.25">
      <c r="B6" s="134" t="s">
        <v>66</v>
      </c>
      <c r="C6" s="129"/>
      <c r="D6" s="129"/>
      <c r="E6" s="129"/>
      <c r="F6" s="129"/>
      <c r="G6" s="129"/>
      <c r="H6" s="129"/>
      <c r="I6" s="129"/>
      <c r="J6" s="135"/>
    </row>
    <row r="7" spans="1:14" ht="58.5" customHeight="1" x14ac:dyDescent="0.25">
      <c r="A7" s="48">
        <v>1</v>
      </c>
      <c r="B7" s="54" t="s">
        <v>67</v>
      </c>
      <c r="D7" s="55" t="s">
        <v>68</v>
      </c>
      <c r="E7" s="56"/>
      <c r="F7" s="55" t="s">
        <v>97</v>
      </c>
      <c r="H7" s="48" t="s">
        <v>98</v>
      </c>
      <c r="J7" s="57" t="s">
        <v>99</v>
      </c>
      <c r="L7" s="58"/>
    </row>
    <row r="8" spans="1:14" x14ac:dyDescent="0.25">
      <c r="A8" s="48">
        <f t="shared" ref="A8:A65" si="0">A7+1</f>
        <v>2</v>
      </c>
      <c r="B8" s="52">
        <v>503</v>
      </c>
      <c r="D8" s="59">
        <f>'Revenue Distribution'!K8</f>
        <v>40881415.375424094</v>
      </c>
      <c r="F8" s="33">
        <f>'Revenue Distribution'!I8</f>
        <v>131567022.09012201</v>
      </c>
      <c r="G8" s="56"/>
      <c r="H8" s="60">
        <f>D8/F8</f>
        <v>0.31072691869107411</v>
      </c>
      <c r="J8" s="61">
        <v>191815.86000000002</v>
      </c>
      <c r="L8" s="62"/>
      <c r="M8" s="63"/>
      <c r="N8" s="64"/>
    </row>
    <row r="9" spans="1:14" x14ac:dyDescent="0.25">
      <c r="A9" s="48">
        <f t="shared" si="0"/>
        <v>3</v>
      </c>
      <c r="B9" s="52" t="s">
        <v>29</v>
      </c>
      <c r="D9" s="59"/>
      <c r="F9" s="33"/>
      <c r="G9" s="48"/>
      <c r="H9" s="60"/>
      <c r="J9" s="65"/>
      <c r="L9" s="62"/>
      <c r="M9" s="63"/>
      <c r="N9" s="64"/>
    </row>
    <row r="10" spans="1:14" x14ac:dyDescent="0.25">
      <c r="A10" s="48">
        <f t="shared" si="0"/>
        <v>4</v>
      </c>
      <c r="B10" s="52">
        <v>504</v>
      </c>
      <c r="D10" s="59">
        <f>'Revenue Distribution'!K12</f>
        <v>24229863.697801836</v>
      </c>
      <c r="F10" s="33">
        <f>'Revenue Distribution'!I12</f>
        <v>92551660.677303553</v>
      </c>
      <c r="G10" s="56"/>
      <c r="H10" s="60">
        <f>D10/F10</f>
        <v>0.26179825970150017</v>
      </c>
      <c r="J10" s="61">
        <v>26579.415384615382</v>
      </c>
      <c r="L10" s="58"/>
    </row>
    <row r="11" spans="1:14" x14ac:dyDescent="0.25">
      <c r="A11" s="48">
        <f t="shared" si="0"/>
        <v>5</v>
      </c>
      <c r="B11" s="52"/>
      <c r="D11" s="59"/>
      <c r="F11" s="95"/>
      <c r="G11" s="56"/>
      <c r="H11" s="48"/>
      <c r="J11" s="96"/>
      <c r="L11" s="58"/>
    </row>
    <row r="12" spans="1:14" x14ac:dyDescent="0.25">
      <c r="A12" s="48">
        <f t="shared" si="0"/>
        <v>6</v>
      </c>
      <c r="B12" s="52">
        <v>505</v>
      </c>
      <c r="D12" s="59">
        <f>'Revenue Distribution'!K18</f>
        <v>2039487.8150156974</v>
      </c>
      <c r="F12" s="33">
        <f>'Revenue Distribution'!I18</f>
        <v>12147960.10027294</v>
      </c>
      <c r="G12" s="56"/>
      <c r="H12" s="60">
        <f>D12/F12</f>
        <v>0.16788726651891736</v>
      </c>
      <c r="J12" s="66">
        <v>480</v>
      </c>
      <c r="L12" s="58"/>
      <c r="M12" s="67"/>
      <c r="N12" s="68"/>
    </row>
    <row r="13" spans="1:14" x14ac:dyDescent="0.25">
      <c r="A13" s="48">
        <f t="shared" si="0"/>
        <v>7</v>
      </c>
      <c r="B13" s="52"/>
      <c r="D13" s="59"/>
      <c r="F13" s="33"/>
      <c r="G13" s="56"/>
      <c r="H13" s="60"/>
      <c r="J13" s="65"/>
      <c r="L13" s="58"/>
      <c r="M13" s="21"/>
      <c r="N13" s="68"/>
    </row>
    <row r="14" spans="1:14" x14ac:dyDescent="0.25">
      <c r="A14" s="48">
        <f t="shared" si="0"/>
        <v>8</v>
      </c>
      <c r="B14" s="52">
        <v>511</v>
      </c>
      <c r="D14" s="59">
        <f>'Revenue Distribution'!K24</f>
        <v>1996585.8151326894</v>
      </c>
      <c r="F14" s="33">
        <f>'Revenue Distribution'!I24</f>
        <v>14014918.32719071</v>
      </c>
      <c r="G14" s="56"/>
      <c r="H14" s="60">
        <f>D14/F14</f>
        <v>0.14246146631187004</v>
      </c>
      <c r="J14" s="66">
        <v>86</v>
      </c>
      <c r="L14" s="58"/>
      <c r="N14" s="24"/>
    </row>
    <row r="15" spans="1:14" x14ac:dyDescent="0.25">
      <c r="A15" s="48">
        <f t="shared" si="0"/>
        <v>9</v>
      </c>
      <c r="B15" s="52"/>
      <c r="D15" s="59"/>
      <c r="F15" s="95"/>
      <c r="G15" s="56"/>
      <c r="H15" s="60"/>
      <c r="J15" s="96"/>
      <c r="L15" s="58"/>
    </row>
    <row r="16" spans="1:14" x14ac:dyDescent="0.25">
      <c r="A16" s="48">
        <f t="shared" si="0"/>
        <v>10</v>
      </c>
      <c r="B16" s="52">
        <v>570</v>
      </c>
      <c r="D16" s="59">
        <f>'Revenue Distribution'!K29</f>
        <v>128392.3063632681</v>
      </c>
      <c r="F16" s="97">
        <f>'Revenue Distribution'!I29</f>
        <v>2026580.011489335</v>
      </c>
      <c r="G16" s="56"/>
      <c r="H16" s="60">
        <f t="shared" ref="H16" si="1">D16/F16</f>
        <v>6.335417582102397E-2</v>
      </c>
      <c r="J16" s="114">
        <v>8</v>
      </c>
      <c r="N16" s="25"/>
    </row>
    <row r="17" spans="1:18" ht="15.75" thickBot="1" x14ac:dyDescent="0.3">
      <c r="A17" s="48">
        <f t="shared" si="0"/>
        <v>11</v>
      </c>
      <c r="B17" s="69"/>
      <c r="C17" s="70"/>
      <c r="D17" s="71"/>
      <c r="E17" s="70"/>
      <c r="F17" s="95"/>
      <c r="G17" s="73"/>
      <c r="H17" s="48"/>
      <c r="I17" s="70"/>
      <c r="J17" s="96"/>
    </row>
    <row r="18" spans="1:18" x14ac:dyDescent="0.25">
      <c r="A18" s="48">
        <f t="shared" si="0"/>
        <v>12</v>
      </c>
      <c r="B18" s="49"/>
      <c r="C18" s="50"/>
      <c r="D18" s="75"/>
      <c r="E18" s="50"/>
      <c r="F18" s="76"/>
      <c r="G18" s="50"/>
      <c r="H18" s="77"/>
      <c r="I18" s="50"/>
      <c r="J18" s="51"/>
    </row>
    <row r="19" spans="1:18" x14ac:dyDescent="0.25">
      <c r="A19" s="48">
        <f t="shared" si="0"/>
        <v>13</v>
      </c>
      <c r="B19" s="78" t="s">
        <v>69</v>
      </c>
      <c r="D19" s="79"/>
      <c r="F19" s="33"/>
      <c r="H19" s="60"/>
      <c r="J19" s="80"/>
    </row>
    <row r="20" spans="1:18" x14ac:dyDescent="0.25">
      <c r="A20" s="48">
        <f t="shared" si="0"/>
        <v>14</v>
      </c>
      <c r="B20" s="78">
        <v>-1</v>
      </c>
      <c r="D20" s="123" t="s">
        <v>102</v>
      </c>
      <c r="F20" s="33"/>
      <c r="G20" s="56"/>
      <c r="H20" s="60"/>
      <c r="J20" s="80"/>
    </row>
    <row r="21" spans="1:18" x14ac:dyDescent="0.25">
      <c r="A21" s="48">
        <f t="shared" si="0"/>
        <v>15</v>
      </c>
      <c r="B21" s="78">
        <v>-2</v>
      </c>
      <c r="D21" s="123" t="s">
        <v>103</v>
      </c>
      <c r="F21" s="95"/>
      <c r="H21" s="48"/>
      <c r="J21" s="96"/>
    </row>
    <row r="22" spans="1:18" x14ac:dyDescent="0.25">
      <c r="A22" s="48">
        <f t="shared" si="0"/>
        <v>16</v>
      </c>
      <c r="B22" s="78">
        <v>-3</v>
      </c>
      <c r="D22" s="124" t="s">
        <v>70</v>
      </c>
      <c r="F22" s="95"/>
      <c r="H22" s="48"/>
      <c r="J22" s="96"/>
    </row>
    <row r="23" spans="1:18" x14ac:dyDescent="0.25">
      <c r="A23" s="48">
        <f t="shared" si="0"/>
        <v>17</v>
      </c>
      <c r="B23" s="78">
        <v>-4</v>
      </c>
      <c r="D23" s="124" t="s">
        <v>104</v>
      </c>
      <c r="F23" s="95"/>
      <c r="H23" s="48"/>
      <c r="J23" s="96"/>
    </row>
    <row r="24" spans="1:18" ht="15.75" thickBot="1" x14ac:dyDescent="0.3">
      <c r="A24" s="48">
        <f t="shared" si="0"/>
        <v>18</v>
      </c>
      <c r="B24" s="81"/>
      <c r="C24" s="70"/>
      <c r="D24" s="82"/>
      <c r="E24" s="70"/>
      <c r="F24" s="72"/>
      <c r="G24" s="70"/>
      <c r="H24" s="74"/>
      <c r="I24" s="70"/>
      <c r="J24" s="83"/>
    </row>
    <row r="25" spans="1:18" x14ac:dyDescent="0.25">
      <c r="A25" s="48">
        <f t="shared" si="0"/>
        <v>19</v>
      </c>
      <c r="D25" s="79"/>
      <c r="F25" s="33"/>
    </row>
    <row r="26" spans="1:18" x14ac:dyDescent="0.25">
      <c r="A26" s="48">
        <f t="shared" si="0"/>
        <v>20</v>
      </c>
      <c r="B26" s="125" t="s">
        <v>71</v>
      </c>
      <c r="C26" s="136"/>
      <c r="D26" s="136"/>
      <c r="E26" s="136"/>
      <c r="F26" s="136"/>
      <c r="G26" s="136"/>
      <c r="H26" s="137"/>
      <c r="I26" s="100"/>
      <c r="J26" s="100"/>
      <c r="K26" s="100"/>
    </row>
    <row r="27" spans="1:18" ht="15" customHeight="1" x14ac:dyDescent="0.25">
      <c r="A27" s="48">
        <f t="shared" si="0"/>
        <v>21</v>
      </c>
      <c r="B27" s="138" t="s">
        <v>105</v>
      </c>
      <c r="C27" s="139"/>
      <c r="D27" s="139"/>
      <c r="E27" s="139"/>
      <c r="F27" s="139"/>
      <c r="G27" s="139"/>
      <c r="H27" s="140"/>
      <c r="I27" s="101"/>
      <c r="J27" s="102"/>
      <c r="K27" s="101"/>
      <c r="L27" s="84"/>
      <c r="M27" s="84"/>
      <c r="N27" s="84"/>
      <c r="O27" s="33"/>
      <c r="P27" s="33"/>
      <c r="Q27" s="33"/>
      <c r="R27" s="33"/>
    </row>
    <row r="28" spans="1:18" x14ac:dyDescent="0.25">
      <c r="A28" s="48">
        <f t="shared" si="0"/>
        <v>22</v>
      </c>
      <c r="B28" s="107" t="s">
        <v>57</v>
      </c>
      <c r="C28" s="98" t="s">
        <v>58</v>
      </c>
      <c r="D28" s="98" t="s">
        <v>59</v>
      </c>
      <c r="E28" s="98" t="s">
        <v>60</v>
      </c>
      <c r="F28" s="98" t="s">
        <v>61</v>
      </c>
      <c r="G28" s="98" t="s">
        <v>62</v>
      </c>
      <c r="H28" s="108" t="s">
        <v>63</v>
      </c>
      <c r="I28" s="98"/>
      <c r="J28" s="102"/>
      <c r="K28" s="98"/>
      <c r="L28" s="48"/>
      <c r="M28" s="48"/>
      <c r="N28" s="48"/>
      <c r="O28" s="33"/>
      <c r="P28" s="33"/>
      <c r="Q28" s="33"/>
      <c r="R28" s="33"/>
    </row>
    <row r="29" spans="1:18" s="48" customFormat="1" ht="15.75" customHeight="1" x14ac:dyDescent="0.25">
      <c r="A29" s="48">
        <f t="shared" si="0"/>
        <v>23</v>
      </c>
      <c r="B29" s="107" t="s">
        <v>67</v>
      </c>
      <c r="C29" s="98"/>
      <c r="D29" s="98">
        <v>503</v>
      </c>
      <c r="E29" s="98">
        <v>504</v>
      </c>
      <c r="F29" s="98">
        <v>505</v>
      </c>
      <c r="G29" s="98">
        <v>511</v>
      </c>
      <c r="H29" s="108">
        <v>570</v>
      </c>
      <c r="I29" s="98"/>
      <c r="J29" s="98"/>
      <c r="K29" s="98"/>
      <c r="O29" s="33"/>
      <c r="P29" s="33"/>
      <c r="Q29" s="33"/>
      <c r="R29" s="33"/>
    </row>
    <row r="30" spans="1:18" x14ac:dyDescent="0.25">
      <c r="A30" s="48">
        <f t="shared" si="0"/>
        <v>24</v>
      </c>
      <c r="B30" s="109" t="s">
        <v>72</v>
      </c>
      <c r="C30" s="110"/>
      <c r="D30" s="99">
        <v>22583970.553883139</v>
      </c>
      <c r="E30" s="99">
        <v>15062223.505767643</v>
      </c>
      <c r="F30" s="99">
        <v>1617046.255202807</v>
      </c>
      <c r="G30" s="99">
        <v>2041837.1329582138</v>
      </c>
      <c r="H30" s="31">
        <v>229390.41933174082</v>
      </c>
      <c r="I30" s="99"/>
      <c r="J30" s="103"/>
      <c r="K30" s="100"/>
      <c r="O30" s="33"/>
      <c r="P30" s="33"/>
      <c r="Q30" s="33"/>
      <c r="R30" s="33"/>
    </row>
    <row r="31" spans="1:18" x14ac:dyDescent="0.25">
      <c r="A31" s="48">
        <f t="shared" si="0"/>
        <v>25</v>
      </c>
      <c r="B31" s="109" t="s">
        <v>73</v>
      </c>
      <c r="C31" s="110"/>
      <c r="D31" s="99">
        <v>17686846.852574952</v>
      </c>
      <c r="E31" s="99">
        <v>12545391.570208579</v>
      </c>
      <c r="F31" s="99">
        <v>1289996.9489802322</v>
      </c>
      <c r="G31" s="99">
        <v>1411253.7633763733</v>
      </c>
      <c r="H31" s="31">
        <v>221211.38177179493</v>
      </c>
      <c r="I31" s="99"/>
      <c r="J31" s="103"/>
      <c r="K31" s="100"/>
      <c r="O31" s="33"/>
      <c r="P31" s="33"/>
      <c r="Q31" s="33"/>
      <c r="R31" s="86"/>
    </row>
    <row r="32" spans="1:18" x14ac:dyDescent="0.25">
      <c r="A32" s="48">
        <f t="shared" si="0"/>
        <v>26</v>
      </c>
      <c r="B32" s="109" t="s">
        <v>74</v>
      </c>
      <c r="C32" s="110"/>
      <c r="D32" s="99">
        <v>14398095.016699623</v>
      </c>
      <c r="E32" s="99">
        <v>9134851.1968940068</v>
      </c>
      <c r="F32" s="99">
        <v>1430328.3502892407</v>
      </c>
      <c r="G32" s="99">
        <v>1659309.7822352236</v>
      </c>
      <c r="H32" s="31">
        <v>215252.53712218866</v>
      </c>
      <c r="I32" s="99"/>
      <c r="J32" s="103"/>
      <c r="K32" s="100"/>
      <c r="O32" s="87"/>
      <c r="Q32" s="33"/>
      <c r="R32" s="33"/>
    </row>
    <row r="33" spans="1:18" x14ac:dyDescent="0.25">
      <c r="A33" s="48">
        <f t="shared" si="0"/>
        <v>27</v>
      </c>
      <c r="B33" s="109" t="s">
        <v>75</v>
      </c>
      <c r="C33" s="110"/>
      <c r="D33" s="99">
        <v>9897677.3183008675</v>
      </c>
      <c r="E33" s="99">
        <v>6882254.5360852312</v>
      </c>
      <c r="F33" s="99">
        <v>1123179.4192318043</v>
      </c>
      <c r="G33" s="99">
        <v>1396883.611269288</v>
      </c>
      <c r="H33" s="31">
        <v>213582.2582492209</v>
      </c>
      <c r="I33" s="99"/>
      <c r="J33" s="103"/>
      <c r="K33" s="100"/>
      <c r="O33" s="87"/>
      <c r="Q33" s="33"/>
      <c r="R33" s="88"/>
    </row>
    <row r="34" spans="1:18" x14ac:dyDescent="0.25">
      <c r="A34" s="48">
        <f t="shared" si="0"/>
        <v>28</v>
      </c>
      <c r="B34" s="109" t="s">
        <v>76</v>
      </c>
      <c r="C34" s="110"/>
      <c r="D34" s="99">
        <v>5928309.8502837559</v>
      </c>
      <c r="E34" s="99">
        <v>3918036.3420420131</v>
      </c>
      <c r="F34" s="99">
        <v>815133.09229619685</v>
      </c>
      <c r="G34" s="99">
        <v>1066142.9719009297</v>
      </c>
      <c r="H34" s="31">
        <v>177942.35629831892</v>
      </c>
      <c r="I34" s="99"/>
      <c r="J34" s="102"/>
      <c r="K34" s="100"/>
      <c r="O34" s="87"/>
      <c r="P34" s="33"/>
      <c r="Q34" s="33"/>
      <c r="R34" s="33"/>
    </row>
    <row r="35" spans="1:18" x14ac:dyDescent="0.25">
      <c r="A35" s="48">
        <f t="shared" si="0"/>
        <v>29</v>
      </c>
      <c r="B35" s="109" t="s">
        <v>77</v>
      </c>
      <c r="C35" s="110"/>
      <c r="D35" s="99">
        <v>3780553.0600667661</v>
      </c>
      <c r="E35" s="99">
        <v>3451958.2463035439</v>
      </c>
      <c r="F35" s="99">
        <v>605511.0954217033</v>
      </c>
      <c r="G35" s="99">
        <v>760762.1460841489</v>
      </c>
      <c r="H35" s="31">
        <v>128467.46818872199</v>
      </c>
      <c r="I35" s="99"/>
      <c r="J35" s="102"/>
      <c r="K35" s="100"/>
      <c r="O35" s="87"/>
      <c r="P35" s="88"/>
      <c r="Q35" s="33"/>
      <c r="R35" s="33"/>
    </row>
    <row r="36" spans="1:18" x14ac:dyDescent="0.25">
      <c r="A36" s="48">
        <f t="shared" si="0"/>
        <v>30</v>
      </c>
      <c r="B36" s="109" t="s">
        <v>78</v>
      </c>
      <c r="C36" s="110"/>
      <c r="D36" s="99">
        <v>2905523.6940047569</v>
      </c>
      <c r="E36" s="99">
        <v>2866629.3633415252</v>
      </c>
      <c r="F36" s="99">
        <v>535746.00745515723</v>
      </c>
      <c r="G36" s="99">
        <v>659116.96610983904</v>
      </c>
      <c r="H36" s="31">
        <v>103037.05122856449</v>
      </c>
      <c r="I36" s="99"/>
      <c r="J36" s="102"/>
      <c r="K36" s="100"/>
      <c r="O36" s="87"/>
      <c r="P36" s="33"/>
      <c r="Q36" s="33"/>
      <c r="R36" s="88"/>
    </row>
    <row r="37" spans="1:18" x14ac:dyDescent="0.25">
      <c r="A37" s="48">
        <f t="shared" si="0"/>
        <v>31</v>
      </c>
      <c r="B37" s="109" t="s">
        <v>79</v>
      </c>
      <c r="C37" s="110"/>
      <c r="D37" s="99">
        <v>1428373.1762518128</v>
      </c>
      <c r="E37" s="99">
        <v>1603251.5715511125</v>
      </c>
      <c r="F37" s="99">
        <v>568323.98476393218</v>
      </c>
      <c r="G37" s="99">
        <v>666022.79004396545</v>
      </c>
      <c r="H37" s="31">
        <v>110230.3244211306</v>
      </c>
      <c r="I37" s="99"/>
      <c r="J37" s="102"/>
      <c r="K37" s="100"/>
      <c r="O37" s="87"/>
      <c r="P37" s="33"/>
      <c r="Q37" s="33"/>
      <c r="R37" s="33"/>
    </row>
    <row r="38" spans="1:18" x14ac:dyDescent="0.25">
      <c r="A38" s="48">
        <f t="shared" si="0"/>
        <v>32</v>
      </c>
      <c r="B38" s="109" t="s">
        <v>80</v>
      </c>
      <c r="C38" s="110"/>
      <c r="D38" s="99">
        <v>4103551.258159365</v>
      </c>
      <c r="E38" s="99">
        <v>3921678.0600266438</v>
      </c>
      <c r="F38" s="99">
        <v>651151.92846583552</v>
      </c>
      <c r="G38" s="99">
        <v>627756.92932288256</v>
      </c>
      <c r="H38" s="31">
        <v>93391.070692068271</v>
      </c>
      <c r="I38" s="99"/>
      <c r="J38" s="103"/>
      <c r="K38" s="100"/>
      <c r="O38" s="89"/>
      <c r="P38" s="33"/>
      <c r="Q38" s="33"/>
      <c r="R38" s="89"/>
    </row>
    <row r="39" spans="1:18" x14ac:dyDescent="0.25">
      <c r="A39" s="48">
        <f t="shared" si="0"/>
        <v>33</v>
      </c>
      <c r="B39" s="109" t="s">
        <v>81</v>
      </c>
      <c r="C39" s="110"/>
      <c r="D39" s="99">
        <v>8795495.2079919372</v>
      </c>
      <c r="E39" s="99">
        <v>6902607.3037800584</v>
      </c>
      <c r="F39" s="99">
        <v>1042643.1454299705</v>
      </c>
      <c r="G39" s="99">
        <v>1060123.0086797269</v>
      </c>
      <c r="H39" s="31">
        <v>118645.13504650675</v>
      </c>
      <c r="I39" s="99"/>
      <c r="J39" s="103"/>
      <c r="K39" s="100"/>
      <c r="O39" s="87"/>
      <c r="P39" s="33"/>
      <c r="Q39" s="33"/>
    </row>
    <row r="40" spans="1:18" x14ac:dyDescent="0.25">
      <c r="A40" s="48">
        <f t="shared" si="0"/>
        <v>34</v>
      </c>
      <c r="B40" s="109" t="s">
        <v>82</v>
      </c>
      <c r="C40" s="110"/>
      <c r="D40" s="99">
        <v>17574429.859745499</v>
      </c>
      <c r="E40" s="99">
        <v>11278001.753868425</v>
      </c>
      <c r="F40" s="99">
        <v>993530.68797836616</v>
      </c>
      <c r="G40" s="99">
        <v>976771.62089706829</v>
      </c>
      <c r="H40" s="31">
        <v>197742.02240708229</v>
      </c>
      <c r="I40" s="99"/>
      <c r="J40" s="103"/>
      <c r="K40" s="100"/>
      <c r="O40" s="87"/>
      <c r="P40" s="33"/>
      <c r="Q40" s="33"/>
      <c r="R40" s="33"/>
    </row>
    <row r="41" spans="1:18" x14ac:dyDescent="0.25">
      <c r="A41" s="48">
        <f t="shared" si="0"/>
        <v>35</v>
      </c>
      <c r="B41" s="109" t="s">
        <v>83</v>
      </c>
      <c r="C41" s="110"/>
      <c r="D41" s="99">
        <v>22484196.242159527</v>
      </c>
      <c r="E41" s="99">
        <v>14984777.227434775</v>
      </c>
      <c r="F41" s="99">
        <v>1475369.1847576951</v>
      </c>
      <c r="G41" s="99">
        <v>1688937.6043130492</v>
      </c>
      <c r="H41" s="31">
        <v>217687.98673199624</v>
      </c>
      <c r="I41" s="99"/>
      <c r="J41" s="103"/>
      <c r="K41" s="100"/>
      <c r="O41" s="89"/>
      <c r="P41" s="33"/>
      <c r="Q41" s="33"/>
    </row>
    <row r="42" spans="1:18" x14ac:dyDescent="0.25">
      <c r="A42" s="48">
        <f t="shared" si="0"/>
        <v>36</v>
      </c>
      <c r="B42" s="111" t="s">
        <v>53</v>
      </c>
      <c r="C42" s="43"/>
      <c r="D42" s="112">
        <f>SUM(D30:D41)</f>
        <v>131567022.09012201</v>
      </c>
      <c r="E42" s="112">
        <f>SUM(E30:E41)</f>
        <v>92551660.677303553</v>
      </c>
      <c r="F42" s="112">
        <f>SUM(F30:F41)</f>
        <v>12147960.10027294</v>
      </c>
      <c r="G42" s="112">
        <f>SUM(G30:G41)</f>
        <v>14014918.327190708</v>
      </c>
      <c r="H42" s="113">
        <f>SUM(H30:H41)</f>
        <v>2026580.0114893347</v>
      </c>
      <c r="I42" s="85"/>
      <c r="J42" s="85"/>
      <c r="O42" s="89"/>
      <c r="P42" s="33"/>
      <c r="Q42" s="33"/>
    </row>
    <row r="43" spans="1:18" x14ac:dyDescent="0.25">
      <c r="A43" s="48">
        <f t="shared" si="0"/>
        <v>37</v>
      </c>
      <c r="B43" s="52" t="s">
        <v>84</v>
      </c>
      <c r="C43" s="104"/>
      <c r="D43" s="105"/>
      <c r="E43" s="105"/>
      <c r="F43" s="106"/>
      <c r="G43" s="89"/>
      <c r="H43" s="89"/>
      <c r="I43" s="89"/>
      <c r="J43" s="89"/>
      <c r="K43" s="89"/>
      <c r="L43" s="89"/>
      <c r="M43" s="89"/>
      <c r="N43" s="89"/>
      <c r="O43" s="89"/>
      <c r="P43" s="33"/>
      <c r="Q43" s="33"/>
    </row>
    <row r="44" spans="1:18" ht="15.75" thickBot="1" x14ac:dyDescent="0.3">
      <c r="A44" s="48">
        <f t="shared" si="0"/>
        <v>38</v>
      </c>
      <c r="B44" s="81">
        <v>-5</v>
      </c>
      <c r="C44" s="90"/>
      <c r="D44" s="70" t="s">
        <v>106</v>
      </c>
      <c r="E44" s="70"/>
      <c r="F44" s="83"/>
    </row>
    <row r="45" spans="1:18" ht="15.75" thickBot="1" x14ac:dyDescent="0.3">
      <c r="A45" s="48">
        <f t="shared" si="0"/>
        <v>39</v>
      </c>
      <c r="B45" s="56"/>
      <c r="C45" s="91"/>
    </row>
    <row r="46" spans="1:18" x14ac:dyDescent="0.25">
      <c r="A46" s="48">
        <f t="shared" si="0"/>
        <v>40</v>
      </c>
      <c r="B46" s="141" t="s">
        <v>85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3"/>
    </row>
    <row r="47" spans="1:18" x14ac:dyDescent="0.25">
      <c r="A47" s="48">
        <f t="shared" si="0"/>
        <v>41</v>
      </c>
      <c r="B47" s="115" t="s">
        <v>57</v>
      </c>
      <c r="C47" s="116" t="s">
        <v>58</v>
      </c>
      <c r="D47" s="116" t="s">
        <v>59</v>
      </c>
      <c r="E47" s="116" t="s">
        <v>60</v>
      </c>
      <c r="F47" s="116" t="s">
        <v>61</v>
      </c>
      <c r="G47" s="116" t="s">
        <v>62</v>
      </c>
      <c r="H47" s="116" t="s">
        <v>63</v>
      </c>
      <c r="I47" s="116" t="s">
        <v>64</v>
      </c>
      <c r="J47" s="116" t="s">
        <v>65</v>
      </c>
      <c r="K47" s="117">
        <f>+K43-J43</f>
        <v>0</v>
      </c>
      <c r="L47" s="116" t="s">
        <v>86</v>
      </c>
      <c r="M47" s="116" t="s">
        <v>87</v>
      </c>
      <c r="N47" s="116" t="s">
        <v>88</v>
      </c>
      <c r="O47" s="118" t="s">
        <v>89</v>
      </c>
    </row>
    <row r="48" spans="1:18" x14ac:dyDescent="0.25">
      <c r="A48" s="48">
        <f t="shared" si="0"/>
        <v>42</v>
      </c>
      <c r="B48" s="144" t="s">
        <v>90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</row>
    <row r="49" spans="1:20" x14ac:dyDescent="0.25">
      <c r="A49" s="48">
        <f t="shared" si="0"/>
        <v>43</v>
      </c>
      <c r="B49" s="119"/>
      <c r="C49" s="120"/>
      <c r="D49" s="121" t="s">
        <v>72</v>
      </c>
      <c r="E49" s="121" t="s">
        <v>73</v>
      </c>
      <c r="F49" s="121" t="s">
        <v>91</v>
      </c>
      <c r="G49" s="121" t="s">
        <v>75</v>
      </c>
      <c r="H49" s="121" t="s">
        <v>76</v>
      </c>
      <c r="I49" s="121" t="s">
        <v>77</v>
      </c>
      <c r="J49" s="121" t="s">
        <v>92</v>
      </c>
      <c r="K49" s="121" t="s">
        <v>93</v>
      </c>
      <c r="L49" s="121" t="s">
        <v>94</v>
      </c>
      <c r="M49" s="121" t="s">
        <v>81</v>
      </c>
      <c r="N49" s="121" t="s">
        <v>82</v>
      </c>
      <c r="O49" s="122" t="s">
        <v>83</v>
      </c>
    </row>
    <row r="50" spans="1:20" x14ac:dyDescent="0.25">
      <c r="A50" s="48">
        <f t="shared" si="0"/>
        <v>44</v>
      </c>
      <c r="B50" s="52">
        <v>503</v>
      </c>
      <c r="D50" s="92">
        <f>(D30*H8)/J8</f>
        <v>36.58429277963802</v>
      </c>
      <c r="E50" s="92">
        <f>(D31*H8)/J8</f>
        <v>28.651329581722475</v>
      </c>
      <c r="F50" s="92">
        <f>(D32*H8)/J8</f>
        <v>23.323804921868206</v>
      </c>
      <c r="G50" s="92">
        <f>(D33*H8)/J8</f>
        <v>16.033474892608787</v>
      </c>
      <c r="H50" s="92">
        <f>(D34*H8)/J8</f>
        <v>9.6034053327217794</v>
      </c>
      <c r="I50" s="92">
        <f>(D35*H8)/J8</f>
        <v>6.124204762331213</v>
      </c>
      <c r="J50" s="92">
        <f>(D36*H8)/J8</f>
        <v>4.7067245879564146</v>
      </c>
      <c r="K50" s="92">
        <f>(D37*H8)/J8</f>
        <v>2.3138545258859629</v>
      </c>
      <c r="L50" s="92">
        <f>(D38*H8)/J8</f>
        <v>6.6474369644863556</v>
      </c>
      <c r="M50" s="92">
        <f>(D39*H8)/J8</f>
        <v>14.248024768866571</v>
      </c>
      <c r="N50" s="92">
        <f>(D40*H8)/J8</f>
        <v>28.469222712194519</v>
      </c>
      <c r="O50" s="93">
        <f>(D41*H8)/J8</f>
        <v>36.422666079706111</v>
      </c>
      <c r="P50" s="79"/>
      <c r="Q50" s="79"/>
      <c r="R50" s="79"/>
    </row>
    <row r="51" spans="1:20" x14ac:dyDescent="0.25">
      <c r="A51" s="48">
        <f t="shared" si="0"/>
        <v>45</v>
      </c>
      <c r="B51" s="5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</row>
    <row r="52" spans="1:20" x14ac:dyDescent="0.25">
      <c r="A52" s="48">
        <f t="shared" si="0"/>
        <v>46</v>
      </c>
      <c r="B52" s="52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53"/>
    </row>
    <row r="53" spans="1:20" x14ac:dyDescent="0.25">
      <c r="A53" s="48">
        <f t="shared" si="0"/>
        <v>47</v>
      </c>
      <c r="B53" s="52">
        <v>504</v>
      </c>
      <c r="D53" s="92">
        <f>(E30*H10)/J10</f>
        <v>148.35781163672343</v>
      </c>
      <c r="E53" s="92">
        <f>(E31*H10)/J10</f>
        <v>123.56786757076384</v>
      </c>
      <c r="F53" s="92">
        <f>(E32*H10)/J10</f>
        <v>89.975197398933432</v>
      </c>
      <c r="G53" s="92">
        <f>(E33*H10)/J10</f>
        <v>67.787881497678072</v>
      </c>
      <c r="H53" s="92">
        <f>(E34*H10)/J10</f>
        <v>38.59133396844927</v>
      </c>
      <c r="I53" s="92">
        <f>(E35*H10)/J10</f>
        <v>34.000622224655736</v>
      </c>
      <c r="J53" s="92">
        <f>(E36*H10)/J10</f>
        <v>28.235330524478744</v>
      </c>
      <c r="K53" s="92">
        <f>(E37*H10)/J10</f>
        <v>15.791486201713917</v>
      </c>
      <c r="L53" s="92">
        <f>(E38*H10)/J10</f>
        <v>38.627203659971968</v>
      </c>
      <c r="M53" s="92">
        <f>(E39*H10)/J10</f>
        <v>67.988349381772267</v>
      </c>
      <c r="N53" s="92">
        <f>(E40*H10)/J10</f>
        <v>111.08450616194565</v>
      </c>
      <c r="O53" s="93">
        <f>(E41*H10)/J10</f>
        <v>147.59499196614337</v>
      </c>
    </row>
    <row r="54" spans="1:20" x14ac:dyDescent="0.25">
      <c r="A54" s="48">
        <f t="shared" si="0"/>
        <v>48</v>
      </c>
      <c r="B54" s="5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</row>
    <row r="55" spans="1:20" x14ac:dyDescent="0.25">
      <c r="A55" s="48">
        <f t="shared" si="0"/>
        <v>49</v>
      </c>
      <c r="B55" s="52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53"/>
    </row>
    <row r="56" spans="1:20" x14ac:dyDescent="0.25">
      <c r="A56" s="48">
        <f t="shared" si="0"/>
        <v>50</v>
      </c>
      <c r="B56" s="52">
        <v>505</v>
      </c>
      <c r="D56" s="92">
        <f>(F30*H12)/J12</f>
        <v>565.5864075430228</v>
      </c>
      <c r="E56" s="92">
        <f>(F31*H12)/J12</f>
        <v>451.19596162923852</v>
      </c>
      <c r="F56" s="92">
        <f>(F32*H12)/J12</f>
        <v>500.27899365536075</v>
      </c>
      <c r="G56" s="92">
        <f>(F33*H12)/J12</f>
        <v>392.84900521902654</v>
      </c>
      <c r="H56" s="92">
        <f>(F34*H12)/J12</f>
        <v>285.10513898900177</v>
      </c>
      <c r="I56" s="92">
        <f>(F35*H12)/J12</f>
        <v>211.7866722025523</v>
      </c>
      <c r="J56" s="92">
        <f>(F36*H12)/J12</f>
        <v>187.38527654181223</v>
      </c>
      <c r="K56" s="92">
        <f>(F37*H12)/J12</f>
        <v>198.7799172899071</v>
      </c>
      <c r="L56" s="92">
        <f>(F38*H12)/J12</f>
        <v>227.75024449718904</v>
      </c>
      <c r="M56" s="92">
        <f>(F39*H12)/J12</f>
        <v>364.68022425192447</v>
      </c>
      <c r="N56" s="92">
        <f>(F40*H12)/J12</f>
        <v>347.50239876530685</v>
      </c>
      <c r="O56" s="93">
        <f>(F41*H12)/J12</f>
        <v>516.03270736502702</v>
      </c>
    </row>
    <row r="57" spans="1:20" x14ac:dyDescent="0.25">
      <c r="A57" s="48">
        <f t="shared" si="0"/>
        <v>51</v>
      </c>
      <c r="B57" s="5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  <row r="58" spans="1:20" x14ac:dyDescent="0.25">
      <c r="A58" s="48">
        <f t="shared" si="0"/>
        <v>52</v>
      </c>
      <c r="B58" s="5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3"/>
      <c r="P58" s="79"/>
      <c r="Q58" s="79"/>
      <c r="R58" s="79"/>
      <c r="S58" s="79"/>
    </row>
    <row r="59" spans="1:20" x14ac:dyDescent="0.25">
      <c r="A59" s="48">
        <f t="shared" si="0"/>
        <v>53</v>
      </c>
      <c r="B59" s="52">
        <v>511</v>
      </c>
      <c r="D59" s="92">
        <f>(G30*H14)/J14</f>
        <v>3382.3617666424639</v>
      </c>
      <c r="E59" s="92">
        <f>(G31*H14)/J14</f>
        <v>2337.7823310318959</v>
      </c>
      <c r="F59" s="92">
        <f>(G32*H14)/J14</f>
        <v>2748.6942400332528</v>
      </c>
      <c r="G59" s="92">
        <f>(G33*H14)/J14</f>
        <v>2313.9777619586398</v>
      </c>
      <c r="H59" s="92">
        <f>(G34*H14)/J14</f>
        <v>1766.0964078500151</v>
      </c>
      <c r="I59" s="92">
        <f>(G35*H14)/J14</f>
        <v>1260.2243121594527</v>
      </c>
      <c r="J59" s="92">
        <f>(G36*H14)/J14</f>
        <v>1091.8461565469629</v>
      </c>
      <c r="K59" s="92">
        <f>(G37*H14)/J14</f>
        <v>1103.2858519393731</v>
      </c>
      <c r="L59" s="92">
        <f>(G38*H14)/J14</f>
        <v>1039.8973562648234</v>
      </c>
      <c r="M59" s="92">
        <f>(G39*H14)/J14</f>
        <v>1756.1241661333165</v>
      </c>
      <c r="N59" s="92">
        <f>(G40*H14)/J14</f>
        <v>1618.0502019164928</v>
      </c>
      <c r="O59" s="93">
        <f>(G41*H14)/J14</f>
        <v>2797.7735769731853</v>
      </c>
      <c r="P59" s="79"/>
      <c r="Q59" s="79"/>
      <c r="R59" s="79"/>
      <c r="S59" s="79"/>
    </row>
    <row r="60" spans="1:20" x14ac:dyDescent="0.25">
      <c r="A60" s="48">
        <f t="shared" si="0"/>
        <v>54</v>
      </c>
      <c r="B60" s="5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3"/>
    </row>
    <row r="61" spans="1:20" x14ac:dyDescent="0.25">
      <c r="A61" s="48">
        <f t="shared" si="0"/>
        <v>55</v>
      </c>
      <c r="B61" s="52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53"/>
    </row>
    <row r="62" spans="1:20" x14ac:dyDescent="0.25">
      <c r="A62" s="48">
        <f t="shared" si="0"/>
        <v>56</v>
      </c>
      <c r="B62" s="52">
        <v>570</v>
      </c>
      <c r="D62" s="92">
        <f>(H30*H16)/J16</f>
        <v>1816.6051197501904</v>
      </c>
      <c r="E62" s="92">
        <f>(H31*H16)/J16</f>
        <v>1751.833096797744</v>
      </c>
      <c r="F62" s="92">
        <f>(H32*H16)/J16</f>
        <v>1704.6433853450787</v>
      </c>
      <c r="G62" s="92">
        <f>(H33*H16)/J16</f>
        <v>1691.4159926715611</v>
      </c>
      <c r="H62" s="92">
        <f>(H34*H16)/J16</f>
        <v>1409.1739158663736</v>
      </c>
      <c r="I62" s="92">
        <f>(H35*H16)/J16</f>
        <v>1017.3688208637622</v>
      </c>
      <c r="J62" s="92">
        <f>(H36*H16)/J16</f>
        <v>815.97843245179115</v>
      </c>
      <c r="K62" s="92">
        <f>(H37*H16)/J16</f>
        <v>872.94391927310255</v>
      </c>
      <c r="L62" s="92">
        <f>(H38*H16)/J16</f>
        <v>739.58928909237147</v>
      </c>
      <c r="M62" s="92">
        <f>(H39*H16)/J16</f>
        <v>939.58309325569019</v>
      </c>
      <c r="N62" s="92">
        <f>(H40*H16)/J16</f>
        <v>1565.972856847894</v>
      </c>
      <c r="O62" s="93">
        <f>(H41*H16)/J16</f>
        <v>1723.9303731929529</v>
      </c>
      <c r="P62" s="79"/>
      <c r="Q62" s="79"/>
      <c r="R62" s="79"/>
      <c r="S62" s="79"/>
      <c r="T62" s="79"/>
    </row>
    <row r="63" spans="1:20" ht="15.75" thickBot="1" x14ac:dyDescent="0.3">
      <c r="A63" s="48">
        <f t="shared" si="0"/>
        <v>57</v>
      </c>
      <c r="B63" s="69"/>
      <c r="C63" s="7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94"/>
    </row>
    <row r="64" spans="1:20" x14ac:dyDescent="0.25">
      <c r="A64" s="48">
        <f t="shared" si="0"/>
        <v>58</v>
      </c>
      <c r="B64" s="52" t="s">
        <v>95</v>
      </c>
      <c r="J64" s="80"/>
    </row>
    <row r="65" spans="1:10" x14ac:dyDescent="0.25">
      <c r="A65" s="48">
        <f t="shared" si="0"/>
        <v>59</v>
      </c>
      <c r="B65" s="78">
        <v>-6</v>
      </c>
      <c r="D65" t="s">
        <v>96</v>
      </c>
      <c r="J65" s="80"/>
    </row>
    <row r="66" spans="1:10" ht="15.75" thickBot="1" x14ac:dyDescent="0.3">
      <c r="B66" s="69"/>
      <c r="C66" s="70"/>
      <c r="D66" s="70"/>
      <c r="E66" s="70"/>
      <c r="F66" s="70"/>
      <c r="G66" s="70"/>
      <c r="H66" s="70"/>
      <c r="I66" s="70"/>
      <c r="J66" s="83"/>
    </row>
  </sheetData>
  <mergeCells count="5">
    <mergeCell ref="B6:J6"/>
    <mergeCell ref="B26:H26"/>
    <mergeCell ref="B27:H27"/>
    <mergeCell ref="B46:O46"/>
    <mergeCell ref="B48:O48"/>
  </mergeCells>
  <pageMargins left="0.7" right="0.7" top="0.75" bottom="0.75" header="0.3" footer="0.3"/>
  <pageSetup scale="50" fitToHeight="0" orientation="landscape" r:id="rId1"/>
  <headerFooter scaleWithDoc="0">
    <oddHeader>&amp;RDocket No. UG-1909210
CNGC Compliance Filing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2A143B775EEB47B26371B22E6028EB" ma:contentTypeVersion="48" ma:contentTypeDescription="" ma:contentTypeScope="" ma:versionID="57225535d4ae0bfbfa2efb1b5fb9ed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190210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DC8A689-CA7F-402C-8417-8DA66A3F11AB}"/>
</file>

<file path=customXml/itemProps2.xml><?xml version="1.0" encoding="utf-8"?>
<ds:datastoreItem xmlns:ds="http://schemas.openxmlformats.org/officeDocument/2006/customXml" ds:itemID="{DB4D020C-EE9C-4E4B-8727-E08E248A55DB}"/>
</file>

<file path=customXml/itemProps3.xml><?xml version="1.0" encoding="utf-8"?>
<ds:datastoreItem xmlns:ds="http://schemas.openxmlformats.org/officeDocument/2006/customXml" ds:itemID="{489CCA15-EEE8-4AC4-9058-D290E50747A1}"/>
</file>

<file path=customXml/itemProps4.xml><?xml version="1.0" encoding="utf-8"?>
<ds:datastoreItem xmlns:ds="http://schemas.openxmlformats.org/officeDocument/2006/customXml" ds:itemID="{D0DB9924-426B-4E66-8E9E-10F074902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Revenue Distribution</vt:lpstr>
      <vt:lpstr>Decoup. Exhibit</vt:lpstr>
      <vt:lpstr>'Decoup. Exhibit'!Print_Area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Maryalice</dc:creator>
  <cp:lastModifiedBy>Mickelson, Christopher</cp:lastModifiedBy>
  <cp:lastPrinted>2020-02-18T19:05:04Z</cp:lastPrinted>
  <dcterms:created xsi:type="dcterms:W3CDTF">2020-02-05T18:16:34Z</dcterms:created>
  <dcterms:modified xsi:type="dcterms:W3CDTF">2020-02-20T20:14:30Z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16081c6d-9b4d-41e1-85cc-b0ea146ed49b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0x0101006E56B4D1795A2E4DB2F0B01679ED314A004C2A143B775EEB47B26371B22E6028EB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