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92" yWindow="2712" windowWidth="16332" windowHeight="8532" tabRatio="883" firstSheet="1" activeTab="1"/>
  </bookViews>
  <sheets>
    <sheet name="Comparison" sheetId="73" state="hidden" r:id="rId1"/>
    <sheet name="Pg 1 CofCap" sheetId="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definedNames>
    <definedName name="\A" localSheetId="10">'FERC Rpt'!#REF!</definedName>
    <definedName name="_CALC_" localSheetId="10">'FERC Rpt'!#REF!</definedName>
    <definedName name="_Fill" localSheetId="10" hidden="1">'FERC Rpt'!$B$1:$M$1</definedName>
    <definedName name="_PPRA1.H33_AGP" localSheetId="10">'FERC Rpt'!#REF!</definedName>
    <definedName name="CRRA38.H65_GQ" localSheetId="10">'FERC Rpt'!$AC$2</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 xml:space="preserve">      'Pg 1 CofCap'!$A$1:$F$23</definedName>
    <definedName name="_xlnm.Print_Area" localSheetId="2">'Pg 2 CapStructure'!$A$1:$Q$44</definedName>
    <definedName name="_xlnm.Print_Area" localSheetId="3">'Pg 3 STD Cost Rate'!$A$1:$G$35</definedName>
    <definedName name="_xlnm.Print_Area" localSheetId="4">'Pg 4 STD OS &amp; Comm Fees'!$A$1:$K$32</definedName>
    <definedName name="_xlnm.Print_Area" localSheetId="5">'Pg 5 STD Amort'!$A$1:$G$35</definedName>
    <definedName name="_xlnm.Print_Area" localSheetId="6">'Pg 6 LTD Cost '!$A$1:$V$33</definedName>
    <definedName name="_xlnm.Print_Area" localSheetId="7">'Pg 7 Reacquired Debt'!$A$1:$J$36</definedName>
    <definedName name="_xlnm.Print_Titles" localSheetId="11">'Appendix --&gt;'!$B:$E,'Appendix --&gt;'!$1:$2</definedName>
    <definedName name="_xlnm.Print_Titles" localSheetId="7">'Pg 7 Reacquired Debt'!$1:$7</definedName>
  </definedNames>
  <calcPr calcId="145621"/>
</workbook>
</file>

<file path=xl/calcChain.xml><?xml version="1.0" encoding="utf-8"?>
<calcChain xmlns="http://schemas.openxmlformats.org/spreadsheetml/2006/main">
  <c r="C13" i="71" l="1"/>
  <c r="J27" i="21"/>
  <c r="O12" i="1"/>
  <c r="O16" i="1" s="1"/>
  <c r="N12" i="1"/>
  <c r="N16" i="1" s="1"/>
  <c r="M12" i="1"/>
  <c r="L12" i="1"/>
  <c r="I42" i="1"/>
  <c r="O42" i="1"/>
  <c r="O40" i="1"/>
  <c r="O43" i="1" s="1"/>
  <c r="N42" i="1"/>
  <c r="N43" i="1"/>
  <c r="N40" i="1"/>
  <c r="M42" i="1"/>
  <c r="M43" i="1" s="1"/>
  <c r="M40" i="1"/>
  <c r="L42" i="1"/>
  <c r="L43" i="1" s="1"/>
  <c r="L40" i="1"/>
  <c r="L16" i="1"/>
  <c r="K42" i="1"/>
  <c r="K40" i="1"/>
  <c r="K43" i="1" s="1"/>
  <c r="K12" i="1"/>
  <c r="J42" i="1"/>
  <c r="J40" i="1"/>
  <c r="J43" i="1" s="1"/>
  <c r="J12" i="1"/>
  <c r="H42" i="1"/>
  <c r="G42" i="1"/>
  <c r="F42" i="1"/>
  <c r="E42" i="1"/>
  <c r="D42" i="1"/>
  <c r="C42" i="1"/>
  <c r="I40" i="1"/>
  <c r="H40" i="1"/>
  <c r="H43" i="1" s="1"/>
  <c r="G40" i="1"/>
  <c r="F40" i="1"/>
  <c r="F43" i="1" s="1"/>
  <c r="F44" i="1"/>
  <c r="F20" i="1" s="1"/>
  <c r="E40" i="1"/>
  <c r="E43" i="1" s="1"/>
  <c r="D40" i="1"/>
  <c r="D43" i="1" s="1"/>
  <c r="D44" i="1" s="1"/>
  <c r="D20" i="1" s="1"/>
  <c r="C40" i="1"/>
  <c r="I12" i="1"/>
  <c r="H12" i="1"/>
  <c r="G12" i="1"/>
  <c r="G16" i="1" s="1"/>
  <c r="F12" i="1"/>
  <c r="F16" i="1" s="1"/>
  <c r="E12" i="1"/>
  <c r="D12" i="1"/>
  <c r="C12" i="1"/>
  <c r="J44" i="1"/>
  <c r="H44" i="1"/>
  <c r="H20" i="1" s="1"/>
  <c r="G43" i="1"/>
  <c r="C43" i="1"/>
  <c r="L38" i="1"/>
  <c r="K38" i="1"/>
  <c r="J38" i="1"/>
  <c r="I38" i="1"/>
  <c r="H38" i="1"/>
  <c r="G38" i="1"/>
  <c r="G44" i="1" s="1"/>
  <c r="G20" i="1" s="1"/>
  <c r="F38" i="1"/>
  <c r="E38" i="1"/>
  <c r="E44" i="1" s="1"/>
  <c r="E20" i="1" s="1"/>
  <c r="D38" i="1"/>
  <c r="C38" i="1"/>
  <c r="K16" i="1"/>
  <c r="J16" i="1"/>
  <c r="I16" i="1"/>
  <c r="H16" i="1"/>
  <c r="E16" i="1"/>
  <c r="D16" i="1"/>
  <c r="L10"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c r="F27" i="82"/>
  <c r="I27" i="82"/>
  <c r="H26" i="82"/>
  <c r="Y26" i="82"/>
  <c r="F26" i="82"/>
  <c r="I26" i="82"/>
  <c r="H25" i="82"/>
  <c r="Y25" i="82"/>
  <c r="F25" i="82"/>
  <c r="H24" i="82"/>
  <c r="F24" i="82"/>
  <c r="H23" i="82"/>
  <c r="Y23" i="82"/>
  <c r="F23" i="82"/>
  <c r="I23" i="82"/>
  <c r="H22" i="82"/>
  <c r="Y22" i="82"/>
  <c r="F22" i="82"/>
  <c r="I22" i="82"/>
  <c r="H21" i="82"/>
  <c r="Y21" i="82"/>
  <c r="F21" i="82"/>
  <c r="H20" i="82"/>
  <c r="Y20" i="82" s="1"/>
  <c r="F20" i="82"/>
  <c r="H19" i="82"/>
  <c r="I19" i="82"/>
  <c r="F19" i="82"/>
  <c r="H18" i="82"/>
  <c r="Y18" i="82" s="1"/>
  <c r="F18" i="82"/>
  <c r="H17" i="82"/>
  <c r="F17" i="82"/>
  <c r="H16" i="82"/>
  <c r="Y16" i="82" s="1"/>
  <c r="F16" i="82"/>
  <c r="I16" i="82" s="1"/>
  <c r="H15" i="82"/>
  <c r="Y15" i="82" s="1"/>
  <c r="I15" i="82"/>
  <c r="F15" i="82"/>
  <c r="H14" i="82"/>
  <c r="Y14" i="82"/>
  <c r="F14" i="82"/>
  <c r="I14" i="82"/>
  <c r="H13" i="82"/>
  <c r="Y13" i="82"/>
  <c r="F13" i="82"/>
  <c r="I13" i="82"/>
  <c r="H12" i="82"/>
  <c r="I12" i="82"/>
  <c r="F12" i="82"/>
  <c r="H11" i="82"/>
  <c r="Y11" i="82" s="1"/>
  <c r="F11" i="82"/>
  <c r="H10" i="82"/>
  <c r="Y10" i="82"/>
  <c r="F10" i="82"/>
  <c r="I10" i="82"/>
  <c r="H9" i="82"/>
  <c r="Y9" i="82"/>
  <c r="F9" i="82"/>
  <c r="H8" i="82"/>
  <c r="F8" i="82"/>
  <c r="H7" i="82"/>
  <c r="F7" i="82"/>
  <c r="A7" i="82"/>
  <c r="A8" i="82" s="1"/>
  <c r="A9" i="82" s="1"/>
  <c r="A10" i="82" s="1"/>
  <c r="A11" i="82" s="1"/>
  <c r="A12" i="82" s="1"/>
  <c r="A13" i="82" s="1"/>
  <c r="A14" i="82" s="1"/>
  <c r="A15" i="82" s="1"/>
  <c r="A16" i="82" s="1"/>
  <c r="A17" i="82" s="1"/>
  <c r="A18" i="82" s="1"/>
  <c r="A19" i="82" s="1"/>
  <c r="A20" i="82" s="1"/>
  <c r="A21" i="82" s="1"/>
  <c r="A22" i="82" s="1"/>
  <c r="H6" i="82"/>
  <c r="F6" i="82"/>
  <c r="V5" i="82"/>
  <c r="U5" i="82"/>
  <c r="T5" i="82"/>
  <c r="S5" i="82"/>
  <c r="R5" i="82"/>
  <c r="Q5" i="82"/>
  <c r="P5" i="82"/>
  <c r="O5" i="82"/>
  <c r="N5" i="82"/>
  <c r="M5" i="82"/>
  <c r="L5" i="82"/>
  <c r="K5" i="82"/>
  <c r="J5" i="82"/>
  <c r="A2" i="82"/>
  <c r="Q50" i="1"/>
  <c r="H27" i="7"/>
  <c r="M16" i="1"/>
  <c r="F27" i="7"/>
  <c r="F28" i="7"/>
  <c r="F27" i="71"/>
  <c r="E27" i="71"/>
  <c r="D27" i="71"/>
  <c r="J29" i="21"/>
  <c r="F14" i="21"/>
  <c r="F25" i="81"/>
  <c r="E31" i="71"/>
  <c r="E11" i="21"/>
  <c r="E11" i="77"/>
  <c r="G11" i="77" s="1"/>
  <c r="B3" i="29"/>
  <c r="K5" i="7"/>
  <c r="L5" i="7"/>
  <c r="M5" i="7"/>
  <c r="N5" i="7"/>
  <c r="O5" i="7"/>
  <c r="P5" i="7"/>
  <c r="Q5" i="7"/>
  <c r="R5" i="7"/>
  <c r="S5" i="7"/>
  <c r="T5" i="7"/>
  <c r="U5" i="7"/>
  <c r="V5" i="7"/>
  <c r="J5" i="7"/>
  <c r="Q14" i="1"/>
  <c r="Q9" i="1"/>
  <c r="Q8" i="1"/>
  <c r="O38" i="1"/>
  <c r="C25" i="81" s="1"/>
  <c r="O10" i="1"/>
  <c r="N38" i="1"/>
  <c r="C19" i="71"/>
  <c r="C18" i="71"/>
  <c r="A27" i="71"/>
  <c r="A28" i="71" s="1"/>
  <c r="A29" i="71" s="1"/>
  <c r="A30" i="71" s="1"/>
  <c r="A31" i="71" s="1"/>
  <c r="M13" i="21"/>
  <c r="F27" i="80"/>
  <c r="F26" i="80"/>
  <c r="F25" i="80"/>
  <c r="I25" i="80" s="1"/>
  <c r="F24" i="80"/>
  <c r="F23" i="80"/>
  <c r="F22" i="80"/>
  <c r="F21" i="80"/>
  <c r="I21" i="80" s="1"/>
  <c r="F20" i="80"/>
  <c r="F19" i="80"/>
  <c r="F18" i="80"/>
  <c r="F17" i="80"/>
  <c r="F16" i="80"/>
  <c r="I16" i="80"/>
  <c r="F15" i="80"/>
  <c r="F14" i="80"/>
  <c r="I14" i="80" s="1"/>
  <c r="F13" i="80"/>
  <c r="F12" i="80"/>
  <c r="F11" i="80"/>
  <c r="F10" i="80"/>
  <c r="F30" i="80" s="1"/>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c r="A31" i="80" s="1"/>
  <c r="A32" i="80" s="1"/>
  <c r="A33" i="80" s="1"/>
  <c r="A34" i="80" s="1"/>
  <c r="H27" i="80"/>
  <c r="X27" i="80"/>
  <c r="H26" i="80"/>
  <c r="X26" i="80"/>
  <c r="H25" i="80"/>
  <c r="X25" i="80"/>
  <c r="H24" i="80"/>
  <c r="X24" i="80"/>
  <c r="H23" i="80"/>
  <c r="X23" i="80"/>
  <c r="H22" i="80"/>
  <c r="I22" i="80" s="1"/>
  <c r="X22" i="80"/>
  <c r="H21" i="80"/>
  <c r="X21" i="80" s="1"/>
  <c r="H20" i="80"/>
  <c r="X20" i="80" s="1"/>
  <c r="H19" i="80"/>
  <c r="H18" i="80"/>
  <c r="H17" i="80"/>
  <c r="X16" i="80"/>
  <c r="H16" i="80"/>
  <c r="H15" i="80"/>
  <c r="H14" i="80"/>
  <c r="X14" i="80"/>
  <c r="H13" i="80"/>
  <c r="H12" i="80"/>
  <c r="X12" i="80"/>
  <c r="H11" i="80"/>
  <c r="H10" i="80"/>
  <c r="H9" i="80"/>
  <c r="I9" i="80"/>
  <c r="H8" i="80"/>
  <c r="H7" i="80"/>
  <c r="H6" i="80"/>
  <c r="X6" i="80" s="1"/>
  <c r="A6" i="80"/>
  <c r="A7" i="80"/>
  <c r="A8" i="80" s="1"/>
  <c r="A9" i="80" s="1"/>
  <c r="A10" i="80" s="1"/>
  <c r="A11" i="80" s="1"/>
  <c r="A12" i="80" s="1"/>
  <c r="A13" i="80" s="1"/>
  <c r="A14" i="80" s="1"/>
  <c r="A15" i="80" s="1"/>
  <c r="A16" i="80" s="1"/>
  <c r="A17" i="80" s="1"/>
  <c r="A18" i="80" s="1"/>
  <c r="A19" i="80" s="1"/>
  <c r="A20" i="80" s="1"/>
  <c r="A21" i="80"/>
  <c r="A22" i="80" s="1"/>
  <c r="A23" i="80" s="1"/>
  <c r="U5" i="80"/>
  <c r="T5" i="80"/>
  <c r="S5" i="80"/>
  <c r="R5" i="80"/>
  <c r="Q5" i="80"/>
  <c r="P5" i="80"/>
  <c r="O5" i="80"/>
  <c r="N5" i="80"/>
  <c r="M5" i="80"/>
  <c r="A2" i="80"/>
  <c r="F31" i="71"/>
  <c r="C15" i="71"/>
  <c r="C16" i="71"/>
  <c r="C17" i="71"/>
  <c r="C27" i="71" s="1"/>
  <c r="D31" i="71"/>
  <c r="E15" i="2"/>
  <c r="D15" i="2" s="1"/>
  <c r="A23" i="21"/>
  <c r="A24" i="21" s="1"/>
  <c r="A14" i="21"/>
  <c r="E13" i="77"/>
  <c r="G13" i="77" s="1"/>
  <c r="D13" i="77" s="1"/>
  <c r="E15" i="76" s="1"/>
  <c r="D15" i="76" s="1"/>
  <c r="S42" i="79"/>
  <c r="S43" i="79"/>
  <c r="S41" i="79"/>
  <c r="C8" i="73"/>
  <c r="G13" i="73"/>
  <c r="D7" i="73"/>
  <c r="H16" i="7"/>
  <c r="H15" i="7"/>
  <c r="Y15" i="7" s="1"/>
  <c r="F16" i="7"/>
  <c r="F15" i="7"/>
  <c r="D21" i="29"/>
  <c r="I23" i="29"/>
  <c r="I22" i="29"/>
  <c r="C15" i="2"/>
  <c r="G22" i="21"/>
  <c r="H22" i="21" s="1"/>
  <c r="J22" i="21"/>
  <c r="E22" i="21"/>
  <c r="C13" i="2"/>
  <c r="C24" i="73"/>
  <c r="E13" i="2"/>
  <c r="D13" i="2" s="1"/>
  <c r="D23" i="73"/>
  <c r="G29" i="73"/>
  <c r="G57" i="73"/>
  <c r="F54" i="73" s="1"/>
  <c r="F53" i="73"/>
  <c r="G55" i="73" s="1"/>
  <c r="G56" i="73" s="1"/>
  <c r="G60" i="73" s="1"/>
  <c r="G63" i="73" s="1"/>
  <c r="D55" i="73"/>
  <c r="G61" i="73"/>
  <c r="D56" i="73"/>
  <c r="G62" i="73"/>
  <c r="D54" i="73"/>
  <c r="D59" i="73"/>
  <c r="D62" i="73" s="1"/>
  <c r="D53" i="73"/>
  <c r="B57" i="73"/>
  <c r="H25" i="7"/>
  <c r="F25" i="7"/>
  <c r="H24" i="7"/>
  <c r="Y24" i="7" s="1"/>
  <c r="F24" i="7"/>
  <c r="H23" i="7"/>
  <c r="F23" i="7"/>
  <c r="I23" i="7" s="1"/>
  <c r="B3" i="21"/>
  <c r="B3" i="78"/>
  <c r="C11" i="77"/>
  <c r="C13" i="76" s="1"/>
  <c r="C17" i="76" s="1"/>
  <c r="C13" i="77"/>
  <c r="C15" i="76" s="1"/>
  <c r="E14" i="77"/>
  <c r="G14" i="77" s="1"/>
  <c r="C14" i="77"/>
  <c r="C16" i="76" s="1"/>
  <c r="H29" i="77"/>
  <c r="J29" i="77" s="1"/>
  <c r="J30" i="77" s="1"/>
  <c r="H15" i="77" s="1"/>
  <c r="H28" i="77"/>
  <c r="J28" i="77" s="1"/>
  <c r="B3" i="77"/>
  <c r="E23" i="77"/>
  <c r="E24" i="77"/>
  <c r="J24" i="77" s="1"/>
  <c r="H14" i="77" s="1"/>
  <c r="B5" i="76"/>
  <c r="B5" i="75"/>
  <c r="E19" i="75"/>
  <c r="I10" i="29"/>
  <c r="I12" i="29"/>
  <c r="I13" i="29"/>
  <c r="I30" i="29" s="1"/>
  <c r="I14" i="29"/>
  <c r="I15" i="29"/>
  <c r="I17" i="29"/>
  <c r="I24" i="29"/>
  <c r="I25" i="29"/>
  <c r="F22" i="7"/>
  <c r="H22" i="7"/>
  <c r="Y22" i="7"/>
  <c r="F21" i="7"/>
  <c r="I21" i="7"/>
  <c r="H21" i="7"/>
  <c r="Y21" i="7"/>
  <c r="H6" i="7"/>
  <c r="Y6" i="7"/>
  <c r="F6" i="7"/>
  <c r="I6" i="7"/>
  <c r="H7" i="7"/>
  <c r="I7" i="7" s="1"/>
  <c r="F7" i="7"/>
  <c r="H8" i="7"/>
  <c r="Y8" i="7"/>
  <c r="F8" i="7"/>
  <c r="H9" i="7"/>
  <c r="Y9" i="7" s="1"/>
  <c r="F9" i="7"/>
  <c r="H10" i="7"/>
  <c r="I10" i="7" s="1"/>
  <c r="F10" i="7"/>
  <c r="H11" i="7"/>
  <c r="I11" i="7"/>
  <c r="F11" i="7"/>
  <c r="H12" i="7"/>
  <c r="Y12" i="7" s="1"/>
  <c r="F12" i="7"/>
  <c r="I12" i="7"/>
  <c r="H13" i="7"/>
  <c r="Y13" i="7" s="1"/>
  <c r="F13" i="7"/>
  <c r="H14" i="7"/>
  <c r="F14" i="7"/>
  <c r="H17" i="7"/>
  <c r="F17" i="7"/>
  <c r="I17" i="7" s="1"/>
  <c r="H18" i="7"/>
  <c r="F18" i="7"/>
  <c r="H19" i="7"/>
  <c r="Y19" i="7" s="1"/>
  <c r="F19" i="7"/>
  <c r="H20" i="7"/>
  <c r="Y20" i="7" s="1"/>
  <c r="F20" i="7"/>
  <c r="I20" i="7"/>
  <c r="H26" i="7"/>
  <c r="Y26" i="7" s="1"/>
  <c r="F26" i="7"/>
  <c r="I26" i="7"/>
  <c r="M38" i="1"/>
  <c r="M44" i="1" s="1"/>
  <c r="M20" i="1" s="1"/>
  <c r="A9" i="78"/>
  <c r="A10" i="78"/>
  <c r="A11" i="78"/>
  <c r="A12" i="78"/>
  <c r="A13" i="78" s="1"/>
  <c r="A14" i="78" s="1"/>
  <c r="A15" i="78" s="1"/>
  <c r="A16" i="78" s="1"/>
  <c r="A17" i="78" s="1"/>
  <c r="A18" i="78" s="1"/>
  <c r="A19" i="78"/>
  <c r="A20" i="78" s="1"/>
  <c r="A21" i="78" s="1"/>
  <c r="A22" i="78" s="1"/>
  <c r="A23" i="78" s="1"/>
  <c r="A24" i="78" s="1"/>
  <c r="A25" i="78" s="1"/>
  <c r="C25" i="78"/>
  <c r="D25" i="78"/>
  <c r="A6" i="77"/>
  <c r="A7" i="77" s="1"/>
  <c r="A8" i="77"/>
  <c r="A9" i="77" s="1"/>
  <c r="A10" i="77"/>
  <c r="A11" i="77" s="1"/>
  <c r="A12" i="77" s="1"/>
  <c r="A13" i="77" s="1"/>
  <c r="A14" i="77" s="1"/>
  <c r="A15" i="77" s="1"/>
  <c r="A16" i="77" s="1"/>
  <c r="A17" i="77"/>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C38" i="77"/>
  <c r="F14" i="77" s="1"/>
  <c r="A9" i="76"/>
  <c r="A10" i="76"/>
  <c r="A11" i="76" s="1"/>
  <c r="A12" i="76" s="1"/>
  <c r="A13" i="76" s="1"/>
  <c r="A14" i="76" s="1"/>
  <c r="A15" i="76"/>
  <c r="A16" i="76" s="1"/>
  <c r="A17" i="76" s="1"/>
  <c r="A18" i="76" s="1"/>
  <c r="A19" i="76" s="1"/>
  <c r="A20" i="76" s="1"/>
  <c r="A21" i="76" s="1"/>
  <c r="A22" i="76" s="1"/>
  <c r="A23" i="76" s="1"/>
  <c r="A24" i="76" s="1"/>
  <c r="A25" i="76" s="1"/>
  <c r="A26" i="76" s="1"/>
  <c r="A27" i="76" s="1"/>
  <c r="A28" i="76" s="1"/>
  <c r="A10" i="75"/>
  <c r="A11" i="75"/>
  <c r="A12" i="75" s="1"/>
  <c r="A13" i="75" s="1"/>
  <c r="A14" i="75" s="1"/>
  <c r="A15" i="75" s="1"/>
  <c r="A16" i="75"/>
  <c r="A17" i="75" s="1"/>
  <c r="A18" i="75" s="1"/>
  <c r="A19" i="75" s="1"/>
  <c r="A20" i="75" s="1"/>
  <c r="A21" i="75" s="1"/>
  <c r="A22" i="75" s="1"/>
  <c r="A23" i="75" s="1"/>
  <c r="A24" i="75" s="1"/>
  <c r="D20" i="29"/>
  <c r="D19" i="29"/>
  <c r="D18" i="29"/>
  <c r="H13" i="29"/>
  <c r="H12" i="29"/>
  <c r="D40" i="73"/>
  <c r="D39" i="73"/>
  <c r="D41" i="73"/>
  <c r="D38" i="73"/>
  <c r="D37" i="73"/>
  <c r="B108" i="73"/>
  <c r="B124" i="73"/>
  <c r="D125" i="73"/>
  <c r="G131" i="73"/>
  <c r="B126" i="73"/>
  <c r="D123" i="73"/>
  <c r="G109" i="73"/>
  <c r="D107" i="73"/>
  <c r="G113" i="73"/>
  <c r="D108" i="73"/>
  <c r="G114" i="73"/>
  <c r="D106" i="73"/>
  <c r="D105" i="73"/>
  <c r="D111" i="73" s="1"/>
  <c r="B109" i="73"/>
  <c r="G41" i="73"/>
  <c r="B41" i="73"/>
  <c r="G45" i="73"/>
  <c r="G46" i="73"/>
  <c r="D69" i="73"/>
  <c r="G73" i="73"/>
  <c r="F69" i="73"/>
  <c r="D70" i="73"/>
  <c r="D71" i="73"/>
  <c r="G77" i="73"/>
  <c r="D72" i="73"/>
  <c r="B73" i="73"/>
  <c r="D87" i="73"/>
  <c r="G91" i="73"/>
  <c r="F87" i="73" s="1"/>
  <c r="D88" i="73"/>
  <c r="D89" i="73"/>
  <c r="G95" i="73"/>
  <c r="D90" i="73"/>
  <c r="G96" i="73"/>
  <c r="B91" i="73"/>
  <c r="F25" i="72"/>
  <c r="V30" i="7"/>
  <c r="C14" i="81"/>
  <c r="C19" i="81" s="1"/>
  <c r="Y31" i="7"/>
  <c r="A6" i="21"/>
  <c r="A7" i="21"/>
  <c r="A8" i="21" s="1"/>
  <c r="A9" i="21"/>
  <c r="A10" i="21" s="1"/>
  <c r="A11" i="21" s="1"/>
  <c r="A12" i="21" s="1"/>
  <c r="A15" i="21"/>
  <c r="A16" i="21"/>
  <c r="A17" i="21"/>
  <c r="A18" i="21" s="1"/>
  <c r="A19" i="21" s="1"/>
  <c r="A20" i="21" s="1"/>
  <c r="A21" i="21" s="1"/>
  <c r="A25" i="21"/>
  <c r="A26" i="21" s="1"/>
  <c r="A27" i="21"/>
  <c r="A28" i="21" s="1"/>
  <c r="A29" i="21" s="1"/>
  <c r="A30" i="21" s="1"/>
  <c r="A31" i="21" s="1"/>
  <c r="A32" i="21"/>
  <c r="M11" i="21"/>
  <c r="A9" i="71"/>
  <c r="A10" i="71"/>
  <c r="A11" i="71"/>
  <c r="A12" i="71" s="1"/>
  <c r="A13" i="71" s="1"/>
  <c r="A14" i="71" s="1"/>
  <c r="A15" i="71" s="1"/>
  <c r="A16" i="71" s="1"/>
  <c r="A17" i="71"/>
  <c r="A18" i="71" s="1"/>
  <c r="A19" i="71" s="1"/>
  <c r="A20" i="71" s="1"/>
  <c r="A21" i="71" s="1"/>
  <c r="A22" i="71" s="1"/>
  <c r="A23" i="71"/>
  <c r="A24" i="71" s="1"/>
  <c r="J30" i="7"/>
  <c r="A6" i="1"/>
  <c r="A7" i="1"/>
  <c r="A8" i="1" s="1"/>
  <c r="A9" i="1" s="1"/>
  <c r="A10" i="1" s="1"/>
  <c r="A12" i="1" s="1"/>
  <c r="A14" i="1"/>
  <c r="A16" i="1" s="1"/>
  <c r="A18" i="1" s="1"/>
  <c r="A20" i="1" s="1"/>
  <c r="A22" i="1" s="1"/>
  <c r="A24" i="1" s="1"/>
  <c r="A25" i="1" s="1"/>
  <c r="A26" i="1" s="1"/>
  <c r="A27" i="1" s="1"/>
  <c r="A28" i="1" s="1"/>
  <c r="A30" i="1" s="1"/>
  <c r="A34" i="1" s="1"/>
  <c r="A35" i="1" s="1"/>
  <c r="A36" i="1" s="1"/>
  <c r="A37" i="1" s="1"/>
  <c r="A38" i="1" s="1"/>
  <c r="A39" i="1" s="1"/>
  <c r="A40" i="1" s="1"/>
  <c r="A41" i="1" s="1"/>
  <c r="A42" i="1" s="1"/>
  <c r="A43" i="1" s="1"/>
  <c r="A44" i="1"/>
  <c r="B3" i="71"/>
  <c r="M10" i="1"/>
  <c r="A6" i="29"/>
  <c r="A7" i="29"/>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9" i="2"/>
  <c r="A10" i="2" s="1"/>
  <c r="A11" i="2"/>
  <c r="A12" i="2" s="1"/>
  <c r="A13" i="2" s="1"/>
  <c r="A14" i="2" s="1"/>
  <c r="A16" i="2"/>
  <c r="A17" i="2"/>
  <c r="A18" i="2" s="1"/>
  <c r="A19" i="2" s="1"/>
  <c r="A20" i="2" s="1"/>
  <c r="A21" i="2" s="1"/>
  <c r="A22" i="2"/>
  <c r="A23" i="2" s="1"/>
  <c r="A24" i="2" s="1"/>
  <c r="A25" i="2" s="1"/>
  <c r="A26" i="2" s="1"/>
  <c r="A27" i="2" s="1"/>
  <c r="T30" i="7"/>
  <c r="U30" i="7"/>
  <c r="S30" i="7"/>
  <c r="R30" i="7"/>
  <c r="Q30" i="7"/>
  <c r="P30" i="7"/>
  <c r="O30" i="7"/>
  <c r="N30" i="7"/>
  <c r="M30" i="7"/>
  <c r="L30" i="7"/>
  <c r="K30" i="7"/>
  <c r="A9" i="3"/>
  <c r="A10" i="3"/>
  <c r="A11" i="3" s="1"/>
  <c r="A12" i="3" s="1"/>
  <c r="A13" i="3" s="1"/>
  <c r="A14" i="3" s="1"/>
  <c r="A15" i="3"/>
  <c r="A16" i="3" s="1"/>
  <c r="A17" i="3" s="1"/>
  <c r="A18" i="3" s="1"/>
  <c r="A19" i="3" s="1"/>
  <c r="A20" i="3"/>
  <c r="A21" i="3" s="1"/>
  <c r="A22" i="3" s="1"/>
  <c r="A23" i="3" s="1"/>
  <c r="P39" i="7"/>
  <c r="Q39" i="7"/>
  <c r="R39" i="7"/>
  <c r="S39" i="7"/>
  <c r="T39" i="7"/>
  <c r="U39" i="7"/>
  <c r="V39" i="7"/>
  <c r="K39" i="7"/>
  <c r="L39" i="7"/>
  <c r="M39" i="7"/>
  <c r="N39" i="7"/>
  <c r="O39" i="7"/>
  <c r="J39" i="7"/>
  <c r="B4" i="2"/>
  <c r="A2" i="7"/>
  <c r="D13" i="29"/>
  <c r="D12" i="29"/>
  <c r="D114" i="73"/>
  <c r="D109" i="73"/>
  <c r="D126" i="73"/>
  <c r="F88" i="73"/>
  <c r="G89" i="73" s="1"/>
  <c r="G90" i="73" s="1"/>
  <c r="D43" i="73"/>
  <c r="D46" i="73" s="1"/>
  <c r="F13" i="77"/>
  <c r="E25" i="78"/>
  <c r="E21" i="76" s="1"/>
  <c r="D57" i="73"/>
  <c r="G132" i="73"/>
  <c r="D24" i="73"/>
  <c r="G30" i="73" s="1"/>
  <c r="D21" i="73"/>
  <c r="D25" i="73" s="1"/>
  <c r="G25" i="73"/>
  <c r="F21" i="73"/>
  <c r="B25" i="73"/>
  <c r="D22" i="73"/>
  <c r="D27" i="73" s="1"/>
  <c r="D30" i="73"/>
  <c r="F22" i="73"/>
  <c r="D14" i="77"/>
  <c r="E16" i="76" s="1"/>
  <c r="D16" i="76" s="1"/>
  <c r="G24" i="77"/>
  <c r="G23" i="77"/>
  <c r="H23" i="77" s="1"/>
  <c r="J23" i="77"/>
  <c r="E14" i="2"/>
  <c r="D14" i="2" s="1"/>
  <c r="D15" i="21"/>
  <c r="M12" i="21"/>
  <c r="E12" i="21"/>
  <c r="E12" i="77"/>
  <c r="C12" i="77"/>
  <c r="C14" i="76"/>
  <c r="C15" i="21"/>
  <c r="C14" i="2"/>
  <c r="E13" i="21"/>
  <c r="I11" i="80"/>
  <c r="I7" i="80"/>
  <c r="I12" i="80"/>
  <c r="X17" i="80"/>
  <c r="I6" i="80"/>
  <c r="X9" i="80"/>
  <c r="I15" i="80"/>
  <c r="I20" i="80"/>
  <c r="X7" i="80"/>
  <c r="X11" i="80"/>
  <c r="X15" i="80"/>
  <c r="I23" i="80"/>
  <c r="I24" i="80"/>
  <c r="I26" i="80"/>
  <c r="I27" i="80"/>
  <c r="Y23" i="7"/>
  <c r="N10" i="1"/>
  <c r="Y7" i="7"/>
  <c r="C16" i="2"/>
  <c r="C22" i="2" s="1"/>
  <c r="Q7" i="1"/>
  <c r="I17" i="82"/>
  <c r="I20" i="82"/>
  <c r="I9" i="82"/>
  <c r="Y17" i="82"/>
  <c r="I18" i="82"/>
  <c r="I25" i="82"/>
  <c r="I24" i="7"/>
  <c r="C16" i="77"/>
  <c r="I14" i="7"/>
  <c r="Y11" i="7"/>
  <c r="C14" i="72"/>
  <c r="C19" i="72" s="1"/>
  <c r="C40" i="72" s="1"/>
  <c r="I22" i="7"/>
  <c r="I15" i="7"/>
  <c r="Y14" i="7"/>
  <c r="I27" i="7"/>
  <c r="Y17" i="7"/>
  <c r="Y19" i="82"/>
  <c r="I21" i="82"/>
  <c r="Y12" i="82"/>
  <c r="Y27" i="7"/>
  <c r="C23" i="76"/>
  <c r="O44" i="1"/>
  <c r="O20" i="1" s="1"/>
  <c r="C25" i="72"/>
  <c r="C41" i="72"/>
  <c r="C42" i="72"/>
  <c r="N44" i="1"/>
  <c r="N20" i="1" s="1"/>
  <c r="L44" i="1"/>
  <c r="L20" i="1"/>
  <c r="L28" i="1" s="1"/>
  <c r="K44" i="1"/>
  <c r="K20" i="1" s="1"/>
  <c r="J20" i="1"/>
  <c r="L22" i="1"/>
  <c r="L27" i="1" s="1"/>
  <c r="F22" i="1"/>
  <c r="F27" i="1" s="1"/>
  <c r="Q10" i="1"/>
  <c r="F28" i="1"/>
  <c r="C12" i="72"/>
  <c r="C12" i="81"/>
  <c r="L24" i="1"/>
  <c r="J22" i="1"/>
  <c r="J25" i="1"/>
  <c r="F24" i="1"/>
  <c r="C21" i="72"/>
  <c r="F13" i="21"/>
  <c r="F15" i="21" s="1"/>
  <c r="E18" i="2" s="1"/>
  <c r="F18" i="2" s="1"/>
  <c r="J23" i="21"/>
  <c r="G22" i="1" l="1"/>
  <c r="J28" i="1"/>
  <c r="J27" i="1"/>
  <c r="J24" i="1"/>
  <c r="J26" i="1" s="1"/>
  <c r="J30" i="1" s="1"/>
  <c r="K22" i="1"/>
  <c r="C21" i="81"/>
  <c r="D93" i="73"/>
  <c r="D96" i="73" s="1"/>
  <c r="D91" i="73"/>
  <c r="G78" i="73"/>
  <c r="D73" i="73"/>
  <c r="D75" i="73"/>
  <c r="D78" i="73" s="1"/>
  <c r="G71" i="73"/>
  <c r="G72" i="73" s="1"/>
  <c r="F26" i="1"/>
  <c r="F30" i="1" s="1"/>
  <c r="E36" i="80"/>
  <c r="O22" i="1"/>
  <c r="X10" i="80"/>
  <c r="I10" i="80"/>
  <c r="X13" i="80"/>
  <c r="I13" i="80"/>
  <c r="I30" i="80" s="1"/>
  <c r="H30" i="80" s="1"/>
  <c r="L25" i="1"/>
  <c r="L26" i="1" s="1"/>
  <c r="L30" i="1" s="1"/>
  <c r="D12" i="72"/>
  <c r="F37" i="73"/>
  <c r="F38" i="73"/>
  <c r="F106" i="73"/>
  <c r="F30" i="7"/>
  <c r="E36" i="7" s="1"/>
  <c r="Y8" i="82"/>
  <c r="I8" i="82"/>
  <c r="F30" i="82"/>
  <c r="I11" i="82"/>
  <c r="E22" i="1"/>
  <c r="E28" i="1"/>
  <c r="D22" i="1"/>
  <c r="D28" i="1"/>
  <c r="N22" i="1"/>
  <c r="C27" i="72"/>
  <c r="C14" i="3"/>
  <c r="Q51" i="1"/>
  <c r="J25" i="77"/>
  <c r="H13" i="77"/>
  <c r="H16" i="77" s="1"/>
  <c r="E19" i="76" s="1"/>
  <c r="F105" i="73"/>
  <c r="F124" i="73"/>
  <c r="G127" i="73"/>
  <c r="D124" i="73"/>
  <c r="B127" i="73"/>
  <c r="I29" i="80"/>
  <c r="X29" i="80" s="1"/>
  <c r="I29" i="7"/>
  <c r="Y29" i="7" s="1"/>
  <c r="G27" i="71"/>
  <c r="E20" i="2" s="1"/>
  <c r="F20" i="2" s="1"/>
  <c r="C31" i="71"/>
  <c r="D11" i="77"/>
  <c r="I25" i="7"/>
  <c r="Y25" i="7"/>
  <c r="I19" i="80"/>
  <c r="X19" i="80"/>
  <c r="Q53" i="1"/>
  <c r="Y6" i="82"/>
  <c r="I6" i="82"/>
  <c r="I8" i="80"/>
  <c r="X8" i="80"/>
  <c r="X28" i="80" s="1"/>
  <c r="X30" i="80" s="1"/>
  <c r="Y30" i="80" s="1"/>
  <c r="F25" i="1"/>
  <c r="E16" i="2"/>
  <c r="Y10" i="7"/>
  <c r="Y28" i="7" s="1"/>
  <c r="Y30" i="7" s="1"/>
  <c r="G94" i="73"/>
  <c r="G97" i="73" s="1"/>
  <c r="M22" i="1"/>
  <c r="Y16" i="7"/>
  <c r="I16" i="7"/>
  <c r="C44" i="1"/>
  <c r="C20" i="1" s="1"/>
  <c r="I43" i="1"/>
  <c r="I44" i="1" s="1"/>
  <c r="I20" i="1" s="1"/>
  <c r="G76" i="73"/>
  <c r="E15" i="21"/>
  <c r="G23" i="73"/>
  <c r="G24" i="73" s="1"/>
  <c r="G28" i="73" s="1"/>
  <c r="G31" i="73" s="1"/>
  <c r="F70" i="73"/>
  <c r="I19" i="7"/>
  <c r="Y18" i="7"/>
  <c r="I18" i="7"/>
  <c r="Y24" i="82"/>
  <c r="I24" i="82"/>
  <c r="H22" i="1"/>
  <c r="H28" i="1" s="1"/>
  <c r="C16" i="1"/>
  <c r="Q12" i="1"/>
  <c r="Q16" i="1" s="1"/>
  <c r="I13" i="7"/>
  <c r="I8" i="7"/>
  <c r="I30" i="7" s="1"/>
  <c r="H30" i="7" s="1"/>
  <c r="E16" i="3" s="1"/>
  <c r="I17" i="80"/>
  <c r="I9" i="7"/>
  <c r="X18" i="80"/>
  <c r="I18" i="80"/>
  <c r="Y7" i="82"/>
  <c r="I7" i="82"/>
  <c r="C6" i="73" l="1"/>
  <c r="E17" i="75"/>
  <c r="E14" i="72"/>
  <c r="E14" i="81"/>
  <c r="Z30" i="7"/>
  <c r="Q20" i="1"/>
  <c r="N24" i="1"/>
  <c r="N27" i="1"/>
  <c r="N28" i="1"/>
  <c r="Q54" i="1"/>
  <c r="O27" i="1"/>
  <c r="O25" i="1"/>
  <c r="G79" i="73"/>
  <c r="D16" i="2"/>
  <c r="F16" i="2"/>
  <c r="E22" i="2"/>
  <c r="I30" i="82"/>
  <c r="H30" i="82" s="1"/>
  <c r="C15" i="75"/>
  <c r="K24" i="1"/>
  <c r="K26" i="1" s="1"/>
  <c r="K30" i="1" s="1"/>
  <c r="K25" i="1"/>
  <c r="K27" i="1"/>
  <c r="C16" i="3"/>
  <c r="I22" i="1"/>
  <c r="M24" i="1"/>
  <c r="M26" i="1" s="1"/>
  <c r="M30" i="1" s="1"/>
  <c r="M25" i="1"/>
  <c r="M28" i="1"/>
  <c r="M27" i="1"/>
  <c r="Y28" i="82"/>
  <c r="Y30" i="82" s="1"/>
  <c r="Z30" i="82" s="1"/>
  <c r="G107" i="73"/>
  <c r="G108" i="73" s="1"/>
  <c r="G112" i="73" s="1"/>
  <c r="G115" i="73" s="1"/>
  <c r="O28" i="1"/>
  <c r="D23" i="72"/>
  <c r="G23" i="72" s="1"/>
  <c r="D25" i="72"/>
  <c r="G25" i="72" s="1"/>
  <c r="D17" i="72"/>
  <c r="G17" i="72" s="1"/>
  <c r="D19" i="72"/>
  <c r="D14" i="72"/>
  <c r="D25" i="1"/>
  <c r="D27" i="1"/>
  <c r="D24" i="1"/>
  <c r="E37" i="82"/>
  <c r="G39" i="73"/>
  <c r="G40" i="73" s="1"/>
  <c r="G44" i="73" s="1"/>
  <c r="G47" i="73" s="1"/>
  <c r="D21" i="72"/>
  <c r="C22" i="1"/>
  <c r="D127" i="73"/>
  <c r="D129" i="73"/>
  <c r="D132" i="73" s="1"/>
  <c r="C27" i="81"/>
  <c r="D21" i="81" s="1"/>
  <c r="G25" i="1"/>
  <c r="G27" i="1"/>
  <c r="G24" i="1"/>
  <c r="H27" i="1"/>
  <c r="H24" i="1"/>
  <c r="H26" i="1" s="1"/>
  <c r="H30" i="1" s="1"/>
  <c r="H25" i="1"/>
  <c r="G12" i="77"/>
  <c r="D12" i="77" s="1"/>
  <c r="E14" i="76" s="1"/>
  <c r="D14" i="76" s="1"/>
  <c r="E13" i="76"/>
  <c r="D16" i="77"/>
  <c r="G16" i="77" s="1"/>
  <c r="F123" i="73"/>
  <c r="G125" i="73" s="1"/>
  <c r="G126" i="73" s="1"/>
  <c r="G130" i="73"/>
  <c r="G133" i="73" s="1"/>
  <c r="N25" i="1"/>
  <c r="E25" i="1"/>
  <c r="E27" i="1"/>
  <c r="E24" i="1"/>
  <c r="O24" i="1"/>
  <c r="O26" i="1" s="1"/>
  <c r="O30" i="1" s="1"/>
  <c r="K28" i="1"/>
  <c r="G28" i="1"/>
  <c r="C17" i="75" l="1"/>
  <c r="C18" i="3"/>
  <c r="Q28" i="1"/>
  <c r="D13" i="76"/>
  <c r="E17" i="76"/>
  <c r="C27" i="1"/>
  <c r="C24" i="1"/>
  <c r="C26" i="1" s="1"/>
  <c r="C30" i="1" s="1"/>
  <c r="I25" i="1"/>
  <c r="I27" i="1"/>
  <c r="I24" i="1"/>
  <c r="I26" i="1" s="1"/>
  <c r="E12" i="81"/>
  <c r="F12" i="81" s="1"/>
  <c r="F22" i="2"/>
  <c r="E14" i="3" s="1"/>
  <c r="C5" i="73" s="1"/>
  <c r="E12" i="72"/>
  <c r="F12" i="72" s="1"/>
  <c r="G12" i="72" s="1"/>
  <c r="E26" i="1"/>
  <c r="E30" i="1" s="1"/>
  <c r="G26" i="1"/>
  <c r="G30" i="1" s="1"/>
  <c r="C25" i="1"/>
  <c r="D26" i="1"/>
  <c r="D30" i="1" s="1"/>
  <c r="I28" i="1"/>
  <c r="N26" i="1"/>
  <c r="N30" i="1" s="1"/>
  <c r="E19" i="81"/>
  <c r="F14" i="81"/>
  <c r="D27" i="72"/>
  <c r="Q22" i="1"/>
  <c r="C20" i="3"/>
  <c r="D14" i="3" s="1"/>
  <c r="C28" i="1"/>
  <c r="F14" i="72"/>
  <c r="E19" i="72"/>
  <c r="D25" i="81"/>
  <c r="G25" i="81" s="1"/>
  <c r="D17" i="81"/>
  <c r="G17" i="81" s="1"/>
  <c r="D23" i="81"/>
  <c r="G23" i="81" s="1"/>
  <c r="D14" i="81"/>
  <c r="D19" i="81"/>
  <c r="D12" i="81"/>
  <c r="G14" i="72"/>
  <c r="D20" i="3" l="1"/>
  <c r="B5" i="73"/>
  <c r="D15" i="75"/>
  <c r="F14" i="3"/>
  <c r="D27" i="81"/>
  <c r="G14" i="81"/>
  <c r="Q27" i="1"/>
  <c r="Q24" i="1"/>
  <c r="Q25" i="1"/>
  <c r="F19" i="81"/>
  <c r="G19" i="81" s="1"/>
  <c r="E21" i="81"/>
  <c r="F21" i="81" s="1"/>
  <c r="G21" i="81" s="1"/>
  <c r="G27" i="81" s="1"/>
  <c r="I30" i="1"/>
  <c r="E23" i="76"/>
  <c r="F23" i="76" s="1"/>
  <c r="E15" i="75" s="1"/>
  <c r="D17" i="76"/>
  <c r="D16" i="3"/>
  <c r="G12" i="81"/>
  <c r="E21" i="72"/>
  <c r="F21" i="72" s="1"/>
  <c r="G21" i="72" s="1"/>
  <c r="G27" i="72" s="1"/>
  <c r="F19" i="72"/>
  <c r="G19" i="72" s="1"/>
  <c r="D18" i="3"/>
  <c r="C19" i="75"/>
  <c r="C21" i="75" s="1"/>
  <c r="B9" i="73" l="1"/>
  <c r="D5" i="73"/>
  <c r="D19" i="75"/>
  <c r="F19" i="75" s="1"/>
  <c r="F18" i="3"/>
  <c r="B8" i="73"/>
  <c r="D8" i="73" s="1"/>
  <c r="G14" i="73" s="1"/>
  <c r="Q26" i="1"/>
  <c r="Q30" i="1" s="1"/>
  <c r="F16" i="3"/>
  <c r="F20" i="3" s="1"/>
  <c r="B6" i="73"/>
  <c r="D17" i="75"/>
  <c r="F17" i="75" s="1"/>
  <c r="D21" i="75"/>
  <c r="F15" i="75"/>
  <c r="F21" i="75" s="1"/>
  <c r="D6" i="73" l="1"/>
  <c r="D11" i="73" s="1"/>
  <c r="D14" i="73" s="1"/>
  <c r="G9" i="73"/>
  <c r="D9" i="73" l="1"/>
  <c r="F5" i="73"/>
  <c r="F6" i="73"/>
  <c r="G7" i="73" l="1"/>
  <c r="G8" i="73" s="1"/>
  <c r="G12" i="73" s="1"/>
  <c r="G15" i="73" s="1"/>
</calcChain>
</file>

<file path=xl/comments1.xml><?xml version="1.0" encoding="utf-8"?>
<comments xmlns="http://schemas.openxmlformats.org/spreadsheetml/2006/main">
  <authors>
    <author>jsant</author>
  </authors>
  <commentList>
    <comment ref="B34" authorId="0">
      <text>
        <r>
          <rPr>
            <sz val="8"/>
            <color indexed="81"/>
            <rFont val="Tahoma"/>
            <family val="2"/>
          </rPr>
          <t>Positive numbers are credits to equity, negative numbers are debits.</t>
        </r>
        <r>
          <rPr>
            <sz val="8"/>
            <color indexed="81"/>
            <rFont val="Tahoma"/>
            <family val="2"/>
          </rPr>
          <t xml:space="preserve">
</t>
        </r>
      </text>
    </comment>
    <comment ref="B44" authorId="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authors>
    <author>jsant</author>
    <author>Puget Sound Energy</author>
  </authors>
  <commentList>
    <comment ref="C9" authorId="0">
      <text>
        <r>
          <rPr>
            <sz val="8"/>
            <color indexed="81"/>
            <rFont val="Tahoma"/>
            <family val="2"/>
          </rPr>
          <t xml:space="preserve">Based on daily balances outstanding
</t>
        </r>
      </text>
    </comment>
    <comment ref="F9" authorId="0">
      <text>
        <r>
          <rPr>
            <sz val="8"/>
            <color indexed="81"/>
            <rFont val="Tahoma"/>
            <family val="2"/>
          </rPr>
          <t>Includes Credit Facility and Letter of Credit Fees.</t>
        </r>
        <r>
          <rPr>
            <sz val="8"/>
            <color indexed="81"/>
            <rFont val="Tahoma"/>
            <family val="2"/>
          </rPr>
          <t xml:space="preserve">
</t>
        </r>
      </text>
    </comment>
    <comment ref="J27" authorId="1">
      <text>
        <r>
          <rPr>
            <b/>
            <sz val="8"/>
            <color indexed="81"/>
            <rFont val="Tahoma"/>
            <family val="2"/>
          </rPr>
          <t>Puget Sound Energy:</t>
        </r>
        <r>
          <rPr>
            <sz val="8"/>
            <color indexed="81"/>
            <rFont val="Tahoma"/>
            <family val="2"/>
          </rPr>
          <t xml:space="preserve">
Added $12.92 monthly to cover cost of annual amendment fees</t>
        </r>
      </text>
    </comment>
  </commentList>
</comments>
</file>

<file path=xl/comments3.xml><?xml version="1.0" encoding="utf-8"?>
<comments xmlns="http://schemas.openxmlformats.org/spreadsheetml/2006/main">
  <authors>
    <author>jsant</author>
  </authors>
  <commentList>
    <comment ref="I30" authorId="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E15" authorId="0">
      <text>
        <r>
          <rPr>
            <sz val="8"/>
            <color indexed="81"/>
            <rFont val="Tahoma"/>
            <family val="2"/>
          </rPr>
          <t>Short-term cost priced as if under Pre-Merger facilities.</t>
        </r>
        <r>
          <rPr>
            <sz val="8"/>
            <color indexed="81"/>
            <rFont val="Tahoma"/>
            <family val="2"/>
          </rPr>
          <t xml:space="preserve">
</t>
        </r>
      </text>
    </comment>
    <comment ref="E17" author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authors>
    <author>jsant</author>
    <author>Jim Sant</author>
  </authors>
  <commentList>
    <comment ref="C10" authorId="0">
      <text>
        <r>
          <rPr>
            <sz val="8"/>
            <color indexed="81"/>
            <rFont val="Tahoma"/>
            <family val="2"/>
          </rPr>
          <t xml:space="preserve">Based on daily balances outstanding
</t>
        </r>
      </text>
    </comment>
    <comment ref="H10" authorId="0">
      <text>
        <r>
          <rPr>
            <sz val="8"/>
            <color indexed="81"/>
            <rFont val="Tahoma"/>
            <family val="2"/>
          </rPr>
          <t>Includes Credit Facility and Letter of Credit Fees.</t>
        </r>
        <r>
          <rPr>
            <sz val="8"/>
            <color indexed="81"/>
            <rFont val="Tahoma"/>
            <family val="2"/>
          </rPr>
          <t xml:space="preserve">
</t>
        </r>
      </text>
    </comment>
    <comment ref="F11" authorId="0">
      <text>
        <r>
          <rPr>
            <sz val="8"/>
            <color indexed="81"/>
            <rFont val="Tahoma"/>
            <family val="2"/>
          </rPr>
          <t>CP cost would be what the market would bear under pre or post-merger scenario. No adjustment need be made.</t>
        </r>
      </text>
    </comment>
    <comment ref="G12" authorId="1">
      <text>
        <r>
          <rPr>
            <sz val="8"/>
            <color indexed="81"/>
            <rFont val="Tahoma"/>
            <family val="2"/>
          </rPr>
          <t>Different Formula: 
Assumes takes on weighted average of the other borrowings on which its rate is based.</t>
        </r>
      </text>
    </comment>
    <comment ref="G23" author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text>
        <r>
          <rPr>
            <sz val="8"/>
            <color indexed="81"/>
            <rFont val="Tahoma"/>
            <family val="2"/>
          </rPr>
          <t>AR Sec Fac Comm Fee based on entire $200 million regardless of drawn amount.</t>
        </r>
        <r>
          <rPr>
            <sz val="8"/>
            <color indexed="81"/>
            <rFont val="Tahoma"/>
            <family val="2"/>
          </rPr>
          <t xml:space="preserve">
</t>
        </r>
      </text>
    </comment>
    <comment ref="J24" author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<sst xmlns="http://schemas.openxmlformats.org/spreadsheetml/2006/main" count="894" uniqueCount="333">
  <si>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</si>
  <si>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</si>
  <si>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</si>
  <si>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</si>
  <si>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</si>
  <si>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</si>
  <si>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</si>
  <si>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</si>
  <si>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</si>
  <si>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</si>
  <si>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</si>
  <si>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</si>
  <si>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</si>
  <si>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</si>
  <si>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</si>
  <si>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</si>
  <si>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</si>
  <si>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</si>
  <si>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</si>
  <si>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</si>
  <si>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</si>
  <si>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</si>
  <si>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</si>
  <si>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</si>
  <si>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</si>
  <si>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</si>
  <si>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</si>
  <si>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</si>
  <si>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</si>
  <si>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</si>
  <si>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</si>
  <si>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</si>
  <si>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</si>
  <si>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</si>
  <si>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</si>
  <si>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</si>
  <si>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</si>
  <si>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</si>
  <si>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</si>
  <si>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</si>
  <si>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</si>
  <si>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</si>
  <si>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</si>
  <si>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</si>
  <si>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</si>
  <si>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</si>
  <si>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</si>
  <si>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</si>
  <si>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</si>
  <si>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</si>
  <si>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</si>
  <si>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</si>
  <si>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</si>
  <si>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</si>
  <si>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</si>
  <si>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</si>
  <si>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</si>
  <si>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</si>
  <si>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</si>
  <si>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</si>
  <si>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</si>
  <si>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</si>
  <si>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</si>
  <si>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</si>
  <si>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</si>
  <si>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</si>
  <si>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</si>
  <si>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</si>
  <si>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</si>
  <si>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</si>
  <si>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</si>
  <si>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</si>
  <si>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</si>
  <si>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</si>
  <si>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</si>
  <si>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</si>
  <si>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</si>
  <si>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</si>
  <si>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</si>
  <si>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</si>
  <si>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</si>
  <si>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</si>
  <si>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</si>
  <si>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</si>
  <si>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</si>
  <si>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</si>
  <si>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</si>
  <si>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</si>
  <si>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</si>
  <si>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</si>
  <si>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</si>
  <si>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</si>
  <si>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</si>
  <si>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</si>
  <si>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</si>
  <si>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</si>
  <si>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</si>
  <si>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</si>
  <si>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</si>
  <si>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</si>
  <si>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</si>
  <si>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</si>
  <si>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</si>
  <si>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</si>
  <si>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</si>
  <si>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</si>
  <si>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</si>
  <si>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</si>
  <si>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</si>
  <si>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</si>
  <si>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</si>
  <si>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</si>
  <si>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</si>
  <si>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</si>
  <si>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</si>
  <si>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</si>
  <si>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</si>
  <si>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</si>
  <si>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</si>
  <si>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</si>
  <si>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</si>
  <si>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</si>
  <si>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</si>
  <si>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</si>
  <si>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</si>
  <si>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</si>
  <si>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</si>
  <si>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</si>
  <si>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</si>
  <si>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</si>
  <si>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</si>
  <si>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</si>
  <si>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</si>
  <si>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</si>
  <si>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</si>
  <si>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</si>
  <si>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</si>
  <si>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</si>
  <si>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</si>
  <si>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</si>
  <si>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</si>
  <si>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</si>
  <si>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</si>
  <si>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</si>
  <si>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</si>
  <si>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</si>
  <si>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</si>
  <si>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</si>
  <si>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</si>
  <si>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</si>
  <si>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</si>
  <si>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</si>
  <si>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</si>
  <si>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</si>
  <si>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</si>
  <si>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</si>
  <si>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</si>
  <si>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</si>
  <si>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</si>
  <si>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</si>
  <si>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</si>
  <si>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</si>
  <si>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</si>
  <si>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</si>
  <si>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</si>
  <si>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</si>
  <si>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$400 million</t>
  </si>
  <si>
    <t>Working Cap Fac</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</si>
  <si>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</si>
  <si>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</si>
  <si>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</si>
  <si>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</si>
  <si>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</si>
  <si>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</si>
  <si>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</si>
  <si>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</si>
  <si>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</si>
  <si>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360 Basis Rate</t>
  </si>
  <si>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</si>
  <si>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</si>
  <si>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</si>
  <si>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</si>
  <si>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</si>
  <si>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</si>
  <si>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</si>
  <si>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</si>
  <si>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</si>
  <si>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</si>
  <si>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</si>
  <si>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</si>
  <si>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</si>
  <si>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</si>
  <si>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</si>
  <si>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</si>
  <si>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</si>
  <si>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</si>
  <si>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</si>
  <si>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</si>
  <si>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</si>
  <si>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</si>
  <si>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</si>
  <si>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</si>
  <si>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</si>
  <si>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</si>
  <si>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</si>
  <si>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</si>
  <si>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</si>
  <si>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</si>
  <si>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</si>
  <si>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</si>
  <si>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</si>
  <si>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</si>
  <si>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</si>
  <si>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</si>
  <si>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</si>
  <si>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</si>
  <si>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</si>
  <si>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</si>
  <si>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</si>
  <si>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</si>
  <si>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</si>
  <si>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</si>
  <si>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</si>
  <si>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</si>
  <si>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</si>
  <si>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</si>
  <si>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</si>
  <si>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</si>
  <si>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</si>
  <si>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</si>
  <si>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</si>
  <si>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</si>
  <si>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</si>
  <si>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</si>
  <si>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</si>
  <si>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</si>
  <si>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</si>
  <si>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</si>
  <si>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</si>
  <si>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</si>
  <si>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</si>
  <si>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</si>
  <si>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</si>
  <si>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</si>
  <si>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</si>
  <si>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</si>
  <si>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</si>
  <si>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</si>
  <si>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</si>
  <si>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</si>
  <si>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</si>
  <si>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</si>
  <si>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</si>
  <si>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</si>
  <si>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</si>
  <si>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</si>
  <si>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</si>
  <si>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</si>
  <si>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</si>
  <si>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</si>
  <si>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</si>
  <si>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</si>
  <si>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</si>
  <si>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</si>
  <si>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</si>
  <si>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</si>
  <si>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</si>
  <si>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</si>
  <si>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</si>
  <si>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</si>
  <si>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</si>
  <si>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Sub Total 231</t>
  </si>
  <si>
    <t>Sub Total 233</t>
  </si>
  <si>
    <t>Sub Total 221 &amp; 226</t>
  </si>
  <si>
    <t>Sub Total 221 Jr. Subordinated</t>
  </si>
  <si>
    <t>Credit Agreement</t>
  </si>
  <si>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</si>
  <si>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</si>
  <si>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</si>
  <si>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</si>
  <si>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</si>
  <si>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</si>
  <si>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</si>
  <si>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</si>
  <si>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</si>
  <si>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</si>
  <si>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</si>
  <si>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</si>
  <si>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</si>
  <si>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</si>
  <si>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</si>
  <si>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</si>
  <si>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</si>
  <si>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</si>
  <si>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</si>
  <si>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</si>
  <si>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</si>
  <si>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</si>
  <si>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</si>
  <si>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</si>
  <si>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</si>
  <si>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</si>
  <si>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Financial Package</t>
  </si>
  <si>
    <t>SAP ZFR00016</t>
  </si>
  <si>
    <t>SAP</t>
  </si>
  <si>
    <t>PSE - PE</t>
  </si>
  <si>
    <t>SBLC</t>
  </si>
  <si>
    <t>SAP FS10N</t>
  </si>
  <si>
    <t>Capex Fac</t>
  </si>
  <si>
    <t>18101083/18900403</t>
  </si>
  <si>
    <t>Liquidity Refinance</t>
  </si>
  <si>
    <t>LONG TERM DEBT</t>
  </si>
  <si>
    <t>COMMON STOCK</t>
  </si>
  <si>
    <t>SN 5.197%</t>
  </si>
  <si>
    <t>SN 6.75%</t>
  </si>
  <si>
    <t>30 Yr 4.30%</t>
  </si>
  <si>
    <t>SAP "Balance Sheet" 18900000 - 18999999</t>
  </si>
  <si>
    <t>GAP AMA Equity</t>
  </si>
  <si>
    <t>GAP AMA Total Cap</t>
  </si>
  <si>
    <t>GAP AMA Equity Ratio</t>
  </si>
  <si>
    <t>GAP EOP Equity Ratio</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</si>
  <si>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</si>
  <si>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</si>
  <si>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</si>
  <si>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June 30, 2015 Through June 30, 2016</t>
  </si>
  <si>
    <t>As of: 6/30/15</t>
  </si>
  <si>
    <t>AUG</t>
  </si>
  <si>
    <t>JUL</t>
  </si>
  <si>
    <t>JUN</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</si>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</sst>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_);[Red]\(0.0\)"/>
    <numFmt numFmtId="188" formatCode="_(* #,##0.000_);_(* \(#,##0.000\);_(* &quot;-&quot;??_);_(@_)"/>
  </numFmts>
  <fonts count="84">
    <font>
      <sz val="8"/>
      <name val="Arial"/>
      <family val="2"/>
    </font>
    <font>
      <sz val="10"/>
      <name val="Arial"/>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37" fontId="0" fillId="0" borderId="0"/>
    <xf numFmtId="0" fontId="55" fillId="2"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8" fillId="16" borderId="1" applyNumberFormat="0" applyAlignment="0" applyProtection="0"/>
    <xf numFmtId="0" fontId="58" fillId="16" borderId="1" applyNumberFormat="0" applyAlignment="0" applyProtection="0"/>
    <xf numFmtId="0" fontId="59" fillId="17" borderId="2" applyNumberFormat="0" applyAlignment="0" applyProtection="0"/>
    <xf numFmtId="0" fontId="59" fillId="17"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3"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6" borderId="0" applyNumberFormat="0" applyBorder="0" applyAlignment="0" applyProtection="0"/>
    <xf numFmtId="0" fontId="61" fillId="6" borderId="0" applyNumberFormat="0" applyBorder="0" applyAlignment="0" applyProtection="0"/>
    <xf numFmtId="0" fontId="62" fillId="0" borderId="3" applyNumberFormat="0" applyFill="0" applyAlignment="0" applyProtection="0"/>
    <xf numFmtId="0" fontId="62" fillId="0" borderId="3"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7" borderId="1" applyNumberFormat="0" applyAlignment="0" applyProtection="0"/>
    <xf numFmtId="0" fontId="65" fillId="7" borderId="1" applyNumberFormat="0" applyAlignment="0" applyProtection="0"/>
    <xf numFmtId="0" fontId="66" fillId="0" borderId="6" applyNumberFormat="0" applyFill="0" applyAlignment="0" applyProtection="0"/>
    <xf numFmtId="0" fontId="66" fillId="0" borderId="6" applyNumberFormat="0" applyFill="0" applyAlignment="0" applyProtection="0"/>
    <xf numFmtId="177" fontId="24" fillId="0" borderId="0"/>
    <xf numFmtId="0" fontId="67" fillId="7" borderId="0" applyNumberFormat="0" applyBorder="0" applyAlignment="0" applyProtection="0"/>
    <xf numFmtId="0" fontId="67" fillId="7" borderId="0" applyNumberFormat="0" applyBorder="0" applyAlignment="0" applyProtection="0"/>
    <xf numFmtId="0" fontId="1" fillId="0" borderId="0"/>
    <xf numFmtId="0" fontId="12" fillId="0" borderId="0"/>
    <xf numFmtId="0" fontId="12" fillId="0" borderId="0"/>
    <xf numFmtId="37" fontId="15" fillId="0" borderId="0"/>
    <xf numFmtId="0" fontId="3" fillId="0" borderId="0"/>
    <xf numFmtId="0" fontId="3" fillId="0" borderId="0"/>
    <xf numFmtId="0" fontId="49" fillId="0" borderId="0"/>
    <xf numFmtId="37" fontId="3" fillId="0" borderId="0"/>
    <xf numFmtId="37" fontId="3" fillId="0" borderId="0"/>
    <xf numFmtId="37" fontId="3" fillId="0" borderId="0"/>
    <xf numFmtId="37" fontId="15" fillId="0" borderId="0"/>
    <xf numFmtId="10" fontId="3" fillId="0" borderId="0"/>
    <xf numFmtId="0" fontId="3" fillId="0" borderId="0"/>
    <xf numFmtId="0" fontId="1" fillId="0" borderId="0"/>
    <xf numFmtId="0" fontId="15" fillId="4" borderId="7" applyNumberFormat="0" applyFont="0" applyAlignment="0" applyProtection="0"/>
    <xf numFmtId="0" fontId="15" fillId="4" borderId="7" applyNumberFormat="0" applyFont="0" applyAlignment="0" applyProtection="0"/>
    <xf numFmtId="0" fontId="68" fillId="16" borderId="8" applyNumberFormat="0" applyAlignment="0" applyProtection="0"/>
    <xf numFmtId="0" fontId="68" fillId="16" borderId="8" applyNumberFormat="0" applyAlignment="0" applyProtection="0"/>
    <xf numFmtId="9" fontId="1" fillId="0" borderId="0" applyFont="0" applyFill="0" applyBorder="0" applyAlignment="0" applyProtection="0"/>
    <xf numFmtId="9" fontId="12"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0"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600">
    <xf numFmtId="37" fontId="0" fillId="0" borderId="0" xfId="0"/>
    <xf numFmtId="0" fontId="4" fillId="0" borderId="0" xfId="85" applyFont="1"/>
    <xf numFmtId="0" fontId="4" fillId="0" borderId="0" xfId="85" applyFont="1" applyFill="1"/>
    <xf numFmtId="37" fontId="4" fillId="0" borderId="0" xfId="88" applyFont="1" applyAlignment="1" applyProtection="1">
      <alignment horizontal="center"/>
    </xf>
    <xf numFmtId="37" fontId="4" fillId="0" borderId="0" xfId="88" applyFont="1" applyProtection="1"/>
    <xf numFmtId="37" fontId="4" fillId="0" borderId="0" xfId="88" applyFont="1"/>
    <xf numFmtId="37" fontId="5" fillId="0" borderId="0" xfId="0" applyFont="1" applyAlignment="1">
      <alignment horizontal="centerContinuous"/>
    </xf>
    <xf numFmtId="37" fontId="4" fillId="0" borderId="0" xfId="88" applyFont="1" applyAlignment="1">
      <alignment horizontal="centerContinuous"/>
    </xf>
    <xf numFmtId="37" fontId="4" fillId="0" borderId="0" xfId="88" applyFont="1" applyAlignment="1" applyProtection="1">
      <alignment horizontal="left"/>
    </xf>
    <xf numFmtId="10" fontId="4" fillId="0" borderId="0" xfId="88" applyNumberFormat="1" applyFont="1" applyProtection="1"/>
    <xf numFmtId="37" fontId="4" fillId="0" borderId="0" xfId="88" applyNumberFormat="1" applyFont="1" applyProtection="1"/>
    <xf numFmtId="37" fontId="4" fillId="0" borderId="0" xfId="88" applyFont="1" applyAlignment="1">
      <alignment horizontal="center"/>
    </xf>
    <xf numFmtId="15" fontId="4" fillId="0" borderId="0" xfId="88" applyNumberFormat="1" applyFont="1" applyProtection="1"/>
    <xf numFmtId="7" fontId="4" fillId="0" borderId="0" xfId="88" applyNumberFormat="1" applyFont="1" applyProtection="1"/>
    <xf numFmtId="168" fontId="4" fillId="0" borderId="0" xfId="88" applyNumberFormat="1" applyFont="1" applyProtection="1"/>
    <xf numFmtId="1" fontId="4" fillId="0" borderId="0" xfId="92" applyNumberFormat="1" applyFont="1" applyProtection="1"/>
    <xf numFmtId="10" fontId="4" fillId="0" borderId="0" xfId="92" applyFont="1"/>
    <xf numFmtId="10" fontId="4" fillId="0" borderId="0" xfId="92" applyFont="1" applyAlignment="1">
      <alignment horizontal="centerContinuous"/>
    </xf>
    <xf numFmtId="1" fontId="4" fillId="0" borderId="0" xfId="92" applyNumberFormat="1" applyFont="1" applyAlignment="1" applyProtection="1">
      <alignment horizontal="center"/>
    </xf>
    <xf numFmtId="37" fontId="4" fillId="0" borderId="0" xfId="0" applyFont="1"/>
    <xf numFmtId="5" fontId="4" fillId="0" borderId="0" xfId="92" applyNumberFormat="1" applyFont="1" applyProtection="1"/>
    <xf numFmtId="165" fontId="4" fillId="0" borderId="0" xfId="92" applyNumberFormat="1" applyFont="1" applyProtection="1"/>
    <xf numFmtId="10" fontId="4" fillId="0" borderId="0" xfId="92" applyNumberFormat="1" applyFont="1" applyProtection="1"/>
    <xf numFmtId="37" fontId="4" fillId="0" borderId="0" xfId="89" applyFont="1"/>
    <xf numFmtId="37" fontId="4" fillId="0" borderId="0" xfId="89" applyFont="1" applyAlignment="1" applyProtection="1">
      <alignment horizontal="center"/>
    </xf>
    <xf numFmtId="37" fontId="6" fillId="0" borderId="0" xfId="89" applyFont="1" applyAlignment="1">
      <alignment horizontal="center"/>
    </xf>
    <xf numFmtId="5" fontId="4" fillId="0" borderId="0" xfId="89" applyNumberFormat="1" applyFont="1"/>
    <xf numFmtId="37" fontId="7" fillId="0" borderId="0" xfId="89" applyFont="1"/>
    <xf numFmtId="37" fontId="7" fillId="0" borderId="0" xfId="89" applyFont="1" applyFill="1"/>
    <xf numFmtId="15" fontId="4" fillId="0" borderId="0" xfId="89" applyNumberFormat="1" applyFont="1" applyProtection="1"/>
    <xf numFmtId="0" fontId="4" fillId="0" borderId="0" xfId="93" applyFont="1" applyAlignment="1" applyProtection="1">
      <alignment horizontal="left"/>
    </xf>
    <xf numFmtId="0" fontId="9" fillId="0" borderId="0" xfId="93" applyFont="1"/>
    <xf numFmtId="0" fontId="5" fillId="0" borderId="0" xfId="93" applyFont="1"/>
    <xf numFmtId="5" fontId="5" fillId="0" borderId="0" xfId="93" applyNumberFormat="1" applyFont="1" applyProtection="1"/>
    <xf numFmtId="37" fontId="2" fillId="0" borderId="0" xfId="88" applyFont="1" applyAlignment="1" applyProtection="1">
      <alignment horizontal="centerContinuous"/>
    </xf>
    <xf numFmtId="37" fontId="15" fillId="0" borderId="0" xfId="0" applyFont="1"/>
    <xf numFmtId="37" fontId="17" fillId="0" borderId="0" xfId="0" applyFont="1"/>
    <xf numFmtId="15" fontId="15" fillId="0" borderId="0" xfId="0" applyNumberFormat="1" applyFont="1" applyAlignment="1">
      <alignment horizontal="left"/>
    </xf>
    <xf numFmtId="37" fontId="15" fillId="0" borderId="0" xfId="0" applyFont="1" applyBorder="1"/>
    <xf numFmtId="37" fontId="19" fillId="0" borderId="0" xfId="0" applyFont="1" applyBorder="1" applyAlignment="1">
      <alignment horizontal="right"/>
    </xf>
    <xf numFmtId="37" fontId="19" fillId="0" borderId="0" xfId="0" applyFont="1" applyBorder="1" applyAlignment="1">
      <alignment horizontal="center"/>
    </xf>
    <xf numFmtId="14" fontId="15" fillId="0" borderId="0" xfId="0" applyNumberFormat="1" applyFont="1" applyFill="1" applyBorder="1"/>
    <xf numFmtId="170" fontId="15" fillId="0" borderId="0" xfId="55" applyNumberFormat="1" applyFont="1" applyBorder="1"/>
    <xf numFmtId="166" fontId="17" fillId="0" borderId="0" xfId="0" applyNumberFormat="1" applyFont="1" applyAlignment="1">
      <alignment horizontal="left"/>
    </xf>
    <xf numFmtId="37" fontId="11" fillId="0" borderId="0" xfId="89" applyFont="1" applyFill="1" applyAlignment="1">
      <alignment horizontal="center"/>
    </xf>
    <xf numFmtId="5" fontId="7" fillId="0" borderId="0" xfId="89" applyNumberFormat="1" applyFont="1" applyFill="1"/>
    <xf numFmtId="37" fontId="7" fillId="0" borderId="0" xfId="89"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89" applyNumberFormat="1" applyFont="1" applyFill="1" applyProtection="1"/>
    <xf numFmtId="37" fontId="11" fillId="0" borderId="0" xfId="89" applyFont="1" applyFill="1" applyAlignment="1" applyProtection="1">
      <alignment horizontal="center"/>
    </xf>
    <xf numFmtId="10" fontId="7" fillId="0" borderId="0" xfId="89" applyNumberFormat="1" applyFont="1" applyFill="1" applyProtection="1"/>
    <xf numFmtId="168" fontId="7" fillId="0" borderId="0" xfId="89" applyNumberFormat="1" applyFont="1" applyFill="1" applyAlignment="1" applyProtection="1">
      <alignment horizontal="fill"/>
    </xf>
    <xf numFmtId="166" fontId="4" fillId="0" borderId="0" xfId="89" applyNumberFormat="1" applyFont="1" applyFill="1"/>
    <xf numFmtId="0" fontId="15" fillId="0" borderId="0" xfId="93" applyFont="1"/>
    <xf numFmtId="0" fontId="16" fillId="0" borderId="0" xfId="93" quotePrefix="1" applyFont="1" applyFill="1" applyAlignment="1" applyProtection="1">
      <alignment horizontal="center"/>
    </xf>
    <xf numFmtId="0" fontId="15" fillId="0" borderId="0" xfId="93" applyFont="1" applyFill="1"/>
    <xf numFmtId="0" fontId="17" fillId="0" borderId="0" xfId="93" applyFont="1" applyFill="1" applyAlignment="1" applyProtection="1">
      <alignment horizontal="center"/>
    </xf>
    <xf numFmtId="14" fontId="15" fillId="0" borderId="0" xfId="93" applyNumberFormat="1" applyFont="1" applyFill="1"/>
    <xf numFmtId="0" fontId="23" fillId="0" borderId="10" xfId="93" applyFont="1" applyFill="1" applyBorder="1" applyAlignment="1" applyProtection="1">
      <alignment horizontal="center" wrapText="1"/>
    </xf>
    <xf numFmtId="0" fontId="22" fillId="0" borderId="10" xfId="93" applyFont="1" applyFill="1" applyBorder="1" applyAlignment="1">
      <alignment horizontal="center"/>
    </xf>
    <xf numFmtId="7" fontId="15" fillId="0" borderId="0" xfId="93" applyNumberFormat="1" applyFont="1" applyFill="1"/>
    <xf numFmtId="0" fontId="17" fillId="0" borderId="0" xfId="93" quotePrefix="1" applyFont="1" applyFill="1" applyAlignment="1" applyProtection="1">
      <alignment horizontal="left"/>
    </xf>
    <xf numFmtId="37" fontId="12" fillId="0" borderId="0" xfId="88" applyFont="1"/>
    <xf numFmtId="37" fontId="14" fillId="0" borderId="0" xfId="88" applyFont="1"/>
    <xf numFmtId="37" fontId="14" fillId="0" borderId="0" xfId="88" applyFont="1" applyAlignment="1" applyProtection="1">
      <alignment horizontal="center"/>
    </xf>
    <xf numFmtId="37" fontId="26" fillId="0" borderId="0" xfId="88" applyFont="1" applyAlignment="1" applyProtection="1">
      <alignment horizontal="center"/>
    </xf>
    <xf numFmtId="37" fontId="12" fillId="0" borderId="0" xfId="88" applyFont="1" applyAlignment="1" applyProtection="1">
      <alignment horizontal="left"/>
    </xf>
    <xf numFmtId="37" fontId="12" fillId="0" borderId="0" xfId="88" applyFont="1" applyAlignment="1" applyProtection="1">
      <alignment horizontal="fill"/>
    </xf>
    <xf numFmtId="37" fontId="12" fillId="0" borderId="0" xfId="88" applyFont="1" applyAlignment="1" applyProtection="1">
      <alignment horizontal="center"/>
    </xf>
    <xf numFmtId="10" fontId="12" fillId="0" borderId="0" xfId="88" applyNumberFormat="1" applyFont="1" applyProtection="1"/>
    <xf numFmtId="37" fontId="12" fillId="0" borderId="0" xfId="88" applyNumberFormat="1" applyFont="1" applyProtection="1"/>
    <xf numFmtId="5" fontId="12" fillId="0" borderId="0" xfId="88" applyNumberFormat="1" applyFont="1" applyProtection="1"/>
    <xf numFmtId="5" fontId="12" fillId="0" borderId="0" xfId="88" applyNumberFormat="1" applyFont="1"/>
    <xf numFmtId="5" fontId="28" fillId="0" borderId="0" xfId="88" applyNumberFormat="1" applyFont="1"/>
    <xf numFmtId="5" fontId="28" fillId="0" borderId="0" xfId="88" applyNumberFormat="1" applyFont="1" applyProtection="1"/>
    <xf numFmtId="37" fontId="14" fillId="0" borderId="11" xfId="88" applyFont="1" applyBorder="1" applyAlignment="1" applyProtection="1">
      <alignment horizontal="left"/>
    </xf>
    <xf numFmtId="5" fontId="14" fillId="0" borderId="12" xfId="88" applyNumberFormat="1" applyFont="1" applyBorder="1" applyProtection="1"/>
    <xf numFmtId="5" fontId="14" fillId="0" borderId="12" xfId="88" applyNumberFormat="1" applyFont="1" applyBorder="1"/>
    <xf numFmtId="5" fontId="29" fillId="0" borderId="0" xfId="88" applyNumberFormat="1" applyFont="1" applyFill="1" applyProtection="1"/>
    <xf numFmtId="5" fontId="29" fillId="0" borderId="0" xfId="88" applyNumberFormat="1" applyFont="1" applyProtection="1"/>
    <xf numFmtId="5" fontId="29" fillId="0" borderId="0" xfId="88" applyNumberFormat="1" applyFont="1"/>
    <xf numFmtId="170" fontId="29" fillId="0" borderId="0" xfId="55" applyNumberFormat="1" applyFont="1"/>
    <xf numFmtId="5" fontId="30" fillId="0" borderId="0" xfId="88" applyNumberFormat="1" applyFont="1"/>
    <xf numFmtId="5" fontId="30" fillId="0" borderId="0" xfId="88" applyNumberFormat="1" applyFont="1" applyProtection="1"/>
    <xf numFmtId="37" fontId="0" fillId="0" borderId="0" xfId="0" applyBorder="1"/>
    <xf numFmtId="0" fontId="8" fillId="0" borderId="0" xfId="85" applyFont="1"/>
    <xf numFmtId="0" fontId="8" fillId="0" borderId="0" xfId="85" applyFont="1" applyFill="1"/>
    <xf numFmtId="164" fontId="8" fillId="0" borderId="0" xfId="85" applyNumberFormat="1" applyFont="1"/>
    <xf numFmtId="175" fontId="8" fillId="0" borderId="0" xfId="85" applyNumberFormat="1" applyFont="1" applyFill="1" applyBorder="1" applyProtection="1"/>
    <xf numFmtId="0" fontId="8" fillId="0" borderId="0" xfId="85" applyFont="1" applyBorder="1"/>
    <xf numFmtId="0" fontId="4" fillId="0" borderId="0" xfId="85" applyFont="1" applyBorder="1"/>
    <xf numFmtId="164" fontId="33" fillId="0" borderId="0" xfId="85" applyNumberFormat="1" applyFont="1" applyFill="1" applyProtection="1"/>
    <xf numFmtId="175" fontId="33" fillId="0" borderId="0" xfId="85" applyNumberFormat="1" applyFont="1" applyFill="1" applyProtection="1"/>
    <xf numFmtId="5" fontId="33" fillId="0" borderId="0" xfId="85" applyNumberFormat="1" applyFont="1" applyProtection="1"/>
    <xf numFmtId="164" fontId="33" fillId="0" borderId="0" xfId="85" applyNumberFormat="1" applyFont="1" applyFill="1" applyBorder="1" applyProtection="1"/>
    <xf numFmtId="175" fontId="33" fillId="0" borderId="0" xfId="85" applyNumberFormat="1" applyFont="1" applyFill="1" applyBorder="1" applyProtection="1"/>
    <xf numFmtId="17" fontId="18" fillId="0" borderId="0" xfId="85" applyNumberFormat="1" applyFont="1" applyFill="1" applyAlignment="1" applyProtection="1">
      <alignment horizontal="center"/>
    </xf>
    <xf numFmtId="0" fontId="18" fillId="0" borderId="0" xfId="85" applyFont="1" applyAlignment="1" applyProtection="1">
      <alignment horizontal="center" wrapText="1"/>
    </xf>
    <xf numFmtId="0" fontId="17" fillId="0" borderId="0" xfId="85" applyFont="1" applyAlignment="1">
      <alignment horizontal="centerContinuous"/>
    </xf>
    <xf numFmtId="10" fontId="14" fillId="0" borderId="0" xfId="92" applyFont="1" applyAlignment="1">
      <alignment horizontal="centerContinuous"/>
    </xf>
    <xf numFmtId="10" fontId="12" fillId="0" borderId="0" xfId="92" applyFont="1"/>
    <xf numFmtId="10" fontId="12" fillId="0" borderId="0" xfId="92" applyFont="1" applyAlignment="1">
      <alignment horizontal="center"/>
    </xf>
    <xf numFmtId="10" fontId="14" fillId="0" borderId="0" xfId="92" applyFont="1" applyAlignment="1">
      <alignment horizontal="center"/>
    </xf>
    <xf numFmtId="10" fontId="14" fillId="0" borderId="0" xfId="92" applyFont="1" applyAlignment="1" applyProtection="1">
      <alignment horizontal="center"/>
    </xf>
    <xf numFmtId="10" fontId="26" fillId="0" borderId="0" xfId="92" applyFont="1" applyAlignment="1" applyProtection="1">
      <alignment horizontal="center"/>
    </xf>
    <xf numFmtId="10" fontId="12" fillId="0" borderId="0" xfId="92" applyFont="1" applyAlignment="1" applyProtection="1">
      <alignment horizontal="left"/>
    </xf>
    <xf numFmtId="10" fontId="14" fillId="0" borderId="0" xfId="92" applyFont="1" applyAlignment="1" applyProtection="1">
      <alignment horizontal="left"/>
    </xf>
    <xf numFmtId="10" fontId="14" fillId="0" borderId="0" xfId="92" applyFont="1"/>
    <xf numFmtId="10" fontId="12" fillId="0" borderId="0" xfId="92" applyFont="1" applyBorder="1"/>
    <xf numFmtId="0" fontId="17" fillId="0" borderId="0" xfId="93" quotePrefix="1" applyFont="1" applyFill="1" applyBorder="1" applyAlignment="1" applyProtection="1">
      <alignment horizontal="left"/>
    </xf>
    <xf numFmtId="0" fontId="23" fillId="0" borderId="10" xfId="93" applyFont="1" applyFill="1" applyBorder="1" applyAlignment="1" applyProtection="1">
      <alignment horizontal="left"/>
    </xf>
    <xf numFmtId="168" fontId="15" fillId="0" borderId="0" xfId="93" applyNumberFormat="1" applyFont="1" applyFill="1" applyAlignment="1">
      <alignment horizontal="left"/>
    </xf>
    <xf numFmtId="15" fontId="15" fillId="0" borderId="0" xfId="93" applyNumberFormat="1" applyFont="1" applyFill="1" applyAlignment="1">
      <alignment horizontal="center"/>
    </xf>
    <xf numFmtId="174" fontId="15" fillId="0" borderId="0" xfId="93" applyNumberFormat="1" applyFont="1" applyFill="1"/>
    <xf numFmtId="15" fontId="32" fillId="0" borderId="0" xfId="93" applyNumberFormat="1" applyFont="1" applyBorder="1" applyAlignment="1">
      <alignment horizontal="left"/>
    </xf>
    <xf numFmtId="0" fontId="21" fillId="0" borderId="0" xfId="93" applyFont="1"/>
    <xf numFmtId="0" fontId="32" fillId="0" borderId="0" xfId="93" quotePrefix="1" applyFont="1" applyAlignment="1">
      <alignment horizontal="left"/>
    </xf>
    <xf numFmtId="37" fontId="32" fillId="0" borderId="0" xfId="0" applyFont="1" applyBorder="1"/>
    <xf numFmtId="37" fontId="21" fillId="0" borderId="0" xfId="0" applyFont="1" applyBorder="1"/>
    <xf numFmtId="0" fontId="34" fillId="0" borderId="0" xfId="85" applyFont="1" applyAlignment="1" applyProtection="1">
      <alignment horizontal="center" wrapText="1"/>
    </xf>
    <xf numFmtId="172" fontId="17" fillId="0" borderId="0" xfId="93" applyNumberFormat="1" applyFont="1" applyFill="1" applyAlignment="1">
      <alignment horizontal="left"/>
    </xf>
    <xf numFmtId="39" fontId="0" fillId="0" borderId="0" xfId="0" applyNumberFormat="1"/>
    <xf numFmtId="37" fontId="24" fillId="0" borderId="13" xfId="0" applyFont="1" applyBorder="1"/>
    <xf numFmtId="37" fontId="17" fillId="0" borderId="0" xfId="0" applyFont="1" applyBorder="1" applyAlignment="1">
      <alignment horizontal="left"/>
    </xf>
    <xf numFmtId="37" fontId="23" fillId="0" borderId="0" xfId="88" applyFont="1" applyAlignment="1" applyProtection="1">
      <alignment horizontal="center"/>
    </xf>
    <xf numFmtId="37" fontId="24" fillId="0" borderId="0" xfId="90" applyFont="1" applyBorder="1" applyAlignment="1" applyProtection="1">
      <alignment horizontal="left"/>
    </xf>
    <xf numFmtId="1" fontId="15" fillId="0" borderId="0" xfId="92" applyNumberFormat="1" applyFont="1" applyAlignment="1" applyProtection="1">
      <alignment horizontal="center"/>
    </xf>
    <xf numFmtId="37" fontId="17" fillId="0" borderId="0" xfId="88" applyFont="1" applyAlignment="1" applyProtection="1">
      <alignment horizontal="left"/>
    </xf>
    <xf numFmtId="37" fontId="25" fillId="0" borderId="0" xfId="88" applyFont="1" applyAlignment="1" applyProtection="1">
      <alignment horizontal="left"/>
    </xf>
    <xf numFmtId="37" fontId="24" fillId="0" borderId="0" xfId="89" applyNumberFormat="1" applyFont="1" applyAlignment="1">
      <alignment horizontal="center"/>
    </xf>
    <xf numFmtId="37" fontId="36" fillId="0" borderId="0" xfId="89" applyFont="1"/>
    <xf numFmtId="37" fontId="23" fillId="0" borderId="0" xfId="89" applyNumberFormat="1" applyFont="1"/>
    <xf numFmtId="37" fontId="24" fillId="0" borderId="0" xfId="89" applyNumberFormat="1" applyFont="1"/>
    <xf numFmtId="37" fontId="24" fillId="0" borderId="0" xfId="0" applyNumberFormat="1" applyFont="1"/>
    <xf numFmtId="171" fontId="24" fillId="0" borderId="0" xfId="0" applyNumberFormat="1" applyFont="1"/>
    <xf numFmtId="37" fontId="23" fillId="0" borderId="0" xfId="89" applyNumberFormat="1" applyFont="1" applyAlignment="1" applyProtection="1">
      <alignment horizontal="left"/>
    </xf>
    <xf numFmtId="38" fontId="12" fillId="0" borderId="0" xfId="92" applyNumberFormat="1" applyFont="1"/>
    <xf numFmtId="0" fontId="24" fillId="0" borderId="0" xfId="85" applyFont="1" applyAlignment="1" applyProtection="1">
      <alignment horizontal="left"/>
    </xf>
    <xf numFmtId="0" fontId="24" fillId="0" borderId="0" xfId="85" applyFont="1"/>
    <xf numFmtId="0" fontId="23" fillId="0" borderId="0" xfId="85" applyFont="1" applyAlignment="1" applyProtection="1">
      <alignment horizontal="left"/>
    </xf>
    <xf numFmtId="0" fontId="23" fillId="0" borderId="0" xfId="85" applyFont="1" applyAlignment="1" applyProtection="1">
      <alignment horizontal="centerContinuous"/>
    </xf>
    <xf numFmtId="0" fontId="36" fillId="0" borderId="0" xfId="85" applyFont="1" applyFill="1" applyAlignment="1">
      <alignment horizontal="centerContinuous"/>
    </xf>
    <xf numFmtId="0" fontId="36" fillId="0" borderId="0" xfId="85" applyFont="1" applyAlignment="1">
      <alignment horizontal="centerContinuous"/>
    </xf>
    <xf numFmtId="37" fontId="15" fillId="0" borderId="14" xfId="0" applyFont="1" applyBorder="1" applyAlignment="1">
      <alignment horizontal="centerContinuous"/>
    </xf>
    <xf numFmtId="7" fontId="15" fillId="0" borderId="0" xfId="58" applyNumberFormat="1" applyFont="1" applyBorder="1"/>
    <xf numFmtId="5" fontId="15" fillId="0" borderId="0" xfId="93"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4" fillId="0" borderId="0" xfId="89" applyNumberFormat="1" applyFont="1" applyAlignment="1" applyProtection="1">
      <alignment horizontal="centerContinuous"/>
    </xf>
    <xf numFmtId="37" fontId="24" fillId="0" borderId="0" xfId="89" applyNumberFormat="1" applyFont="1" applyAlignment="1">
      <alignment horizontal="centerContinuous"/>
    </xf>
    <xf numFmtId="37" fontId="24" fillId="0" borderId="0" xfId="0" applyNumberFormat="1" applyFont="1" applyAlignment="1">
      <alignment horizontal="centerContinuous"/>
    </xf>
    <xf numFmtId="166" fontId="24" fillId="0" borderId="0" xfId="89" applyNumberFormat="1" applyFont="1" applyFill="1" applyAlignment="1">
      <alignment horizontal="centerContinuous"/>
    </xf>
    <xf numFmtId="166" fontId="24" fillId="0" borderId="0" xfId="0" applyNumberFormat="1" applyFont="1" applyFill="1" applyAlignment="1">
      <alignment horizontal="centerContinuous"/>
    </xf>
    <xf numFmtId="166" fontId="24" fillId="0" borderId="0" xfId="89" applyNumberFormat="1" applyFont="1" applyFill="1" applyAlignment="1" applyProtection="1">
      <alignment horizontal="centerContinuous"/>
    </xf>
    <xf numFmtId="37" fontId="24" fillId="0" borderId="0" xfId="0" applyFont="1"/>
    <xf numFmtId="14" fontId="24" fillId="0" borderId="0" xfId="0" applyNumberFormat="1" applyFont="1" applyBorder="1"/>
    <xf numFmtId="37" fontId="23" fillId="0" borderId="0" xfId="0" applyFont="1" applyBorder="1"/>
    <xf numFmtId="175" fontId="33" fillId="0" borderId="19" xfId="85" applyNumberFormat="1" applyFont="1" applyFill="1" applyBorder="1" applyProtection="1"/>
    <xf numFmtId="164" fontId="33" fillId="0" borderId="19" xfId="85" applyNumberFormat="1" applyFont="1" applyFill="1" applyBorder="1" applyProtection="1"/>
    <xf numFmtId="175" fontId="33" fillId="0" borderId="20" xfId="85" applyNumberFormat="1" applyFont="1" applyFill="1" applyBorder="1" applyProtection="1"/>
    <xf numFmtId="5" fontId="12" fillId="0" borderId="0" xfId="55" applyNumberFormat="1" applyFont="1" applyAlignment="1" applyProtection="1"/>
    <xf numFmtId="10" fontId="12" fillId="0" borderId="0" xfId="92" applyFont="1" applyAlignment="1" applyProtection="1"/>
    <xf numFmtId="5" fontId="12" fillId="0" borderId="0" xfId="92" applyNumberFormat="1" applyFont="1" applyAlignment="1" applyProtection="1"/>
    <xf numFmtId="10" fontId="12" fillId="0" borderId="0" xfId="92" applyFont="1" applyBorder="1" applyAlignment="1" applyProtection="1"/>
    <xf numFmtId="5" fontId="12" fillId="0" borderId="0" xfId="92" applyNumberFormat="1" applyFont="1" applyAlignment="1"/>
    <xf numFmtId="10" fontId="12" fillId="0" borderId="0" xfId="92" applyFont="1" applyAlignment="1"/>
    <xf numFmtId="5" fontId="28" fillId="0" borderId="0" xfId="92" applyNumberFormat="1" applyFont="1" applyBorder="1" applyAlignment="1" applyProtection="1"/>
    <xf numFmtId="165" fontId="12" fillId="0" borderId="0" xfId="92" applyNumberFormat="1" applyFont="1" applyBorder="1" applyAlignment="1" applyProtection="1"/>
    <xf numFmtId="10" fontId="12" fillId="0" borderId="0" xfId="92" applyFont="1" applyBorder="1" applyAlignment="1"/>
    <xf numFmtId="5" fontId="35" fillId="0" borderId="0" xfId="92" applyNumberFormat="1" applyFont="1" applyBorder="1" applyAlignment="1" applyProtection="1"/>
    <xf numFmtId="10" fontId="35" fillId="0" borderId="0" xfId="92" applyFont="1" applyBorder="1" applyAlignment="1"/>
    <xf numFmtId="5" fontId="33" fillId="0" borderId="0" xfId="85" applyNumberFormat="1" applyFont="1" applyFill="1" applyProtection="1"/>
    <xf numFmtId="37" fontId="24" fillId="0" borderId="0" xfId="89" applyNumberFormat="1" applyFont="1" applyAlignment="1">
      <alignment horizontal="right"/>
    </xf>
    <xf numFmtId="37" fontId="38" fillId="0" borderId="0" xfId="88" applyFont="1" applyAlignment="1" applyProtection="1">
      <alignment horizontal="center"/>
    </xf>
    <xf numFmtId="37" fontId="33" fillId="0" borderId="0" xfId="85" applyNumberFormat="1" applyFont="1" applyFill="1" applyProtection="1"/>
    <xf numFmtId="10" fontId="12" fillId="0" borderId="0" xfId="92" applyNumberFormat="1" applyFont="1" applyAlignment="1" applyProtection="1"/>
    <xf numFmtId="10" fontId="24" fillId="0" borderId="0" xfId="0" applyNumberFormat="1" applyFont="1"/>
    <xf numFmtId="37" fontId="17" fillId="0" borderId="0" xfId="0" applyFont="1" applyFill="1" applyBorder="1" applyAlignment="1">
      <alignment horizontal="left"/>
    </xf>
    <xf numFmtId="37" fontId="15" fillId="0" borderId="15" xfId="0" applyFont="1" applyBorder="1" applyAlignment="1">
      <alignment horizontal="centerContinuous"/>
    </xf>
    <xf numFmtId="37" fontId="17" fillId="0" borderId="16" xfId="0" applyFont="1" applyFill="1" applyBorder="1" applyAlignment="1">
      <alignment horizontal="left"/>
    </xf>
    <xf numFmtId="170" fontId="15" fillId="0" borderId="17" xfId="55" applyNumberFormat="1" applyFont="1" applyBorder="1"/>
    <xf numFmtId="37" fontId="23" fillId="0" borderId="17" xfId="0" applyFont="1" applyBorder="1"/>
    <xf numFmtId="37" fontId="0" fillId="0" borderId="21" xfId="0" applyBorder="1"/>
    <xf numFmtId="37" fontId="17" fillId="0" borderId="18" xfId="0" applyFont="1" applyFill="1" applyBorder="1" applyAlignment="1">
      <alignment horizontal="left"/>
    </xf>
    <xf numFmtId="7" fontId="15" fillId="0" borderId="18" xfId="58" applyNumberFormat="1" applyFont="1" applyBorder="1"/>
    <xf numFmtId="10" fontId="14" fillId="0" borderId="0" xfId="88" applyNumberFormat="1" applyFont="1" applyProtection="1"/>
    <xf numFmtId="37" fontId="24" fillId="0" borderId="0" xfId="88" applyFont="1" applyAlignment="1" applyProtection="1">
      <alignment horizontal="center"/>
    </xf>
    <xf numFmtId="1" fontId="24" fillId="0" borderId="0" xfId="92" applyNumberFormat="1" applyFont="1" applyAlignment="1" applyProtection="1">
      <alignment horizontal="center"/>
    </xf>
    <xf numFmtId="5" fontId="12" fillId="0" borderId="0" xfId="92" applyNumberFormat="1" applyFont="1"/>
    <xf numFmtId="10" fontId="4" fillId="0" borderId="0" xfId="92" applyFont="1" applyBorder="1"/>
    <xf numFmtId="1" fontId="15" fillId="0" borderId="0" xfId="92" applyNumberFormat="1" applyFont="1" applyFill="1" applyAlignment="1" applyProtection="1">
      <alignment horizontal="center"/>
    </xf>
    <xf numFmtId="164" fontId="33" fillId="0" borderId="22" xfId="85" applyNumberFormat="1" applyFont="1" applyFill="1" applyBorder="1" applyProtection="1"/>
    <xf numFmtId="17" fontId="43" fillId="0" borderId="0" xfId="85" applyNumberFormat="1" applyFont="1" applyFill="1" applyAlignment="1" applyProtection="1">
      <alignment horizontal="center"/>
    </xf>
    <xf numFmtId="175" fontId="42" fillId="0" borderId="0" xfId="85" applyNumberFormat="1" applyFont="1" applyFill="1" applyBorder="1" applyProtection="1"/>
    <xf numFmtId="164" fontId="24" fillId="0" borderId="0" xfId="85" applyNumberFormat="1" applyFont="1" applyFill="1" applyBorder="1" applyProtection="1"/>
    <xf numFmtId="0" fontId="17" fillId="0" borderId="0" xfId="93" quotePrefix="1" applyFont="1" applyFill="1" applyBorder="1" applyAlignment="1" applyProtection="1">
      <alignment horizontal="centerContinuous" vertical="center" wrapText="1"/>
    </xf>
    <xf numFmtId="172" fontId="43" fillId="0" borderId="0" xfId="93" quotePrefix="1" applyNumberFormat="1" applyFont="1" applyFill="1" applyBorder="1" applyAlignment="1" applyProtection="1">
      <alignment horizontal="centerContinuous" vertical="center" wrapText="1"/>
    </xf>
    <xf numFmtId="168" fontId="15" fillId="0" borderId="0" xfId="99" applyNumberFormat="1" applyFont="1"/>
    <xf numFmtId="178" fontId="15" fillId="0" borderId="0" xfId="99" applyNumberFormat="1" applyFont="1"/>
    <xf numFmtId="37" fontId="15" fillId="0" borderId="16" xfId="0" applyFont="1" applyFill="1" applyBorder="1"/>
    <xf numFmtId="37" fontId="15" fillId="0" borderId="0" xfId="0" applyFont="1" applyFill="1" applyBorder="1"/>
    <xf numFmtId="44" fontId="20" fillId="0" borderId="0" xfId="58" applyFont="1" applyFill="1" applyBorder="1"/>
    <xf numFmtId="167" fontId="20" fillId="0" borderId="0" xfId="0" applyNumberFormat="1" applyFont="1" applyFill="1" applyBorder="1"/>
    <xf numFmtId="37" fontId="15" fillId="0" borderId="18" xfId="0" applyFont="1" applyFill="1" applyBorder="1"/>
    <xf numFmtId="170" fontId="15" fillId="0" borderId="0" xfId="55" applyNumberFormat="1" applyFont="1" applyFill="1" applyBorder="1"/>
    <xf numFmtId="168" fontId="29" fillId="0" borderId="0" xfId="88" applyNumberFormat="1" applyFont="1" applyProtection="1"/>
    <xf numFmtId="168" fontId="29" fillId="0" borderId="0" xfId="88" applyNumberFormat="1" applyFont="1"/>
    <xf numFmtId="37" fontId="15" fillId="0" borderId="0" xfId="0" applyFont="1" applyFill="1" applyBorder="1" applyAlignment="1">
      <alignment horizontal="center"/>
    </xf>
    <xf numFmtId="37" fontId="19" fillId="0" borderId="0" xfId="0" applyFont="1" applyFill="1" applyBorder="1" applyAlignment="1">
      <alignment horizontal="center"/>
    </xf>
    <xf numFmtId="10" fontId="23" fillId="18" borderId="23" xfId="89" applyNumberFormat="1" applyFont="1" applyFill="1" applyBorder="1" applyProtection="1"/>
    <xf numFmtId="10" fontId="14" fillId="18" borderId="23" xfId="88" applyNumberFormat="1" applyFont="1" applyFill="1" applyBorder="1" applyAlignment="1" applyProtection="1">
      <alignment horizontal="center"/>
    </xf>
    <xf numFmtId="175" fontId="34" fillId="18" borderId="23" xfId="85" applyNumberFormat="1" applyFont="1" applyFill="1" applyBorder="1" applyProtection="1"/>
    <xf numFmtId="164" fontId="34" fillId="18" borderId="23" xfId="85" applyNumberFormat="1" applyFont="1" applyFill="1" applyBorder="1" applyProtection="1"/>
    <xf numFmtId="37" fontId="15" fillId="0" borderId="0" xfId="0" applyFont="1" applyBorder="1" applyAlignment="1">
      <alignment horizontal="center"/>
    </xf>
    <xf numFmtId="37" fontId="11" fillId="0" borderId="0" xfId="89" applyFont="1" applyAlignment="1">
      <alignment horizontal="center"/>
    </xf>
    <xf numFmtId="37" fontId="37" fillId="0" borderId="0" xfId="0" applyFont="1" applyAlignment="1">
      <alignment horizontal="right"/>
    </xf>
    <xf numFmtId="0" fontId="23" fillId="0" borderId="0" xfId="93" applyFont="1" applyFill="1" applyBorder="1" applyAlignment="1" applyProtection="1">
      <alignment horizontal="center" wrapText="1"/>
    </xf>
    <xf numFmtId="37" fontId="23" fillId="0" borderId="0" xfId="0" applyFont="1" applyFill="1" applyBorder="1"/>
    <xf numFmtId="0" fontId="47" fillId="0" borderId="0" xfId="93" applyFont="1"/>
    <xf numFmtId="0" fontId="8" fillId="0" borderId="0" xfId="85" applyFont="1" applyFill="1" applyBorder="1"/>
    <xf numFmtId="37" fontId="8" fillId="0" borderId="0" xfId="85" applyNumberFormat="1" applyFont="1" applyFill="1" applyBorder="1"/>
    <xf numFmtId="10" fontId="35" fillId="0" borderId="0" xfId="92" applyNumberFormat="1" applyFont="1" applyBorder="1" applyAlignment="1" applyProtection="1"/>
    <xf numFmtId="0" fontId="24" fillId="0" borderId="12" xfId="85" applyFont="1" applyBorder="1" applyAlignment="1" applyProtection="1">
      <alignment horizontal="left"/>
    </xf>
    <xf numFmtId="0" fontId="24" fillId="0" borderId="0" xfId="85" applyFont="1" applyBorder="1" applyAlignment="1" applyProtection="1">
      <alignment horizontal="left"/>
    </xf>
    <xf numFmtId="175" fontId="24" fillId="0" borderId="12" xfId="85" applyNumberFormat="1" applyFont="1" applyFill="1" applyBorder="1" applyProtection="1"/>
    <xf numFmtId="0" fontId="24" fillId="0" borderId="0" xfId="85" applyFont="1" applyBorder="1" applyAlignment="1" applyProtection="1">
      <alignment horizontal="left" indent="1"/>
    </xf>
    <xf numFmtId="0" fontId="24" fillId="0" borderId="12" xfId="85" applyFont="1" applyBorder="1" applyAlignment="1" applyProtection="1">
      <alignment horizontal="left" indent="2"/>
    </xf>
    <xf numFmtId="37" fontId="17" fillId="0" borderId="0" xfId="89" applyNumberFormat="1" applyFont="1" applyAlignment="1" applyProtection="1">
      <alignment horizontal="centerContinuous"/>
    </xf>
    <xf numFmtId="0" fontId="17" fillId="0" borderId="0" xfId="93" applyFont="1" applyFill="1" applyAlignment="1" applyProtection="1">
      <alignment horizontal="left"/>
    </xf>
    <xf numFmtId="0" fontId="5" fillId="0" borderId="0" xfId="93" applyFont="1" applyFill="1"/>
    <xf numFmtId="1" fontId="15" fillId="0" borderId="0" xfId="93" applyNumberFormat="1" applyFont="1" applyFill="1" applyAlignment="1" applyProtection="1">
      <alignment horizontal="center"/>
    </xf>
    <xf numFmtId="0" fontId="5" fillId="0" borderId="0" xfId="93" applyFont="1" applyAlignment="1">
      <alignment horizontal="center"/>
    </xf>
    <xf numFmtId="37" fontId="4" fillId="0" borderId="0" xfId="92" applyNumberFormat="1" applyFont="1"/>
    <xf numFmtId="37" fontId="19" fillId="0" borderId="0" xfId="0" applyFont="1"/>
    <xf numFmtId="37" fontId="15" fillId="0" borderId="0" xfId="0" applyFont="1" applyAlignment="1">
      <alignment horizontal="center"/>
    </xf>
    <xf numFmtId="167" fontId="4" fillId="0" borderId="0" xfId="92" applyNumberFormat="1" applyFont="1"/>
    <xf numFmtId="10" fontId="7" fillId="0" borderId="0" xfId="92" applyFont="1"/>
    <xf numFmtId="14" fontId="15" fillId="0" borderId="16" xfId="0" applyNumberFormat="1" applyFont="1" applyFill="1" applyBorder="1"/>
    <xf numFmtId="10" fontId="35" fillId="0" borderId="0" xfId="92" applyNumberFormat="1" applyFont="1" applyFill="1" applyBorder="1" applyAlignment="1" applyProtection="1"/>
    <xf numFmtId="10" fontId="23" fillId="0" borderId="0" xfId="89" applyNumberFormat="1" applyFont="1" applyFill="1" applyBorder="1" applyProtection="1"/>
    <xf numFmtId="175" fontId="34" fillId="0" borderId="19" xfId="85" applyNumberFormat="1" applyFont="1" applyFill="1" applyBorder="1" applyProtection="1"/>
    <xf numFmtId="164" fontId="34" fillId="0" borderId="24" xfId="85" applyNumberFormat="1" applyFont="1" applyFill="1" applyBorder="1" applyProtection="1"/>
    <xf numFmtId="0" fontId="23" fillId="0" borderId="0" xfId="93" applyFont="1" applyFill="1" applyAlignment="1" applyProtection="1">
      <alignment horizontal="center"/>
    </xf>
    <xf numFmtId="0" fontId="23" fillId="0" borderId="0" xfId="93" applyFont="1" applyFill="1" applyAlignment="1">
      <alignment horizontal="center"/>
    </xf>
    <xf numFmtId="10" fontId="44" fillId="0" borderId="0" xfId="92" applyFont="1" applyBorder="1"/>
    <xf numFmtId="37" fontId="4" fillId="0" borderId="0" xfId="92" applyNumberFormat="1" applyFont="1" applyBorder="1"/>
    <xf numFmtId="182" fontId="27" fillId="0" borderId="0" xfId="92" applyNumberFormat="1" applyFont="1" applyBorder="1" applyAlignment="1">
      <alignment horizontal="center"/>
    </xf>
    <xf numFmtId="37" fontId="12" fillId="0" borderId="0" xfId="92" applyNumberFormat="1" applyFont="1" applyBorder="1" applyAlignment="1">
      <alignment horizontal="center"/>
    </xf>
    <xf numFmtId="10" fontId="27" fillId="0" borderId="0" xfId="92" applyFont="1" applyBorder="1" applyAlignment="1" applyProtection="1"/>
    <xf numFmtId="10" fontId="12" fillId="0" borderId="0" xfId="92" applyNumberFormat="1" applyFont="1" applyBorder="1" applyAlignment="1" applyProtection="1"/>
    <xf numFmtId="181" fontId="40" fillId="0" borderId="0" xfId="92" applyNumberFormat="1" applyFont="1" applyBorder="1" applyAlignment="1" applyProtection="1">
      <alignment horizontal="centerContinuous" vertical="center" wrapText="1"/>
    </xf>
    <xf numFmtId="166" fontId="17" fillId="0" borderId="0" xfId="0" applyNumberFormat="1" applyFont="1" applyFill="1" applyBorder="1" applyAlignment="1">
      <alignment horizontal="centerContinuous" vertical="center" wrapText="1"/>
    </xf>
    <xf numFmtId="37" fontId="15" fillId="0" borderId="0" xfId="0" applyFont="1" applyFill="1" applyBorder="1" applyAlignment="1">
      <alignment horizontal="centerContinuous" vertical="center" wrapText="1"/>
    </xf>
    <xf numFmtId="37" fontId="15" fillId="0" borderId="0" xfId="0" applyFont="1" applyBorder="1" applyAlignment="1">
      <alignment horizontal="left" vertical="center" wrapText="1"/>
    </xf>
    <xf numFmtId="5" fontId="15" fillId="0" borderId="0" xfId="58" applyNumberFormat="1" applyFont="1" applyFill="1" applyBorder="1"/>
    <xf numFmtId="179" fontId="33" fillId="0" borderId="0" xfId="85" applyNumberFormat="1" applyFont="1" applyFill="1" applyProtection="1"/>
    <xf numFmtId="37" fontId="23" fillId="0" borderId="0" xfId="88" quotePrefix="1" applyFont="1" applyAlignment="1" applyProtection="1">
      <alignment horizontal="center"/>
    </xf>
    <xf numFmtId="14" fontId="17" fillId="0" borderId="16" xfId="0" applyNumberFormat="1" applyFont="1" applyFill="1" applyBorder="1"/>
    <xf numFmtId="14" fontId="15" fillId="0" borderId="16" xfId="0" applyNumberFormat="1" applyFont="1" applyFill="1" applyBorder="1" applyAlignment="1">
      <alignment horizontal="left" indent="1"/>
    </xf>
    <xf numFmtId="0" fontId="17" fillId="0" borderId="0" xfId="93" applyFont="1" applyAlignment="1" applyProtection="1">
      <alignment horizontal="left"/>
    </xf>
    <xf numFmtId="181" fontId="14" fillId="0" borderId="0" xfId="92" applyNumberFormat="1" applyFont="1" applyBorder="1" applyAlignment="1" applyProtection="1">
      <alignment horizontal="centerContinuous" vertical="center" wrapText="1"/>
    </xf>
    <xf numFmtId="181" fontId="17" fillId="0" borderId="0" xfId="89" applyNumberFormat="1" applyFont="1" applyFill="1" applyAlignment="1" applyProtection="1">
      <alignment horizontal="centerContinuous"/>
    </xf>
    <xf numFmtId="168" fontId="15" fillId="0" borderId="0" xfId="0" applyNumberFormat="1" applyFont="1" applyFill="1" applyBorder="1" applyAlignment="1">
      <alignment horizontal="center"/>
    </xf>
    <xf numFmtId="183" fontId="33" fillId="0" borderId="0" xfId="85" applyNumberFormat="1" applyFont="1" applyFill="1" applyProtection="1"/>
    <xf numFmtId="5" fontId="36" fillId="0" borderId="0" xfId="89" applyNumberFormat="1" applyFont="1" applyFill="1"/>
    <xf numFmtId="5" fontId="4" fillId="0" borderId="0" xfId="89" applyNumberFormat="1" applyFont="1" applyFill="1"/>
    <xf numFmtId="175" fontId="24" fillId="0" borderId="0" xfId="85" applyNumberFormat="1" applyFont="1" applyFill="1" applyProtection="1"/>
    <xf numFmtId="175" fontId="23" fillId="0" borderId="0" xfId="85" applyNumberFormat="1" applyFont="1" applyFill="1" applyProtection="1"/>
    <xf numFmtId="5" fontId="45" fillId="0" borderId="0" xfId="86" applyNumberFormat="1" applyFont="1" applyBorder="1" applyProtection="1"/>
    <xf numFmtId="37" fontId="45" fillId="0" borderId="0" xfId="0" applyFont="1"/>
    <xf numFmtId="175" fontId="24" fillId="0" borderId="0" xfId="85" applyNumberFormat="1" applyFont="1" applyFill="1" applyBorder="1" applyProtection="1"/>
    <xf numFmtId="37" fontId="24" fillId="0" borderId="0" xfId="0" applyFont="1" applyFill="1" applyBorder="1"/>
    <xf numFmtId="37" fontId="25" fillId="0" borderId="0" xfId="0" applyNumberFormat="1" applyFont="1" applyFill="1" applyBorder="1" applyAlignment="1">
      <alignment horizontal="center"/>
    </xf>
    <xf numFmtId="37" fontId="46" fillId="0" borderId="0" xfId="0" applyFont="1" applyFill="1" applyBorder="1"/>
    <xf numFmtId="170" fontId="25" fillId="0" borderId="0" xfId="58" applyNumberFormat="1" applyFont="1" applyBorder="1"/>
    <xf numFmtId="14" fontId="25" fillId="0" borderId="0" xfId="0" applyNumberFormat="1" applyFont="1" applyFill="1" applyBorder="1"/>
    <xf numFmtId="37" fontId="46" fillId="0" borderId="0" xfId="0" applyFont="1"/>
    <xf numFmtId="168" fontId="24" fillId="0" borderId="0" xfId="0" applyNumberFormat="1" applyFont="1"/>
    <xf numFmtId="17" fontId="24" fillId="0" borderId="0" xfId="0" applyNumberFormat="1" applyFont="1" applyAlignment="1">
      <alignment horizontal="center"/>
    </xf>
    <xf numFmtId="39" fontId="24" fillId="0" borderId="0" xfId="0" applyNumberFormat="1" applyFont="1" applyFill="1" applyAlignment="1">
      <alignment horizontal="center"/>
    </xf>
    <xf numFmtId="37" fontId="24" fillId="0" borderId="0" xfId="89" applyNumberFormat="1" applyFont="1" applyAlignment="1" applyProtection="1"/>
    <xf numFmtId="17" fontId="24" fillId="0" borderId="0" xfId="89" applyNumberFormat="1" applyFont="1" applyProtection="1"/>
    <xf numFmtId="17" fontId="24" fillId="0" borderId="0" xfId="89" applyNumberFormat="1" applyFont="1" applyAlignment="1" applyProtection="1">
      <alignment horizontal="center"/>
    </xf>
    <xf numFmtId="171" fontId="24" fillId="0" borderId="0" xfId="0" applyNumberFormat="1" applyFont="1" applyFill="1" applyAlignment="1">
      <alignment horizontal="center"/>
    </xf>
    <xf numFmtId="175" fontId="23" fillId="0" borderId="12" xfId="85" applyNumberFormat="1" applyFont="1" applyFill="1" applyBorder="1" applyProtection="1"/>
    <xf numFmtId="171" fontId="24" fillId="0" borderId="0" xfId="0" applyNumberFormat="1" applyFont="1" applyFill="1"/>
    <xf numFmtId="175" fontId="23" fillId="0" borderId="0" xfId="85" applyNumberFormat="1" applyFont="1" applyFill="1" applyBorder="1" applyProtection="1"/>
    <xf numFmtId="2" fontId="24" fillId="0" borderId="0" xfId="0" applyNumberFormat="1" applyFont="1" applyFill="1" applyBorder="1" applyAlignment="1">
      <alignment horizontal="center"/>
    </xf>
    <xf numFmtId="175" fontId="23" fillId="0" borderId="25" xfId="85" applyNumberFormat="1" applyFont="1" applyFill="1" applyBorder="1" applyProtection="1"/>
    <xf numFmtId="37" fontId="46" fillId="0" borderId="0" xfId="89" applyNumberFormat="1" applyFont="1"/>
    <xf numFmtId="37" fontId="46" fillId="0" borderId="0" xfId="89" applyNumberFormat="1" applyFont="1" applyAlignment="1">
      <alignment horizontal="right"/>
    </xf>
    <xf numFmtId="175" fontId="46" fillId="0" borderId="0" xfId="85" applyNumberFormat="1" applyFont="1" applyFill="1" applyProtection="1"/>
    <xf numFmtId="37" fontId="4" fillId="0" borderId="0" xfId="89" applyFont="1" applyFill="1"/>
    <xf numFmtId="37" fontId="24" fillId="0" borderId="0" xfId="0" applyNumberFormat="1" applyFont="1" applyFill="1"/>
    <xf numFmtId="15" fontId="15" fillId="0" borderId="0" xfId="93" applyNumberFormat="1" applyFont="1" applyFill="1" applyAlignment="1">
      <alignment horizontal="right"/>
    </xf>
    <xf numFmtId="5" fontId="15" fillId="0" borderId="0" xfId="93" applyNumberFormat="1" applyFont="1" applyFill="1"/>
    <xf numFmtId="168" fontId="15" fillId="0" borderId="0" xfId="93" applyNumberFormat="1" applyFont="1" applyFill="1" applyAlignment="1" applyProtection="1">
      <alignment horizontal="left"/>
    </xf>
    <xf numFmtId="15" fontId="15" fillId="0" borderId="0" xfId="93" applyNumberFormat="1" applyFont="1" applyFill="1" applyAlignment="1" applyProtection="1">
      <alignment horizontal="center"/>
    </xf>
    <xf numFmtId="5" fontId="19" fillId="0" borderId="0" xfId="93" applyNumberFormat="1" applyFont="1" applyFill="1"/>
    <xf numFmtId="174" fontId="25" fillId="0" borderId="0" xfId="93" applyNumberFormat="1" applyFont="1" applyFill="1"/>
    <xf numFmtId="5" fontId="17" fillId="0" borderId="25" xfId="93" applyNumberFormat="1" applyFont="1" applyFill="1" applyBorder="1" applyAlignment="1" applyProtection="1">
      <alignment horizontal="right"/>
    </xf>
    <xf numFmtId="43" fontId="42" fillId="0" borderId="0" xfId="85" applyNumberFormat="1" applyFont="1" applyFill="1" applyProtection="1"/>
    <xf numFmtId="164" fontId="33" fillId="0" borderId="26" xfId="85" applyNumberFormat="1" applyFont="1" applyFill="1" applyBorder="1" applyProtection="1"/>
    <xf numFmtId="175" fontId="33" fillId="0" borderId="10" xfId="85" applyNumberFormat="1" applyFont="1" applyFill="1" applyBorder="1" applyProtection="1"/>
    <xf numFmtId="164" fontId="33" fillId="0" borderId="25" xfId="85" applyNumberFormat="1" applyFont="1" applyFill="1" applyBorder="1" applyProtection="1"/>
    <xf numFmtId="165" fontId="33" fillId="0" borderId="0" xfId="85" applyNumberFormat="1" applyFont="1" applyFill="1" applyProtection="1"/>
    <xf numFmtId="165" fontId="33" fillId="0" borderId="19" xfId="85" applyNumberFormat="1" applyFont="1" applyFill="1" applyBorder="1" applyProtection="1"/>
    <xf numFmtId="165" fontId="33" fillId="0" borderId="10" xfId="85" applyNumberFormat="1" applyFont="1" applyFill="1" applyBorder="1" applyProtection="1"/>
    <xf numFmtId="165" fontId="33" fillId="0" borderId="20" xfId="85" applyNumberFormat="1" applyFont="1" applyFill="1" applyBorder="1" applyProtection="1"/>
    <xf numFmtId="0" fontId="33" fillId="0" borderId="0" xfId="85" applyFont="1" applyFill="1"/>
    <xf numFmtId="37" fontId="23" fillId="0" borderId="0" xfId="88" applyFont="1" applyFill="1" applyAlignment="1" applyProtection="1">
      <alignment horizontal="center"/>
    </xf>
    <xf numFmtId="165" fontId="33" fillId="0" borderId="0" xfId="85" applyNumberFormat="1" applyFont="1" applyFill="1"/>
    <xf numFmtId="0" fontId="33" fillId="0" borderId="19" xfId="85" applyFont="1" applyFill="1" applyBorder="1"/>
    <xf numFmtId="165" fontId="33" fillId="0" borderId="27" xfId="85" applyNumberFormat="1" applyFont="1" applyFill="1" applyBorder="1" applyProtection="1"/>
    <xf numFmtId="165" fontId="33" fillId="0" borderId="28" xfId="85" applyNumberFormat="1" applyFont="1" applyFill="1" applyBorder="1" applyProtection="1"/>
    <xf numFmtId="164" fontId="42" fillId="0" borderId="0" xfId="85" applyNumberFormat="1" applyFont="1" applyFill="1" applyBorder="1" applyProtection="1"/>
    <xf numFmtId="164" fontId="24" fillId="0" borderId="12" xfId="85" applyNumberFormat="1" applyFont="1" applyFill="1" applyBorder="1" applyProtection="1"/>
    <xf numFmtId="0" fontId="33" fillId="0" borderId="0" xfId="85" applyFont="1" applyFill="1" applyBorder="1"/>
    <xf numFmtId="37" fontId="11" fillId="0" borderId="0" xfId="89" applyFont="1" applyAlignment="1">
      <alignment horizontal="right"/>
    </xf>
    <xf numFmtId="181" fontId="15" fillId="0" borderId="0" xfId="0" applyNumberFormat="1" applyFont="1" applyBorder="1" applyAlignment="1">
      <alignment horizontal="left"/>
    </xf>
    <xf numFmtId="5" fontId="45" fillId="0" borderId="0" xfId="58"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1" fontId="25" fillId="0" borderId="0" xfId="0" applyNumberFormat="1" applyFont="1" applyFill="1" applyBorder="1" applyAlignment="1">
      <alignment horizontal="center"/>
    </xf>
    <xf numFmtId="37" fontId="0" fillId="0" borderId="0" xfId="0" applyFill="1" applyBorder="1"/>
    <xf numFmtId="37" fontId="12" fillId="0" borderId="0" xfId="88" applyFont="1" applyAlignment="1">
      <alignment horizontal="left" indent="1"/>
    </xf>
    <xf numFmtId="5" fontId="12" fillId="0" borderId="26" xfId="88" applyNumberFormat="1" applyFont="1" applyBorder="1" applyProtection="1"/>
    <xf numFmtId="5" fontId="29" fillId="0" borderId="26" xfId="88" applyNumberFormat="1" applyFont="1" applyBorder="1"/>
    <xf numFmtId="168" fontId="29" fillId="0" borderId="26" xfId="88" applyNumberFormat="1" applyFont="1" applyBorder="1" applyProtection="1"/>
    <xf numFmtId="14" fontId="17" fillId="0" borderId="16" xfId="0" applyNumberFormat="1" applyFont="1" applyFill="1" applyBorder="1" applyAlignment="1">
      <alignment horizontal="left" indent="2"/>
    </xf>
    <xf numFmtId="37" fontId="17" fillId="0" borderId="16" xfId="0" applyFont="1" applyFill="1" applyBorder="1" applyAlignment="1">
      <alignment horizontal="left" indent="1"/>
    </xf>
    <xf numFmtId="7" fontId="0" fillId="0" borderId="0" xfId="0" applyNumberFormat="1"/>
    <xf numFmtId="0" fontId="14" fillId="0" borderId="0" xfId="93" quotePrefix="1" applyFont="1" applyFill="1" applyBorder="1" applyAlignment="1" applyProtection="1">
      <alignment horizontal="centerContinuous" vertical="center" wrapText="1"/>
    </xf>
    <xf numFmtId="181" fontId="14" fillId="0" borderId="0" xfId="93" quotePrefix="1" applyNumberFormat="1" applyFont="1" applyFill="1" applyBorder="1" applyAlignment="1" applyProtection="1">
      <alignment horizontal="centerContinuous" vertical="center" wrapText="1"/>
    </xf>
    <xf numFmtId="37" fontId="48" fillId="0" borderId="0" xfId="0" applyFont="1" applyBorder="1" applyAlignment="1">
      <alignment horizontal="center"/>
    </xf>
    <xf numFmtId="10" fontId="28" fillId="0" borderId="0" xfId="92" applyNumberFormat="1" applyFont="1" applyFill="1" applyAlignment="1" applyProtection="1"/>
    <xf numFmtId="10" fontId="33" fillId="0" borderId="0" xfId="99" applyNumberFormat="1" applyFont="1" applyFill="1" applyBorder="1" applyProtection="1"/>
    <xf numFmtId="10" fontId="33" fillId="0" borderId="10" xfId="85" applyNumberFormat="1" applyFont="1" applyFill="1" applyBorder="1" applyProtection="1"/>
    <xf numFmtId="10" fontId="33" fillId="0" borderId="20" xfId="85" applyNumberFormat="1" applyFont="1" applyFill="1" applyBorder="1" applyProtection="1"/>
    <xf numFmtId="37" fontId="42" fillId="0" borderId="0" xfId="85" applyNumberFormat="1" applyFont="1" applyFill="1" applyBorder="1" applyProtection="1"/>
    <xf numFmtId="184" fontId="33" fillId="0" borderId="0" xfId="85" applyNumberFormat="1" applyFont="1" applyFill="1" applyBorder="1" applyProtection="1"/>
    <xf numFmtId="175" fontId="37" fillId="0" borderId="0" xfId="85" applyNumberFormat="1" applyFont="1" applyFill="1" applyBorder="1" applyProtection="1"/>
    <xf numFmtId="0" fontId="31" fillId="0" borderId="0" xfId="85" applyFont="1" applyBorder="1" applyAlignment="1" applyProtection="1">
      <alignment horizontal="centerContinuous" vertical="center" wrapText="1"/>
    </xf>
    <xf numFmtId="10" fontId="31" fillId="0" borderId="0" xfId="92" applyFont="1" applyBorder="1" applyAlignment="1" applyProtection="1">
      <alignment horizontal="centerContinuous" vertical="center" wrapText="1"/>
    </xf>
    <xf numFmtId="172" fontId="31" fillId="0" borderId="0" xfId="92" applyNumberFormat="1" applyFont="1" applyBorder="1" applyAlignment="1" applyProtection="1">
      <alignment horizontal="centerContinuous" vertical="center" wrapText="1"/>
    </xf>
    <xf numFmtId="180" fontId="48" fillId="0" borderId="0" xfId="0" applyNumberFormat="1" applyFont="1" applyFill="1" applyBorder="1" applyAlignment="1">
      <alignment horizontal="left" indent="1"/>
    </xf>
    <xf numFmtId="1" fontId="15" fillId="0" borderId="0" xfId="0" applyNumberFormat="1" applyFont="1" applyFill="1" applyBorder="1" applyAlignment="1">
      <alignment horizontal="center"/>
    </xf>
    <xf numFmtId="37" fontId="23" fillId="0" borderId="13" xfId="0" applyFont="1" applyFill="1" applyBorder="1"/>
    <xf numFmtId="5" fontId="12" fillId="0" borderId="0" xfId="88" applyNumberFormat="1" applyFont="1" applyFill="1" applyProtection="1"/>
    <xf numFmtId="10" fontId="12" fillId="0" borderId="0" xfId="92" applyFont="1" applyFill="1" applyAlignment="1" applyProtection="1"/>
    <xf numFmtId="37" fontId="14" fillId="0" borderId="0" xfId="88" applyFont="1" applyBorder="1" applyAlignment="1" applyProtection="1">
      <alignment horizontal="center"/>
    </xf>
    <xf numFmtId="37" fontId="39" fillId="0" borderId="29" xfId="0" applyFont="1" applyFill="1" applyBorder="1"/>
    <xf numFmtId="37" fontId="15" fillId="0" borderId="15" xfId="0" applyFont="1" applyFill="1" applyBorder="1"/>
    <xf numFmtId="37" fontId="0" fillId="0" borderId="14" xfId="0" applyBorder="1"/>
    <xf numFmtId="37" fontId="15" fillId="0" borderId="17" xfId="0" applyFont="1" applyBorder="1"/>
    <xf numFmtId="37" fontId="15" fillId="0" borderId="18" xfId="0" applyFont="1" applyBorder="1"/>
    <xf numFmtId="37" fontId="15" fillId="0" borderId="21" xfId="0" applyFont="1" applyBorder="1"/>
    <xf numFmtId="10" fontId="12" fillId="0" borderId="0" xfId="92" applyNumberFormat="1" applyFont="1" applyAlignment="1"/>
    <xf numFmtId="10" fontId="28" fillId="0" borderId="0" xfId="92" applyNumberFormat="1" applyFont="1" applyAlignment="1" applyProtection="1"/>
    <xf numFmtId="37" fontId="24" fillId="0" borderId="0" xfId="89" applyNumberFormat="1" applyFont="1" applyBorder="1" applyAlignment="1">
      <alignment horizontal="center"/>
    </xf>
    <xf numFmtId="37" fontId="23" fillId="0" borderId="0" xfId="89" applyNumberFormat="1" applyFont="1" applyBorder="1" applyAlignment="1" applyProtection="1">
      <alignment horizontal="center" wrapText="1"/>
    </xf>
    <xf numFmtId="17" fontId="17" fillId="0" borderId="0" xfId="85" applyNumberFormat="1" applyFont="1" applyFill="1" applyAlignment="1" applyProtection="1">
      <alignment horizontal="right"/>
    </xf>
    <xf numFmtId="164" fontId="24" fillId="0" borderId="0" xfId="85" applyNumberFormat="1" applyFont="1" applyFill="1" applyProtection="1"/>
    <xf numFmtId="164" fontId="24" fillId="0" borderId="26" xfId="85" applyNumberFormat="1" applyFont="1" applyFill="1" applyBorder="1" applyProtection="1"/>
    <xf numFmtId="39" fontId="42" fillId="0" borderId="0" xfId="0" applyNumberFormat="1" applyFont="1"/>
    <xf numFmtId="168" fontId="45" fillId="0" borderId="0" xfId="99" applyNumberFormat="1" applyFont="1" applyFill="1" applyBorder="1"/>
    <xf numFmtId="168" fontId="15" fillId="0" borderId="0" xfId="99" applyNumberFormat="1" applyFont="1" applyFill="1" applyBorder="1" applyAlignment="1">
      <alignment horizontal="left"/>
    </xf>
    <xf numFmtId="5" fontId="15" fillId="0" borderId="0" xfId="58" applyNumberFormat="1" applyFont="1" applyBorder="1"/>
    <xf numFmtId="37" fontId="46" fillId="0" borderId="0" xfId="0" applyFont="1" applyFill="1" applyAlignment="1">
      <alignment horizontal="center"/>
    </xf>
    <xf numFmtId="169" fontId="45" fillId="0" borderId="0" xfId="0" applyNumberFormat="1" applyFont="1" applyFill="1" applyBorder="1" applyAlignment="1">
      <alignment horizontal="center"/>
    </xf>
    <xf numFmtId="5" fontId="15" fillId="0" borderId="25" xfId="58" applyNumberFormat="1" applyFont="1" applyBorder="1"/>
    <xf numFmtId="5" fontId="15" fillId="0" borderId="25" xfId="55" applyNumberFormat="1" applyFont="1" applyFill="1" applyBorder="1"/>
    <xf numFmtId="168" fontId="15" fillId="0" borderId="25" xfId="99" applyNumberFormat="1" applyFont="1" applyFill="1" applyBorder="1" applyAlignment="1">
      <alignment horizontal="center"/>
    </xf>
    <xf numFmtId="5" fontId="17" fillId="0" borderId="25" xfId="55" applyNumberFormat="1" applyFont="1" applyFill="1" applyBorder="1"/>
    <xf numFmtId="10" fontId="17" fillId="0" borderId="0" xfId="92" applyFont="1" applyAlignment="1" applyProtection="1">
      <alignment horizontal="left"/>
    </xf>
    <xf numFmtId="176" fontId="42" fillId="0" borderId="0" xfId="85" applyNumberFormat="1" applyFont="1" applyFill="1" applyProtection="1"/>
    <xf numFmtId="164" fontId="42" fillId="0" borderId="0" xfId="85" applyNumberFormat="1" applyFont="1" applyFill="1" applyProtection="1"/>
    <xf numFmtId="175" fontId="42" fillId="0" borderId="0" xfId="85" applyNumberFormat="1" applyFont="1" applyFill="1" applyProtection="1"/>
    <xf numFmtId="0" fontId="42" fillId="0" borderId="0" xfId="85"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25" fillId="0" borderId="0" xfId="0" applyFont="1"/>
    <xf numFmtId="37" fontId="17" fillId="0" borderId="0" xfId="88" applyFont="1" applyAlignment="1" applyProtection="1">
      <alignment horizontal="center"/>
    </xf>
    <xf numFmtId="37" fontId="17" fillId="0" borderId="10" xfId="0" applyFont="1" applyBorder="1"/>
    <xf numFmtId="37" fontId="17" fillId="0" borderId="0" xfId="0" applyFont="1" applyBorder="1"/>
    <xf numFmtId="37" fontId="17" fillId="0" borderId="0" xfId="0" applyFont="1" applyFill="1" applyBorder="1" applyAlignment="1">
      <alignment horizontal="center"/>
    </xf>
    <xf numFmtId="37" fontId="17" fillId="0" borderId="0" xfId="0" applyFont="1" applyBorder="1" applyAlignment="1">
      <alignment horizontal="center"/>
    </xf>
    <xf numFmtId="37" fontId="17" fillId="0" borderId="0" xfId="0" applyFont="1" applyAlignment="1">
      <alignment horizontal="center"/>
    </xf>
    <xf numFmtId="174" fontId="17" fillId="0" borderId="10" xfId="93" applyNumberFormat="1" applyFont="1" applyFill="1" applyBorder="1" applyAlignment="1">
      <alignment horizontal="center"/>
    </xf>
    <xf numFmtId="174" fontId="17" fillId="0" borderId="0" xfId="93" applyNumberFormat="1" applyFont="1" applyFill="1" applyBorder="1" applyAlignment="1">
      <alignment horizontal="center"/>
    </xf>
    <xf numFmtId="37" fontId="25" fillId="0" borderId="0" xfId="0" applyFont="1" applyFill="1" applyBorder="1"/>
    <xf numFmtId="37" fontId="25" fillId="0" borderId="0" xfId="0" applyNumberFormat="1" applyFont="1"/>
    <xf numFmtId="37" fontId="45" fillId="0" borderId="0" xfId="0" applyNumberFormat="1" applyFont="1"/>
    <xf numFmtId="37" fontId="15" fillId="0" borderId="0" xfId="0" applyNumberFormat="1" applyFont="1"/>
    <xf numFmtId="37" fontId="45" fillId="0" borderId="0" xfId="0" applyNumberFormat="1" applyFont="1" applyFill="1"/>
    <xf numFmtId="37" fontId="17" fillId="0" borderId="12" xfId="0" applyFont="1" applyFill="1" applyBorder="1"/>
    <xf numFmtId="37" fontId="25" fillId="0" borderId="0" xfId="0" applyNumberFormat="1" applyFont="1" applyBorder="1"/>
    <xf numFmtId="37" fontId="25" fillId="0" borderId="0" xfId="0" applyFont="1" applyFill="1" applyBorder="1" applyAlignment="1">
      <alignment horizontal="left" indent="1"/>
    </xf>
    <xf numFmtId="37" fontId="15" fillId="0" borderId="0" xfId="0" applyFont="1" applyFill="1" applyBorder="1" applyAlignment="1">
      <alignment horizontal="left" indent="1"/>
    </xf>
    <xf numFmtId="37" fontId="17" fillId="0" borderId="0" xfId="0" applyFont="1" applyFill="1" applyBorder="1"/>
    <xf numFmtId="39" fontId="15" fillId="0" borderId="0" xfId="0" applyNumberFormat="1" applyFont="1"/>
    <xf numFmtId="5" fontId="17" fillId="0" borderId="12" xfId="58" applyNumberFormat="1" applyFont="1" applyFill="1" applyBorder="1"/>
    <xf numFmtId="5" fontId="17" fillId="0" borderId="23" xfId="58" applyNumberFormat="1" applyFont="1" applyFill="1" applyBorder="1"/>
    <xf numFmtId="5" fontId="15" fillId="0" borderId="25" xfId="58" applyNumberFormat="1" applyFont="1" applyFill="1" applyBorder="1"/>
    <xf numFmtId="173" fontId="45" fillId="0" borderId="0" xfId="0" applyNumberFormat="1" applyFont="1" applyBorder="1" applyAlignment="1">
      <alignment horizontal="left" indent="1"/>
    </xf>
    <xf numFmtId="37" fontId="15" fillId="0" borderId="0" xfId="0" applyFont="1" applyAlignment="1">
      <alignment horizontal="right"/>
    </xf>
    <xf numFmtId="1" fontId="45" fillId="0" borderId="0" xfId="0" applyNumberFormat="1" applyFont="1" applyFill="1" applyBorder="1" applyAlignment="1">
      <alignment horizontal="center"/>
    </xf>
    <xf numFmtId="0" fontId="31" fillId="0" borderId="0" xfId="85" applyFont="1" applyAlignment="1" applyProtection="1">
      <alignment horizontal="centerContinuous"/>
    </xf>
    <xf numFmtId="1" fontId="50" fillId="0" borderId="0" xfId="92" applyNumberFormat="1" applyFont="1" applyAlignment="1" applyProtection="1">
      <alignment horizontal="centerContinuous"/>
    </xf>
    <xf numFmtId="1" fontId="3" fillId="0" borderId="0" xfId="92" applyNumberFormat="1" applyProtection="1"/>
    <xf numFmtId="10" fontId="3" fillId="0" borderId="0" xfId="92"/>
    <xf numFmtId="10" fontId="14" fillId="0" borderId="0" xfId="92" applyFont="1" applyAlignment="1" applyProtection="1">
      <alignment horizontal="centerContinuous"/>
    </xf>
    <xf numFmtId="10" fontId="50" fillId="0" borderId="0" xfId="92" applyFont="1" applyAlignment="1">
      <alignment horizontal="centerContinuous"/>
    </xf>
    <xf numFmtId="0" fontId="49" fillId="0" borderId="0" xfId="87" applyAlignment="1">
      <alignment horizontal="centerContinuous"/>
    </xf>
    <xf numFmtId="10" fontId="3" fillId="0" borderId="0" xfId="92" applyAlignment="1" applyProtection="1">
      <alignment horizontal="left"/>
    </xf>
    <xf numFmtId="172" fontId="40" fillId="0" borderId="0" xfId="92" applyNumberFormat="1" applyFont="1" applyBorder="1" applyAlignment="1" applyProtection="1">
      <alignment horizontal="centerContinuous" vertical="center" wrapText="1"/>
    </xf>
    <xf numFmtId="10" fontId="50" fillId="0" borderId="0" xfId="92" applyFont="1" applyBorder="1" applyAlignment="1">
      <alignment horizontal="centerContinuous" vertical="center" wrapText="1"/>
    </xf>
    <xf numFmtId="1" fontId="50" fillId="0" borderId="0" xfId="92" applyNumberFormat="1" applyFont="1" applyProtection="1"/>
    <xf numFmtId="10" fontId="50" fillId="0" borderId="0" xfId="92" applyFont="1"/>
    <xf numFmtId="0" fontId="49" fillId="0" borderId="0" xfId="87"/>
    <xf numFmtId="10" fontId="50" fillId="0" borderId="0" xfId="92" applyFont="1" applyAlignment="1">
      <alignment horizontal="right"/>
    </xf>
    <xf numFmtId="10" fontId="14" fillId="0" borderId="0" xfId="92" applyFont="1" applyAlignment="1">
      <alignment horizontal="right"/>
    </xf>
    <xf numFmtId="10" fontId="14" fillId="0" borderId="0" xfId="92" applyFont="1" applyAlignment="1" applyProtection="1">
      <alignment horizontal="right"/>
    </xf>
    <xf numFmtId="10" fontId="12" fillId="0" borderId="0" xfId="92" applyFont="1" applyAlignment="1" applyProtection="1">
      <alignment horizontal="right"/>
    </xf>
    <xf numFmtId="10" fontId="14" fillId="0" borderId="0" xfId="92" applyFont="1" applyFill="1" applyAlignment="1" applyProtection="1">
      <alignment horizontal="left" indent="1"/>
    </xf>
    <xf numFmtId="5" fontId="29" fillId="0" borderId="0" xfId="92" applyNumberFormat="1" applyFont="1" applyProtection="1"/>
    <xf numFmtId="165" fontId="29" fillId="0" borderId="0" xfId="92" applyNumberFormat="1" applyFont="1" applyProtection="1"/>
    <xf numFmtId="5" fontId="29" fillId="0" borderId="0" xfId="92" applyNumberFormat="1" applyFont="1" applyAlignment="1" applyProtection="1">
      <alignment horizontal="right"/>
    </xf>
    <xf numFmtId="10" fontId="29" fillId="0" borderId="0" xfId="92" applyFont="1" applyBorder="1" applyProtection="1"/>
    <xf numFmtId="10" fontId="29" fillId="0" borderId="0" xfId="92" applyFont="1" applyProtection="1"/>
    <xf numFmtId="10" fontId="24" fillId="0" borderId="0" xfId="92" applyFont="1" applyFill="1" applyAlignment="1" applyProtection="1">
      <alignment horizontal="left" indent="2"/>
    </xf>
    <xf numFmtId="5" fontId="33" fillId="0" borderId="0" xfId="92" applyNumberFormat="1" applyFont="1" applyProtection="1"/>
    <xf numFmtId="165" fontId="33" fillId="0" borderId="0" xfId="92" applyNumberFormat="1" applyFont="1" applyProtection="1"/>
    <xf numFmtId="5" fontId="33" fillId="0" borderId="0" xfId="92" applyNumberFormat="1" applyFont="1" applyAlignment="1" applyProtection="1">
      <alignment horizontal="right"/>
    </xf>
    <xf numFmtId="10" fontId="33" fillId="0" borderId="0" xfId="92" applyFont="1" applyBorder="1" applyProtection="1"/>
    <xf numFmtId="10" fontId="33" fillId="0" borderId="0" xfId="92" applyFont="1" applyProtection="1"/>
    <xf numFmtId="43" fontId="42" fillId="0" borderId="0" xfId="92" applyNumberFormat="1" applyFont="1" applyProtection="1"/>
    <xf numFmtId="5" fontId="42" fillId="0" borderId="0" xfId="92" applyNumberFormat="1" applyFont="1" applyAlignment="1" applyProtection="1">
      <alignment horizontal="right"/>
    </xf>
    <xf numFmtId="10" fontId="12" fillId="0" borderId="0" xfId="92" applyFont="1" applyAlignment="1" applyProtection="1">
      <alignment horizontal="left" indent="1"/>
    </xf>
    <xf numFmtId="10" fontId="14" fillId="0" borderId="0" xfId="92" applyFont="1" applyAlignment="1" applyProtection="1">
      <alignment horizontal="left" indent="1"/>
    </xf>
    <xf numFmtId="10" fontId="29" fillId="0" borderId="0" xfId="92" applyNumberFormat="1" applyFont="1" applyFill="1" applyBorder="1" applyProtection="1"/>
    <xf numFmtId="10" fontId="29" fillId="0" borderId="0" xfId="92" applyFont="1" applyAlignment="1" applyProtection="1">
      <alignment horizontal="left"/>
    </xf>
    <xf numFmtId="5" fontId="29" fillId="19" borderId="12" xfId="92" applyNumberFormat="1" applyFont="1" applyFill="1" applyBorder="1" applyProtection="1"/>
    <xf numFmtId="165" fontId="29" fillId="0" borderId="12" xfId="92" applyNumberFormat="1" applyFont="1" applyBorder="1" applyProtection="1"/>
    <xf numFmtId="5" fontId="29" fillId="0" borderId="12" xfId="92" applyNumberFormat="1" applyFont="1" applyBorder="1" applyProtection="1"/>
    <xf numFmtId="10" fontId="29" fillId="19" borderId="12" xfId="92" applyFont="1" applyFill="1" applyBorder="1" applyProtection="1"/>
    <xf numFmtId="10" fontId="29" fillId="0" borderId="12" xfId="92" applyFont="1" applyBorder="1" applyProtection="1"/>
    <xf numFmtId="10" fontId="29" fillId="0" borderId="0" xfId="92" applyFont="1"/>
    <xf numFmtId="5" fontId="27" fillId="19" borderId="0" xfId="92" applyNumberFormat="1" applyFont="1" applyFill="1" applyProtection="1"/>
    <xf numFmtId="5" fontId="27" fillId="0" borderId="0" xfId="92" applyNumberFormat="1" applyFont="1" applyAlignment="1" applyProtection="1">
      <alignment horizontal="right"/>
    </xf>
    <xf numFmtId="5" fontId="29" fillId="0" borderId="12" xfId="92" applyNumberFormat="1" applyFont="1" applyBorder="1" applyAlignment="1" applyProtection="1">
      <alignment horizontal="right"/>
    </xf>
    <xf numFmtId="10" fontId="12" fillId="19" borderId="12" xfId="92" applyFont="1" applyFill="1" applyBorder="1" applyProtection="1"/>
    <xf numFmtId="10" fontId="29" fillId="0" borderId="0" xfId="92" applyFont="1" applyAlignment="1" applyProtection="1">
      <alignment horizontal="fill"/>
    </xf>
    <xf numFmtId="165" fontId="29" fillId="0" borderId="0" xfId="92" applyNumberFormat="1" applyFont="1" applyAlignment="1" applyProtection="1">
      <alignment horizontal="fill"/>
    </xf>
    <xf numFmtId="5" fontId="51" fillId="0" borderId="0" xfId="92" applyNumberFormat="1" applyFont="1" applyBorder="1" applyProtection="1"/>
    <xf numFmtId="165" fontId="51" fillId="0" borderId="0" xfId="92" applyNumberFormat="1" applyFont="1" applyBorder="1" applyProtection="1"/>
    <xf numFmtId="5" fontId="52" fillId="0" borderId="0" xfId="92" applyNumberFormat="1" applyFont="1" applyBorder="1" applyProtection="1"/>
    <xf numFmtId="10" fontId="51" fillId="0" borderId="0" xfId="92" applyFont="1" applyBorder="1"/>
    <xf numFmtId="10" fontId="51" fillId="0" borderId="0" xfId="92" applyFont="1" applyBorder="1" applyProtection="1"/>
    <xf numFmtId="10" fontId="29" fillId="0" borderId="0" xfId="92" applyFont="1" applyAlignment="1">
      <alignment horizontal="right"/>
    </xf>
    <xf numFmtId="37" fontId="12" fillId="0" borderId="0" xfId="92" applyNumberFormat="1" applyFont="1"/>
    <xf numFmtId="10" fontId="12" fillId="0" borderId="0" xfId="92" applyFont="1" applyAlignment="1">
      <alignment horizontal="right"/>
    </xf>
    <xf numFmtId="10" fontId="23" fillId="0" borderId="0" xfId="92" quotePrefix="1" applyFont="1" applyAlignment="1" applyProtection="1">
      <alignment horizontal="left"/>
    </xf>
    <xf numFmtId="10" fontId="34" fillId="0" borderId="0" xfId="92" quotePrefix="1" applyFont="1" applyAlignment="1">
      <alignment horizontal="left"/>
    </xf>
    <xf numFmtId="10" fontId="23" fillId="0" borderId="0" xfId="92" applyFont="1"/>
    <xf numFmtId="1" fontId="50" fillId="0" borderId="0" xfId="92" applyNumberFormat="1" applyFont="1" applyAlignment="1" applyProtection="1">
      <alignment horizontal="center"/>
    </xf>
    <xf numFmtId="5" fontId="3" fillId="0" borderId="0" xfId="92" applyNumberFormat="1" applyProtection="1"/>
    <xf numFmtId="165" fontId="3" fillId="0" borderId="0" xfId="92" applyNumberFormat="1" applyProtection="1"/>
    <xf numFmtId="165" fontId="3" fillId="0" borderId="0" xfId="92" applyNumberFormat="1" applyAlignment="1" applyProtection="1">
      <alignment horizontal="right"/>
    </xf>
    <xf numFmtId="10" fontId="3" fillId="0" borderId="0" xfId="92" applyNumberFormat="1" applyProtection="1"/>
    <xf numFmtId="10" fontId="3" fillId="0" borderId="0" xfId="92" applyNumberFormat="1" applyAlignment="1" applyProtection="1">
      <alignment horizontal="right"/>
    </xf>
    <xf numFmtId="10" fontId="3" fillId="0" borderId="0" xfId="92" applyAlignment="1">
      <alignment horizontal="right"/>
    </xf>
    <xf numFmtId="37" fontId="23" fillId="0" borderId="0" xfId="88" applyFont="1" applyAlignment="1" applyProtection="1">
      <alignment horizontal="left"/>
    </xf>
    <xf numFmtId="37" fontId="23" fillId="0" borderId="10" xfId="89" applyNumberFormat="1" applyFont="1" applyBorder="1" applyAlignment="1" applyProtection="1">
      <alignment horizontal="center" wrapText="1"/>
    </xf>
    <xf numFmtId="175" fontId="34" fillId="0" borderId="12" xfId="85" applyNumberFormat="1" applyFont="1" applyFill="1" applyBorder="1" applyProtection="1"/>
    <xf numFmtId="10" fontId="23" fillId="20" borderId="23" xfId="89" applyNumberFormat="1" applyFont="1" applyFill="1" applyBorder="1" applyProtection="1"/>
    <xf numFmtId="10" fontId="27" fillId="19" borderId="0" xfId="92" applyFont="1" applyFill="1" applyBorder="1" applyProtection="1"/>
    <xf numFmtId="0" fontId="14" fillId="18" borderId="0" xfId="94" applyFont="1" applyFill="1"/>
    <xf numFmtId="0" fontId="12" fillId="18" borderId="0" xfId="94" applyFont="1" applyFill="1"/>
    <xf numFmtId="0" fontId="1" fillId="0" borderId="0" xfId="94"/>
    <xf numFmtId="0" fontId="12" fillId="0" borderId="0" xfId="94" applyFont="1"/>
    <xf numFmtId="10" fontId="12" fillId="0" borderId="0" xfId="99" applyNumberFormat="1" applyFont="1"/>
    <xf numFmtId="0" fontId="28" fillId="0" borderId="0" xfId="94" applyFont="1" applyAlignment="1">
      <alignment horizontal="center"/>
    </xf>
    <xf numFmtId="10" fontId="12" fillId="0" borderId="0" xfId="99" applyNumberFormat="1" applyFont="1" applyFill="1"/>
    <xf numFmtId="10" fontId="14" fillId="21" borderId="0" xfId="94" applyNumberFormat="1" applyFont="1" applyFill="1"/>
    <xf numFmtId="10" fontId="14" fillId="21" borderId="0" xfId="99" applyNumberFormat="1" applyFont="1" applyFill="1"/>
    <xf numFmtId="0" fontId="14" fillId="0" borderId="0" xfId="94" applyFont="1"/>
    <xf numFmtId="10" fontId="12" fillId="0" borderId="26" xfId="99" applyNumberFormat="1" applyFont="1" applyBorder="1"/>
    <xf numFmtId="9" fontId="12" fillId="0" borderId="26" xfId="99" applyFont="1" applyBorder="1"/>
    <xf numFmtId="10" fontId="14" fillId="21" borderId="23" xfId="99" applyNumberFormat="1" applyFont="1" applyFill="1" applyBorder="1"/>
    <xf numFmtId="10" fontId="12" fillId="0" borderId="0" xfId="94" applyNumberFormat="1" applyFont="1"/>
    <xf numFmtId="10" fontId="1" fillId="0" borderId="0" xfId="99" applyNumberFormat="1"/>
    <xf numFmtId="10" fontId="12" fillId="0" borderId="0" xfId="94" applyNumberFormat="1" applyFont="1" applyFill="1"/>
    <xf numFmtId="10" fontId="12" fillId="0" borderId="26" xfId="94" applyNumberFormat="1" applyFont="1" applyBorder="1"/>
    <xf numFmtId="0" fontId="1" fillId="18" borderId="0" xfId="94" applyFill="1"/>
    <xf numFmtId="0" fontId="14" fillId="22" borderId="0" xfId="94" applyFont="1" applyFill="1"/>
    <xf numFmtId="0" fontId="12" fillId="22" borderId="0" xfId="94" applyFont="1" applyFill="1"/>
    <xf numFmtId="186" fontId="42" fillId="0" borderId="0" xfId="85" applyNumberFormat="1" applyFont="1" applyFill="1" applyBorder="1" applyProtection="1"/>
    <xf numFmtId="187" fontId="45" fillId="0" borderId="0" xfId="93" applyNumberFormat="1" applyFont="1" applyFill="1"/>
    <xf numFmtId="0" fontId="72" fillId="0" borderId="0" xfId="93" applyFont="1" applyAlignment="1">
      <alignment horizontal="center"/>
    </xf>
    <xf numFmtId="15" fontId="45" fillId="0" borderId="0" xfId="93" applyNumberFormat="1" applyFont="1" applyFill="1" applyAlignment="1">
      <alignment horizontal="center"/>
    </xf>
    <xf numFmtId="15" fontId="72" fillId="23" borderId="0" xfId="93" applyNumberFormat="1" applyFont="1" applyFill="1" applyAlignment="1">
      <alignment horizontal="right"/>
    </xf>
    <xf numFmtId="5" fontId="45" fillId="23" borderId="0" xfId="86" applyNumberFormat="1" applyFont="1" applyFill="1" applyBorder="1" applyProtection="1"/>
    <xf numFmtId="187" fontId="71" fillId="23" borderId="0" xfId="93" applyNumberFormat="1" applyFont="1" applyFill="1"/>
    <xf numFmtId="5" fontId="15" fillId="0" borderId="0" xfId="86" applyNumberFormat="1" applyFont="1" applyBorder="1" applyProtection="1"/>
    <xf numFmtId="0" fontId="45" fillId="0" borderId="0" xfId="93" applyFont="1" applyAlignment="1">
      <alignment horizontal="left"/>
    </xf>
    <xf numFmtId="0" fontId="40" fillId="0" borderId="0" xfId="93" applyFont="1"/>
    <xf numFmtId="37" fontId="73" fillId="0" borderId="0" xfId="91" applyFont="1" applyBorder="1" applyAlignment="1">
      <alignment horizontal="centerContinuous" vertical="center" wrapText="1"/>
    </xf>
    <xf numFmtId="37" fontId="73" fillId="0" borderId="0" xfId="91" applyFont="1"/>
    <xf numFmtId="37" fontId="15" fillId="0" borderId="0" xfId="91"/>
    <xf numFmtId="37" fontId="15" fillId="0" borderId="0" xfId="91" applyFill="1"/>
    <xf numFmtId="10" fontId="74" fillId="0" borderId="30" xfId="92" applyFont="1" applyBorder="1" applyAlignment="1">
      <alignment horizontal="centerContinuous" vertical="center" wrapText="1"/>
    </xf>
    <xf numFmtId="10" fontId="31" fillId="0" borderId="26" xfId="92" applyFont="1" applyBorder="1" applyAlignment="1" applyProtection="1">
      <alignment horizontal="centerContinuous" vertical="center" wrapText="1"/>
    </xf>
    <xf numFmtId="10" fontId="31" fillId="0" borderId="31" xfId="92" applyFont="1" applyBorder="1" applyAlignment="1" applyProtection="1">
      <alignment horizontal="centerContinuous" vertical="center" wrapText="1"/>
    </xf>
    <xf numFmtId="10" fontId="31" fillId="0" borderId="32" xfId="92" applyFont="1" applyBorder="1" applyAlignment="1" applyProtection="1">
      <alignment horizontal="centerContinuous" vertical="center" wrapText="1"/>
    </xf>
    <xf numFmtId="10" fontId="12" fillId="0" borderId="10" xfId="92" applyFont="1" applyBorder="1" applyAlignment="1">
      <alignment horizontal="centerContinuous" vertical="center" wrapText="1"/>
    </xf>
    <xf numFmtId="10" fontId="12" fillId="0" borderId="33" xfId="92" applyFont="1" applyBorder="1" applyAlignment="1">
      <alignment horizontal="centerContinuous" vertical="center" wrapText="1"/>
    </xf>
    <xf numFmtId="10" fontId="12" fillId="0" borderId="0" xfId="92" applyNumberFormat="1" applyFont="1" applyFill="1" applyAlignment="1" applyProtection="1"/>
    <xf numFmtId="10" fontId="12" fillId="0" borderId="0" xfId="92" applyFont="1" applyBorder="1" applyAlignment="1" applyProtection="1">
      <alignment horizontal="center"/>
    </xf>
    <xf numFmtId="10" fontId="12" fillId="0" borderId="0" xfId="92" applyNumberFormat="1" applyFont="1" applyFill="1" applyBorder="1" applyAlignment="1" applyProtection="1"/>
    <xf numFmtId="0" fontId="75" fillId="0" borderId="0" xfId="93" quotePrefix="1" applyFont="1" applyFill="1" applyBorder="1" applyAlignment="1" applyProtection="1">
      <alignment horizontal="centerContinuous" vertical="center" wrapText="1"/>
    </xf>
    <xf numFmtId="37" fontId="76" fillId="0" borderId="0" xfId="88" applyFont="1" applyBorder="1" applyAlignment="1">
      <alignment horizontal="centerContinuous" vertical="center" wrapText="1"/>
    </xf>
    <xf numFmtId="37" fontId="15" fillId="0" borderId="0" xfId="88" applyFont="1" applyAlignment="1" applyProtection="1">
      <alignment horizontal="left"/>
    </xf>
    <xf numFmtId="37" fontId="77" fillId="0" borderId="0" xfId="0" applyFont="1" applyFill="1"/>
    <xf numFmtId="37" fontId="39" fillId="0" borderId="16" xfId="0" applyFont="1" applyFill="1" applyBorder="1"/>
    <xf numFmtId="5" fontId="15" fillId="0" borderId="0" xfId="55" applyNumberFormat="1" applyFont="1" applyFill="1" applyBorder="1"/>
    <xf numFmtId="5" fontId="15" fillId="0" borderId="26" xfId="55" applyNumberFormat="1" applyFont="1" applyFill="1" applyBorder="1"/>
    <xf numFmtId="168" fontId="15" fillId="0" borderId="26" xfId="99" applyNumberFormat="1" applyFont="1" applyFill="1" applyBorder="1" applyAlignment="1">
      <alignment horizontal="center"/>
    </xf>
    <xf numFmtId="5" fontId="17" fillId="0" borderId="26" xfId="55" applyNumberFormat="1" applyFont="1" applyFill="1" applyBorder="1"/>
    <xf numFmtId="37" fontId="19" fillId="0" borderId="16" xfId="0" applyFont="1" applyBorder="1"/>
    <xf numFmtId="180" fontId="15" fillId="0" borderId="0" xfId="0" applyNumberFormat="1" applyFont="1" applyFill="1" applyBorder="1"/>
    <xf numFmtId="169" fontId="15" fillId="0" borderId="0" xfId="0" applyNumberFormat="1" applyFont="1" applyFill="1" applyBorder="1" applyAlignment="1">
      <alignment horizontal="center"/>
    </xf>
    <xf numFmtId="37" fontId="15" fillId="0" borderId="0" xfId="0" applyNumberFormat="1" applyFont="1" applyFill="1" applyBorder="1" applyAlignment="1">
      <alignment horizontal="center"/>
    </xf>
    <xf numFmtId="5" fontId="15" fillId="0" borderId="26" xfId="58" applyNumberFormat="1" applyFont="1" applyBorder="1"/>
    <xf numFmtId="1" fontId="15" fillId="0" borderId="0" xfId="0" applyNumberFormat="1" applyFont="1" applyFill="1" applyBorder="1"/>
    <xf numFmtId="170" fontId="15" fillId="0" borderId="0" xfId="58" applyNumberFormat="1" applyFont="1" applyBorder="1"/>
    <xf numFmtId="10" fontId="15" fillId="0" borderId="0" xfId="0" applyNumberFormat="1" applyFont="1" applyFill="1" applyBorder="1" applyAlignment="1">
      <alignment horizontal="center"/>
    </xf>
    <xf numFmtId="37" fontId="39" fillId="0" borderId="29" xfId="0" applyFont="1" applyBorder="1"/>
    <xf numFmtId="37" fontId="15" fillId="0" borderId="16" xfId="0" applyFont="1" applyBorder="1"/>
    <xf numFmtId="168" fontId="15" fillId="0" borderId="0" xfId="99" applyNumberFormat="1" applyFont="1" applyBorder="1"/>
    <xf numFmtId="37" fontId="17" fillId="0" borderId="16" xfId="0" applyFont="1" applyBorder="1"/>
    <xf numFmtId="168" fontId="15" fillId="0" borderId="26" xfId="99" applyNumberFormat="1" applyFont="1" applyBorder="1"/>
    <xf numFmtId="37" fontId="0" fillId="0" borderId="13" xfId="0" applyBorder="1"/>
    <xf numFmtId="37" fontId="24" fillId="0" borderId="0" xfId="0" applyFont="1" applyBorder="1"/>
    <xf numFmtId="37" fontId="23" fillId="0" borderId="0" xfId="0" applyFont="1"/>
    <xf numFmtId="37" fontId="23" fillId="0" borderId="10" xfId="0" applyFont="1" applyBorder="1"/>
    <xf numFmtId="37" fontId="24" fillId="0" borderId="0" xfId="0" applyFont="1" applyBorder="1" applyAlignment="1">
      <alignment horizontal="center"/>
    </xf>
    <xf numFmtId="39" fontId="24" fillId="0" borderId="0" xfId="0" applyNumberFormat="1" applyFont="1" applyAlignment="1">
      <alignment horizontal="center"/>
    </xf>
    <xf numFmtId="37" fontId="24" fillId="0" borderId="0" xfId="0" applyFont="1" applyAlignment="1">
      <alignment horizontal="center"/>
    </xf>
    <xf numFmtId="37" fontId="23" fillId="0" borderId="0" xfId="0" applyFont="1" applyAlignment="1">
      <alignment horizontal="center"/>
    </xf>
    <xf numFmtId="37" fontId="23" fillId="0" borderId="0" xfId="0" applyFont="1" applyBorder="1" applyAlignment="1">
      <alignment horizontal="left"/>
    </xf>
    <xf numFmtId="174" fontId="23" fillId="0" borderId="10" xfId="93" applyNumberFormat="1" applyFont="1" applyFill="1" applyBorder="1" applyAlignment="1">
      <alignment horizontal="center"/>
    </xf>
    <xf numFmtId="174" fontId="23" fillId="0" borderId="0" xfId="93" applyNumberFormat="1" applyFont="1" applyFill="1" applyBorder="1" applyAlignment="1">
      <alignment horizontal="center"/>
    </xf>
    <xf numFmtId="173" fontId="24"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3" fillId="0" borderId="12" xfId="0" applyFont="1" applyFill="1" applyBorder="1"/>
    <xf numFmtId="37" fontId="23" fillId="0" borderId="12" xfId="0" applyNumberFormat="1" applyFont="1" applyFill="1" applyBorder="1"/>
    <xf numFmtId="37" fontId="23" fillId="20" borderId="23" xfId="58" applyNumberFormat="1" applyFont="1" applyFill="1" applyBorder="1"/>
    <xf numFmtId="37" fontId="24" fillId="0" borderId="0" xfId="0" applyNumberFormat="1" applyFont="1" applyBorder="1"/>
    <xf numFmtId="10" fontId="12" fillId="0" borderId="0" xfId="99" applyNumberFormat="1" applyFont="1" applyAlignment="1" applyProtection="1"/>
    <xf numFmtId="5" fontId="15" fillId="0" borderId="0" xfId="58" applyNumberFormat="1" applyFont="1" applyFill="1" applyBorder="1" applyAlignment="1">
      <alignment horizontal="center"/>
    </xf>
    <xf numFmtId="179" fontId="42" fillId="0" borderId="0" xfId="85" applyNumberFormat="1" applyFont="1" applyFill="1" applyBorder="1" applyProtection="1"/>
    <xf numFmtId="176" fontId="18" fillId="0" borderId="0" xfId="85" applyNumberFormat="1" applyFont="1" applyAlignment="1" applyProtection="1">
      <alignment horizontal="center" wrapText="1"/>
    </xf>
    <xf numFmtId="0" fontId="80" fillId="0" borderId="0" xfId="85" applyFont="1"/>
    <xf numFmtId="0" fontId="0" fillId="0" borderId="0" xfId="0" applyNumberFormat="1"/>
    <xf numFmtId="37" fontId="0" fillId="24" borderId="0" xfId="0" applyFill="1"/>
    <xf numFmtId="0" fontId="0" fillId="24" borderId="0" xfId="0" applyNumberFormat="1" applyFill="1"/>
    <xf numFmtId="10" fontId="27" fillId="0" borderId="0" xfId="92" applyNumberFormat="1" applyFont="1" applyFill="1" applyBorder="1" applyAlignment="1" applyProtection="1"/>
    <xf numFmtId="37" fontId="12" fillId="0" borderId="0" xfId="0" applyFont="1"/>
    <xf numFmtId="181" fontId="17" fillId="0" borderId="0" xfId="0" applyNumberFormat="1" applyFont="1" applyBorder="1" applyAlignment="1">
      <alignment horizontal="left"/>
    </xf>
    <xf numFmtId="5" fontId="5" fillId="0" borderId="0" xfId="93" applyNumberFormat="1" applyFont="1"/>
    <xf numFmtId="7" fontId="3" fillId="0" borderId="0" xfId="92" applyNumberFormat="1"/>
    <xf numFmtId="7" fontId="3" fillId="0" borderId="10" xfId="92" applyNumberFormat="1" applyBorder="1" applyProtection="1"/>
    <xf numFmtId="175" fontId="4" fillId="0" borderId="0" xfId="85" applyNumberFormat="1" applyFont="1"/>
    <xf numFmtId="164" fontId="42" fillId="0" borderId="0" xfId="85" applyNumberFormat="1" applyFont="1" applyFill="1"/>
    <xf numFmtId="10" fontId="82" fillId="0" borderId="0" xfId="92" applyNumberFormat="1" applyFont="1" applyFill="1" applyAlignment="1" applyProtection="1"/>
    <xf numFmtId="10" fontId="8" fillId="0" borderId="0" xfId="99" applyNumberFormat="1" applyFont="1"/>
    <xf numFmtId="10" fontId="12" fillId="0" borderId="0" xfId="88" applyNumberFormat="1" applyFont="1"/>
    <xf numFmtId="5" fontId="45" fillId="0" borderId="0" xfId="58" applyNumberFormat="1" applyFont="1" applyFill="1"/>
    <xf numFmtId="188" fontId="12" fillId="0" borderId="0" xfId="55" applyNumberFormat="1" applyFont="1" applyBorder="1" applyAlignment="1"/>
    <xf numFmtId="175" fontId="34" fillId="0" borderId="10" xfId="85" applyNumberFormat="1" applyFont="1" applyFill="1" applyBorder="1" applyProtection="1"/>
    <xf numFmtId="37" fontId="83" fillId="0" borderId="0" xfId="0" applyFont="1"/>
    <xf numFmtId="175" fontId="34" fillId="0" borderId="0" xfId="85" applyNumberFormat="1" applyFont="1" applyFill="1" applyBorder="1" applyProtection="1"/>
    <xf numFmtId="0" fontId="23" fillId="0" borderId="0" xfId="85" applyFont="1" applyAlignment="1" applyProtection="1">
      <alignment horizontal="center"/>
    </xf>
    <xf numFmtId="0" fontId="41" fillId="0" borderId="0" xfId="85" applyFont="1" applyFill="1" applyBorder="1" applyAlignment="1" applyProtection="1">
      <alignment horizontal="center" vertical="center" wrapText="1"/>
    </xf>
    <xf numFmtId="37" fontId="17" fillId="0" borderId="16" xfId="0" applyFont="1" applyFill="1" applyBorder="1" applyAlignment="1">
      <alignment horizontal="left"/>
    </xf>
    <xf numFmtId="37" fontId="17"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7" fillId="0" borderId="0" xfId="93" applyNumberFormat="1" applyFont="1" applyFill="1" applyAlignment="1">
      <alignment horizontal="left"/>
    </xf>
  </cellXfs>
  <cellStyles count="10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0" xfId="57"/>
    <cellStyle name="Currency" xfId="58" builtinId="4"/>
    <cellStyle name="Currency 2" xfId="59"/>
    <cellStyle name="Currency0" xfId="60"/>
    <cellStyle name="Date" xfId="61"/>
    <cellStyle name="Explanatory Text" xfId="62" builtinId="53" customBuiltin="1"/>
    <cellStyle name="Explanatory Text 2" xfId="63"/>
    <cellStyle name="Good" xfId="64" builtinId="26" customBuiltin="1"/>
    <cellStyle name="Good 2" xfId="65"/>
    <cellStyle name="Heading 1" xfId="66" builtinId="16" customBuiltin="1"/>
    <cellStyle name="Heading 1 2" xfId="67"/>
    <cellStyle name="Heading 2" xfId="68" builtinId="17" customBuiltin="1"/>
    <cellStyle name="Heading 2 2" xfId="69"/>
    <cellStyle name="Heading 3" xfId="70" builtinId="18" customBuiltin="1"/>
    <cellStyle name="Heading 3 2" xfId="71"/>
    <cellStyle name="Heading 4" xfId="72" builtinId="19" customBuiltin="1"/>
    <cellStyle name="Heading 4 2" xfId="73"/>
    <cellStyle name="Input" xfId="74" builtinId="20" customBuiltin="1"/>
    <cellStyle name="Input 2" xfId="75"/>
    <cellStyle name="Linked Cell" xfId="76" builtinId="24" customBuiltin="1"/>
    <cellStyle name="Linked Cell 2" xfId="77"/>
    <cellStyle name="Lisa" xfId="78"/>
    <cellStyle name="Neutral" xfId="79" builtinId="28" customBuiltin="1"/>
    <cellStyle name="Neutral 2" xfId="80"/>
    <cellStyle name="Normal" xfId="0" builtinId="0"/>
    <cellStyle name="Normal 2" xfId="81"/>
    <cellStyle name="Normal 2 2" xfId="82"/>
    <cellStyle name="Normal 2 2 2" xfId="83"/>
    <cellStyle name="Normal 3" xfId="84"/>
    <cellStyle name="Normal_AMACAPST" xfId="85"/>
    <cellStyle name="Normal_AMORTONR" xfId="86"/>
    <cellStyle name="Normal_COC DEC 00 Company" xfId="87"/>
    <cellStyle name="Normal_COSTOF" xfId="88"/>
    <cellStyle name="Normal_COSTOFD" xfId="89"/>
    <cellStyle name="Normal_COSTOFPR" xfId="90"/>
    <cellStyle name="Normal_DEG-5C WACC Rate Yr beginning Jun-11 DRAFT2" xfId="91"/>
    <cellStyle name="Normal_RATEOFRE" xfId="92"/>
    <cellStyle name="Normal_SCHEDULE" xfId="93"/>
    <cellStyle name="Normal_WACC" xfId="94"/>
    <cellStyle name="Note" xfId="95" builtinId="10" customBuiltin="1"/>
    <cellStyle name="Note 2" xfId="96"/>
    <cellStyle name="Output" xfId="97" builtinId="21" customBuiltin="1"/>
    <cellStyle name="Output 2" xfId="98"/>
    <cellStyle name="Percent" xfId="99" builtinId="5"/>
    <cellStyle name="Percent 2" xfId="100"/>
    <cellStyle name="Title" xfId="101" builtinId="15" customBuiltin="1"/>
    <cellStyle name="Title 2" xfId="102"/>
    <cellStyle name="Total" xfId="103" builtinId="25" customBuiltin="1"/>
    <cellStyle name="Total 2" xfId="104"/>
    <cellStyle name="Warning Text" xfId="105" builtinId="11" customBuiltin="1"/>
    <cellStyle name="Warning Text 2" xfId="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434340</xdr:colOff>
      <xdr:row>1</xdr:row>
      <xdr:rowOff>87630</xdr:rowOff>
    </xdr:from>
    <xdr:to>
      <xdr:col>10</xdr:col>
      <xdr:colOff>119984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434340</xdr:colOff>
      <xdr:row>1</xdr:row>
      <xdr:rowOff>87630</xdr:rowOff>
    </xdr:from>
    <xdr:to>
      <xdr:col>10</xdr:col>
      <xdr:colOff>119984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7109375" defaultRowHeight="13.2"/>
  <cols>
    <col min="1" max="1" width="27.42578125" style="487" customWidth="1"/>
    <col min="2" max="2" width="12.85546875" style="487" customWidth="1"/>
    <col min="3" max="3" width="12.140625" style="487" customWidth="1"/>
    <col min="4" max="4" width="14.28515625" style="487" bestFit="1" customWidth="1"/>
    <col min="5" max="16384" width="10.7109375" style="487"/>
  </cols>
  <sheetData>
    <row r="1" spans="1:10">
      <c r="A1" s="485" t="s">
        <v>270</v>
      </c>
      <c r="B1" s="486"/>
      <c r="C1" s="486"/>
      <c r="D1" s="486"/>
      <c r="E1" s="486"/>
      <c r="F1" s="486"/>
      <c r="G1" s="486"/>
      <c r="H1" s="486"/>
      <c r="I1" s="486"/>
      <c r="J1" s="486"/>
    </row>
    <row r="2" spans="1:10">
      <c r="A2" s="488" t="s">
        <v>207</v>
      </c>
      <c r="B2" s="488"/>
      <c r="C2" s="488"/>
      <c r="D2" s="488"/>
      <c r="E2" s="488"/>
      <c r="F2" s="488"/>
      <c r="G2" s="488"/>
      <c r="H2" s="488"/>
      <c r="I2" s="488"/>
      <c r="J2" s="488"/>
    </row>
    <row r="3" spans="1:10">
      <c r="A3" s="488"/>
      <c r="B3" s="489"/>
      <c r="C3" s="489"/>
      <c r="D3" s="488"/>
      <c r="E3" s="488"/>
      <c r="F3" s="488"/>
      <c r="G3" s="488"/>
      <c r="H3" s="488"/>
      <c r="I3" s="488"/>
      <c r="J3" s="488"/>
    </row>
    <row r="4" spans="1:10">
      <c r="A4" s="488"/>
      <c r="B4" s="490" t="s">
        <v>208</v>
      </c>
      <c r="C4" s="490" t="s">
        <v>11</v>
      </c>
      <c r="D4" s="490" t="s">
        <v>209</v>
      </c>
      <c r="E4" s="488"/>
      <c r="F4" s="488"/>
      <c r="G4" s="488"/>
      <c r="H4" s="488"/>
      <c r="I4" s="488"/>
      <c r="J4" s="488"/>
    </row>
    <row r="5" spans="1:10">
      <c r="A5" s="488" t="s">
        <v>13</v>
      </c>
      <c r="B5" s="489">
        <f>'Pg 1 CofCap'!D14</f>
        <v>6.1999999999999998E-3</v>
      </c>
      <c r="C5" s="489">
        <f>'Pg 1 CofCap'!E14</f>
        <v>6.8053107612586428E-2</v>
      </c>
      <c r="D5" s="489">
        <f>ROUND(B5*C5,5)</f>
        <v>4.2000000000000002E-4</v>
      </c>
      <c r="E5" s="488"/>
      <c r="F5" s="489">
        <f>B5/G9*C5</f>
        <v>8.2343728961365304E-4</v>
      </c>
      <c r="G5" s="488"/>
      <c r="H5" s="488"/>
      <c r="I5" s="488"/>
      <c r="J5" s="488"/>
    </row>
    <row r="6" spans="1:10">
      <c r="A6" s="488" t="s">
        <v>14</v>
      </c>
      <c r="B6" s="491">
        <f>'Pg 1 CofCap'!D16</f>
        <v>0.50619999999999998</v>
      </c>
      <c r="C6" s="491">
        <f>'Pg 1 CofCap'!E16</f>
        <v>5.9499999999999997E-2</v>
      </c>
      <c r="D6" s="489">
        <f>ROUND(B6*C6,5)</f>
        <v>3.0120000000000001E-2</v>
      </c>
      <c r="E6" s="488"/>
      <c r="F6" s="489">
        <f>B6/G9*C6</f>
        <v>5.8780054644808739E-2</v>
      </c>
      <c r="G6" s="488"/>
      <c r="H6" s="488"/>
      <c r="I6" s="488"/>
      <c r="J6" s="488"/>
    </row>
    <row r="7" spans="1:10">
      <c r="A7" s="488" t="s">
        <v>110</v>
      </c>
      <c r="B7" s="489">
        <v>0</v>
      </c>
      <c r="C7" s="489">
        <v>0</v>
      </c>
      <c r="D7" s="489">
        <f>ROUND(B7*C7,5)</f>
        <v>0</v>
      </c>
      <c r="E7" s="488"/>
      <c r="F7" s="488"/>
      <c r="G7" s="492">
        <f>SUM(F5:F6)</f>
        <v>5.9603491934422395E-2</v>
      </c>
      <c r="H7" s="488" t="s">
        <v>210</v>
      </c>
      <c r="I7" s="488"/>
      <c r="J7" s="488"/>
    </row>
    <row r="8" spans="1:10" ht="13.8" thickBot="1">
      <c r="A8" s="488" t="s">
        <v>111</v>
      </c>
      <c r="B8" s="489">
        <f>'Pg 1 CofCap'!D18</f>
        <v>0.48759999999999998</v>
      </c>
      <c r="C8" s="489">
        <f>'Pg 1 CofCap'!E18</f>
        <v>9.8000000000000004E-2</v>
      </c>
      <c r="D8" s="489">
        <f>ROUND(B8*C8,5)</f>
        <v>4.7780000000000003E-2</v>
      </c>
      <c r="E8" s="488"/>
      <c r="F8" s="488"/>
      <c r="G8" s="493">
        <f>G7*0.65</f>
        <v>3.8742269757374555E-2</v>
      </c>
      <c r="H8" s="488" t="s">
        <v>211</v>
      </c>
      <c r="I8" s="488"/>
      <c r="J8" s="488"/>
    </row>
    <row r="9" spans="1:10" ht="13.8" thickBot="1">
      <c r="A9" s="494" t="s">
        <v>220</v>
      </c>
      <c r="B9" s="495">
        <f>SUM(B5:B8)</f>
        <v>1</v>
      </c>
      <c r="C9" s="496"/>
      <c r="D9" s="497">
        <f>SUM(D5:D8)</f>
        <v>7.8320000000000001E-2</v>
      </c>
      <c r="E9" s="488"/>
      <c r="F9" s="488"/>
      <c r="G9" s="498">
        <f>SUM(B5:B6)</f>
        <v>0.51239999999999997</v>
      </c>
      <c r="H9" s="488" t="s">
        <v>213</v>
      </c>
      <c r="I9" s="488"/>
      <c r="J9" s="488"/>
    </row>
    <row r="10" spans="1:10" ht="13.8" thickBot="1">
      <c r="A10" s="488"/>
      <c r="B10" s="488"/>
      <c r="C10" s="488"/>
      <c r="D10" s="488"/>
      <c r="E10" s="488"/>
      <c r="F10" s="488"/>
      <c r="I10" s="488"/>
      <c r="J10" s="488"/>
    </row>
    <row r="11" spans="1:10" ht="13.8" thickBot="1">
      <c r="A11" s="494" t="s">
        <v>214</v>
      </c>
      <c r="B11" s="488"/>
      <c r="C11" s="488"/>
      <c r="D11" s="497">
        <f>(D6+D5)*0.65+D7+D8</f>
        <v>6.7630999999999997E-2</v>
      </c>
      <c r="E11" s="488"/>
      <c r="F11" s="488"/>
      <c r="G11" s="488"/>
      <c r="H11" s="494" t="s">
        <v>215</v>
      </c>
      <c r="I11" s="488"/>
      <c r="J11" s="488"/>
    </row>
    <row r="12" spans="1:10">
      <c r="A12" s="488"/>
      <c r="B12" s="488"/>
      <c r="C12" s="488"/>
      <c r="D12" s="488"/>
      <c r="E12" s="488"/>
      <c r="G12" s="499">
        <f>G9*G8</f>
        <v>1.985153902367872E-2</v>
      </c>
      <c r="H12" s="487" t="s">
        <v>216</v>
      </c>
      <c r="I12" s="488"/>
      <c r="J12" s="488"/>
    </row>
    <row r="13" spans="1:10">
      <c r="A13" s="488"/>
      <c r="B13" s="488"/>
      <c r="C13" s="488"/>
      <c r="D13" s="488"/>
      <c r="E13" s="488"/>
      <c r="F13" s="488"/>
      <c r="G13" s="498">
        <f>D7</f>
        <v>0</v>
      </c>
      <c r="H13" s="487" t="s">
        <v>217</v>
      </c>
      <c r="I13" s="488"/>
      <c r="J13" s="488"/>
    </row>
    <row r="14" spans="1:10">
      <c r="A14" s="488" t="s">
        <v>218</v>
      </c>
      <c r="B14" s="488"/>
      <c r="C14" s="488"/>
      <c r="D14" s="500">
        <f>D11/0.65</f>
        <v>0.1040476923076923</v>
      </c>
      <c r="E14" s="488"/>
      <c r="F14" s="488"/>
      <c r="G14" s="498">
        <f>D8</f>
        <v>4.7780000000000003E-2</v>
      </c>
      <c r="H14" s="487" t="s">
        <v>219</v>
      </c>
      <c r="I14" s="488"/>
      <c r="J14" s="488"/>
    </row>
    <row r="15" spans="1:10">
      <c r="A15" s="488"/>
      <c r="B15" s="488"/>
      <c r="C15" s="488"/>
      <c r="D15" s="488"/>
      <c r="E15" s="488"/>
      <c r="F15" s="489"/>
      <c r="G15" s="501">
        <f>SUM(G12:G14)</f>
        <v>6.7631539023678716E-2</v>
      </c>
      <c r="H15" s="488"/>
      <c r="I15" s="488"/>
      <c r="J15" s="488"/>
    </row>
    <row r="17" spans="1:10">
      <c r="A17" s="485" t="s">
        <v>263</v>
      </c>
      <c r="B17" s="486"/>
      <c r="C17" s="486"/>
      <c r="D17" s="486"/>
      <c r="E17" s="486"/>
      <c r="F17" s="486"/>
      <c r="G17" s="486"/>
      <c r="H17" s="486"/>
      <c r="I17" s="486"/>
      <c r="J17" s="486"/>
    </row>
    <row r="18" spans="1:10">
      <c r="A18" s="488" t="s">
        <v>207</v>
      </c>
      <c r="B18" s="488"/>
      <c r="C18" s="488"/>
      <c r="D18" s="488"/>
      <c r="E18" s="488"/>
      <c r="F18" s="488"/>
      <c r="G18" s="488"/>
      <c r="H18" s="488"/>
      <c r="I18" s="488"/>
      <c r="J18" s="488"/>
    </row>
    <row r="19" spans="1:10">
      <c r="A19" s="488"/>
      <c r="B19" s="489"/>
      <c r="C19" s="489"/>
      <c r="D19" s="488"/>
      <c r="E19" s="488"/>
      <c r="F19" s="488"/>
      <c r="G19" s="488"/>
      <c r="H19" s="488"/>
      <c r="I19" s="488"/>
      <c r="J19" s="488"/>
    </row>
    <row r="20" spans="1:10">
      <c r="A20" s="488"/>
      <c r="B20" s="490" t="s">
        <v>208</v>
      </c>
      <c r="C20" s="490" t="s">
        <v>11</v>
      </c>
      <c r="D20" s="490" t="s">
        <v>209</v>
      </c>
      <c r="E20" s="488"/>
      <c r="F20" s="488"/>
      <c r="G20" s="488"/>
      <c r="H20" s="488"/>
      <c r="I20" s="488"/>
      <c r="J20" s="488"/>
    </row>
    <row r="21" spans="1:10">
      <c r="A21" s="488" t="s">
        <v>13</v>
      </c>
      <c r="B21" s="489">
        <v>1.26E-2</v>
      </c>
      <c r="C21" s="489">
        <v>6.4899999999999999E-2</v>
      </c>
      <c r="D21" s="489">
        <f>ROUND(B21*C21,5)</f>
        <v>8.1999999999999998E-4</v>
      </c>
      <c r="E21" s="488"/>
      <c r="F21" s="489">
        <f>B21/G25*C21</f>
        <v>1.5817021276595747E-3</v>
      </c>
      <c r="G21" s="488"/>
      <c r="H21" s="488"/>
      <c r="I21" s="488"/>
      <c r="J21" s="488"/>
    </row>
    <row r="22" spans="1:10">
      <c r="A22" s="488" t="s">
        <v>14</v>
      </c>
      <c r="B22" s="491">
        <v>0.50439999999999996</v>
      </c>
      <c r="C22" s="491">
        <v>6.2199999999999998E-2</v>
      </c>
      <c r="D22" s="489">
        <f>ROUND(B22*C22,5)</f>
        <v>3.1370000000000002E-2</v>
      </c>
      <c r="E22" s="488"/>
      <c r="F22" s="489">
        <f>B22/G25*C22</f>
        <v>6.0684100580270794E-2</v>
      </c>
      <c r="G22" s="488"/>
      <c r="H22" s="488"/>
      <c r="I22" s="488"/>
      <c r="J22" s="488"/>
    </row>
    <row r="23" spans="1:10">
      <c r="A23" s="488" t="s">
        <v>110</v>
      </c>
      <c r="B23" s="489">
        <v>0</v>
      </c>
      <c r="C23" s="489">
        <v>0</v>
      </c>
      <c r="D23" s="489">
        <f>ROUND(B23*C23,5)</f>
        <v>0</v>
      </c>
      <c r="E23" s="488"/>
      <c r="F23" s="488"/>
      <c r="G23" s="492">
        <f>SUM(F21:F22)</f>
        <v>6.2265802707930369E-2</v>
      </c>
      <c r="H23" s="488" t="s">
        <v>210</v>
      </c>
      <c r="I23" s="488"/>
      <c r="J23" s="488"/>
    </row>
    <row r="24" spans="1:10" ht="13.8" thickBot="1">
      <c r="A24" s="488" t="s">
        <v>111</v>
      </c>
      <c r="B24" s="489">
        <v>0.48299999999999998</v>
      </c>
      <c r="C24" s="489">
        <f>'Pg 1 CofCap'!E18</f>
        <v>9.8000000000000004E-2</v>
      </c>
      <c r="D24" s="489">
        <f>ROUND(B24*C24,5)</f>
        <v>4.7329999999999997E-2</v>
      </c>
      <c r="E24" s="488"/>
      <c r="F24" s="488"/>
      <c r="G24" s="493">
        <f>G23*0.65</f>
        <v>4.0472771760154742E-2</v>
      </c>
      <c r="H24" s="488" t="s">
        <v>211</v>
      </c>
      <c r="I24" s="488"/>
      <c r="J24" s="488"/>
    </row>
    <row r="25" spans="1:10" ht="13.8" thickBot="1">
      <c r="A25" s="494" t="s">
        <v>220</v>
      </c>
      <c r="B25" s="495">
        <f>SUM(B21:B24)</f>
        <v>0.99999999999999989</v>
      </c>
      <c r="C25" s="496"/>
      <c r="D25" s="497">
        <f>SUM(D21:D24)</f>
        <v>7.9520000000000007E-2</v>
      </c>
      <c r="E25" s="488"/>
      <c r="F25" s="488"/>
      <c r="G25" s="498">
        <f>SUM(B21:B22)</f>
        <v>0.5169999999999999</v>
      </c>
      <c r="H25" s="488" t="s">
        <v>213</v>
      </c>
      <c r="I25" s="488"/>
      <c r="J25" s="488"/>
    </row>
    <row r="26" spans="1:10" ht="13.8" thickBot="1">
      <c r="A26" s="488"/>
      <c r="B26" s="488"/>
      <c r="C26" s="488"/>
      <c r="D26" s="488"/>
      <c r="E26" s="488"/>
      <c r="F26" s="488"/>
      <c r="I26" s="488"/>
      <c r="J26" s="488"/>
    </row>
    <row r="27" spans="1:10" ht="13.8" thickBot="1">
      <c r="A27" s="494" t="s">
        <v>214</v>
      </c>
      <c r="B27" s="488"/>
      <c r="C27" s="488"/>
      <c r="D27" s="497">
        <f>(D22+D21)*0.65+D23+D24</f>
        <v>6.8253499999999995E-2</v>
      </c>
      <c r="E27" s="488"/>
      <c r="F27" s="488"/>
      <c r="G27" s="488"/>
      <c r="H27" s="494" t="s">
        <v>215</v>
      </c>
      <c r="I27" s="488"/>
      <c r="J27" s="488"/>
    </row>
    <row r="28" spans="1:10">
      <c r="A28" s="488"/>
      <c r="B28" s="488"/>
      <c r="C28" s="488"/>
      <c r="D28" s="488"/>
      <c r="E28" s="488"/>
      <c r="G28" s="499">
        <f>G25*G24</f>
        <v>2.0924422999999998E-2</v>
      </c>
      <c r="H28" s="487" t="s">
        <v>216</v>
      </c>
      <c r="I28" s="488"/>
      <c r="J28" s="488"/>
    </row>
    <row r="29" spans="1:10">
      <c r="A29" s="488"/>
      <c r="B29" s="488"/>
      <c r="C29" s="488"/>
      <c r="D29" s="488"/>
      <c r="E29" s="488"/>
      <c r="F29" s="488"/>
      <c r="G29" s="498">
        <f>D23</f>
        <v>0</v>
      </c>
      <c r="H29" s="487" t="s">
        <v>217</v>
      </c>
      <c r="I29" s="488"/>
      <c r="J29" s="488"/>
    </row>
    <row r="30" spans="1:10">
      <c r="A30" s="488" t="s">
        <v>218</v>
      </c>
      <c r="B30" s="488"/>
      <c r="C30" s="488"/>
      <c r="D30" s="500">
        <f>D27/0.65</f>
        <v>0.1050053846153846</v>
      </c>
      <c r="E30" s="488"/>
      <c r="F30" s="488"/>
      <c r="G30" s="498">
        <f>D24</f>
        <v>4.7329999999999997E-2</v>
      </c>
      <c r="H30" s="487" t="s">
        <v>219</v>
      </c>
      <c r="I30" s="488"/>
      <c r="J30" s="488"/>
    </row>
    <row r="31" spans="1:10">
      <c r="A31" s="488"/>
      <c r="B31" s="488"/>
      <c r="C31" s="488"/>
      <c r="D31" s="488"/>
      <c r="E31" s="488"/>
      <c r="F31" s="489"/>
      <c r="G31" s="501">
        <f>SUM(G28:G30)</f>
        <v>6.8254422999999995E-2</v>
      </c>
      <c r="H31" s="488"/>
      <c r="I31" s="488"/>
      <c r="J31" s="488"/>
    </row>
    <row r="32" spans="1:10">
      <c r="A32" s="488"/>
      <c r="B32" s="488"/>
      <c r="C32" s="488"/>
      <c r="D32" s="488"/>
      <c r="E32" s="488"/>
      <c r="F32" s="488"/>
      <c r="G32" s="488"/>
      <c r="H32" s="488"/>
      <c r="I32" s="488"/>
      <c r="J32" s="488"/>
    </row>
    <row r="33" spans="1:10">
      <c r="A33" s="485" t="s">
        <v>262</v>
      </c>
      <c r="B33" s="486"/>
      <c r="C33" s="486"/>
      <c r="D33" s="486"/>
      <c r="E33" s="486"/>
      <c r="F33" s="486"/>
      <c r="G33" s="486"/>
      <c r="H33" s="486"/>
      <c r="I33" s="486"/>
      <c r="J33" s="486"/>
    </row>
    <row r="34" spans="1:10">
      <c r="A34" s="488" t="s">
        <v>207</v>
      </c>
      <c r="B34" s="488"/>
      <c r="C34" s="488"/>
      <c r="D34" s="488"/>
      <c r="E34" s="488"/>
      <c r="F34" s="488"/>
      <c r="G34" s="488"/>
      <c r="H34" s="488"/>
      <c r="I34" s="488"/>
      <c r="J34" s="488"/>
    </row>
    <row r="35" spans="1:10">
      <c r="A35" s="488"/>
      <c r="B35" s="489"/>
      <c r="C35" s="489"/>
      <c r="D35" s="488"/>
      <c r="E35" s="488"/>
      <c r="F35" s="488"/>
      <c r="G35" s="488"/>
      <c r="H35" s="488"/>
      <c r="I35" s="488"/>
      <c r="J35" s="488"/>
    </row>
    <row r="36" spans="1:10">
      <c r="A36" s="488"/>
      <c r="B36" s="490" t="s">
        <v>208</v>
      </c>
      <c r="C36" s="490" t="s">
        <v>11</v>
      </c>
      <c r="D36" s="490" t="s">
        <v>209</v>
      </c>
      <c r="E36" s="488"/>
      <c r="F36" s="488"/>
      <c r="G36" s="488"/>
      <c r="H36" s="488"/>
      <c r="I36" s="488"/>
      <c r="J36" s="488"/>
    </row>
    <row r="37" spans="1:10">
      <c r="A37" s="488" t="s">
        <v>13</v>
      </c>
      <c r="B37" s="489">
        <v>2.23E-2</v>
      </c>
      <c r="C37" s="489">
        <v>4.3900000000000002E-2</v>
      </c>
      <c r="D37" s="489">
        <f>ROUND(B37*C37,5)</f>
        <v>9.7999999999999997E-4</v>
      </c>
      <c r="E37" s="488"/>
      <c r="F37" s="489">
        <f>B37/G41*C37</f>
        <v>1.9064654333008761E-3</v>
      </c>
      <c r="G37" s="488"/>
      <c r="H37" s="488"/>
      <c r="I37" s="488"/>
      <c r="J37" s="488"/>
    </row>
    <row r="38" spans="1:10">
      <c r="A38" s="488" t="s">
        <v>14</v>
      </c>
      <c r="B38" s="491">
        <v>0.49120000000000003</v>
      </c>
      <c r="C38" s="491">
        <v>6.3799999999999996E-2</v>
      </c>
      <c r="D38" s="489">
        <f>ROUND(B38*C38,5)</f>
        <v>3.134E-2</v>
      </c>
      <c r="E38" s="488"/>
      <c r="F38" s="489">
        <f>B38/G41*C38</f>
        <v>6.1029328140214209E-2</v>
      </c>
      <c r="G38" s="488"/>
      <c r="H38" s="488"/>
      <c r="I38" s="488"/>
      <c r="J38" s="488"/>
    </row>
    <row r="39" spans="1:10">
      <c r="A39" s="488" t="s">
        <v>110</v>
      </c>
      <c r="B39" s="489">
        <v>0</v>
      </c>
      <c r="C39" s="489">
        <v>0</v>
      </c>
      <c r="D39" s="489">
        <f>ROUND(B39*C39,5)</f>
        <v>0</v>
      </c>
      <c r="E39" s="488"/>
      <c r="F39" s="488"/>
      <c r="G39" s="492">
        <f>SUM(F37:F38)</f>
        <v>6.2935793573515086E-2</v>
      </c>
      <c r="H39" s="488" t="s">
        <v>210</v>
      </c>
      <c r="I39" s="488"/>
      <c r="J39" s="488"/>
    </row>
    <row r="40" spans="1:10" ht="13.8" thickBot="1">
      <c r="A40" s="488" t="s">
        <v>111</v>
      </c>
      <c r="B40" s="489">
        <v>0.48649999999999999</v>
      </c>
      <c r="C40" s="489">
        <v>0.10100000000000001</v>
      </c>
      <c r="D40" s="489">
        <f>ROUND(B40*C40,5)</f>
        <v>4.9140000000000003E-2</v>
      </c>
      <c r="E40" s="488"/>
      <c r="F40" s="488"/>
      <c r="G40" s="493">
        <f>G39*0.65</f>
        <v>4.0908265822784805E-2</v>
      </c>
      <c r="H40" s="488" t="s">
        <v>211</v>
      </c>
      <c r="I40" s="488"/>
      <c r="J40" s="488"/>
    </row>
    <row r="41" spans="1:10" ht="13.8" thickBot="1">
      <c r="A41" s="494" t="s">
        <v>220</v>
      </c>
      <c r="B41" s="495">
        <f>SUM(B37:B40)</f>
        <v>1</v>
      </c>
      <c r="C41" s="496"/>
      <c r="D41" s="497">
        <f>SUM(D37:D40)</f>
        <v>8.1460000000000005E-2</v>
      </c>
      <c r="E41" s="488"/>
      <c r="F41" s="488"/>
      <c r="G41" s="498">
        <f>SUM(B37:B38)</f>
        <v>0.51350000000000007</v>
      </c>
      <c r="H41" s="488" t="s">
        <v>213</v>
      </c>
      <c r="I41" s="488"/>
      <c r="J41" s="488"/>
    </row>
    <row r="42" spans="1:10" ht="13.8" thickBot="1">
      <c r="A42" s="488"/>
      <c r="B42" s="488"/>
      <c r="C42" s="488"/>
      <c r="D42" s="488"/>
      <c r="E42" s="488"/>
      <c r="F42" s="488"/>
      <c r="I42" s="488"/>
      <c r="J42" s="488"/>
    </row>
    <row r="43" spans="1:10" ht="13.8" thickBot="1">
      <c r="A43" s="494" t="s">
        <v>214</v>
      </c>
      <c r="B43" s="488"/>
      <c r="C43" s="488"/>
      <c r="D43" s="497">
        <f>(D38+D37)*0.65+D39+D40</f>
        <v>7.0148000000000002E-2</v>
      </c>
      <c r="E43" s="488"/>
      <c r="F43" s="488"/>
      <c r="G43" s="488"/>
      <c r="H43" s="494" t="s">
        <v>215</v>
      </c>
      <c r="I43" s="488"/>
      <c r="J43" s="488"/>
    </row>
    <row r="44" spans="1:10">
      <c r="A44" s="488"/>
      <c r="B44" s="488"/>
      <c r="C44" s="488"/>
      <c r="D44" s="488"/>
      <c r="E44" s="488"/>
      <c r="G44" s="499">
        <f>G41*G40</f>
        <v>2.1006394500000001E-2</v>
      </c>
      <c r="H44" s="487" t="s">
        <v>216</v>
      </c>
      <c r="I44" s="488"/>
      <c r="J44" s="488"/>
    </row>
    <row r="45" spans="1:10">
      <c r="A45" s="488"/>
      <c r="B45" s="488"/>
      <c r="C45" s="488"/>
      <c r="D45" s="488"/>
      <c r="E45" s="488"/>
      <c r="F45" s="488"/>
      <c r="G45" s="498">
        <f>D39</f>
        <v>0</v>
      </c>
      <c r="H45" s="487" t="s">
        <v>217</v>
      </c>
      <c r="I45" s="488"/>
      <c r="J45" s="488"/>
    </row>
    <row r="46" spans="1:10">
      <c r="A46" s="488" t="s">
        <v>218</v>
      </c>
      <c r="B46" s="488"/>
      <c r="C46" s="488"/>
      <c r="D46" s="500">
        <f>D43/0.65</f>
        <v>0.10792</v>
      </c>
      <c r="E46" s="488"/>
      <c r="F46" s="488"/>
      <c r="G46" s="498">
        <f>D40</f>
        <v>4.9140000000000003E-2</v>
      </c>
      <c r="H46" s="487" t="s">
        <v>219</v>
      </c>
      <c r="I46" s="488"/>
      <c r="J46" s="488"/>
    </row>
    <row r="47" spans="1:10">
      <c r="A47" s="488"/>
      <c r="B47" s="488"/>
      <c r="C47" s="488"/>
      <c r="D47" s="488"/>
      <c r="E47" s="488"/>
      <c r="F47" s="489"/>
      <c r="G47" s="501">
        <f>SUM(G44:G46)</f>
        <v>7.0146394500000001E-2</v>
      </c>
      <c r="H47" s="488"/>
      <c r="I47" s="488"/>
      <c r="J47" s="488"/>
    </row>
    <row r="48" spans="1:10">
      <c r="A48" s="488"/>
      <c r="B48" s="488"/>
      <c r="C48" s="488"/>
      <c r="D48" s="488"/>
      <c r="E48" s="488"/>
      <c r="F48" s="488"/>
      <c r="G48" s="488"/>
      <c r="H48" s="488"/>
      <c r="I48" s="488"/>
      <c r="J48" s="488"/>
    </row>
    <row r="49" spans="1:10">
      <c r="A49" s="485" t="s">
        <v>223</v>
      </c>
      <c r="B49" s="486"/>
      <c r="C49" s="486"/>
      <c r="D49" s="486"/>
      <c r="E49" s="486"/>
      <c r="F49" s="486"/>
      <c r="G49" s="486"/>
      <c r="H49" s="502"/>
      <c r="I49" s="502"/>
      <c r="J49" s="502"/>
    </row>
    <row r="50" spans="1:10">
      <c r="A50" s="488" t="s">
        <v>207</v>
      </c>
      <c r="B50" s="488"/>
      <c r="C50" s="488"/>
      <c r="D50" s="488"/>
      <c r="E50" s="488"/>
      <c r="F50" s="488"/>
      <c r="G50" s="488"/>
    </row>
    <row r="51" spans="1:10">
      <c r="A51" s="488"/>
      <c r="B51" s="488"/>
      <c r="C51" s="488"/>
      <c r="D51" s="488"/>
      <c r="E51" s="488"/>
      <c r="F51" s="488"/>
      <c r="G51" s="488"/>
    </row>
    <row r="52" spans="1:10">
      <c r="A52" s="488"/>
      <c r="B52" s="490" t="s">
        <v>208</v>
      </c>
      <c r="C52" s="490" t="s">
        <v>11</v>
      </c>
      <c r="D52" s="490" t="s">
        <v>209</v>
      </c>
      <c r="E52" s="488"/>
      <c r="F52" s="488"/>
      <c r="G52" s="488"/>
    </row>
    <row r="53" spans="1:10">
      <c r="A53" s="488" t="s">
        <v>13</v>
      </c>
      <c r="B53" s="489">
        <v>2.0500000000000001E-2</v>
      </c>
      <c r="C53" s="489">
        <v>5.11E-2</v>
      </c>
      <c r="D53" s="489">
        <f>B53*C53</f>
        <v>1.04755E-3</v>
      </c>
      <c r="E53" s="488"/>
      <c r="F53" s="489">
        <f>B53/G57*C53</f>
        <v>2.0324990298797052E-3</v>
      </c>
      <c r="G53" s="488"/>
    </row>
    <row r="54" spans="1:10">
      <c r="A54" s="488" t="s">
        <v>14</v>
      </c>
      <c r="B54" s="489">
        <v>0.49490000000000001</v>
      </c>
      <c r="C54" s="489">
        <v>6.59E-2</v>
      </c>
      <c r="D54" s="489">
        <f>B54*C54</f>
        <v>3.2613910000000003E-2</v>
      </c>
      <c r="E54" s="488"/>
      <c r="F54" s="489">
        <f>B54/G57*C54</f>
        <v>6.3278831975164929E-2</v>
      </c>
      <c r="G54" s="488"/>
    </row>
    <row r="55" spans="1:10">
      <c r="A55" s="488" t="s">
        <v>110</v>
      </c>
      <c r="B55" s="489">
        <v>0</v>
      </c>
      <c r="C55" s="489">
        <v>0</v>
      </c>
      <c r="D55" s="491">
        <f>B55*C55</f>
        <v>0</v>
      </c>
      <c r="E55" s="488"/>
      <c r="F55" s="488"/>
      <c r="G55" s="492">
        <f>SUM(F53:F54)</f>
        <v>6.5311331005044632E-2</v>
      </c>
      <c r="H55" s="488" t="s">
        <v>210</v>
      </c>
    </row>
    <row r="56" spans="1:10" ht="13.8" thickBot="1">
      <c r="A56" s="488" t="s">
        <v>111</v>
      </c>
      <c r="B56" s="489">
        <v>0.48459999999999998</v>
      </c>
      <c r="C56" s="489">
        <v>0.10100000000000001</v>
      </c>
      <c r="D56" s="491">
        <f>B56*C56</f>
        <v>4.8944599999999998E-2</v>
      </c>
      <c r="E56" s="488"/>
      <c r="F56" s="488"/>
      <c r="G56" s="493">
        <f>G55*0.65</f>
        <v>4.2452365153279013E-2</v>
      </c>
      <c r="H56" s="488" t="s">
        <v>211</v>
      </c>
    </row>
    <row r="57" spans="1:10" ht="13.8" thickBot="1">
      <c r="A57" s="494" t="s">
        <v>220</v>
      </c>
      <c r="B57" s="495">
        <f>SUM(B53:B56)</f>
        <v>1</v>
      </c>
      <c r="C57" s="496"/>
      <c r="D57" s="497">
        <f>SUM(D53:D56)</f>
        <v>8.2606060000000009E-2</v>
      </c>
      <c r="E57" s="488"/>
      <c r="F57" s="488"/>
      <c r="G57" s="498">
        <f>SUM(B53:B54)</f>
        <v>0.51539999999999997</v>
      </c>
      <c r="H57" s="488" t="s">
        <v>213</v>
      </c>
    </row>
    <row r="58" spans="1:10" ht="13.8" thickBot="1">
      <c r="A58" s="488"/>
      <c r="B58" s="488"/>
      <c r="C58" s="488"/>
      <c r="D58" s="488"/>
      <c r="E58" s="488"/>
      <c r="F58" s="488"/>
    </row>
    <row r="59" spans="1:10" ht="13.8" thickBot="1">
      <c r="A59" s="494" t="s">
        <v>214</v>
      </c>
      <c r="B59" s="488"/>
      <c r="C59" s="488"/>
      <c r="D59" s="497">
        <f>(D54+D53)*0.65+D55+D56</f>
        <v>7.0824549000000001E-2</v>
      </c>
      <c r="E59" s="488"/>
      <c r="F59" s="488"/>
      <c r="G59" s="488"/>
      <c r="H59" s="494" t="s">
        <v>215</v>
      </c>
    </row>
    <row r="60" spans="1:10">
      <c r="A60" s="488"/>
      <c r="B60" s="488"/>
      <c r="C60" s="488"/>
      <c r="D60" s="488"/>
      <c r="E60" s="488"/>
      <c r="G60" s="499">
        <f>G57*G56</f>
        <v>2.1879949000000003E-2</v>
      </c>
      <c r="H60" s="487" t="s">
        <v>216</v>
      </c>
    </row>
    <row r="61" spans="1:10">
      <c r="A61" s="488"/>
      <c r="B61" s="488"/>
      <c r="C61" s="488"/>
      <c r="D61" s="488"/>
      <c r="E61" s="488"/>
      <c r="F61" s="488"/>
      <c r="G61" s="498">
        <f>D55</f>
        <v>0</v>
      </c>
      <c r="H61" s="487" t="s">
        <v>217</v>
      </c>
    </row>
    <row r="62" spans="1:10">
      <c r="A62" s="488" t="s">
        <v>218</v>
      </c>
      <c r="B62" s="488"/>
      <c r="C62" s="488"/>
      <c r="D62" s="500">
        <f>D59/0.65</f>
        <v>0.10896084461538462</v>
      </c>
      <c r="E62" s="488"/>
      <c r="F62" s="488"/>
      <c r="G62" s="498">
        <f>D56</f>
        <v>4.8944599999999998E-2</v>
      </c>
      <c r="H62" s="487" t="s">
        <v>219</v>
      </c>
    </row>
    <row r="63" spans="1:10">
      <c r="A63" s="488"/>
      <c r="B63" s="488"/>
      <c r="C63" s="488"/>
      <c r="D63" s="488"/>
      <c r="E63" s="488"/>
      <c r="F63" s="489"/>
      <c r="G63" s="501">
        <f>SUM(G60:G62)</f>
        <v>7.0824549000000001E-2</v>
      </c>
    </row>
    <row r="65" spans="1:10">
      <c r="A65" s="485" t="s">
        <v>221</v>
      </c>
      <c r="B65" s="486"/>
      <c r="C65" s="486"/>
      <c r="D65" s="486"/>
      <c r="E65" s="486"/>
      <c r="F65" s="486"/>
      <c r="G65" s="486"/>
      <c r="H65" s="502"/>
      <c r="I65" s="502"/>
      <c r="J65" s="502"/>
    </row>
    <row r="66" spans="1:10">
      <c r="A66" s="488" t="s">
        <v>207</v>
      </c>
      <c r="B66" s="488"/>
      <c r="C66" s="488"/>
      <c r="D66" s="488"/>
      <c r="E66" s="488"/>
      <c r="F66" s="488"/>
      <c r="G66" s="488"/>
    </row>
    <row r="67" spans="1:10">
      <c r="A67" s="488"/>
      <c r="B67" s="488"/>
      <c r="C67" s="488"/>
      <c r="D67" s="488"/>
      <c r="E67" s="488"/>
      <c r="F67" s="488"/>
      <c r="G67" s="488"/>
    </row>
    <row r="68" spans="1:10">
      <c r="A68" s="488"/>
      <c r="B68" s="490" t="s">
        <v>208</v>
      </c>
      <c r="C68" s="490" t="s">
        <v>11</v>
      </c>
      <c r="D68" s="490" t="s">
        <v>209</v>
      </c>
      <c r="E68" s="488"/>
      <c r="F68" s="488"/>
      <c r="G68" s="488"/>
    </row>
    <row r="69" spans="1:10">
      <c r="A69" s="488" t="s">
        <v>13</v>
      </c>
      <c r="B69" s="489">
        <v>3.78E-2</v>
      </c>
      <c r="C69" s="489">
        <v>3.7179407155696363E-2</v>
      </c>
      <c r="D69" s="489">
        <f>B69*C69</f>
        <v>1.4053815904853226E-3</v>
      </c>
      <c r="E69" s="488"/>
      <c r="F69" s="489">
        <f>B69/G73*C69</f>
        <v>2.8547259607664484E-3</v>
      </c>
      <c r="G69" s="488"/>
    </row>
    <row r="70" spans="1:10">
      <c r="A70" s="488" t="s">
        <v>14</v>
      </c>
      <c r="B70" s="489">
        <v>0.45450000000000002</v>
      </c>
      <c r="C70" s="489">
        <v>6.8500000000000005E-2</v>
      </c>
      <c r="D70" s="489">
        <f>B70*C70</f>
        <v>3.1133250000000005E-2</v>
      </c>
      <c r="E70" s="488"/>
      <c r="F70" s="489">
        <f>B70/G73*C70</f>
        <v>6.3240402193784281E-2</v>
      </c>
      <c r="G70" s="488"/>
    </row>
    <row r="71" spans="1:10">
      <c r="A71" s="488" t="s">
        <v>110</v>
      </c>
      <c r="B71" s="489">
        <v>0</v>
      </c>
      <c r="C71" s="489">
        <v>0.48659999999999998</v>
      </c>
      <c r="D71" s="491">
        <f>B71*C71</f>
        <v>0</v>
      </c>
      <c r="E71" s="488"/>
      <c r="F71" s="488"/>
      <c r="G71" s="492">
        <f>SUM(F69:F70)</f>
        <v>6.6095128154550736E-2</v>
      </c>
      <c r="H71" s="488" t="s">
        <v>210</v>
      </c>
    </row>
    <row r="72" spans="1:10" ht="13.8" thickBot="1">
      <c r="A72" s="488" t="s">
        <v>111</v>
      </c>
      <c r="B72" s="489">
        <v>0.50770000000000004</v>
      </c>
      <c r="C72" s="489">
        <v>0.10150000000000001</v>
      </c>
      <c r="D72" s="491">
        <f>B72*C72</f>
        <v>5.1531550000000009E-2</v>
      </c>
      <c r="E72" s="488"/>
      <c r="F72" s="488"/>
      <c r="G72" s="493">
        <f>G71*0.65</f>
        <v>4.2961833300457983E-2</v>
      </c>
      <c r="H72" s="488" t="s">
        <v>211</v>
      </c>
    </row>
    <row r="73" spans="1:10" ht="13.8" thickBot="1">
      <c r="A73" s="494" t="s">
        <v>220</v>
      </c>
      <c r="B73" s="495">
        <f>SUM(B69:B72)</f>
        <v>1</v>
      </c>
      <c r="C73" s="496"/>
      <c r="D73" s="497">
        <f>SUM(D69:D72)</f>
        <v>8.4070181590485335E-2</v>
      </c>
      <c r="E73" s="488"/>
      <c r="F73" s="488"/>
      <c r="G73" s="498">
        <f>SUM(B69:B70)</f>
        <v>0.49230000000000002</v>
      </c>
      <c r="H73" s="488" t="s">
        <v>213</v>
      </c>
    </row>
    <row r="74" spans="1:10" ht="13.8" thickBot="1">
      <c r="A74" s="488"/>
      <c r="B74" s="488"/>
      <c r="C74" s="488"/>
      <c r="D74" s="488"/>
      <c r="E74" s="488"/>
      <c r="F74" s="488"/>
    </row>
    <row r="75" spans="1:10" ht="13.8" thickBot="1">
      <c r="A75" s="494" t="s">
        <v>214</v>
      </c>
      <c r="B75" s="488"/>
      <c r="C75" s="488"/>
      <c r="D75" s="497">
        <f>(D70+D69)*0.65+D71+D72</f>
        <v>7.2681660533815473E-2</v>
      </c>
      <c r="E75" s="488"/>
      <c r="F75" s="488"/>
      <c r="G75" s="488"/>
      <c r="H75" s="494" t="s">
        <v>215</v>
      </c>
    </row>
    <row r="76" spans="1:10">
      <c r="A76" s="488"/>
      <c r="B76" s="488"/>
      <c r="C76" s="488"/>
      <c r="D76" s="488"/>
      <c r="E76" s="488"/>
      <c r="G76" s="499">
        <f>G73*G72</f>
        <v>2.1150110533815467E-2</v>
      </c>
      <c r="H76" s="487" t="s">
        <v>216</v>
      </c>
    </row>
    <row r="77" spans="1:10">
      <c r="A77" s="488"/>
      <c r="B77" s="488"/>
      <c r="C77" s="488"/>
      <c r="D77" s="488"/>
      <c r="E77" s="488"/>
      <c r="F77" s="488"/>
      <c r="G77" s="498">
        <f>D71</f>
        <v>0</v>
      </c>
      <c r="H77" s="487" t="s">
        <v>217</v>
      </c>
    </row>
    <row r="78" spans="1:10">
      <c r="A78" s="488" t="s">
        <v>218</v>
      </c>
      <c r="B78" s="488"/>
      <c r="C78" s="488"/>
      <c r="D78" s="500">
        <f>D75/0.65</f>
        <v>0.11181793928279303</v>
      </c>
      <c r="E78" s="488"/>
      <c r="F78" s="488"/>
      <c r="G78" s="498">
        <f>D72</f>
        <v>5.1531550000000009E-2</v>
      </c>
      <c r="H78" s="487" t="s">
        <v>219</v>
      </c>
    </row>
    <row r="79" spans="1:10">
      <c r="A79" s="488"/>
      <c r="B79" s="488"/>
      <c r="C79" s="488"/>
      <c r="D79" s="488"/>
      <c r="E79" s="488"/>
      <c r="F79" s="489"/>
      <c r="G79" s="501">
        <f>SUM(G76:G78)</f>
        <v>7.2681660533815473E-2</v>
      </c>
    </row>
    <row r="83" spans="1:10">
      <c r="A83" s="485" t="s">
        <v>222</v>
      </c>
      <c r="B83" s="486"/>
      <c r="C83" s="486"/>
      <c r="D83" s="486"/>
      <c r="E83" s="486"/>
      <c r="F83" s="486"/>
      <c r="G83" s="486"/>
      <c r="H83" s="502"/>
      <c r="I83" s="502"/>
      <c r="J83" s="502"/>
    </row>
    <row r="84" spans="1:10">
      <c r="A84" s="488" t="s">
        <v>207</v>
      </c>
      <c r="B84" s="488"/>
      <c r="C84" s="488"/>
      <c r="D84" s="488"/>
      <c r="E84" s="488"/>
      <c r="F84" s="488"/>
      <c r="G84" s="488"/>
    </row>
    <row r="85" spans="1:10">
      <c r="A85" s="488"/>
      <c r="B85" s="488"/>
      <c r="C85" s="488"/>
      <c r="D85" s="488"/>
      <c r="E85" s="488"/>
      <c r="F85" s="488"/>
      <c r="G85" s="488"/>
    </row>
    <row r="86" spans="1:10">
      <c r="A86" s="488"/>
      <c r="B86" s="490" t="s">
        <v>208</v>
      </c>
      <c r="C86" s="490" t="s">
        <v>11</v>
      </c>
      <c r="D86" s="490" t="s">
        <v>209</v>
      </c>
      <c r="E86" s="488"/>
      <c r="F86" s="488"/>
      <c r="G86" s="488"/>
    </row>
    <row r="87" spans="1:10">
      <c r="A87" s="488" t="s">
        <v>13</v>
      </c>
      <c r="B87" s="489">
        <v>6.6000000000000003E-2</v>
      </c>
      <c r="C87" s="489">
        <v>3.8374995005847172E-2</v>
      </c>
      <c r="D87" s="489">
        <f>B87*C87</f>
        <v>2.5327496703859134E-3</v>
      </c>
      <c r="E87" s="488"/>
      <c r="F87" s="489">
        <f>B87/G91*C87</f>
        <v>4.5800174871354678E-3</v>
      </c>
      <c r="G87" s="488"/>
    </row>
    <row r="88" spans="1:10">
      <c r="A88" s="488" t="s">
        <v>14</v>
      </c>
      <c r="B88" s="489">
        <v>0.48699999999999999</v>
      </c>
      <c r="C88" s="489">
        <v>6.7900000000000002E-2</v>
      </c>
      <c r="D88" s="489">
        <f>B88*C88</f>
        <v>3.3067300000000001E-2</v>
      </c>
      <c r="E88" s="488"/>
      <c r="F88" s="489">
        <f>B88/G91*C88</f>
        <v>5.9796202531645574E-2</v>
      </c>
      <c r="G88" s="488"/>
    </row>
    <row r="89" spans="1:10">
      <c r="A89" s="488" t="s">
        <v>110</v>
      </c>
      <c r="B89" s="489">
        <v>2.9999999999999997E-4</v>
      </c>
      <c r="C89" s="489">
        <v>8.6099999999999996E-2</v>
      </c>
      <c r="D89" s="491">
        <f>B89*C89</f>
        <v>2.5829999999999995E-5</v>
      </c>
      <c r="E89" s="488"/>
      <c r="F89" s="488"/>
      <c r="G89" s="492">
        <f>SUM(F87:F88)</f>
        <v>6.4376220018781044E-2</v>
      </c>
      <c r="H89" s="488" t="s">
        <v>210</v>
      </c>
    </row>
    <row r="90" spans="1:10" ht="13.8" thickBot="1">
      <c r="A90" s="488" t="s">
        <v>111</v>
      </c>
      <c r="B90" s="489">
        <v>0.44669999999999999</v>
      </c>
      <c r="C90" s="489">
        <v>0.10150000000000001</v>
      </c>
      <c r="D90" s="491">
        <f>B90*C90</f>
        <v>4.534005E-2</v>
      </c>
      <c r="E90" s="488"/>
      <c r="F90" s="488"/>
      <c r="G90" s="493">
        <f>G89*0.65</f>
        <v>4.1844543012207677E-2</v>
      </c>
      <c r="H90" s="488" t="s">
        <v>211</v>
      </c>
    </row>
    <row r="91" spans="1:10" ht="13.8" thickBot="1">
      <c r="A91" s="494" t="s">
        <v>220</v>
      </c>
      <c r="B91" s="495">
        <f>SUM(B87:B90)</f>
        <v>0.99999999999999989</v>
      </c>
      <c r="C91" s="496"/>
      <c r="D91" s="497">
        <f>SUM(D87:D90)</f>
        <v>8.0965929670385905E-2</v>
      </c>
      <c r="E91" s="488"/>
      <c r="F91" s="488"/>
      <c r="G91" s="498">
        <f>SUM(B87:B88)</f>
        <v>0.55299999999999994</v>
      </c>
      <c r="H91" s="488" t="s">
        <v>213</v>
      </c>
    </row>
    <row r="92" spans="1:10" ht="13.8" thickBot="1">
      <c r="A92" s="488"/>
      <c r="B92" s="488"/>
      <c r="C92" s="488"/>
      <c r="D92" s="488"/>
      <c r="E92" s="488"/>
      <c r="F92" s="488"/>
    </row>
    <row r="93" spans="1:10" ht="13.8" thickBot="1">
      <c r="A93" s="494" t="s">
        <v>214</v>
      </c>
      <c r="B93" s="488"/>
      <c r="C93" s="488"/>
      <c r="D93" s="497">
        <f>(D88+D87)*0.65+D89+D90</f>
        <v>6.8505912285750842E-2</v>
      </c>
      <c r="E93" s="488"/>
      <c r="F93" s="488"/>
      <c r="G93" s="488"/>
      <c r="H93" s="494" t="s">
        <v>215</v>
      </c>
    </row>
    <row r="94" spans="1:10">
      <c r="A94" s="488"/>
      <c r="B94" s="488"/>
      <c r="C94" s="488"/>
      <c r="D94" s="488"/>
      <c r="E94" s="488"/>
      <c r="G94" s="499">
        <f>G91*G90</f>
        <v>2.3140032285750844E-2</v>
      </c>
      <c r="H94" s="487" t="s">
        <v>216</v>
      </c>
    </row>
    <row r="95" spans="1:10">
      <c r="A95" s="488"/>
      <c r="B95" s="488"/>
      <c r="C95" s="488"/>
      <c r="D95" s="488"/>
      <c r="E95" s="488"/>
      <c r="F95" s="488"/>
      <c r="G95" s="498">
        <f>D89</f>
        <v>2.5829999999999995E-5</v>
      </c>
      <c r="H95" s="487" t="s">
        <v>217</v>
      </c>
    </row>
    <row r="96" spans="1:10">
      <c r="A96" s="488" t="s">
        <v>218</v>
      </c>
      <c r="B96" s="488"/>
      <c r="C96" s="488"/>
      <c r="D96" s="500">
        <f>D93/0.65</f>
        <v>0.10539371120884744</v>
      </c>
      <c r="E96" s="488"/>
      <c r="F96" s="488"/>
      <c r="G96" s="498">
        <f>D90</f>
        <v>4.534005E-2</v>
      </c>
      <c r="H96" s="487" t="s">
        <v>219</v>
      </c>
    </row>
    <row r="97" spans="1:10">
      <c r="A97" s="488"/>
      <c r="B97" s="488"/>
      <c r="C97" s="488"/>
      <c r="D97" s="488"/>
      <c r="E97" s="488"/>
      <c r="F97" s="489"/>
      <c r="G97" s="501">
        <f>SUM(G94:G96)</f>
        <v>6.8505912285750842E-2</v>
      </c>
    </row>
    <row r="101" spans="1:10">
      <c r="A101" s="503" t="s">
        <v>224</v>
      </c>
      <c r="B101" s="504"/>
      <c r="C101" s="504"/>
      <c r="D101" s="504"/>
      <c r="E101" s="504"/>
      <c r="F101" s="504"/>
      <c r="G101" s="504"/>
      <c r="H101" s="504"/>
      <c r="I101" s="504"/>
      <c r="J101" s="504"/>
    </row>
    <row r="102" spans="1:10">
      <c r="A102" s="488" t="s">
        <v>207</v>
      </c>
      <c r="B102" s="488"/>
      <c r="C102" s="488"/>
      <c r="D102" s="488"/>
      <c r="E102" s="488"/>
      <c r="F102" s="488"/>
      <c r="G102" s="488"/>
      <c r="H102" s="488"/>
      <c r="I102" s="488"/>
      <c r="J102" s="488"/>
    </row>
    <row r="103" spans="1:10">
      <c r="A103" s="488"/>
      <c r="B103" s="489"/>
      <c r="C103" s="489"/>
      <c r="D103" s="488"/>
      <c r="E103" s="488"/>
      <c r="F103" s="488"/>
      <c r="G103" s="488"/>
      <c r="H103" s="488"/>
      <c r="I103" s="488"/>
      <c r="J103" s="488"/>
    </row>
    <row r="104" spans="1:10">
      <c r="A104" s="488"/>
      <c r="B104" s="490" t="s">
        <v>208</v>
      </c>
      <c r="C104" s="490" t="s">
        <v>11</v>
      </c>
      <c r="D104" s="490" t="s">
        <v>209</v>
      </c>
      <c r="E104" s="488"/>
      <c r="F104" s="488"/>
      <c r="G104" s="488"/>
      <c r="H104" s="488"/>
      <c r="I104" s="488"/>
      <c r="J104" s="488"/>
    </row>
    <row r="105" spans="1:10">
      <c r="A105" s="488" t="s">
        <v>13</v>
      </c>
      <c r="B105" s="491">
        <v>3.95E-2</v>
      </c>
      <c r="C105" s="491">
        <v>2.47E-2</v>
      </c>
      <c r="D105" s="489">
        <f>ROUND(B105*C105,4)</f>
        <v>1E-3</v>
      </c>
      <c r="E105" s="488"/>
      <c r="F105" s="489">
        <f>B105/G109*C105</f>
        <v>1.8067592592592595E-3</v>
      </c>
      <c r="G105" s="488"/>
      <c r="H105" s="488"/>
      <c r="I105" s="488"/>
      <c r="J105" s="488"/>
    </row>
    <row r="106" spans="1:10">
      <c r="A106" s="488" t="s">
        <v>14</v>
      </c>
      <c r="B106" s="491">
        <v>0.50049999999999994</v>
      </c>
      <c r="C106" s="491">
        <v>6.7000000000000004E-2</v>
      </c>
      <c r="D106" s="489">
        <f>ROUND(B106*C106,4)</f>
        <v>3.3500000000000002E-2</v>
      </c>
      <c r="E106" s="488"/>
      <c r="F106" s="489">
        <f>B106/G109*C106</f>
        <v>6.2099074074074084E-2</v>
      </c>
      <c r="G106" s="488"/>
      <c r="H106" s="488"/>
      <c r="I106" s="488"/>
      <c r="J106" s="488"/>
    </row>
    <row r="107" spans="1:10">
      <c r="A107" s="488" t="s">
        <v>110</v>
      </c>
      <c r="B107" s="491">
        <v>0</v>
      </c>
      <c r="C107" s="491">
        <v>0</v>
      </c>
      <c r="D107" s="489">
        <f>ROUND(B107*C107,4)</f>
        <v>0</v>
      </c>
      <c r="E107" s="488"/>
      <c r="F107" s="488"/>
      <c r="G107" s="492">
        <f>SUM(F105:F106)</f>
        <v>6.3905833333333342E-2</v>
      </c>
      <c r="H107" s="488" t="s">
        <v>210</v>
      </c>
      <c r="I107" s="488"/>
      <c r="J107" s="488"/>
    </row>
    <row r="108" spans="1:10" ht="13.8" thickBot="1">
      <c r="A108" s="488" t="s">
        <v>111</v>
      </c>
      <c r="B108" s="489">
        <f>45%+1%</f>
        <v>0.46</v>
      </c>
      <c r="C108" s="489">
        <v>0.10100000000000001</v>
      </c>
      <c r="D108" s="489">
        <f>ROUND(B108*C108,4)</f>
        <v>4.65E-2</v>
      </c>
      <c r="E108" s="488"/>
      <c r="F108" s="488"/>
      <c r="G108" s="493">
        <f>G107*0.65</f>
        <v>4.1538791666666672E-2</v>
      </c>
      <c r="H108" s="488" t="s">
        <v>211</v>
      </c>
      <c r="I108" s="488"/>
      <c r="J108" s="488"/>
    </row>
    <row r="109" spans="1:10" ht="13.8" thickBot="1">
      <c r="A109" s="494" t="s">
        <v>212</v>
      </c>
      <c r="B109" s="495">
        <f>SUM(B105:B108)</f>
        <v>1</v>
      </c>
      <c r="C109" s="496"/>
      <c r="D109" s="497">
        <f>SUM(D105:D108)</f>
        <v>8.1000000000000003E-2</v>
      </c>
      <c r="E109" s="488"/>
      <c r="F109" s="488"/>
      <c r="G109" s="498">
        <f>SUM(B105:B106)</f>
        <v>0.53999999999999992</v>
      </c>
      <c r="H109" s="488" t="s">
        <v>213</v>
      </c>
      <c r="I109" s="488"/>
      <c r="J109" s="488"/>
    </row>
    <row r="110" spans="1:10" ht="13.8" thickBot="1">
      <c r="A110" s="488"/>
      <c r="B110" s="488"/>
      <c r="C110" s="488"/>
      <c r="D110" s="488"/>
      <c r="E110" s="488"/>
      <c r="F110" s="488"/>
      <c r="I110" s="488"/>
      <c r="J110" s="488"/>
    </row>
    <row r="111" spans="1:10" ht="13.8" thickBot="1">
      <c r="A111" s="494" t="s">
        <v>214</v>
      </c>
      <c r="B111" s="488"/>
      <c r="C111" s="488"/>
      <c r="D111" s="497">
        <f>(D106+D105)*0.65+D107+D108</f>
        <v>6.8925E-2</v>
      </c>
      <c r="E111" s="488"/>
      <c r="F111" s="488"/>
      <c r="G111" s="488"/>
      <c r="H111" s="494" t="s">
        <v>215</v>
      </c>
      <c r="I111" s="488"/>
      <c r="J111" s="488"/>
    </row>
    <row r="112" spans="1:10">
      <c r="A112" s="488"/>
      <c r="B112" s="488"/>
      <c r="C112" s="488"/>
      <c r="D112" s="488"/>
      <c r="E112" s="488"/>
      <c r="G112" s="499">
        <f>G109*G108</f>
        <v>2.2430947499999999E-2</v>
      </c>
      <c r="H112" s="487" t="s">
        <v>216</v>
      </c>
      <c r="I112" s="488"/>
      <c r="J112" s="488"/>
    </row>
    <row r="113" spans="1:10">
      <c r="A113" s="488"/>
      <c r="B113" s="488"/>
      <c r="C113" s="488"/>
      <c r="D113" s="488"/>
      <c r="E113" s="488"/>
      <c r="F113" s="488"/>
      <c r="G113" s="498">
        <f>D107</f>
        <v>0</v>
      </c>
      <c r="H113" s="487" t="s">
        <v>217</v>
      </c>
      <c r="I113" s="488"/>
      <c r="J113" s="488"/>
    </row>
    <row r="114" spans="1:10">
      <c r="A114" s="488" t="s">
        <v>218</v>
      </c>
      <c r="B114" s="488"/>
      <c r="C114" s="488"/>
      <c r="D114" s="500">
        <f>D111/0.65</f>
        <v>0.10603846153846154</v>
      </c>
      <c r="E114" s="488"/>
      <c r="F114" s="488"/>
      <c r="G114" s="498">
        <f>D108</f>
        <v>4.65E-2</v>
      </c>
      <c r="H114" s="487" t="s">
        <v>219</v>
      </c>
      <c r="I114" s="488"/>
      <c r="J114" s="488"/>
    </row>
    <row r="115" spans="1:10">
      <c r="A115" s="488"/>
      <c r="B115" s="488"/>
      <c r="C115" s="488"/>
      <c r="D115" s="488"/>
      <c r="E115" s="488"/>
      <c r="F115" s="489"/>
      <c r="G115" s="501">
        <f>SUM(G112:G114)</f>
        <v>6.8930947500000006E-2</v>
      </c>
      <c r="H115" s="488"/>
      <c r="I115" s="488"/>
      <c r="J115" s="488"/>
    </row>
    <row r="116" spans="1:10">
      <c r="B116" s="491"/>
      <c r="C116" s="491"/>
    </row>
    <row r="119" spans="1:10">
      <c r="A119" s="503" t="s">
        <v>225</v>
      </c>
      <c r="B119" s="504"/>
      <c r="C119" s="504"/>
      <c r="D119" s="504"/>
      <c r="E119" s="504"/>
      <c r="F119" s="504"/>
      <c r="G119" s="504"/>
      <c r="H119" s="504"/>
      <c r="I119" s="504"/>
      <c r="J119" s="504"/>
    </row>
    <row r="120" spans="1:10">
      <c r="A120" s="488" t="s">
        <v>207</v>
      </c>
      <c r="B120" s="488"/>
      <c r="C120" s="488"/>
      <c r="D120" s="488"/>
      <c r="E120" s="488"/>
      <c r="F120" s="488"/>
      <c r="G120" s="488"/>
      <c r="H120" s="488"/>
      <c r="I120" s="488"/>
      <c r="J120" s="488"/>
    </row>
    <row r="121" spans="1:10">
      <c r="A121" s="488"/>
      <c r="B121" s="489"/>
      <c r="C121" s="489"/>
      <c r="D121" s="488"/>
      <c r="E121" s="488"/>
      <c r="F121" s="488"/>
      <c r="G121" s="488"/>
      <c r="H121" s="488"/>
      <c r="I121" s="488"/>
      <c r="J121" s="488"/>
    </row>
    <row r="122" spans="1:10">
      <c r="A122" s="488"/>
      <c r="B122" s="490" t="s">
        <v>208</v>
      </c>
      <c r="C122" s="490" t="s">
        <v>11</v>
      </c>
      <c r="D122" s="490" t="s">
        <v>209</v>
      </c>
      <c r="E122" s="488"/>
      <c r="F122" s="488"/>
      <c r="G122" s="488"/>
      <c r="H122" s="488"/>
      <c r="I122" s="488"/>
      <c r="J122" s="488"/>
    </row>
    <row r="123" spans="1:10">
      <c r="A123" s="488" t="s">
        <v>13</v>
      </c>
      <c r="B123" s="489">
        <v>4.9299999999999997E-2</v>
      </c>
      <c r="C123" s="489">
        <v>4.0899999999999999E-2</v>
      </c>
      <c r="D123" s="489">
        <f>ROUND(B123*C123,4)</f>
        <v>2E-3</v>
      </c>
      <c r="E123" s="488"/>
      <c r="F123" s="489">
        <f>B123/G127*C123</f>
        <v>3.7360941263664994E-3</v>
      </c>
      <c r="G123" s="488"/>
      <c r="H123" s="488"/>
      <c r="I123" s="488"/>
      <c r="J123" s="488"/>
    </row>
    <row r="124" spans="1:10">
      <c r="A124" s="488" t="s">
        <v>14</v>
      </c>
      <c r="B124" s="491">
        <f>50.04%-1%</f>
        <v>0.49039999999999995</v>
      </c>
      <c r="C124" s="489">
        <v>6.9000000000000006E-2</v>
      </c>
      <c r="D124" s="489">
        <f>ROUND(B124*C124,4)</f>
        <v>3.3799999999999997E-2</v>
      </c>
      <c r="E124" s="488"/>
      <c r="F124" s="489">
        <f>B124/G127*C124</f>
        <v>6.2697053918843809E-2</v>
      </c>
      <c r="G124" s="488"/>
      <c r="H124" s="488"/>
      <c r="I124" s="488"/>
      <c r="J124" s="488"/>
    </row>
    <row r="125" spans="1:10">
      <c r="A125" s="488" t="s">
        <v>110</v>
      </c>
      <c r="B125" s="489">
        <v>2.9999999999999997E-4</v>
      </c>
      <c r="C125" s="489">
        <v>8.6099999999999996E-2</v>
      </c>
      <c r="D125" s="489">
        <f>ROUND(B125*C125,4)</f>
        <v>0</v>
      </c>
      <c r="E125" s="488"/>
      <c r="F125" s="488"/>
      <c r="G125" s="492">
        <f>SUM(F123:F124)</f>
        <v>6.6433148045210305E-2</v>
      </c>
      <c r="H125" s="488" t="s">
        <v>210</v>
      </c>
      <c r="I125" s="488"/>
      <c r="J125" s="488"/>
    </row>
    <row r="126" spans="1:10" ht="13.8" thickBot="1">
      <c r="A126" s="488" t="s">
        <v>111</v>
      </c>
      <c r="B126" s="489">
        <f>45%+1%</f>
        <v>0.46</v>
      </c>
      <c r="C126" s="489">
        <v>0.10150000000000001</v>
      </c>
      <c r="D126" s="489">
        <f>ROUND(B126*C126,4)</f>
        <v>4.6699999999999998E-2</v>
      </c>
      <c r="E126" s="488"/>
      <c r="F126" s="488"/>
      <c r="G126" s="493">
        <f>G125*0.65</f>
        <v>4.3181546229386698E-2</v>
      </c>
      <c r="H126" s="488" t="s">
        <v>211</v>
      </c>
      <c r="I126" s="488"/>
      <c r="J126" s="488"/>
    </row>
    <row r="127" spans="1:10" ht="13.8" thickBot="1">
      <c r="A127" s="494" t="s">
        <v>212</v>
      </c>
      <c r="B127" s="495">
        <f>SUM(B123:B126)</f>
        <v>1</v>
      </c>
      <c r="C127" s="496"/>
      <c r="D127" s="497">
        <f>SUM(D123:D126)</f>
        <v>8.249999999999999E-2</v>
      </c>
      <c r="E127" s="488"/>
      <c r="F127" s="488"/>
      <c r="G127" s="498">
        <f>SUM(B123:B124)</f>
        <v>0.53969999999999996</v>
      </c>
      <c r="H127" s="488" t="s">
        <v>213</v>
      </c>
      <c r="I127" s="488"/>
      <c r="J127" s="488"/>
    </row>
    <row r="128" spans="1:10" ht="13.8" thickBot="1">
      <c r="A128" s="488"/>
      <c r="B128" s="488"/>
      <c r="C128" s="488"/>
      <c r="D128" s="488"/>
      <c r="E128" s="488"/>
      <c r="F128" s="488"/>
      <c r="I128" s="488"/>
      <c r="J128" s="488"/>
    </row>
    <row r="129" spans="1:10" ht="13.8" thickBot="1">
      <c r="A129" s="494" t="s">
        <v>214</v>
      </c>
      <c r="B129" s="488"/>
      <c r="C129" s="488"/>
      <c r="D129" s="497">
        <f>(D124+D123)*0.65+D125+D126</f>
        <v>6.9970000000000004E-2</v>
      </c>
      <c r="E129" s="488"/>
      <c r="F129" s="488"/>
      <c r="G129" s="488"/>
      <c r="H129" s="494" t="s">
        <v>215</v>
      </c>
      <c r="I129" s="488"/>
      <c r="J129" s="488"/>
    </row>
    <row r="130" spans="1:10">
      <c r="A130" s="488"/>
      <c r="B130" s="488"/>
      <c r="C130" s="488"/>
      <c r="D130" s="488"/>
      <c r="E130" s="488"/>
      <c r="G130" s="499">
        <f>G127*G126</f>
        <v>2.3305080499999999E-2</v>
      </c>
      <c r="H130" s="487" t="s">
        <v>216</v>
      </c>
      <c r="I130" s="488"/>
      <c r="J130" s="488"/>
    </row>
    <row r="131" spans="1:10">
      <c r="A131" s="488"/>
      <c r="B131" s="488"/>
      <c r="C131" s="488"/>
      <c r="D131" s="488"/>
      <c r="E131" s="488"/>
      <c r="F131" s="488"/>
      <c r="G131" s="498">
        <f>D125</f>
        <v>0</v>
      </c>
      <c r="H131" s="487" t="s">
        <v>217</v>
      </c>
      <c r="I131" s="488"/>
      <c r="J131" s="488"/>
    </row>
    <row r="132" spans="1:10">
      <c r="A132" s="488" t="s">
        <v>218</v>
      </c>
      <c r="B132" s="488"/>
      <c r="C132" s="488"/>
      <c r="D132" s="500">
        <f>D129/0.65</f>
        <v>0.10764615384615385</v>
      </c>
      <c r="E132" s="488"/>
      <c r="F132" s="488"/>
      <c r="G132" s="498">
        <f>D126</f>
        <v>4.6699999999999998E-2</v>
      </c>
      <c r="H132" s="487" t="s">
        <v>219</v>
      </c>
      <c r="I132" s="488"/>
      <c r="J132" s="488"/>
    </row>
    <row r="133" spans="1:10">
      <c r="A133" s="488"/>
      <c r="B133" s="488"/>
      <c r="C133" s="488"/>
      <c r="D133" s="488"/>
      <c r="E133" s="488"/>
      <c r="F133" s="489"/>
      <c r="G133" s="501">
        <f>SUM(G130:G132)</f>
        <v>7.0005080499999997E-2</v>
      </c>
      <c r="H133" s="488"/>
      <c r="I133" s="488"/>
      <c r="J133" s="488"/>
    </row>
  </sheetData>
  <phoneticPr fontId="1"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4"/>
  <sheetViews>
    <sheetView tabSelected="1" zoomScaleNormal="100" workbookViewId="0">
      <selection activeCell="C14" sqref="C14"/>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50" t="s">
        <v>4</v>
      </c>
      <c r="C1" s="350"/>
      <c r="D1" s="350"/>
      <c r="E1" s="350"/>
      <c r="F1" s="350"/>
    </row>
    <row r="2" spans="1:12">
      <c r="A2" s="104"/>
      <c r="B2" s="17"/>
      <c r="C2" s="17"/>
      <c r="D2" s="17"/>
      <c r="E2" s="17"/>
      <c r="F2" s="17"/>
    </row>
    <row r="3" spans="1:12" ht="15.6">
      <c r="B3" s="351" t="s">
        <v>6</v>
      </c>
      <c r="C3" s="351"/>
      <c r="D3" s="351"/>
      <c r="E3" s="351"/>
      <c r="F3" s="351"/>
    </row>
    <row r="4" spans="1:12" ht="15.6">
      <c r="B4" s="352" t="s">
        <v>58</v>
      </c>
      <c r="C4" s="352"/>
      <c r="D4" s="352"/>
      <c r="E4" s="352"/>
      <c r="F4" s="352"/>
      <c r="H4" s="239"/>
      <c r="L4" s="242"/>
    </row>
    <row r="5" spans="1:12">
      <c r="A5" s="105"/>
      <c r="B5" s="257">
        <v>42551</v>
      </c>
      <c r="C5" s="257"/>
      <c r="D5" s="257"/>
      <c r="E5" s="257"/>
      <c r="F5" s="257"/>
      <c r="H5" s="239"/>
      <c r="L5" s="242"/>
    </row>
    <row r="6" spans="1:12">
      <c r="A6" s="18"/>
      <c r="C6" s="19"/>
      <c r="H6" s="239"/>
      <c r="L6" s="242"/>
    </row>
    <row r="7" spans="1:12">
      <c r="A7" s="18"/>
      <c r="B7" s="105"/>
      <c r="C7" s="105"/>
      <c r="D7" s="105"/>
      <c r="E7" s="105"/>
      <c r="F7" s="105"/>
      <c r="H7" s="239"/>
      <c r="L7" s="242"/>
    </row>
    <row r="8" spans="1:12">
      <c r="A8" s="194">
        <v>1</v>
      </c>
      <c r="B8" s="129" t="s">
        <v>5</v>
      </c>
      <c r="C8" s="129" t="s">
        <v>27</v>
      </c>
      <c r="D8" s="129" t="s">
        <v>52</v>
      </c>
      <c r="E8" s="129" t="s">
        <v>64</v>
      </c>
      <c r="F8" s="129" t="s">
        <v>65</v>
      </c>
      <c r="H8" s="239"/>
      <c r="L8" s="242"/>
    </row>
    <row r="9" spans="1:12">
      <c r="A9" s="194">
        <f>+A8+1</f>
        <v>2</v>
      </c>
      <c r="B9" s="105"/>
      <c r="C9" s="105"/>
      <c r="D9" s="105"/>
      <c r="E9" s="105"/>
      <c r="F9" s="105"/>
      <c r="H9" s="239"/>
      <c r="L9" s="242"/>
    </row>
    <row r="10" spans="1:12">
      <c r="A10" s="194">
        <f t="shared" ref="A10:A23" si="0">+A9+1</f>
        <v>3</v>
      </c>
      <c r="B10" s="106" t="s">
        <v>2</v>
      </c>
      <c r="C10" s="107"/>
      <c r="D10" s="107"/>
      <c r="E10" s="107"/>
      <c r="F10" s="107" t="s">
        <v>7</v>
      </c>
      <c r="H10" s="239"/>
      <c r="L10" s="242"/>
    </row>
    <row r="11" spans="1:12">
      <c r="A11" s="194">
        <f t="shared" si="0"/>
        <v>4</v>
      </c>
      <c r="B11" s="107"/>
      <c r="C11" s="108"/>
      <c r="D11" s="107"/>
      <c r="E11" s="107"/>
      <c r="F11" s="108" t="s">
        <v>8</v>
      </c>
      <c r="H11" s="239"/>
      <c r="L11" s="242"/>
    </row>
    <row r="12" spans="1:12">
      <c r="A12" s="194">
        <f t="shared" si="0"/>
        <v>5</v>
      </c>
      <c r="B12" s="109" t="s">
        <v>9</v>
      </c>
      <c r="C12" s="109" t="s">
        <v>79</v>
      </c>
      <c r="D12" s="109" t="s">
        <v>10</v>
      </c>
      <c r="E12" s="109" t="s">
        <v>11</v>
      </c>
      <c r="F12" s="109" t="s">
        <v>12</v>
      </c>
      <c r="H12" s="239"/>
      <c r="L12" s="242"/>
    </row>
    <row r="13" spans="1:12">
      <c r="A13" s="194">
        <f t="shared" si="0"/>
        <v>6</v>
      </c>
      <c r="B13" s="110"/>
      <c r="C13" s="110"/>
      <c r="D13" s="110"/>
      <c r="E13" s="110"/>
      <c r="F13" s="110"/>
      <c r="H13" s="239"/>
      <c r="L13" s="242"/>
    </row>
    <row r="14" spans="1:12">
      <c r="A14" s="194">
        <f t="shared" si="0"/>
        <v>7</v>
      </c>
      <c r="B14" s="111" t="s">
        <v>13</v>
      </c>
      <c r="C14" s="167">
        <f>'Pg 2 CapStructure'!Q10</f>
        <v>45875333</v>
      </c>
      <c r="D14" s="182">
        <f>ROUND(C14/$C$20,4)</f>
        <v>6.1999999999999998E-3</v>
      </c>
      <c r="E14" s="357">
        <f>'Pg 3 STD Cost Rate'!F22</f>
        <v>6.8053107612586428E-2</v>
      </c>
      <c r="F14" s="182">
        <f>ROUND(D14*E14,5)</f>
        <v>4.2000000000000002E-4</v>
      </c>
      <c r="L14" s="239"/>
    </row>
    <row r="15" spans="1:12">
      <c r="A15" s="194">
        <f t="shared" si="0"/>
        <v>8</v>
      </c>
      <c r="B15" s="110"/>
      <c r="C15" s="169"/>
      <c r="D15" s="182"/>
      <c r="E15" s="168"/>
      <c r="F15" s="182"/>
      <c r="L15" s="239"/>
    </row>
    <row r="16" spans="1:12">
      <c r="A16" s="194">
        <f t="shared" si="0"/>
        <v>9</v>
      </c>
      <c r="B16" s="111" t="s">
        <v>14</v>
      </c>
      <c r="C16" s="169">
        <f>'Pg 2 CapStructure'!Q16</f>
        <v>3766017117</v>
      </c>
      <c r="D16" s="585">
        <f>ROUND(C16/$C$20,4)</f>
        <v>0.50619999999999998</v>
      </c>
      <c r="E16" s="170">
        <f>'Pg 6 LTD Cost '!H30</f>
        <v>5.9499999999999997E-2</v>
      </c>
      <c r="F16" s="182">
        <f>ROUND(D16*E16,5)</f>
        <v>3.0120000000000001E-2</v>
      </c>
      <c r="L16" s="239"/>
    </row>
    <row r="17" spans="1:12">
      <c r="A17" s="194">
        <f t="shared" si="0"/>
        <v>10</v>
      </c>
      <c r="B17" s="112"/>
      <c r="C17" s="171"/>
      <c r="D17" s="182"/>
      <c r="E17" s="172"/>
      <c r="F17" s="365"/>
      <c r="H17" s="251"/>
      <c r="I17" s="196"/>
      <c r="J17" s="196"/>
      <c r="K17" s="196"/>
      <c r="L17" s="252"/>
    </row>
    <row r="18" spans="1:12">
      <c r="A18" s="194">
        <f t="shared" si="0"/>
        <v>11</v>
      </c>
      <c r="B18" s="111" t="s">
        <v>15</v>
      </c>
      <c r="C18" s="173">
        <f>'Pg 2 CapStructure'!Q20</f>
        <v>3627618353</v>
      </c>
      <c r="D18" s="343">
        <f>ROUND(C18/$C$20,4)</f>
        <v>0.48759999999999998</v>
      </c>
      <c r="E18" s="577">
        <v>9.8000000000000004E-2</v>
      </c>
      <c r="F18" s="366">
        <f>ROUND(D18*E18,5)</f>
        <v>4.7780000000000003E-2</v>
      </c>
      <c r="H18" s="253"/>
      <c r="I18" s="253"/>
      <c r="J18" s="254"/>
      <c r="K18" s="255"/>
      <c r="L18" s="170"/>
    </row>
    <row r="19" spans="1:12">
      <c r="A19" s="194">
        <f t="shared" si="0"/>
        <v>12</v>
      </c>
      <c r="B19" s="112"/>
      <c r="C19" s="170"/>
      <c r="D19" s="174"/>
      <c r="E19" s="589"/>
      <c r="F19" s="170"/>
      <c r="H19" s="253"/>
      <c r="I19" s="253"/>
      <c r="J19" s="254"/>
      <c r="K19" s="255"/>
      <c r="L19" s="170"/>
    </row>
    <row r="20" spans="1:12">
      <c r="A20" s="194">
        <f t="shared" si="0"/>
        <v>13</v>
      </c>
      <c r="B20" s="111" t="s">
        <v>16</v>
      </c>
      <c r="C20" s="176">
        <f>ROUND(SUM(C14:C18),2)</f>
        <v>7439510803</v>
      </c>
      <c r="D20" s="245">
        <f>SUM(D14:D18)</f>
        <v>1</v>
      </c>
      <c r="E20" s="177"/>
      <c r="F20" s="228">
        <f>ROUND(SUM(F14:F18),5)</f>
        <v>7.8320000000000001E-2</v>
      </c>
      <c r="H20" s="113"/>
      <c r="I20" s="113"/>
      <c r="J20" s="254"/>
      <c r="K20" s="170"/>
      <c r="L20" s="256"/>
    </row>
    <row r="21" spans="1:12">
      <c r="A21" s="194">
        <f t="shared" si="0"/>
        <v>14</v>
      </c>
      <c r="B21" s="105"/>
      <c r="C21" s="113"/>
      <c r="D21" s="113"/>
      <c r="E21" s="113"/>
      <c r="F21" s="113"/>
      <c r="H21" s="105"/>
      <c r="I21" s="105"/>
      <c r="J21" s="105"/>
    </row>
    <row r="22" spans="1:12">
      <c r="A22" s="194">
        <f t="shared" si="0"/>
        <v>15</v>
      </c>
      <c r="B22" s="105"/>
      <c r="C22" s="105"/>
      <c r="D22" s="105"/>
      <c r="E22" s="141"/>
      <c r="F22" s="105"/>
    </row>
    <row r="23" spans="1:12">
      <c r="A23" s="194">
        <f t="shared" si="0"/>
        <v>16</v>
      </c>
      <c r="B23" s="382" t="s">
        <v>179</v>
      </c>
      <c r="C23" s="105"/>
      <c r="D23" s="105"/>
      <c r="E23" s="105"/>
      <c r="F23" s="105"/>
      <c r="G23" s="243"/>
    </row>
    <row r="24" spans="1:12">
      <c r="A24" s="15"/>
      <c r="B24" s="105"/>
      <c r="C24" s="105"/>
      <c r="D24" s="105"/>
      <c r="E24" s="105"/>
      <c r="F24" s="105"/>
    </row>
    <row r="25" spans="1:12">
      <c r="A25" s="15"/>
      <c r="B25" s="105"/>
      <c r="C25" s="169"/>
      <c r="D25" s="105"/>
      <c r="E25" s="105"/>
      <c r="F25" s="105"/>
    </row>
    <row r="26" spans="1:12">
      <c r="A26" s="15"/>
      <c r="B26" s="105"/>
      <c r="C26" s="169"/>
      <c r="D26" s="105"/>
      <c r="E26" s="105"/>
      <c r="F26" s="105"/>
    </row>
    <row r="27" spans="1:12">
      <c r="A27" s="15"/>
      <c r="B27" s="105"/>
      <c r="C27" s="169"/>
      <c r="D27" s="105"/>
      <c r="E27" s="105"/>
      <c r="F27" s="105"/>
    </row>
    <row r="28" spans="1:12">
      <c r="A28" s="15"/>
      <c r="B28" s="105"/>
      <c r="D28" s="105"/>
      <c r="E28" s="105"/>
      <c r="F28" s="105"/>
    </row>
    <row r="29" spans="1:12">
      <c r="A29" s="15"/>
      <c r="B29" s="105"/>
      <c r="C29" s="195"/>
      <c r="D29" s="105"/>
      <c r="E29" s="105"/>
      <c r="F29" s="105"/>
    </row>
    <row r="30" spans="1:12">
      <c r="A30" s="15"/>
      <c r="B30" s="105"/>
      <c r="C30" s="105"/>
      <c r="D30" s="105"/>
      <c r="E30" s="105"/>
      <c r="F30" s="105"/>
    </row>
    <row r="31" spans="1:12">
      <c r="A31" s="15"/>
      <c r="B31" s="105"/>
      <c r="C31" s="105"/>
      <c r="D31" s="105"/>
      <c r="E31" s="105"/>
      <c r="F31" s="105"/>
    </row>
    <row r="32" spans="1:12">
      <c r="B32" s="105"/>
      <c r="C32" s="105"/>
      <c r="D32" s="105"/>
      <c r="E32" s="105"/>
      <c r="F32" s="105"/>
    </row>
    <row r="33" spans="2:6">
      <c r="B33" s="105"/>
      <c r="C33" s="105"/>
      <c r="D33" s="105"/>
      <c r="E33" s="105"/>
      <c r="F33" s="105"/>
    </row>
    <row r="36" spans="2:6">
      <c r="C36" s="20"/>
      <c r="D36" s="21"/>
    </row>
    <row r="37" spans="2:6">
      <c r="D37" s="21"/>
    </row>
    <row r="38" spans="2:6">
      <c r="C38" s="20"/>
      <c r="D38" s="21"/>
    </row>
    <row r="39" spans="2:6">
      <c r="C39" s="20"/>
      <c r="D39" s="21"/>
    </row>
    <row r="40" spans="2:6">
      <c r="C40" s="20"/>
      <c r="D40" s="21"/>
    </row>
    <row r="41" spans="2:6">
      <c r="C41" s="20"/>
      <c r="D41" s="21"/>
    </row>
    <row r="42" spans="2:6">
      <c r="D42" s="21"/>
    </row>
    <row r="43" spans="2:6">
      <c r="C43" s="20"/>
      <c r="D43" s="21"/>
    </row>
    <row r="44" spans="2:6">
      <c r="D44" s="22"/>
    </row>
  </sheetData>
  <phoneticPr fontId="24" type="noConversion"/>
  <printOptions horizontalCentered="1"/>
  <pageMargins left="0.6" right="0.75" top="0.75" bottom="0.62" header="0.5" footer="0.28000000000000003"/>
  <pageSetup scale="110" orientation="landscape" r:id="rId1"/>
  <headerFooter alignWithMargins="0">
    <oddFooter>&amp;C&amp;A&amp;R                  &amp;F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H7" activePane="bottomRight" state="frozen"/>
      <selection activeCell="D18" sqref="D18"/>
      <selection pane="topRight" activeCell="D18" sqref="D18"/>
      <selection pane="bottomLeft" activeCell="D18" sqref="D18"/>
      <selection pane="bottomRight" activeCell="L12" sqref="L12"/>
    </sheetView>
  </sheetViews>
  <sheetFormatPr defaultColWidth="15.85546875" defaultRowHeight="13.2"/>
  <cols>
    <col min="1" max="1" width="3.28515625" style="1" customWidth="1"/>
    <col min="2" max="2" width="32.28515625" style="1" customWidth="1"/>
    <col min="3" max="3" width="10.7109375" style="2" customWidth="1"/>
    <col min="4" max="4" width="10.42578125" style="2" customWidth="1"/>
    <col min="5" max="5" width="11.140625" style="2" customWidth="1"/>
    <col min="6" max="6" width="10.85546875" style="2" customWidth="1"/>
    <col min="7" max="7" width="11" style="2" customWidth="1"/>
    <col min="8" max="8" width="11.140625" style="2" customWidth="1"/>
    <col min="9" max="10" width="10.85546875" style="2" customWidth="1"/>
    <col min="11" max="12" width="10.42578125" style="2" customWidth="1"/>
    <col min="13" max="14" width="10.85546875" style="2" customWidth="1"/>
    <col min="15" max="15" width="10.7109375" style="2" customWidth="1"/>
    <col min="16" max="16" width="10.140625" style="2" customWidth="1"/>
    <col min="17" max="17" width="12.42578125" style="1" customWidth="1"/>
    <col min="18" max="18" width="10.28515625" style="1" customWidth="1"/>
    <col min="19" max="19" width="13" style="1" customWidth="1"/>
    <col min="20" max="21" width="10.28515625" style="1" customWidth="1"/>
    <col min="22" max="22" width="16.28515625" style="1" bestFit="1" customWidth="1"/>
    <col min="23" max="32" width="8.85546875" style="1" customWidth="1"/>
    <col min="33" max="33" width="10.140625" style="1" customWidth="1"/>
    <col min="34" max="16384" width="15.85546875" style="1"/>
  </cols>
  <sheetData>
    <row r="1" spans="1:53">
      <c r="B1" s="145" t="s">
        <v>0</v>
      </c>
      <c r="C1" s="146"/>
      <c r="D1" s="146"/>
      <c r="E1" s="146"/>
      <c r="F1" s="146"/>
      <c r="G1" s="146"/>
      <c r="H1" s="146"/>
      <c r="I1" s="146"/>
      <c r="J1" s="146"/>
      <c r="K1" s="146"/>
      <c r="L1" s="146"/>
      <c r="M1" s="146"/>
      <c r="N1" s="146"/>
      <c r="O1" s="146"/>
      <c r="P1" s="146"/>
      <c r="Q1" s="147"/>
    </row>
    <row r="2" spans="1:53">
      <c r="B2" s="145" t="s">
        <v>35</v>
      </c>
      <c r="C2" s="146"/>
      <c r="D2" s="146"/>
      <c r="E2" s="146"/>
      <c r="F2" s="146"/>
      <c r="G2" s="146"/>
      <c r="H2" s="146"/>
      <c r="I2" s="146"/>
      <c r="J2" s="146"/>
      <c r="K2" s="146"/>
      <c r="L2" s="146"/>
      <c r="M2" s="146"/>
      <c r="N2" s="146"/>
      <c r="O2" s="146"/>
      <c r="P2" s="146"/>
      <c r="Q2" s="147"/>
    </row>
    <row r="3" spans="1:53" ht="12.75" customHeight="1">
      <c r="B3" s="594" t="s">
        <v>324</v>
      </c>
      <c r="C3" s="594"/>
      <c r="D3" s="594"/>
      <c r="E3" s="594"/>
      <c r="F3" s="594"/>
      <c r="G3" s="594"/>
      <c r="H3" s="594"/>
      <c r="I3" s="594"/>
      <c r="J3" s="594"/>
      <c r="K3" s="594"/>
      <c r="L3" s="594"/>
      <c r="M3" s="594"/>
      <c r="N3" s="594"/>
      <c r="O3" s="594"/>
      <c r="P3" s="594"/>
      <c r="Q3" s="594"/>
    </row>
    <row r="4" spans="1:53">
      <c r="B4" s="593" t="s">
        <v>59</v>
      </c>
      <c r="C4" s="593"/>
      <c r="D4" s="593"/>
      <c r="E4" s="593"/>
      <c r="F4" s="593"/>
      <c r="G4" s="593"/>
      <c r="H4" s="593"/>
      <c r="I4" s="593"/>
      <c r="J4" s="593"/>
      <c r="K4" s="593"/>
      <c r="L4" s="593"/>
      <c r="M4" s="593"/>
      <c r="N4" s="593"/>
      <c r="O4" s="593"/>
      <c r="P4" s="593"/>
      <c r="Q4" s="593"/>
    </row>
    <row r="5" spans="1:53">
      <c r="A5" s="131">
        <v>1</v>
      </c>
      <c r="B5" s="129" t="s">
        <v>5</v>
      </c>
      <c r="C5" s="317" t="s">
        <v>27</v>
      </c>
      <c r="D5" s="317" t="s">
        <v>52</v>
      </c>
      <c r="E5" s="317" t="s">
        <v>64</v>
      </c>
      <c r="F5" s="317" t="s">
        <v>65</v>
      </c>
      <c r="G5" s="317" t="s">
        <v>66</v>
      </c>
      <c r="H5" s="317" t="s">
        <v>67</v>
      </c>
      <c r="I5" s="317" t="s">
        <v>68</v>
      </c>
      <c r="J5" s="129" t="s">
        <v>69</v>
      </c>
      <c r="K5" s="129" t="s">
        <v>71</v>
      </c>
      <c r="L5" s="129" t="s">
        <v>72</v>
      </c>
      <c r="M5" s="129" t="s">
        <v>73</v>
      </c>
      <c r="N5" s="129" t="s">
        <v>74</v>
      </c>
      <c r="O5" s="129" t="s">
        <v>75</v>
      </c>
      <c r="P5" s="129"/>
      <c r="Q5" s="129" t="s">
        <v>76</v>
      </c>
    </row>
    <row r="6" spans="1:53" ht="35.1" customHeight="1">
      <c r="A6" s="131">
        <f>+A5+1</f>
        <v>2</v>
      </c>
      <c r="B6" s="103" t="s">
        <v>1</v>
      </c>
      <c r="C6" s="199">
        <v>42185</v>
      </c>
      <c r="D6" s="199">
        <v>42216</v>
      </c>
      <c r="E6" s="199">
        <v>42247</v>
      </c>
      <c r="F6" s="199">
        <v>42277</v>
      </c>
      <c r="G6" s="199">
        <v>42307</v>
      </c>
      <c r="H6" s="199">
        <v>42338</v>
      </c>
      <c r="I6" s="199">
        <v>42369</v>
      </c>
      <c r="J6" s="199">
        <v>42400</v>
      </c>
      <c r="K6" s="199">
        <v>42429</v>
      </c>
      <c r="L6" s="199">
        <v>42460</v>
      </c>
      <c r="M6" s="199">
        <v>42490</v>
      </c>
      <c r="N6" s="199">
        <v>42521</v>
      </c>
      <c r="O6" s="199">
        <v>42551</v>
      </c>
      <c r="P6" s="199"/>
      <c r="Q6" s="124" t="s">
        <v>113</v>
      </c>
      <c r="R6" s="102"/>
      <c r="S6" s="90"/>
      <c r="T6" s="101"/>
      <c r="U6" s="101"/>
      <c r="V6" s="101"/>
      <c r="W6" s="101"/>
      <c r="X6" s="101"/>
      <c r="Y6" s="101"/>
      <c r="Z6" s="101"/>
      <c r="AA6" s="101"/>
      <c r="AB6" s="101"/>
      <c r="AC6" s="101"/>
      <c r="AD6" s="101"/>
      <c r="AE6" s="101"/>
      <c r="AF6" s="90"/>
      <c r="AG6" s="90"/>
      <c r="AH6" s="90"/>
      <c r="AI6" s="90"/>
      <c r="AJ6" s="90"/>
      <c r="AK6" s="90"/>
      <c r="AL6" s="90"/>
      <c r="AM6" s="90"/>
      <c r="AN6" s="90"/>
      <c r="AO6" s="90"/>
      <c r="AP6" s="90"/>
      <c r="AQ6" s="90"/>
      <c r="AR6" s="90"/>
      <c r="AS6" s="90"/>
      <c r="AT6" s="90"/>
      <c r="AU6" s="90"/>
      <c r="AV6" s="90"/>
      <c r="AW6" s="90"/>
      <c r="AX6" s="90"/>
      <c r="AY6" s="90"/>
      <c r="AZ6" s="90"/>
      <c r="BA6" s="90"/>
    </row>
    <row r="7" spans="1:53">
      <c r="A7" s="131">
        <f>+A6+1</f>
        <v>3</v>
      </c>
      <c r="B7" s="143" t="s">
        <v>36</v>
      </c>
      <c r="C7" s="383"/>
      <c r="D7" s="383">
        <v>14000000</v>
      </c>
      <c r="E7" s="383"/>
      <c r="F7" s="383">
        <v>79500000</v>
      </c>
      <c r="G7" s="383">
        <v>77000000</v>
      </c>
      <c r="H7" s="383">
        <v>110000000</v>
      </c>
      <c r="I7" s="383">
        <v>159004000</v>
      </c>
      <c r="J7" s="383">
        <v>93000000</v>
      </c>
      <c r="K7" s="383"/>
      <c r="L7" s="383"/>
      <c r="M7" s="383"/>
      <c r="N7" s="383"/>
      <c r="O7" s="383">
        <v>36000000</v>
      </c>
      <c r="P7" s="383"/>
      <c r="Q7" s="164">
        <f>ROUND(((C7+O7)+(SUM(D7:N7)*2))/24,0)</f>
        <v>45875333</v>
      </c>
      <c r="R7" s="102"/>
      <c r="S7" s="573" t="s">
        <v>303</v>
      </c>
      <c r="T7" s="573" t="s">
        <v>271</v>
      </c>
      <c r="U7" s="101"/>
      <c r="V7" s="101"/>
      <c r="W7" s="101"/>
      <c r="X7" s="101"/>
      <c r="Y7" s="101"/>
      <c r="Z7" s="101"/>
      <c r="AA7" s="101"/>
      <c r="AB7" s="101"/>
      <c r="AC7" s="101"/>
      <c r="AD7" s="101"/>
      <c r="AE7" s="101"/>
      <c r="AF7" s="90"/>
      <c r="AG7" s="90"/>
      <c r="AH7" s="90"/>
      <c r="AI7" s="90"/>
      <c r="AJ7" s="90"/>
      <c r="AK7" s="90"/>
      <c r="AL7" s="90"/>
      <c r="AM7" s="90"/>
      <c r="AN7" s="90"/>
      <c r="AO7" s="90"/>
      <c r="AP7" s="90"/>
      <c r="AQ7" s="90"/>
      <c r="AR7" s="90"/>
      <c r="AS7" s="90"/>
      <c r="AT7" s="90"/>
      <c r="AU7" s="90"/>
      <c r="AV7" s="90"/>
      <c r="AW7" s="90"/>
      <c r="AX7" s="90"/>
      <c r="AY7" s="90"/>
      <c r="AZ7" s="90"/>
      <c r="BA7" s="90"/>
    </row>
    <row r="8" spans="1:53">
      <c r="A8" s="131">
        <f>+A7+1</f>
        <v>4</v>
      </c>
      <c r="B8" s="143" t="s">
        <v>173</v>
      </c>
      <c r="C8" s="383"/>
      <c r="D8" s="383"/>
      <c r="E8" s="383"/>
      <c r="F8" s="383"/>
      <c r="G8" s="383"/>
      <c r="H8" s="383"/>
      <c r="I8" s="383"/>
      <c r="J8" s="383"/>
      <c r="K8" s="383"/>
      <c r="L8" s="383"/>
      <c r="M8" s="383"/>
      <c r="N8" s="383"/>
      <c r="O8" s="383"/>
      <c r="P8" s="383"/>
      <c r="Q8" s="164">
        <f>ROUND(((C8+O8)+(SUM(D8:N8)*2))/24,0)</f>
        <v>0</v>
      </c>
      <c r="R8" s="572"/>
      <c r="S8" s="573" t="s">
        <v>303</v>
      </c>
      <c r="T8" s="573" t="s">
        <v>272</v>
      </c>
      <c r="U8" s="101"/>
      <c r="V8" s="101"/>
      <c r="W8" s="101"/>
      <c r="X8" s="101"/>
      <c r="Y8" s="101"/>
      <c r="Z8" s="101"/>
      <c r="AA8" s="101"/>
      <c r="AB8" s="101"/>
      <c r="AC8" s="101"/>
      <c r="AD8" s="101"/>
      <c r="AE8" s="101"/>
      <c r="AF8" s="90"/>
      <c r="AG8" s="90"/>
      <c r="AH8" s="90"/>
      <c r="AI8" s="90"/>
      <c r="AJ8" s="90"/>
      <c r="AK8" s="90"/>
      <c r="AL8" s="90"/>
      <c r="AM8" s="90"/>
      <c r="AN8" s="90"/>
      <c r="AO8" s="90"/>
      <c r="AP8" s="90"/>
      <c r="AQ8" s="90"/>
      <c r="AR8" s="90"/>
      <c r="AS8" s="90"/>
      <c r="AT8" s="90"/>
      <c r="AU8" s="90"/>
      <c r="AV8" s="90"/>
      <c r="AW8" s="90"/>
      <c r="AX8" s="90"/>
      <c r="AY8" s="90"/>
      <c r="AZ8" s="90"/>
      <c r="BA8" s="90"/>
    </row>
    <row r="9" spans="1:53" ht="13.8" thickBot="1">
      <c r="A9" s="131">
        <f>+A8+1</f>
        <v>5</v>
      </c>
      <c r="B9" s="143" t="s">
        <v>158</v>
      </c>
      <c r="C9" s="383"/>
      <c r="D9" s="383"/>
      <c r="E9" s="383"/>
      <c r="F9" s="383"/>
      <c r="G9" s="383"/>
      <c r="H9" s="383"/>
      <c r="I9" s="383"/>
      <c r="J9" s="383"/>
      <c r="K9" s="383"/>
      <c r="L9" s="383"/>
      <c r="M9" s="383"/>
      <c r="N9" s="383"/>
      <c r="O9" s="383"/>
      <c r="P9" s="383"/>
      <c r="Q9" s="164">
        <f>ROUND(((C9+O9)+(SUM(D9:N9)*2))/24,0)</f>
        <v>0</v>
      </c>
      <c r="R9" s="102"/>
      <c r="T9" s="573"/>
      <c r="U9" s="101"/>
      <c r="V9" s="101"/>
      <c r="W9" s="101"/>
      <c r="X9" s="101"/>
      <c r="Y9" s="101"/>
      <c r="Z9" s="101"/>
      <c r="AA9" s="101"/>
      <c r="AB9" s="101"/>
      <c r="AC9" s="101"/>
      <c r="AD9" s="101"/>
      <c r="AE9" s="101"/>
      <c r="AF9" s="90"/>
      <c r="AG9" s="90"/>
      <c r="AH9" s="90"/>
      <c r="AI9" s="90"/>
      <c r="AJ9" s="90"/>
      <c r="AK9" s="90"/>
      <c r="AL9" s="90"/>
      <c r="AM9" s="90"/>
      <c r="AN9" s="90"/>
      <c r="AO9" s="90"/>
      <c r="AP9" s="90"/>
      <c r="AQ9" s="90"/>
      <c r="AR9" s="90"/>
      <c r="AS9" s="90"/>
      <c r="AT9" s="90"/>
      <c r="AU9" s="90"/>
      <c r="AV9" s="90"/>
      <c r="AW9" s="90"/>
      <c r="AX9" s="90"/>
      <c r="AY9" s="90"/>
      <c r="AZ9" s="90"/>
      <c r="BA9" s="90"/>
    </row>
    <row r="10" spans="1:53" ht="13.8" thickBot="1">
      <c r="A10" s="131">
        <f>+A9+1</f>
        <v>6</v>
      </c>
      <c r="B10" s="144" t="s">
        <v>30</v>
      </c>
      <c r="C10" s="371">
        <f t="shared" ref="C10:L10" si="0">SUM(C7:C9)</f>
        <v>0</v>
      </c>
      <c r="D10" s="371">
        <f t="shared" si="0"/>
        <v>14000000</v>
      </c>
      <c r="E10" s="371">
        <f t="shared" si="0"/>
        <v>0</v>
      </c>
      <c r="F10" s="371">
        <f t="shared" si="0"/>
        <v>79500000</v>
      </c>
      <c r="G10" s="371">
        <f t="shared" si="0"/>
        <v>77000000</v>
      </c>
      <c r="H10" s="371">
        <f t="shared" si="0"/>
        <v>110000000</v>
      </c>
      <c r="I10" s="371">
        <f t="shared" si="0"/>
        <v>159004000</v>
      </c>
      <c r="J10" s="371">
        <f t="shared" si="0"/>
        <v>93000000</v>
      </c>
      <c r="K10" s="371">
        <f t="shared" si="0"/>
        <v>0</v>
      </c>
      <c r="L10" s="371">
        <f t="shared" si="0"/>
        <v>0</v>
      </c>
      <c r="M10" s="371">
        <f>SUM(M7:M9)</f>
        <v>0</v>
      </c>
      <c r="N10" s="371">
        <f>SUM(N7:N9)</f>
        <v>0</v>
      </c>
      <c r="O10" s="371">
        <f>SUM(O7:O9)</f>
        <v>36000000</v>
      </c>
      <c r="P10" s="201"/>
      <c r="Q10" s="219">
        <f>SUM(Q7:Q9)</f>
        <v>45875333</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 customHeight="1" thickBot="1">
      <c r="A11" s="131"/>
      <c r="B11" s="142"/>
      <c r="C11" s="370"/>
      <c r="D11" s="370"/>
      <c r="E11" s="370"/>
      <c r="F11" s="370"/>
      <c r="G11" s="370"/>
      <c r="H11" s="370"/>
      <c r="I11" s="370"/>
      <c r="J11" s="370"/>
      <c r="K11" s="370"/>
      <c r="L11" s="370"/>
      <c r="M11" s="370"/>
      <c r="N11" s="370"/>
      <c r="O11" s="370"/>
      <c r="P11" s="370"/>
      <c r="Q11" s="164"/>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8" thickBot="1">
      <c r="A12" s="131">
        <f>+A10+1</f>
        <v>7</v>
      </c>
      <c r="B12" s="144" t="s">
        <v>128</v>
      </c>
      <c r="C12" s="384">
        <f>3535860000-1919191</f>
        <v>3533940809</v>
      </c>
      <c r="D12" s="384">
        <f>3535860000-1913836</f>
        <v>3533946164</v>
      </c>
      <c r="E12" s="384">
        <f>3535860000-1908482</f>
        <v>3533951518</v>
      </c>
      <c r="F12" s="384">
        <f>3523860000-1903127</f>
        <v>3521956873</v>
      </c>
      <c r="G12" s="384">
        <f>3523860000-1897773</f>
        <v>3521962227</v>
      </c>
      <c r="H12" s="384">
        <f>3523860000-1892419</f>
        <v>3521967581</v>
      </c>
      <c r="I12" s="384">
        <f>3523860000-1887064</f>
        <v>3521972936</v>
      </c>
      <c r="J12" s="384">
        <f>3523860000-1881710</f>
        <v>3521978290</v>
      </c>
      <c r="K12" s="384">
        <f>3523860000-1876356</f>
        <v>3521983644</v>
      </c>
      <c r="L12" s="384">
        <f>3523860000-1871001-29299320</f>
        <v>3492689679</v>
      </c>
      <c r="M12" s="384">
        <f>3523860000-1865647-29058407</f>
        <v>3492935946</v>
      </c>
      <c r="N12" s="384">
        <f>3523860000-1860293-28821248</f>
        <v>3493178459</v>
      </c>
      <c r="O12" s="384">
        <f>3523860000-1854938-28581699</f>
        <v>3493423363</v>
      </c>
      <c r="P12" s="384"/>
      <c r="Q12" s="219">
        <f>ROUND(((C12+O12)+(SUM(D12:N12)*2))/24,0)</f>
        <v>3516017117</v>
      </c>
      <c r="R12" s="97"/>
      <c r="S12" s="573" t="s">
        <v>303</v>
      </c>
      <c r="T12" s="573" t="s">
        <v>273</v>
      </c>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1"/>
      <c r="B13" s="144"/>
      <c r="C13" s="385"/>
      <c r="D13" s="385"/>
      <c r="E13" s="385"/>
      <c r="F13" s="385"/>
      <c r="G13" s="385"/>
      <c r="H13" s="385"/>
      <c r="I13" s="385"/>
      <c r="J13" s="385"/>
      <c r="K13" s="385"/>
      <c r="L13" s="385"/>
      <c r="M13" s="385"/>
      <c r="N13" s="385"/>
      <c r="O13" s="385"/>
      <c r="P13" s="385"/>
      <c r="Q13" s="165"/>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1">
        <f>+A12+1</f>
        <v>8</v>
      </c>
      <c r="B14" s="144" t="s">
        <v>122</v>
      </c>
      <c r="C14" s="385">
        <v>250000000</v>
      </c>
      <c r="D14" s="385">
        <v>250000000</v>
      </c>
      <c r="E14" s="385">
        <v>250000000</v>
      </c>
      <c r="F14" s="385">
        <v>250000000</v>
      </c>
      <c r="G14" s="385">
        <v>250000000</v>
      </c>
      <c r="H14" s="385">
        <v>250000000</v>
      </c>
      <c r="I14" s="385">
        <v>250000000</v>
      </c>
      <c r="J14" s="385">
        <v>250000000</v>
      </c>
      <c r="K14" s="385">
        <v>250000000</v>
      </c>
      <c r="L14" s="385">
        <v>250000000</v>
      </c>
      <c r="M14" s="385">
        <v>250000000</v>
      </c>
      <c r="N14" s="385">
        <v>250000000</v>
      </c>
      <c r="O14" s="385">
        <v>250000000</v>
      </c>
      <c r="P14" s="385"/>
      <c r="Q14" s="247">
        <f>ROUND(((C14+O14)+(SUM(D14:N14)*2))/24,0)</f>
        <v>250000000</v>
      </c>
      <c r="R14" s="97"/>
      <c r="S14" s="573" t="s">
        <v>303</v>
      </c>
      <c r="T14" s="573" t="s">
        <v>274</v>
      </c>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1"/>
      <c r="B15" s="144"/>
      <c r="C15" s="97"/>
      <c r="D15" s="97"/>
      <c r="E15" s="97"/>
      <c r="F15" s="97"/>
      <c r="G15" s="97"/>
      <c r="H15" s="97"/>
      <c r="I15" s="97"/>
      <c r="J15" s="97"/>
      <c r="K15" s="97"/>
      <c r="L15" s="97"/>
      <c r="M15" s="97"/>
      <c r="N15" s="97"/>
      <c r="O15" s="97"/>
      <c r="P15" s="97"/>
      <c r="Q15" s="165"/>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1">
        <f>+A14+1</f>
        <v>9</v>
      </c>
      <c r="B16" s="144" t="s">
        <v>14</v>
      </c>
      <c r="C16" s="309">
        <f t="shared" ref="C16:L16" si="1">SUM(C12:C14)</f>
        <v>3783940809</v>
      </c>
      <c r="D16" s="309">
        <f t="shared" si="1"/>
        <v>3783946164</v>
      </c>
      <c r="E16" s="309">
        <f t="shared" si="1"/>
        <v>3783951518</v>
      </c>
      <c r="F16" s="309">
        <f t="shared" si="1"/>
        <v>3771956873</v>
      </c>
      <c r="G16" s="309">
        <f t="shared" si="1"/>
        <v>3771962227</v>
      </c>
      <c r="H16" s="309">
        <f t="shared" si="1"/>
        <v>3771967581</v>
      </c>
      <c r="I16" s="309">
        <f t="shared" si="1"/>
        <v>3771972936</v>
      </c>
      <c r="J16" s="309">
        <f t="shared" si="1"/>
        <v>3771978290</v>
      </c>
      <c r="K16" s="309">
        <f t="shared" si="1"/>
        <v>3771983644</v>
      </c>
      <c r="L16" s="309">
        <f t="shared" si="1"/>
        <v>3742689679</v>
      </c>
      <c r="M16" s="309">
        <f>SUM(M12:M14)</f>
        <v>3742935946</v>
      </c>
      <c r="N16" s="309">
        <f>SUM(N12:N14)</f>
        <v>3743178459</v>
      </c>
      <c r="O16" s="309">
        <f>SUM(O12:O14)</f>
        <v>3743423363</v>
      </c>
      <c r="P16" s="99"/>
      <c r="Q16" s="219">
        <f>SUM(Q12:Q14)</f>
        <v>3766017117</v>
      </c>
      <c r="R16" s="97"/>
      <c r="S16" s="270"/>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1"/>
      <c r="B17" s="144"/>
      <c r="C17" s="97"/>
      <c r="D17" s="97"/>
      <c r="E17" s="97"/>
      <c r="F17" s="97"/>
      <c r="G17" s="97"/>
      <c r="H17" s="97"/>
      <c r="I17" s="97"/>
      <c r="J17" s="97"/>
      <c r="K17" s="97"/>
      <c r="L17" s="97"/>
      <c r="M17" s="97"/>
      <c r="N17" s="97"/>
      <c r="O17" s="97"/>
      <c r="P17" s="97"/>
      <c r="Q17" s="165"/>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8" thickBot="1">
      <c r="A18" s="131">
        <f>+A16+1</f>
        <v>10</v>
      </c>
      <c r="B18" s="144" t="s">
        <v>82</v>
      </c>
      <c r="C18" s="308">
        <v>0</v>
      </c>
      <c r="D18" s="308">
        <v>0</v>
      </c>
      <c r="E18" s="308">
        <v>0</v>
      </c>
      <c r="F18" s="308">
        <v>0</v>
      </c>
      <c r="G18" s="308">
        <v>0</v>
      </c>
      <c r="H18" s="308">
        <v>0</v>
      </c>
      <c r="I18" s="308">
        <v>0</v>
      </c>
      <c r="J18" s="308">
        <v>0</v>
      </c>
      <c r="K18" s="308">
        <v>0</v>
      </c>
      <c r="L18" s="308">
        <v>0</v>
      </c>
      <c r="M18" s="308">
        <v>0</v>
      </c>
      <c r="N18" s="308">
        <v>0</v>
      </c>
      <c r="O18" s="308">
        <v>0</v>
      </c>
      <c r="P18" s="308"/>
      <c r="Q18" s="218"/>
      <c r="R18" s="97"/>
      <c r="S18" s="181"/>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 customHeight="1" thickBot="1">
      <c r="A19" s="131"/>
      <c r="B19" s="144"/>
      <c r="C19" s="97"/>
      <c r="D19" s="97"/>
      <c r="E19" s="97"/>
      <c r="F19" s="97"/>
      <c r="G19" s="97"/>
      <c r="H19" s="97"/>
      <c r="I19" s="97"/>
      <c r="J19" s="97"/>
      <c r="K19" s="97"/>
      <c r="L19" s="97"/>
      <c r="M19" s="97"/>
      <c r="N19" s="97"/>
      <c r="O19" s="97"/>
      <c r="P19" s="97"/>
      <c r="Q19" s="164"/>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8" thickBot="1">
      <c r="A20" s="131">
        <f>+A18+1</f>
        <v>11</v>
      </c>
      <c r="B20" s="144" t="s">
        <v>103</v>
      </c>
      <c r="C20" s="310">
        <f t="shared" ref="C20:L20" si="2">C44</f>
        <v>3582770531</v>
      </c>
      <c r="D20" s="310">
        <f t="shared" si="2"/>
        <v>3576926616</v>
      </c>
      <c r="E20" s="310">
        <f t="shared" si="2"/>
        <v>3578672018</v>
      </c>
      <c r="F20" s="310">
        <f t="shared" si="2"/>
        <v>3565217930</v>
      </c>
      <c r="G20" s="310">
        <f t="shared" si="2"/>
        <v>3585557747</v>
      </c>
      <c r="H20" s="310">
        <f t="shared" si="2"/>
        <v>3623629034</v>
      </c>
      <c r="I20" s="310">
        <f t="shared" si="2"/>
        <v>3591259334</v>
      </c>
      <c r="J20" s="310">
        <f t="shared" si="2"/>
        <v>3642828101</v>
      </c>
      <c r="K20" s="310">
        <f t="shared" si="2"/>
        <v>3687204649</v>
      </c>
      <c r="L20" s="310">
        <f t="shared" si="2"/>
        <v>3669640355</v>
      </c>
      <c r="M20" s="310">
        <f>M44</f>
        <v>3691551031</v>
      </c>
      <c r="N20" s="310">
        <f>N44</f>
        <v>3697689139</v>
      </c>
      <c r="O20" s="310">
        <f>O44</f>
        <v>3659718025</v>
      </c>
      <c r="P20" s="100"/>
      <c r="Q20" s="218">
        <f>ROUND(((C20+O20)+(SUM(D20:N20)*2))/24,0)</f>
        <v>3627618353</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 customHeight="1">
      <c r="A21" s="131"/>
      <c r="B21" s="144"/>
      <c r="C21" s="100"/>
      <c r="D21" s="100"/>
      <c r="E21" s="100"/>
      <c r="F21" s="100"/>
      <c r="G21" s="100"/>
      <c r="H21" s="100"/>
      <c r="I21" s="100"/>
      <c r="J21" s="100"/>
      <c r="K21" s="100"/>
      <c r="L21" s="100"/>
      <c r="M21" s="100"/>
      <c r="N21" s="100"/>
      <c r="O21" s="100"/>
      <c r="P21" s="100"/>
      <c r="Q21" s="166"/>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8" thickBot="1">
      <c r="A22" s="131">
        <f>+A20+1</f>
        <v>12</v>
      </c>
      <c r="B22" s="144" t="s">
        <v>86</v>
      </c>
      <c r="C22" s="311">
        <f t="shared" ref="C22:L22" si="3">C10+C16+C18+C20</f>
        <v>7366711340</v>
      </c>
      <c r="D22" s="311">
        <f t="shared" si="3"/>
        <v>7374872780</v>
      </c>
      <c r="E22" s="311">
        <f t="shared" si="3"/>
        <v>7362623536</v>
      </c>
      <c r="F22" s="311">
        <f t="shared" si="3"/>
        <v>7416674803</v>
      </c>
      <c r="G22" s="311">
        <f t="shared" si="3"/>
        <v>7434519974</v>
      </c>
      <c r="H22" s="311">
        <f t="shared" si="3"/>
        <v>7505596615</v>
      </c>
      <c r="I22" s="311">
        <f t="shared" si="3"/>
        <v>7522236270</v>
      </c>
      <c r="J22" s="311">
        <f t="shared" si="3"/>
        <v>7507806391</v>
      </c>
      <c r="K22" s="311">
        <f t="shared" si="3"/>
        <v>7459188293</v>
      </c>
      <c r="L22" s="311">
        <f t="shared" si="3"/>
        <v>7412330034</v>
      </c>
      <c r="M22" s="311">
        <f>M10+M16+M18+M20</f>
        <v>7434486977</v>
      </c>
      <c r="N22" s="311">
        <f>N10+N16+N18+N20</f>
        <v>7440867598</v>
      </c>
      <c r="O22" s="311">
        <f>O10+O16+O18+O20</f>
        <v>7439141388</v>
      </c>
      <c r="P22" s="311"/>
      <c r="Q22" s="248">
        <f>Q10+Q16+Q18+Q20</f>
        <v>7439510803</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8" thickTop="1">
      <c r="A23" s="131"/>
      <c r="B23" s="144"/>
      <c r="C23" s="99"/>
      <c r="D23" s="99"/>
      <c r="E23" s="99"/>
      <c r="F23" s="99"/>
      <c r="G23" s="99"/>
      <c r="H23" s="99"/>
      <c r="I23" s="99"/>
      <c r="J23" s="99"/>
      <c r="K23" s="99"/>
      <c r="L23" s="99"/>
      <c r="M23" s="99"/>
      <c r="N23" s="99"/>
      <c r="O23" s="99"/>
      <c r="P23" s="99"/>
      <c r="Q23" s="198"/>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1">
        <f>+A22+1</f>
        <v>13</v>
      </c>
      <c r="B24" s="130" t="s">
        <v>30</v>
      </c>
      <c r="C24" s="312">
        <f t="shared" ref="C24:L24" si="4">C10/C$22</f>
        <v>0</v>
      </c>
      <c r="D24" s="312">
        <f t="shared" si="4"/>
        <v>1.8983378313951063E-3</v>
      </c>
      <c r="E24" s="312">
        <f t="shared" si="4"/>
        <v>0</v>
      </c>
      <c r="F24" s="312">
        <f t="shared" si="4"/>
        <v>1.0719089364393156E-2</v>
      </c>
      <c r="G24" s="312">
        <f t="shared" si="4"/>
        <v>1.0357091011831883E-2</v>
      </c>
      <c r="H24" s="312">
        <f t="shared" si="4"/>
        <v>1.4655730335968769E-2</v>
      </c>
      <c r="I24" s="312">
        <f t="shared" si="4"/>
        <v>2.113786303604101E-2</v>
      </c>
      <c r="J24" s="312">
        <f t="shared" si="4"/>
        <v>1.2387106853405805E-2</v>
      </c>
      <c r="K24" s="312">
        <f t="shared" si="4"/>
        <v>0</v>
      </c>
      <c r="L24" s="312">
        <f t="shared" si="4"/>
        <v>0</v>
      </c>
      <c r="M24" s="312">
        <f>M10/M$22</f>
        <v>0</v>
      </c>
      <c r="N24" s="312">
        <f>N10/N$22</f>
        <v>0</v>
      </c>
      <c r="O24" s="312">
        <f>O10/O$22</f>
        <v>4.8392681523799531E-3</v>
      </c>
      <c r="P24" s="312"/>
      <c r="Q24" s="313">
        <f>Q10/Q$22</f>
        <v>6.1664448395586258E-3</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1">
        <f>+A24+1</f>
        <v>14</v>
      </c>
      <c r="B25" s="130" t="s">
        <v>31</v>
      </c>
      <c r="C25" s="314">
        <f t="shared" ref="C25:L25" si="5">C16/C$22</f>
        <v>0.51365400846560116</v>
      </c>
      <c r="D25" s="314">
        <f t="shared" si="5"/>
        <v>0.51308629679168516</v>
      </c>
      <c r="E25" s="314">
        <f t="shared" si="5"/>
        <v>0.51394064894098368</v>
      </c>
      <c r="F25" s="314">
        <f t="shared" si="5"/>
        <v>0.5085778968594209</v>
      </c>
      <c r="G25" s="314">
        <f t="shared" si="5"/>
        <v>0.50735787114585806</v>
      </c>
      <c r="H25" s="314">
        <f t="shared" si="5"/>
        <v>0.50255399730138572</v>
      </c>
      <c r="I25" s="314">
        <f t="shared" si="5"/>
        <v>0.50144302845728084</v>
      </c>
      <c r="J25" s="314">
        <f t="shared" si="5"/>
        <v>0.50240750674147217</v>
      </c>
      <c r="K25" s="314">
        <f t="shared" si="5"/>
        <v>0.50568285661052159</v>
      </c>
      <c r="L25" s="314">
        <f t="shared" si="5"/>
        <v>0.50492755474087947</v>
      </c>
      <c r="M25" s="314">
        <f>M16/M$22</f>
        <v>0.50345584807391341</v>
      </c>
      <c r="N25" s="314">
        <f>N16/N$22</f>
        <v>0.50305672150464198</v>
      </c>
      <c r="O25" s="314">
        <f>O16/O$22</f>
        <v>0.50320637392891554</v>
      </c>
      <c r="P25" s="314"/>
      <c r="Q25" s="315">
        <f>Q16/Q$22</f>
        <v>0.50621838138622566</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1">
        <f>+A25+1</f>
        <v>15</v>
      </c>
      <c r="B26" s="130" t="s">
        <v>109</v>
      </c>
      <c r="C26" s="312">
        <f t="shared" ref="C26:L26" si="6">SUM(C24:C25)</f>
        <v>0.51365400846560116</v>
      </c>
      <c r="D26" s="312">
        <f t="shared" si="6"/>
        <v>0.51498463462308031</v>
      </c>
      <c r="E26" s="312">
        <f t="shared" si="6"/>
        <v>0.51394064894098368</v>
      </c>
      <c r="F26" s="312">
        <f t="shared" si="6"/>
        <v>0.51929698622381404</v>
      </c>
      <c r="G26" s="312">
        <f t="shared" si="6"/>
        <v>0.51771496215768997</v>
      </c>
      <c r="H26" s="312">
        <f t="shared" si="6"/>
        <v>0.51720972763735451</v>
      </c>
      <c r="I26" s="312">
        <f t="shared" si="6"/>
        <v>0.52258089149332188</v>
      </c>
      <c r="J26" s="312">
        <f t="shared" si="6"/>
        <v>0.51479461359487799</v>
      </c>
      <c r="K26" s="312">
        <f t="shared" si="6"/>
        <v>0.50568285661052159</v>
      </c>
      <c r="L26" s="312">
        <f t="shared" si="6"/>
        <v>0.50492755474087947</v>
      </c>
      <c r="M26" s="312">
        <f>SUM(M24:M25)</f>
        <v>0.50345584807391341</v>
      </c>
      <c r="N26" s="312">
        <f>SUM(N24:N25)</f>
        <v>0.50305672150464198</v>
      </c>
      <c r="O26" s="312">
        <f>SUM(O24:O25)</f>
        <v>0.50804564208129555</v>
      </c>
      <c r="P26" s="312"/>
      <c r="Q26" s="313">
        <f>SUM(Q24:Q25)</f>
        <v>0.5123848262257843</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1">
        <f>+A26+1</f>
        <v>16</v>
      </c>
      <c r="B27" s="130" t="s">
        <v>110</v>
      </c>
      <c r="C27" s="312">
        <f t="shared" ref="C27:J27" si="7">C18/C$22</f>
        <v>0</v>
      </c>
      <c r="D27" s="312">
        <f t="shared" si="7"/>
        <v>0</v>
      </c>
      <c r="E27" s="312">
        <f t="shared" si="7"/>
        <v>0</v>
      </c>
      <c r="F27" s="312">
        <f t="shared" si="7"/>
        <v>0</v>
      </c>
      <c r="G27" s="312">
        <f t="shared" si="7"/>
        <v>0</v>
      </c>
      <c r="H27" s="312">
        <f t="shared" si="7"/>
        <v>0</v>
      </c>
      <c r="I27" s="312">
        <f t="shared" si="7"/>
        <v>0</v>
      </c>
      <c r="J27" s="312">
        <f t="shared" si="7"/>
        <v>0</v>
      </c>
      <c r="K27" s="312">
        <f>K18/K$22</f>
        <v>0</v>
      </c>
      <c r="L27" s="312">
        <f>L18/L$22</f>
        <v>0</v>
      </c>
      <c r="M27" s="312">
        <f>M18/M$22</f>
        <v>0</v>
      </c>
      <c r="N27" s="312">
        <f>N18/N$22</f>
        <v>0</v>
      </c>
      <c r="O27" s="312">
        <f>O18/O$22</f>
        <v>0</v>
      </c>
      <c r="P27" s="312"/>
      <c r="Q27" s="313">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1">
        <f>+A27+1</f>
        <v>17</v>
      </c>
      <c r="B28" s="130" t="s">
        <v>111</v>
      </c>
      <c r="C28" s="345">
        <f t="shared" ref="C28:J28" si="8">C20/C$22</f>
        <v>0.48634599153439884</v>
      </c>
      <c r="D28" s="345">
        <f t="shared" si="8"/>
        <v>0.48501536537691975</v>
      </c>
      <c r="E28" s="345">
        <f t="shared" si="8"/>
        <v>0.48605935105901632</v>
      </c>
      <c r="F28" s="345">
        <f t="shared" si="8"/>
        <v>0.48070301377618591</v>
      </c>
      <c r="G28" s="345">
        <f t="shared" si="8"/>
        <v>0.48228503784231008</v>
      </c>
      <c r="H28" s="345">
        <f t="shared" si="8"/>
        <v>0.48279027236264549</v>
      </c>
      <c r="I28" s="345">
        <f t="shared" si="8"/>
        <v>0.47741910850667818</v>
      </c>
      <c r="J28" s="345">
        <f t="shared" si="8"/>
        <v>0.48520538640512206</v>
      </c>
      <c r="K28" s="345">
        <f>K20/K$22</f>
        <v>0.49431714338947846</v>
      </c>
      <c r="L28" s="345">
        <f>L20/L$22</f>
        <v>0.49507244525912053</v>
      </c>
      <c r="M28" s="345">
        <f>M20/M$22</f>
        <v>0.49654415192608659</v>
      </c>
      <c r="N28" s="345">
        <f>N20/N$22</f>
        <v>0.49694327849535808</v>
      </c>
      <c r="O28" s="345">
        <f>O20/O$22</f>
        <v>0.49195435791870445</v>
      </c>
      <c r="P28" s="345"/>
      <c r="Q28" s="346">
        <f>Q20/Q$22</f>
        <v>0.4876151737742157</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7"/>
      <c r="B29" s="130"/>
      <c r="C29" s="316"/>
      <c r="D29" s="318"/>
      <c r="E29" s="318"/>
      <c r="F29" s="318"/>
      <c r="G29" s="318"/>
      <c r="H29" s="316"/>
      <c r="I29" s="316"/>
      <c r="J29" s="318"/>
      <c r="K29" s="318"/>
      <c r="L29" s="318"/>
      <c r="M29" s="318"/>
      <c r="N29" s="318"/>
      <c r="O29" s="318"/>
      <c r="P29" s="318"/>
      <c r="Q29" s="319"/>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8" thickBot="1">
      <c r="A30" s="131">
        <f>+A28+1</f>
        <v>18</v>
      </c>
      <c r="B30" s="130" t="s">
        <v>112</v>
      </c>
      <c r="C30" s="320">
        <f t="shared" ref="C30:J30" si="9">SUM(C26:C28)</f>
        <v>1</v>
      </c>
      <c r="D30" s="320">
        <f t="shared" si="9"/>
        <v>1</v>
      </c>
      <c r="E30" s="320">
        <f t="shared" si="9"/>
        <v>1</v>
      </c>
      <c r="F30" s="320">
        <f t="shared" si="9"/>
        <v>1</v>
      </c>
      <c r="G30" s="320">
        <f t="shared" si="9"/>
        <v>1</v>
      </c>
      <c r="H30" s="320">
        <f t="shared" si="9"/>
        <v>1</v>
      </c>
      <c r="I30" s="320">
        <f t="shared" si="9"/>
        <v>1</v>
      </c>
      <c r="J30" s="320">
        <f t="shared" si="9"/>
        <v>1</v>
      </c>
      <c r="K30" s="320">
        <f>SUM(K26:K28)</f>
        <v>1</v>
      </c>
      <c r="L30" s="320">
        <f>SUM(L26:L28)</f>
        <v>1</v>
      </c>
      <c r="M30" s="320">
        <f>SUM(M26:M28)</f>
        <v>1</v>
      </c>
      <c r="N30" s="320">
        <f>SUM(N26:N28)</f>
        <v>1</v>
      </c>
      <c r="O30" s="320">
        <f>SUM(O26:O28)</f>
        <v>1</v>
      </c>
      <c r="P30" s="320"/>
      <c r="Q30" s="321">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8" thickTop="1">
      <c r="A31" s="131"/>
      <c r="B31" s="144"/>
      <c r="C31" s="99"/>
      <c r="D31" s="99"/>
      <c r="E31" s="99"/>
      <c r="F31" s="99"/>
      <c r="G31" s="99"/>
      <c r="H31" s="99"/>
      <c r="I31" s="99"/>
      <c r="J31" s="99"/>
      <c r="K31" s="99"/>
      <c r="L31" s="99"/>
      <c r="M31" s="99"/>
      <c r="N31" s="99"/>
      <c r="O31" s="99"/>
      <c r="P31" s="99"/>
      <c r="Q31" s="99"/>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1"/>
      <c r="B32" s="144"/>
      <c r="C32" s="344"/>
      <c r="D32" s="344"/>
      <c r="E32" s="344"/>
      <c r="F32" s="344"/>
      <c r="G32" s="344"/>
      <c r="H32" s="344"/>
      <c r="I32" s="344"/>
      <c r="J32" s="344"/>
      <c r="K32" s="344"/>
      <c r="L32" s="344"/>
      <c r="M32" s="344"/>
      <c r="N32" s="344"/>
      <c r="O32" s="344"/>
      <c r="P32" s="344"/>
      <c r="Q32" s="99"/>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c r="A33" s="131"/>
      <c r="B33" s="144"/>
      <c r="C33" s="348"/>
      <c r="D33" s="348"/>
      <c r="E33" s="348"/>
      <c r="F33" s="348"/>
      <c r="G33" s="348"/>
      <c r="H33" s="348"/>
      <c r="I33" s="348"/>
      <c r="J33" s="348"/>
      <c r="K33" s="348"/>
      <c r="L33" s="348"/>
      <c r="M33" s="348"/>
      <c r="N33" s="348"/>
      <c r="O33" s="348"/>
      <c r="P33" s="348"/>
      <c r="Q33" s="99"/>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c r="A34" s="131">
        <f>+A30+1</f>
        <v>19</v>
      </c>
      <c r="B34" s="144" t="s">
        <v>81</v>
      </c>
      <c r="C34" s="322">
        <v>3343360134</v>
      </c>
      <c r="D34" s="322">
        <v>3331475181</v>
      </c>
      <c r="E34" s="322">
        <v>3335138545</v>
      </c>
      <c r="F34" s="322">
        <v>3325793290</v>
      </c>
      <c r="G34" s="322">
        <v>3342175068</v>
      </c>
      <c r="H34" s="322">
        <v>3380566317</v>
      </c>
      <c r="I34" s="322">
        <v>3362991534</v>
      </c>
      <c r="J34" s="322">
        <v>3417149763</v>
      </c>
      <c r="K34" s="322">
        <v>3452649773</v>
      </c>
      <c r="L34" s="322">
        <v>3454569111</v>
      </c>
      <c r="M34" s="322">
        <v>3490110249</v>
      </c>
      <c r="N34" s="322">
        <v>3502087819</v>
      </c>
      <c r="O34" s="322">
        <v>3476562281</v>
      </c>
      <c r="P34" s="322"/>
      <c r="Q34" s="592"/>
      <c r="R34" s="90"/>
      <c r="S34" s="573" t="s">
        <v>303</v>
      </c>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c r="A35" s="131">
        <f>+A34+1</f>
        <v>20</v>
      </c>
      <c r="B35" s="142" t="s">
        <v>32</v>
      </c>
      <c r="C35" s="386"/>
      <c r="D35" s="386"/>
      <c r="E35" s="386"/>
      <c r="F35" s="386"/>
      <c r="G35" s="386"/>
      <c r="H35" s="386"/>
      <c r="I35" s="386"/>
      <c r="J35" s="386"/>
      <c r="K35" s="386"/>
      <c r="L35" s="386"/>
      <c r="M35" s="386"/>
      <c r="N35" s="386"/>
      <c r="O35" s="386"/>
      <c r="P35" s="584"/>
      <c r="Q35" s="178"/>
      <c r="R35" s="90"/>
      <c r="S35" s="573"/>
      <c r="T35" s="90"/>
      <c r="U35" s="94"/>
      <c r="V35" s="142"/>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c r="A36" s="131">
        <f>+A35+1</f>
        <v>21</v>
      </c>
      <c r="B36" s="142" t="s">
        <v>33</v>
      </c>
      <c r="C36" s="200">
        <v>-14874795</v>
      </c>
      <c r="D36" s="200">
        <v>-14874795</v>
      </c>
      <c r="E36" s="200">
        <v>-14874795</v>
      </c>
      <c r="F36" s="200">
        <v>-14902924</v>
      </c>
      <c r="G36" s="200">
        <v>-14902924</v>
      </c>
      <c r="H36" s="200">
        <v>-14902924</v>
      </c>
      <c r="I36" s="200">
        <v>-14599821</v>
      </c>
      <c r="J36" s="200">
        <v>-14599821</v>
      </c>
      <c r="K36" s="200">
        <v>-14599821</v>
      </c>
      <c r="L36" s="200">
        <v>-14756651</v>
      </c>
      <c r="M36" s="200">
        <v>-14756651</v>
      </c>
      <c r="N36" s="200">
        <v>-14756651</v>
      </c>
      <c r="O36" s="200">
        <v>-14764536</v>
      </c>
      <c r="P36" s="200"/>
      <c r="R36" s="99"/>
      <c r="S36" s="573" t="s">
        <v>303</v>
      </c>
      <c r="T36" s="573">
        <v>216.1</v>
      </c>
      <c r="U36" s="94"/>
      <c r="V36" s="100"/>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c r="A37" s="131">
        <f>+A36+1</f>
        <v>22</v>
      </c>
      <c r="B37" s="142" t="s">
        <v>3</v>
      </c>
      <c r="C37" s="308"/>
      <c r="D37" s="308"/>
      <c r="E37" s="308"/>
      <c r="F37" s="308"/>
      <c r="G37" s="308"/>
      <c r="H37" s="308"/>
      <c r="I37" s="308"/>
      <c r="J37" s="308"/>
      <c r="K37" s="308"/>
      <c r="L37" s="308"/>
      <c r="M37" s="308"/>
      <c r="N37" s="308"/>
      <c r="O37" s="308"/>
      <c r="P37" s="308"/>
      <c r="R37" s="99"/>
      <c r="S37" s="573"/>
      <c r="T37" s="93"/>
      <c r="U37" s="93"/>
      <c r="V37" s="100"/>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c r="A38" s="131">
        <f t="shared" ref="A38:A44" si="10">+A37+1</f>
        <v>23</v>
      </c>
      <c r="B38" s="229" t="s">
        <v>34</v>
      </c>
      <c r="C38" s="323">
        <f t="shared" ref="C38:L38" si="11">SUM(C36:C37)</f>
        <v>-14874795</v>
      </c>
      <c r="D38" s="323">
        <f t="shared" si="11"/>
        <v>-14874795</v>
      </c>
      <c r="E38" s="323">
        <f t="shared" si="11"/>
        <v>-14874795</v>
      </c>
      <c r="F38" s="323">
        <f t="shared" si="11"/>
        <v>-14902924</v>
      </c>
      <c r="G38" s="323">
        <f t="shared" si="11"/>
        <v>-14902924</v>
      </c>
      <c r="H38" s="323">
        <f t="shared" si="11"/>
        <v>-14902924</v>
      </c>
      <c r="I38" s="323">
        <f t="shared" si="11"/>
        <v>-14599821</v>
      </c>
      <c r="J38" s="323">
        <f t="shared" si="11"/>
        <v>-14599821</v>
      </c>
      <c r="K38" s="323">
        <f t="shared" si="11"/>
        <v>-14599821</v>
      </c>
      <c r="L38" s="323">
        <f t="shared" si="11"/>
        <v>-14756651</v>
      </c>
      <c r="M38" s="323">
        <f>SUM(M36:M37)</f>
        <v>-14756651</v>
      </c>
      <c r="N38" s="323">
        <f>SUM(N36:N37)</f>
        <v>-14756651</v>
      </c>
      <c r="O38" s="323">
        <f>SUM(O36:O37)</f>
        <v>-14764536</v>
      </c>
      <c r="P38" s="201"/>
      <c r="Q38" s="97"/>
      <c r="R38" s="99"/>
      <c r="S38" s="573"/>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c r="A39" s="131">
        <f t="shared" si="10"/>
        <v>24</v>
      </c>
      <c r="B39" s="230" t="s">
        <v>171</v>
      </c>
      <c r="C39" s="201"/>
      <c r="D39" s="201"/>
      <c r="E39" s="201"/>
      <c r="F39" s="201"/>
      <c r="G39" s="201"/>
      <c r="H39" s="201"/>
      <c r="I39" s="201"/>
      <c r="J39" s="201"/>
      <c r="K39" s="201"/>
      <c r="L39" s="201"/>
      <c r="M39" s="201"/>
      <c r="N39" s="201"/>
      <c r="O39" s="201"/>
      <c r="P39" s="201"/>
      <c r="Q39" s="97"/>
      <c r="R39" s="99"/>
      <c r="S39" s="573"/>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c r="A40" s="131">
        <f t="shared" si="10"/>
        <v>25</v>
      </c>
      <c r="B40" s="232" t="s">
        <v>172</v>
      </c>
      <c r="C40" s="322">
        <f>-52631000-5849000</f>
        <v>-58480000</v>
      </c>
      <c r="D40" s="322">
        <f>-59726000-5849000</f>
        <v>-65575000</v>
      </c>
      <c r="E40" s="322">
        <f>-58475000-5849000</f>
        <v>-64324000</v>
      </c>
      <c r="F40" s="322">
        <f>-56263000-5849000</f>
        <v>-62112000</v>
      </c>
      <c r="G40" s="322">
        <f>-58230000-5849000</f>
        <v>-64079000</v>
      </c>
      <c r="H40" s="322">
        <f>-60185000-5849000</f>
        <v>-66034000</v>
      </c>
      <c r="I40" s="322">
        <f>-51782000-5849000</f>
        <v>-57631000</v>
      </c>
      <c r="J40" s="322">
        <f>-49999000-5849000</f>
        <v>-55848000</v>
      </c>
      <c r="K40" s="322">
        <f>-59683000-5849000</f>
        <v>-65532000</v>
      </c>
      <c r="L40" s="322">
        <f>-40848000-5849000</f>
        <v>-46697000</v>
      </c>
      <c r="M40" s="322">
        <f>-28025000-5849000</f>
        <v>-33874000</v>
      </c>
      <c r="N40" s="322">
        <f>-23551000-5849000</f>
        <v>-29400000</v>
      </c>
      <c r="O40" s="322">
        <f>-10478000-5849000</f>
        <v>-16327000</v>
      </c>
      <c r="P40" s="322"/>
      <c r="Q40" s="97"/>
      <c r="R40" s="99"/>
      <c r="S40" s="573" t="s">
        <v>302</v>
      </c>
      <c r="T40" s="90"/>
      <c r="U40" s="94"/>
      <c r="V40" s="90"/>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5"/>
    </row>
    <row r="41" spans="1:54">
      <c r="A41" s="131">
        <f t="shared" si="10"/>
        <v>26</v>
      </c>
      <c r="B41" s="232" t="s">
        <v>118</v>
      </c>
      <c r="C41" s="200">
        <v>-5831116</v>
      </c>
      <c r="D41" s="200">
        <v>-5804702</v>
      </c>
      <c r="E41" s="200">
        <v>-5778287</v>
      </c>
      <c r="F41" s="200">
        <v>-5751873</v>
      </c>
      <c r="G41" s="200">
        <v>-5725459</v>
      </c>
      <c r="H41" s="200">
        <v>-5699045</v>
      </c>
      <c r="I41" s="200">
        <v>-5672631</v>
      </c>
      <c r="J41" s="200">
        <v>-5646217</v>
      </c>
      <c r="K41" s="200">
        <v>-5619803</v>
      </c>
      <c r="L41" s="200">
        <v>-5593389</v>
      </c>
      <c r="M41" s="200">
        <v>-5566975</v>
      </c>
      <c r="N41" s="200">
        <v>-5540561</v>
      </c>
      <c r="O41" s="200">
        <v>-5514147</v>
      </c>
      <c r="P41" s="200"/>
      <c r="R41" s="99"/>
      <c r="S41" s="573" t="s">
        <v>303</v>
      </c>
      <c r="T41" s="90"/>
      <c r="U41" s="94"/>
      <c r="V41" s="262"/>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c r="A42" s="131">
        <f t="shared" si="10"/>
        <v>27</v>
      </c>
      <c r="B42" s="232" t="s">
        <v>119</v>
      </c>
      <c r="C42" s="200">
        <f>-156806486-3418000</f>
        <v>-160224486</v>
      </c>
      <c r="D42" s="200">
        <f>-155682938-3514000</f>
        <v>-159196938</v>
      </c>
      <c r="E42" s="200">
        <f>-154559391-3996000-1000</f>
        <v>-158556391</v>
      </c>
      <c r="F42" s="200">
        <f>-153435843-3222000</f>
        <v>-156657843</v>
      </c>
      <c r="G42" s="200">
        <f>-152312296-6363000</f>
        <v>-158675296</v>
      </c>
      <c r="H42" s="200">
        <f>-151188748-5238000</f>
        <v>-156426748</v>
      </c>
      <c r="I42" s="200">
        <f>-143876348-6487000-1000</f>
        <v>-150364348</v>
      </c>
      <c r="J42" s="200">
        <f>-143096300-6487000-1000</f>
        <v>-149584300</v>
      </c>
      <c r="K42" s="200">
        <f>-142316252-6487000</f>
        <v>-148803252</v>
      </c>
      <c r="L42" s="200">
        <f>-141536204-6487000-1000</f>
        <v>-148024204</v>
      </c>
      <c r="M42" s="200">
        <f>-140756156-6487000</f>
        <v>-147243156</v>
      </c>
      <c r="N42" s="200">
        <f>-139976108-5927000-1000</f>
        <v>-145904108</v>
      </c>
      <c r="O42" s="200">
        <f>-139196061-7354000</f>
        <v>-146550061</v>
      </c>
      <c r="P42" s="200"/>
      <c r="Q42" s="583"/>
      <c r="R42" s="99"/>
      <c r="S42" s="573" t="s">
        <v>303</v>
      </c>
      <c r="T42" s="90"/>
      <c r="U42" s="94"/>
      <c r="V42" s="262"/>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c r="A43" s="131">
        <f t="shared" si="10"/>
        <v>28</v>
      </c>
      <c r="B43" s="233" t="s">
        <v>120</v>
      </c>
      <c r="C43" s="231">
        <f t="shared" ref="C43:L43" si="12">SUM(C40:C42)</f>
        <v>-224535602</v>
      </c>
      <c r="D43" s="231">
        <f t="shared" si="12"/>
        <v>-230576640</v>
      </c>
      <c r="E43" s="231">
        <f t="shared" si="12"/>
        <v>-228658678</v>
      </c>
      <c r="F43" s="231">
        <f t="shared" si="12"/>
        <v>-224521716</v>
      </c>
      <c r="G43" s="231">
        <f t="shared" si="12"/>
        <v>-228479755</v>
      </c>
      <c r="H43" s="231">
        <f t="shared" si="12"/>
        <v>-228159793</v>
      </c>
      <c r="I43" s="231">
        <f t="shared" si="12"/>
        <v>-213667979</v>
      </c>
      <c r="J43" s="231">
        <f t="shared" si="12"/>
        <v>-211078517</v>
      </c>
      <c r="K43" s="231">
        <f t="shared" si="12"/>
        <v>-219955055</v>
      </c>
      <c r="L43" s="231">
        <f t="shared" si="12"/>
        <v>-200314593</v>
      </c>
      <c r="M43" s="231">
        <f>SUM(M40:M42)</f>
        <v>-186684131</v>
      </c>
      <c r="N43" s="231">
        <f>SUM(N40:N42)</f>
        <v>-180844669</v>
      </c>
      <c r="O43" s="231">
        <f>SUM(O40:O42)</f>
        <v>-168391208</v>
      </c>
      <c r="P43" s="277"/>
      <c r="Q43" s="97"/>
      <c r="R43" s="99"/>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8" thickBot="1">
      <c r="A44" s="131">
        <f t="shared" si="10"/>
        <v>29</v>
      </c>
      <c r="B44" s="144" t="s">
        <v>103</v>
      </c>
      <c r="C44" s="311">
        <f t="shared" ref="C44:L44" si="13">+C34-C38-C43</f>
        <v>3582770531</v>
      </c>
      <c r="D44" s="311">
        <f t="shared" si="13"/>
        <v>3576926616</v>
      </c>
      <c r="E44" s="311">
        <f t="shared" si="13"/>
        <v>3578672018</v>
      </c>
      <c r="F44" s="311">
        <f t="shared" si="13"/>
        <v>3565217930</v>
      </c>
      <c r="G44" s="311">
        <f t="shared" si="13"/>
        <v>3585557747</v>
      </c>
      <c r="H44" s="311">
        <f t="shared" si="13"/>
        <v>3623629034</v>
      </c>
      <c r="I44" s="311">
        <f t="shared" si="13"/>
        <v>3591259334</v>
      </c>
      <c r="J44" s="311">
        <f>+J34-J38-J43</f>
        <v>3642828101</v>
      </c>
      <c r="K44" s="311">
        <f t="shared" si="13"/>
        <v>3687204649</v>
      </c>
      <c r="L44" s="311">
        <f t="shared" si="13"/>
        <v>3669640355</v>
      </c>
      <c r="M44" s="311">
        <f>+M34-M38-M43</f>
        <v>3691551031</v>
      </c>
      <c r="N44" s="311">
        <f>+N34-N38-N43</f>
        <v>3697689139</v>
      </c>
      <c r="O44" s="311">
        <f>+O34-O38-O43</f>
        <v>3659718025</v>
      </c>
      <c r="P44" s="99"/>
      <c r="Q44" s="98"/>
      <c r="R44" s="99"/>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ht="13.8" thickTop="1">
      <c r="G45" s="99"/>
      <c r="H45" s="99"/>
      <c r="I45" s="99"/>
      <c r="J45" s="99"/>
      <c r="K45" s="99"/>
      <c r="L45" s="99"/>
      <c r="M45" s="99"/>
      <c r="N45" s="99"/>
      <c r="O45" s="99"/>
      <c r="P45" s="99"/>
      <c r="Q45" s="90"/>
      <c r="R45" s="99"/>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D46" s="200"/>
      <c r="E46" s="200"/>
      <c r="F46" s="200"/>
      <c r="G46" s="200"/>
      <c r="H46" s="200"/>
      <c r="I46" s="200"/>
      <c r="J46" s="200"/>
      <c r="K46" s="200"/>
      <c r="L46" s="200"/>
      <c r="M46" s="200"/>
      <c r="N46" s="200"/>
      <c r="O46" s="200"/>
      <c r="P46" s="200"/>
      <c r="Q46" s="90"/>
      <c r="R46" s="99"/>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D47" s="200"/>
      <c r="E47" s="200"/>
      <c r="F47" s="200"/>
      <c r="G47" s="200"/>
      <c r="H47" s="200"/>
      <c r="I47" s="200"/>
      <c r="J47" s="200"/>
      <c r="K47" s="200"/>
      <c r="L47" s="200"/>
      <c r="M47" s="200"/>
      <c r="N47" s="200"/>
      <c r="O47" s="200"/>
      <c r="P47" s="200"/>
      <c r="Q47" s="90"/>
      <c r="R47" s="99"/>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D48" s="200"/>
      <c r="E48" s="200"/>
      <c r="F48" s="200"/>
      <c r="G48" s="200"/>
      <c r="H48" s="200"/>
      <c r="I48" s="200"/>
      <c r="J48" s="200"/>
      <c r="K48" s="200"/>
      <c r="L48" s="200"/>
      <c r="M48" s="200"/>
      <c r="N48" s="200"/>
      <c r="O48" s="200"/>
      <c r="P48" s="200"/>
      <c r="Q48" s="90"/>
      <c r="R48" s="99"/>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3:54">
      <c r="D49" s="322"/>
      <c r="E49" s="571"/>
      <c r="F49" s="571"/>
      <c r="G49" s="571"/>
      <c r="H49" s="200"/>
      <c r="I49" s="200"/>
      <c r="J49" s="200"/>
      <c r="K49" s="200"/>
      <c r="L49" s="200"/>
      <c r="M49" s="200"/>
      <c r="N49" s="200"/>
      <c r="O49" s="200"/>
      <c r="P49" s="200"/>
      <c r="Q49" s="90"/>
      <c r="R49" s="99"/>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3:54">
      <c r="D50" s="324"/>
      <c r="E50" s="571"/>
      <c r="F50" s="571"/>
      <c r="G50" s="571"/>
      <c r="H50" s="200"/>
      <c r="I50" s="200"/>
      <c r="J50" s="200"/>
      <c r="K50" s="200"/>
      <c r="L50" s="200"/>
      <c r="M50" s="200"/>
      <c r="N50" s="200" t="s">
        <v>317</v>
      </c>
      <c r="O50" s="200"/>
      <c r="P50" s="200"/>
      <c r="Q50" s="247">
        <f>ROUND(((C34+O34)+(SUM(D34:N34)*2))/24,0)</f>
        <v>3400388988</v>
      </c>
      <c r="R50" s="99"/>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3:54">
      <c r="D51" s="200"/>
      <c r="E51" s="571"/>
      <c r="F51" s="571"/>
      <c r="G51" s="571"/>
      <c r="H51" s="347"/>
      <c r="I51" s="347"/>
      <c r="J51" s="347"/>
      <c r="K51" s="200"/>
      <c r="L51" s="200"/>
      <c r="M51" s="200"/>
      <c r="N51" s="200" t="s">
        <v>318</v>
      </c>
      <c r="O51" s="200"/>
      <c r="P51" s="200"/>
      <c r="Q51" s="92">
        <f>Q10+Q16+Q50</f>
        <v>7212281438</v>
      </c>
      <c r="R51" s="99"/>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3:54">
      <c r="C52" s="201"/>
      <c r="D52" s="347"/>
      <c r="E52" s="571"/>
      <c r="F52" s="571"/>
      <c r="G52" s="571"/>
      <c r="H52" s="201"/>
      <c r="I52" s="201"/>
      <c r="J52" s="201"/>
      <c r="K52" s="201"/>
      <c r="L52" s="201"/>
      <c r="M52" s="201"/>
      <c r="N52" s="201"/>
      <c r="O52" s="201"/>
      <c r="P52" s="201"/>
      <c r="Q52" s="90"/>
      <c r="R52" s="99"/>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3:54">
      <c r="C53" s="99"/>
      <c r="D53" s="99"/>
      <c r="E53" s="99"/>
      <c r="F53" s="99"/>
      <c r="G53" s="99"/>
      <c r="H53" s="99"/>
      <c r="I53" s="99"/>
      <c r="J53" s="99"/>
      <c r="K53" s="99"/>
      <c r="L53" s="99"/>
      <c r="M53" s="99"/>
      <c r="N53" s="99" t="s">
        <v>319</v>
      </c>
      <c r="O53" s="99"/>
      <c r="P53" s="99"/>
      <c r="Q53" s="586">
        <f>Q50/Q51</f>
        <v>0.47147203242569857</v>
      </c>
      <c r="R53" s="99"/>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3:54">
      <c r="C54" s="226"/>
      <c r="D54" s="226"/>
      <c r="E54" s="226"/>
      <c r="F54" s="226"/>
      <c r="G54" s="226"/>
      <c r="H54" s="226"/>
      <c r="I54" s="226"/>
      <c r="J54" s="226"/>
      <c r="K54" s="226"/>
      <c r="L54" s="226"/>
      <c r="M54" s="226"/>
      <c r="N54" s="226" t="s">
        <v>320</v>
      </c>
      <c r="O54" s="226"/>
      <c r="P54" s="226"/>
      <c r="Q54" s="586">
        <f>O34/(O22-O20+O34)</f>
        <v>0.4791302590124033</v>
      </c>
      <c r="R54" s="99"/>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3:54">
      <c r="C55" s="226"/>
      <c r="D55" s="227"/>
      <c r="E55" s="227"/>
      <c r="F55" s="227"/>
      <c r="G55" s="227"/>
      <c r="H55" s="227"/>
      <c r="I55" s="227"/>
      <c r="J55" s="227"/>
      <c r="K55" s="227"/>
      <c r="L55" s="227"/>
      <c r="M55" s="227"/>
      <c r="N55" s="227"/>
      <c r="O55" s="227"/>
      <c r="P55" s="227"/>
      <c r="Q55" s="90"/>
      <c r="R55" s="99"/>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3:54">
      <c r="C56" s="91"/>
      <c r="D56" s="91"/>
      <c r="E56" s="91"/>
      <c r="F56" s="91"/>
      <c r="G56" s="91"/>
      <c r="H56" s="91"/>
      <c r="I56" s="91"/>
      <c r="J56" s="91"/>
      <c r="K56" s="91"/>
      <c r="L56" s="91"/>
      <c r="M56" s="91"/>
      <c r="N56" s="91"/>
      <c r="O56" s="91"/>
      <c r="P56" s="91"/>
      <c r="Q56" s="90"/>
      <c r="R56" s="99"/>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3:54">
      <c r="C57" s="91"/>
      <c r="D57" s="91"/>
      <c r="E57" s="91"/>
      <c r="F57" s="91"/>
      <c r="G57" s="91"/>
      <c r="H57" s="91"/>
      <c r="I57" s="91"/>
      <c r="J57" s="91"/>
      <c r="K57" s="91"/>
      <c r="L57" s="91"/>
      <c r="M57" s="91"/>
      <c r="N57" s="91"/>
      <c r="O57" s="91"/>
      <c r="P57" s="91"/>
      <c r="Q57" s="90"/>
      <c r="R57" s="99"/>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3:54">
      <c r="C58" s="91"/>
      <c r="D58" s="91"/>
      <c r="E58" s="91"/>
      <c r="F58" s="91"/>
      <c r="G58" s="91"/>
      <c r="H58" s="91"/>
      <c r="I58" s="91"/>
      <c r="J58" s="91"/>
      <c r="K58" s="91"/>
      <c r="L58" s="91"/>
      <c r="M58" s="91"/>
      <c r="N58" s="91"/>
      <c r="O58" s="91"/>
      <c r="P58" s="91"/>
      <c r="Q58" s="90"/>
      <c r="R58" s="9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3:54">
      <c r="C59" s="91"/>
      <c r="D59" s="91"/>
      <c r="E59" s="91"/>
      <c r="F59" s="91"/>
      <c r="G59" s="91"/>
      <c r="H59" s="91"/>
      <c r="I59" s="91"/>
      <c r="J59" s="91"/>
      <c r="K59" s="91"/>
      <c r="L59" s="91"/>
      <c r="M59" s="91"/>
      <c r="N59" s="91"/>
      <c r="O59" s="91"/>
      <c r="P59" s="91"/>
      <c r="Q59" s="90"/>
      <c r="R59" s="99"/>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3:54">
      <c r="C60" s="91"/>
      <c r="D60" s="91"/>
      <c r="E60" s="91"/>
      <c r="F60" s="91"/>
      <c r="G60" s="91"/>
      <c r="H60" s="91"/>
      <c r="I60" s="91"/>
      <c r="J60" s="91"/>
      <c r="K60" s="91"/>
      <c r="L60" s="91"/>
      <c r="M60" s="91"/>
      <c r="N60" s="91"/>
      <c r="O60" s="91"/>
      <c r="P60" s="91"/>
      <c r="Q60" s="90"/>
      <c r="R60" s="99"/>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3:54">
      <c r="C61" s="91"/>
      <c r="D61" s="91"/>
      <c r="E61" s="91"/>
      <c r="F61" s="91"/>
      <c r="G61" s="91"/>
      <c r="H61" s="91"/>
      <c r="I61" s="91"/>
      <c r="J61" s="91"/>
      <c r="K61" s="91"/>
      <c r="L61" s="91"/>
      <c r="M61" s="91"/>
      <c r="N61" s="91"/>
      <c r="O61" s="91"/>
      <c r="P61" s="91"/>
      <c r="Q61" s="90"/>
      <c r="R61" s="99"/>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3:54">
      <c r="C62" s="91"/>
      <c r="D62" s="91"/>
      <c r="E62" s="91"/>
      <c r="F62" s="91"/>
      <c r="G62" s="91"/>
      <c r="H62" s="91"/>
      <c r="I62" s="91"/>
      <c r="J62" s="91"/>
      <c r="K62" s="91"/>
      <c r="L62" s="91"/>
      <c r="M62" s="91"/>
      <c r="N62" s="91"/>
      <c r="O62" s="91"/>
      <c r="P62" s="91"/>
      <c r="Q62" s="90"/>
      <c r="R62" s="99"/>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3:54">
      <c r="C63" s="91"/>
      <c r="D63" s="91"/>
      <c r="E63" s="91"/>
      <c r="F63" s="91"/>
      <c r="G63" s="91"/>
      <c r="H63" s="91"/>
      <c r="I63" s="91"/>
      <c r="J63" s="91"/>
      <c r="K63" s="91"/>
      <c r="L63" s="91"/>
      <c r="M63" s="91"/>
      <c r="N63" s="91"/>
      <c r="O63" s="91"/>
      <c r="P63" s="91"/>
      <c r="Q63" s="90"/>
      <c r="R63" s="99"/>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3: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4" type="noConversion"/>
  <printOptions horizontalCentered="1"/>
  <pageMargins left="0.2" right="0.2" top="0.28000000000000003" bottom="0.4" header="0.26" footer="0.22"/>
  <pageSetup scale="86" orientation="landscape" r:id="rId1"/>
  <headerFooter alignWithMargins="0">
    <oddFooter>&amp;C&amp;A&amp;R&amp;8&amp;F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E20" sqref="E20"/>
    </sheetView>
  </sheetViews>
  <sheetFormatPr defaultColWidth="11.42578125" defaultRowHeight="13.2"/>
  <cols>
    <col min="1" max="1" width="8.28515625" style="5" customWidth="1"/>
    <col min="2" max="2" width="46" style="5" customWidth="1"/>
    <col min="3" max="3" width="17.14062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c r="A1" s="3" t="s">
        <v>2</v>
      </c>
      <c r="B1" s="4"/>
      <c r="C1" s="4"/>
      <c r="D1" s="4"/>
      <c r="E1" s="4"/>
      <c r="F1" s="4"/>
      <c r="G1" s="4"/>
      <c r="H1" s="4"/>
    </row>
    <row r="2" spans="1:8" ht="16.2">
      <c r="A2" s="34"/>
      <c r="B2" s="340" t="s">
        <v>25</v>
      </c>
      <c r="C2" s="202"/>
      <c r="D2" s="202"/>
      <c r="E2" s="202"/>
      <c r="F2" s="202"/>
    </row>
    <row r="3" spans="1:8" ht="16.2">
      <c r="A3" s="34"/>
      <c r="B3" s="340" t="s">
        <v>37</v>
      </c>
      <c r="C3" s="202"/>
      <c r="D3" s="202"/>
      <c r="E3" s="202"/>
      <c r="F3" s="202"/>
    </row>
    <row r="4" spans="1:8" ht="15.75" customHeight="1">
      <c r="B4" s="341">
        <f>+'Pg 1 CofCap'!B5</f>
        <v>42551</v>
      </c>
      <c r="C4" s="203"/>
      <c r="D4" s="203"/>
      <c r="E4" s="203"/>
      <c r="F4" s="203"/>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7"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'Pg 4 STD OS &amp; Comm Fees'!C11</f>
        <v>37676196.729999997</v>
      </c>
      <c r="D13" s="212">
        <f>IF(E13=0,"NA",(E13/C13))</f>
        <v>6.207596580834608E-3</v>
      </c>
      <c r="E13" s="76">
        <f>'Pg 4 STD OS &amp; Comm Fees'!D11</f>
        <v>233878.63</v>
      </c>
      <c r="F13" s="74"/>
      <c r="G13" s="75"/>
    </row>
    <row r="14" spans="1:8">
      <c r="A14" s="3">
        <f t="shared" si="0"/>
        <v>7</v>
      </c>
      <c r="B14" s="67" t="s">
        <v>115</v>
      </c>
      <c r="C14" s="85">
        <f>'Pg 4 STD OS &amp; Comm Fees'!C12</f>
        <v>0</v>
      </c>
      <c r="D14" s="212" t="str">
        <f>IF(E14=0,"NA",(E14/C14))</f>
        <v>NA</v>
      </c>
      <c r="E14" s="76">
        <f>'Pg 4 STD OS &amp; Comm Fees'!D12</f>
        <v>0</v>
      </c>
      <c r="F14" s="74"/>
      <c r="G14" s="75"/>
    </row>
    <row r="15" spans="1:8">
      <c r="A15" s="3">
        <v>10</v>
      </c>
      <c r="B15" s="67" t="s">
        <v>264</v>
      </c>
      <c r="C15" s="85">
        <f>'Pg 4 STD OS &amp; Comm Fees'!C13</f>
        <v>0</v>
      </c>
      <c r="D15" s="212" t="str">
        <f>IF(E15=0,"NA",(E15/C15))</f>
        <v>NA</v>
      </c>
      <c r="E15" s="76">
        <f>'Pg 4 STD OS &amp; Comm Fees'!D13</f>
        <v>0</v>
      </c>
      <c r="F15" s="74"/>
      <c r="G15" s="75"/>
    </row>
    <row r="16" spans="1:8">
      <c r="A16" s="3">
        <f t="shared" si="0"/>
        <v>11</v>
      </c>
      <c r="B16" s="333" t="s">
        <v>157</v>
      </c>
      <c r="C16" s="335">
        <f>SUM(C13:C15)</f>
        <v>37676196.729999997</v>
      </c>
      <c r="D16" s="336">
        <f>IF(E16=0,"NA",(E16/C16))</f>
        <v>6.207596580834608E-3</v>
      </c>
      <c r="E16" s="334">
        <f>SUM(E13:E15)</f>
        <v>233878.63</v>
      </c>
      <c r="F16" s="74">
        <f>E16/C22</f>
        <v>6.207596580834608E-3</v>
      </c>
      <c r="G16" s="75"/>
    </row>
    <row r="17" spans="1:7">
      <c r="A17" s="3">
        <f t="shared" si="0"/>
        <v>12</v>
      </c>
      <c r="B17" s="67"/>
      <c r="C17" s="86"/>
      <c r="D17" s="213"/>
      <c r="E17" s="77"/>
      <c r="F17" s="67"/>
      <c r="G17" s="75"/>
    </row>
    <row r="18" spans="1:7">
      <c r="A18" s="3">
        <f t="shared" si="0"/>
        <v>13</v>
      </c>
      <c r="B18" s="71" t="s">
        <v>54</v>
      </c>
      <c r="C18" s="87"/>
      <c r="D18" s="88"/>
      <c r="E18" s="356">
        <f>'Pg 4 STD OS &amp; Comm Fees'!F15</f>
        <v>1195958.2004996669</v>
      </c>
      <c r="F18" s="587">
        <f>E18/C22</f>
        <v>3.17430713367991E-2</v>
      </c>
      <c r="G18" s="192" t="s">
        <v>77</v>
      </c>
    </row>
    <row r="19" spans="1:7">
      <c r="A19" s="3">
        <f t="shared" si="0"/>
        <v>14</v>
      </c>
      <c r="B19" s="71"/>
      <c r="C19" s="78"/>
      <c r="D19" s="79"/>
      <c r="E19" s="83"/>
      <c r="F19" s="74"/>
      <c r="G19" s="75"/>
    </row>
    <row r="20" spans="1:7">
      <c r="A20" s="3">
        <f t="shared" si="0"/>
        <v>15</v>
      </c>
      <c r="B20" s="71" t="s">
        <v>55</v>
      </c>
      <c r="C20" s="78"/>
      <c r="D20" s="79"/>
      <c r="E20" s="356">
        <f>-'Pg 5 STD Amort'!G27</f>
        <v>1134145.44</v>
      </c>
      <c r="F20" s="587">
        <f>E20/C22</f>
        <v>3.0102439694952726E-2</v>
      </c>
      <c r="G20" s="192" t="s">
        <v>98</v>
      </c>
    </row>
    <row r="21" spans="1:7" ht="13.8" thickBot="1">
      <c r="A21" s="3">
        <f t="shared" si="0"/>
        <v>16</v>
      </c>
      <c r="B21" s="67"/>
      <c r="C21" s="77"/>
      <c r="D21" s="76"/>
      <c r="E21" s="84"/>
      <c r="G21" s="67"/>
    </row>
    <row r="22" spans="1:7" ht="13.8" thickBot="1">
      <c r="A22" s="3">
        <f t="shared" si="0"/>
        <v>17</v>
      </c>
      <c r="B22" s="80" t="s">
        <v>39</v>
      </c>
      <c r="C22" s="81">
        <f>C16</f>
        <v>37676196.729999997</v>
      </c>
      <c r="D22" s="82"/>
      <c r="E22" s="81">
        <f>SUM(E16:E21)</f>
        <v>2563982.2704996667</v>
      </c>
      <c r="F22" s="217">
        <f>E22/C22</f>
        <v>6.8053107612586428E-2</v>
      </c>
      <c r="G22" s="75"/>
    </row>
    <row r="23" spans="1:7">
      <c r="A23" s="3">
        <f t="shared" si="0"/>
        <v>18</v>
      </c>
      <c r="B23" s="67"/>
      <c r="C23" s="67"/>
      <c r="D23" s="67"/>
      <c r="E23" s="67"/>
      <c r="F23" s="67"/>
      <c r="G23" s="75"/>
    </row>
    <row r="24" spans="1:7">
      <c r="A24" s="3">
        <f t="shared" si="0"/>
        <v>19</v>
      </c>
      <c r="E24" s="10"/>
      <c r="F24" s="9"/>
      <c r="G24" s="10"/>
    </row>
    <row r="25" spans="1:7">
      <c r="A25" s="3">
        <f t="shared" si="0"/>
        <v>20</v>
      </c>
      <c r="B25" s="132" t="s">
        <v>176</v>
      </c>
      <c r="C25" s="133"/>
      <c r="D25" s="133"/>
      <c r="E25" s="133"/>
      <c r="F25" s="71"/>
      <c r="G25" s="10"/>
    </row>
    <row r="26" spans="1:7">
      <c r="A26" s="3">
        <f t="shared" si="0"/>
        <v>21</v>
      </c>
      <c r="B26" s="132" t="s">
        <v>147</v>
      </c>
      <c r="C26" s="133"/>
      <c r="D26" s="133"/>
      <c r="E26" s="133"/>
      <c r="F26" s="71"/>
      <c r="G26" s="10"/>
    </row>
    <row r="27" spans="1:7">
      <c r="A27" s="3">
        <f t="shared" si="0"/>
        <v>22</v>
      </c>
      <c r="B27" s="132" t="s">
        <v>175</v>
      </c>
      <c r="C27" s="71"/>
      <c r="D27" s="71"/>
      <c r="E27" s="71"/>
      <c r="F27" s="71"/>
      <c r="G27" s="10"/>
    </row>
    <row r="28" spans="1:7">
      <c r="A28" s="3"/>
      <c r="B28" s="132"/>
      <c r="E28" s="10"/>
      <c r="F28" s="9"/>
      <c r="G28" s="10"/>
    </row>
    <row r="29" spans="1:7">
      <c r="A29" s="3"/>
      <c r="B29" s="132"/>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2"/>
  <sheetViews>
    <sheetView zoomScaleNormal="100" workbookViewId="0">
      <selection activeCell="J22" sqref="J22"/>
    </sheetView>
  </sheetViews>
  <sheetFormatPr defaultRowHeight="10.199999999999999"/>
  <cols>
    <col min="1" max="1" width="5.7109375" bestFit="1" customWidth="1"/>
    <col min="2" max="2" width="24.7109375" customWidth="1"/>
    <col min="3" max="3" width="16.140625" customWidth="1"/>
    <col min="4" max="4" width="15.140625" customWidth="1"/>
    <col min="5" max="5" width="11.85546875" customWidth="1"/>
    <col min="6" max="7" width="15" customWidth="1"/>
    <col min="8" max="8" width="14.85546875" bestFit="1" customWidth="1"/>
    <col min="9" max="9" width="12.85546875" customWidth="1"/>
    <col min="10" max="10" width="12.140625" bestFit="1" customWidth="1"/>
    <col min="11" max="11" width="5.85546875" customWidth="1"/>
    <col min="12" max="12" width="8.42578125" customWidth="1"/>
    <col min="13" max="13" width="10" customWidth="1"/>
    <col min="14" max="14" width="11.140625" customWidth="1"/>
    <col min="15" max="15" width="11.4257812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3.2">
      <c r="A3" s="35"/>
      <c r="B3" s="267">
        <f>'Pg 1 CofCap'!B5</f>
        <v>42551</v>
      </c>
      <c r="C3" s="258"/>
      <c r="D3" s="259"/>
      <c r="E3" s="259"/>
      <c r="F3" s="259"/>
      <c r="G3" s="260"/>
      <c r="H3" s="260"/>
      <c r="I3" s="260"/>
      <c r="J3" s="260"/>
      <c r="K3" s="35"/>
      <c r="L3" s="35"/>
      <c r="N3" s="35"/>
      <c r="O3" s="35"/>
    </row>
    <row r="4" spans="1:15" ht="12">
      <c r="A4" s="35"/>
      <c r="B4" s="36"/>
      <c r="C4" s="43"/>
      <c r="D4" s="35"/>
      <c r="E4" s="35"/>
      <c r="F4" s="35"/>
      <c r="G4" s="35"/>
      <c r="H4" s="35"/>
      <c r="I4" s="35"/>
      <c r="J4" s="35"/>
      <c r="K4" s="35"/>
      <c r="L4" s="35"/>
      <c r="N4" s="35"/>
      <c r="O4" s="35"/>
    </row>
    <row r="5" spans="1:15" ht="13.8" thickBot="1">
      <c r="A5" s="193">
        <v>1</v>
      </c>
      <c r="B5" s="358" t="s">
        <v>5</v>
      </c>
      <c r="C5" s="358" t="s">
        <v>27</v>
      </c>
      <c r="D5" s="358" t="s">
        <v>52</v>
      </c>
      <c r="E5" s="358" t="s">
        <v>64</v>
      </c>
      <c r="F5" s="358" t="s">
        <v>65</v>
      </c>
      <c r="G5" s="358" t="s">
        <v>66</v>
      </c>
      <c r="H5" s="358" t="s">
        <v>67</v>
      </c>
      <c r="I5" s="358" t="s">
        <v>68</v>
      </c>
      <c r="J5" s="358" t="s">
        <v>69</v>
      </c>
      <c r="K5" s="69"/>
      <c r="L5" s="69"/>
      <c r="N5" s="35"/>
      <c r="O5" s="35"/>
    </row>
    <row r="6" spans="1:15" ht="12">
      <c r="A6" s="193">
        <f>+A5+1</f>
        <v>2</v>
      </c>
      <c r="B6" s="359" t="s">
        <v>121</v>
      </c>
      <c r="C6" s="360"/>
      <c r="D6" s="360"/>
      <c r="E6" s="360"/>
      <c r="F6" s="360"/>
      <c r="G6" s="360"/>
      <c r="H6" s="151"/>
      <c r="I6" s="151"/>
      <c r="J6" s="151"/>
      <c r="K6" s="361"/>
      <c r="M6" s="35"/>
      <c r="N6" s="35"/>
      <c r="O6" s="35"/>
    </row>
    <row r="7" spans="1:15" ht="11.4">
      <c r="A7" s="193">
        <f>+A6+1</f>
        <v>3</v>
      </c>
      <c r="B7" s="206"/>
      <c r="C7" s="207"/>
      <c r="D7" s="207"/>
      <c r="E7" s="207"/>
      <c r="F7" s="207" t="s">
        <v>2</v>
      </c>
      <c r="G7" s="38" t="s">
        <v>2</v>
      </c>
      <c r="H7" s="38"/>
      <c r="I7" s="38"/>
      <c r="J7" s="38"/>
      <c r="K7" s="362" t="s">
        <v>2</v>
      </c>
      <c r="L7" s="35"/>
      <c r="M7" s="276"/>
      <c r="N7" s="35"/>
      <c r="O7" s="35"/>
    </row>
    <row r="8" spans="1:15" ht="11.4">
      <c r="A8" s="193">
        <f>A7+1</f>
        <v>4</v>
      </c>
      <c r="B8" s="206"/>
      <c r="C8" s="214" t="s">
        <v>50</v>
      </c>
      <c r="D8" s="214" t="s">
        <v>114</v>
      </c>
      <c r="E8" s="214" t="s">
        <v>50</v>
      </c>
      <c r="F8" s="214" t="s">
        <v>131</v>
      </c>
      <c r="G8" s="38"/>
      <c r="H8" s="38"/>
      <c r="I8" s="38"/>
      <c r="J8" s="38"/>
      <c r="K8" s="362"/>
      <c r="L8" s="205"/>
      <c r="M8" s="35"/>
      <c r="N8" s="35"/>
      <c r="O8" s="35"/>
    </row>
    <row r="9" spans="1:15" ht="11.4">
      <c r="A9" s="193">
        <f>A8+1</f>
        <v>5</v>
      </c>
      <c r="B9" s="206"/>
      <c r="C9" s="215" t="s">
        <v>151</v>
      </c>
      <c r="D9" s="215" t="s">
        <v>38</v>
      </c>
      <c r="E9" s="215" t="s">
        <v>99</v>
      </c>
      <c r="F9" s="215" t="s">
        <v>152</v>
      </c>
      <c r="G9" s="40"/>
      <c r="H9" s="40"/>
      <c r="I9" s="38"/>
      <c r="J9" s="38"/>
      <c r="K9" s="362"/>
      <c r="L9" s="205"/>
      <c r="M9" s="240"/>
      <c r="N9" s="35"/>
      <c r="O9" s="35"/>
    </row>
    <row r="10" spans="1:15" ht="11.4">
      <c r="A10" s="193">
        <f>A9+1</f>
        <v>6</v>
      </c>
      <c r="B10" s="206"/>
      <c r="C10" s="89"/>
      <c r="D10" s="89"/>
      <c r="E10" s="89"/>
      <c r="F10" s="332"/>
      <c r="G10" s="38"/>
      <c r="H10" s="38"/>
      <c r="I10" s="38"/>
      <c r="J10" s="38"/>
      <c r="K10" s="362"/>
      <c r="L10" s="35"/>
      <c r="M10" s="35" t="s">
        <v>177</v>
      </c>
      <c r="O10" s="35"/>
    </row>
    <row r="11" spans="1:15" ht="11.4">
      <c r="A11" s="193">
        <f t="shared" ref="A11:A32" si="0">A10+1</f>
        <v>7</v>
      </c>
      <c r="B11" s="206" t="s">
        <v>36</v>
      </c>
      <c r="C11" s="327">
        <v>37676196.729999997</v>
      </c>
      <c r="D11" s="327">
        <v>233878.63</v>
      </c>
      <c r="E11" s="269">
        <f>IF(C11=0,"NA",(D11/C11))</f>
        <v>6.207596580834608E-3</v>
      </c>
      <c r="F11" s="387">
        <v>0</v>
      </c>
      <c r="G11" s="353"/>
      <c r="I11" s="38"/>
      <c r="J11" s="38"/>
      <c r="K11" s="362"/>
      <c r="L11" s="35"/>
      <c r="M11" s="374">
        <f>D11/C11*(360/365)</f>
        <v>6.1225610112341337E-3</v>
      </c>
      <c r="O11" s="35" t="s">
        <v>304</v>
      </c>
    </row>
    <row r="12" spans="1:15" ht="11.4">
      <c r="A12" s="193">
        <f t="shared" si="0"/>
        <v>8</v>
      </c>
      <c r="B12" s="206" t="s">
        <v>115</v>
      </c>
      <c r="C12" s="327">
        <v>0</v>
      </c>
      <c r="D12" s="327">
        <v>0</v>
      </c>
      <c r="E12" s="269" t="str">
        <f>IF(C12=0,"NA",(D12/C12))</f>
        <v>NA</v>
      </c>
      <c r="F12" s="387">
        <v>0</v>
      </c>
      <c r="G12" s="353"/>
      <c r="H12" s="328"/>
      <c r="I12" s="38"/>
      <c r="J12" s="38"/>
      <c r="K12" s="362"/>
      <c r="L12" s="35"/>
      <c r="M12" s="374" t="e">
        <f>D12/C12*(360/365)</f>
        <v>#DIV/0!</v>
      </c>
      <c r="O12" s="35" t="s">
        <v>305</v>
      </c>
    </row>
    <row r="13" spans="1:15" ht="11.4">
      <c r="A13" s="193">
        <v>9</v>
      </c>
      <c r="B13" s="206" t="s">
        <v>264</v>
      </c>
      <c r="C13" s="327">
        <v>0</v>
      </c>
      <c r="D13" s="327">
        <v>0</v>
      </c>
      <c r="E13" s="269" t="str">
        <f>IF(C13=0,"NA",(D13/C13))</f>
        <v>NA</v>
      </c>
      <c r="F13" s="211">
        <f>J22</f>
        <v>1156458.3333330001</v>
      </c>
      <c r="G13" s="353"/>
      <c r="H13" s="373"/>
      <c r="I13" s="38"/>
      <c r="J13" s="38"/>
      <c r="K13" s="362"/>
      <c r="L13" s="35"/>
      <c r="M13" s="374" t="e">
        <f>D13/C13*(360/365)</f>
        <v>#DIV/0!</v>
      </c>
      <c r="O13" s="35" t="s">
        <v>304</v>
      </c>
    </row>
    <row r="14" spans="1:15" ht="11.4">
      <c r="A14" s="193">
        <f>A13+1</f>
        <v>10</v>
      </c>
      <c r="B14" s="206" t="s">
        <v>159</v>
      </c>
      <c r="C14" s="327"/>
      <c r="D14" s="327"/>
      <c r="E14" s="269"/>
      <c r="F14" s="211">
        <f>J29</f>
        <v>39499.867166666671</v>
      </c>
      <c r="G14" s="353"/>
      <c r="H14" s="328"/>
      <c r="I14" s="38"/>
      <c r="J14" s="38"/>
      <c r="K14" s="362"/>
      <c r="L14" s="35"/>
      <c r="M14" s="204"/>
      <c r="N14" s="35"/>
      <c r="O14" s="35"/>
    </row>
    <row r="15" spans="1:15" ht="12.6" thickBot="1">
      <c r="A15" s="193">
        <f t="shared" si="0"/>
        <v>11</v>
      </c>
      <c r="B15" s="338" t="s">
        <v>163</v>
      </c>
      <c r="C15" s="379">
        <f>SUM(C10:C14)</f>
        <v>37676196.729999997</v>
      </c>
      <c r="D15" s="381">
        <f>SUM(D10:D14)</f>
        <v>233878.63</v>
      </c>
      <c r="E15" s="380">
        <f>D15/C15</f>
        <v>6.207596580834608E-3</v>
      </c>
      <c r="F15" s="381">
        <f>SUM(F10:F14)</f>
        <v>1195958.2004996669</v>
      </c>
      <c r="G15" s="38"/>
      <c r="H15" s="38"/>
      <c r="I15" s="38"/>
      <c r="J15" s="38"/>
      <c r="K15" s="362"/>
      <c r="L15" s="35"/>
      <c r="M15" s="35"/>
      <c r="N15" s="35"/>
      <c r="O15" s="35"/>
    </row>
    <row r="16" spans="1:15" ht="12" thickTop="1">
      <c r="A16" s="193">
        <f t="shared" si="0"/>
        <v>12</v>
      </c>
      <c r="B16" s="206"/>
      <c r="C16" s="208"/>
      <c r="D16" s="209"/>
      <c r="E16" s="207"/>
      <c r="F16" s="208"/>
      <c r="G16" s="38"/>
      <c r="H16" s="38"/>
      <c r="I16" s="38"/>
      <c r="J16" s="38"/>
      <c r="K16" s="362"/>
      <c r="L16" s="35"/>
      <c r="M16" s="35"/>
      <c r="N16" s="35"/>
      <c r="O16" s="35"/>
    </row>
    <row r="17" spans="1:19" ht="12" thickBot="1">
      <c r="A17" s="193">
        <f t="shared" si="0"/>
        <v>13</v>
      </c>
      <c r="B17" s="355"/>
      <c r="C17" s="210"/>
      <c r="D17" s="210"/>
      <c r="E17" s="210"/>
      <c r="F17" s="210"/>
      <c r="G17" s="363"/>
      <c r="H17" s="363"/>
      <c r="I17" s="363"/>
      <c r="J17" s="363"/>
      <c r="K17" s="364"/>
      <c r="L17" s="38"/>
      <c r="M17" s="35"/>
      <c r="N17" s="35"/>
      <c r="O17" s="35"/>
    </row>
    <row r="18" spans="1:19" ht="12">
      <c r="A18" s="193">
        <f t="shared" si="0"/>
        <v>14</v>
      </c>
      <c r="B18" s="597" t="s">
        <v>97</v>
      </c>
      <c r="C18" s="598"/>
      <c r="D18" s="151"/>
      <c r="E18" s="151"/>
      <c r="F18" s="151"/>
      <c r="G18" s="151"/>
      <c r="H18" s="185"/>
      <c r="I18" s="185"/>
      <c r="J18" s="185"/>
      <c r="K18" s="148"/>
      <c r="L18" s="38" t="s">
        <v>2</v>
      </c>
      <c r="M18" s="35"/>
      <c r="N18" s="35"/>
      <c r="O18" s="35"/>
    </row>
    <row r="19" spans="1:19" ht="12">
      <c r="A19" s="193">
        <f t="shared" si="0"/>
        <v>15</v>
      </c>
      <c r="B19" s="595" t="s">
        <v>106</v>
      </c>
      <c r="C19" s="596"/>
      <c r="D19" s="38"/>
      <c r="E19" s="38"/>
      <c r="F19" s="38"/>
      <c r="G19" s="241" t="s">
        <v>265</v>
      </c>
      <c r="H19" s="241" t="s">
        <v>265</v>
      </c>
      <c r="I19" s="42"/>
      <c r="J19" s="42"/>
      <c r="K19" s="153"/>
      <c r="L19" s="38"/>
      <c r="M19" s="35"/>
      <c r="N19" s="35"/>
      <c r="O19" s="35"/>
    </row>
    <row r="20" spans="1:19" ht="12">
      <c r="A20" s="193">
        <f t="shared" si="0"/>
        <v>16</v>
      </c>
      <c r="B20" s="186"/>
      <c r="C20" s="184"/>
      <c r="D20" s="38"/>
      <c r="E20" s="38"/>
      <c r="F20" s="38"/>
      <c r="G20" s="220" t="s">
        <v>154</v>
      </c>
      <c r="H20" s="220" t="s">
        <v>155</v>
      </c>
      <c r="I20" s="42"/>
      <c r="J20" s="42"/>
      <c r="K20" s="153"/>
      <c r="L20" s="38"/>
      <c r="M20" s="35"/>
      <c r="N20" s="35"/>
      <c r="O20" s="35"/>
    </row>
    <row r="21" spans="1:19" ht="11.4">
      <c r="A21" s="193">
        <f t="shared" si="0"/>
        <v>17</v>
      </c>
      <c r="B21" s="152"/>
      <c r="C21" s="39" t="s">
        <v>48</v>
      </c>
      <c r="D21" s="39" t="s">
        <v>49</v>
      </c>
      <c r="E21" s="40" t="s">
        <v>51</v>
      </c>
      <c r="F21" s="40" t="s">
        <v>131</v>
      </c>
      <c r="G21" s="40" t="s">
        <v>153</v>
      </c>
      <c r="H21" s="40" t="s">
        <v>131</v>
      </c>
      <c r="I21" s="40" t="s">
        <v>60</v>
      </c>
      <c r="J21" s="40" t="s">
        <v>61</v>
      </c>
      <c r="K21" s="187"/>
      <c r="L21" s="38"/>
      <c r="M21" s="35"/>
      <c r="N21" s="35"/>
      <c r="O21" s="35"/>
    </row>
    <row r="22" spans="1:19" ht="11.4">
      <c r="A22" s="193">
        <v>18</v>
      </c>
      <c r="B22" s="206" t="s">
        <v>264</v>
      </c>
      <c r="C22" s="328">
        <v>42186</v>
      </c>
      <c r="D22" s="328">
        <v>42551</v>
      </c>
      <c r="E22" s="354">
        <f>D22-C22+1</f>
        <v>366</v>
      </c>
      <c r="F22" s="377">
        <v>650000000</v>
      </c>
      <c r="G22" s="261">
        <f>C13+H28</f>
        <v>0</v>
      </c>
      <c r="H22" s="261">
        <f>F22-G22</f>
        <v>650000000</v>
      </c>
      <c r="I22" s="388">
        <v>1.75E-3</v>
      </c>
      <c r="J22" s="211">
        <f>ROUND(H22*I22*E22/360,6)</f>
        <v>1156458.3333330001</v>
      </c>
      <c r="K22" s="153"/>
      <c r="L22" s="38"/>
      <c r="M22" s="35" t="s">
        <v>275</v>
      </c>
      <c r="N22" s="35"/>
      <c r="O22" s="35"/>
    </row>
    <row r="23" spans="1:19" ht="12" thickBot="1">
      <c r="A23" s="193">
        <f>A22+1</f>
        <v>19</v>
      </c>
      <c r="B23" s="265" t="s">
        <v>130</v>
      </c>
      <c r="C23" s="41"/>
      <c r="D23" s="278"/>
      <c r="E23" s="331"/>
      <c r="F23" s="279"/>
      <c r="G23" s="283"/>
      <c r="H23" s="283"/>
      <c r="I23" s="280"/>
      <c r="J23" s="378">
        <f>SUM(J22:J22)</f>
        <v>1156458.3333330001</v>
      </c>
      <c r="K23" s="188"/>
      <c r="L23" s="38"/>
      <c r="M23" s="35"/>
      <c r="N23" s="35"/>
      <c r="O23" s="35"/>
    </row>
    <row r="24" spans="1:19" ht="12" thickTop="1">
      <c r="A24" s="193">
        <f t="shared" si="0"/>
        <v>20</v>
      </c>
      <c r="B24" s="265"/>
      <c r="C24" s="41"/>
      <c r="D24" s="278"/>
      <c r="E24" s="331"/>
      <c r="F24" s="279"/>
      <c r="G24" s="283"/>
      <c r="H24" s="283"/>
      <c r="I24" s="280"/>
      <c r="J24" s="375"/>
      <c r="K24" s="188"/>
      <c r="L24" s="38"/>
      <c r="M24" s="35"/>
      <c r="N24" s="35"/>
      <c r="O24" s="35"/>
    </row>
    <row r="25" spans="1:19" ht="11.4">
      <c r="A25" s="193">
        <f t="shared" si="0"/>
        <v>21</v>
      </c>
      <c r="B25" s="244"/>
      <c r="C25" s="41"/>
      <c r="D25" s="278"/>
      <c r="E25" s="331"/>
      <c r="F25" s="331"/>
      <c r="G25" s="278"/>
      <c r="H25" s="281"/>
      <c r="I25" s="281"/>
      <c r="J25" s="281"/>
      <c r="K25" s="188"/>
      <c r="L25" s="38"/>
      <c r="M25" s="35"/>
      <c r="N25" s="35"/>
      <c r="O25" s="35"/>
    </row>
    <row r="26" spans="1:19" ht="12">
      <c r="A26" s="193">
        <f t="shared" si="0"/>
        <v>22</v>
      </c>
      <c r="B26" s="264" t="s">
        <v>132</v>
      </c>
      <c r="C26" s="282"/>
      <c r="F26" s="40" t="s">
        <v>178</v>
      </c>
      <c r="G26" s="40" t="s">
        <v>51</v>
      </c>
      <c r="H26" s="40" t="s">
        <v>160</v>
      </c>
      <c r="I26" s="278"/>
      <c r="J26" s="281"/>
      <c r="K26" s="188"/>
      <c r="L26" s="38"/>
      <c r="M26" s="35"/>
      <c r="N26" s="35"/>
      <c r="O26" s="35"/>
    </row>
    <row r="27" spans="1:19" ht="11.4">
      <c r="A27" s="193">
        <f t="shared" si="0"/>
        <v>23</v>
      </c>
      <c r="B27" s="265" t="s">
        <v>161</v>
      </c>
      <c r="C27" s="283"/>
      <c r="F27" s="413" t="s">
        <v>182</v>
      </c>
      <c r="G27" s="414">
        <v>366</v>
      </c>
      <c r="H27" s="327">
        <v>3869983</v>
      </c>
      <c r="I27" s="388">
        <v>0.01</v>
      </c>
      <c r="J27" s="261">
        <f>(I27*H27)*(G27/360)+(12.92*12)</f>
        <v>39499.867166666671</v>
      </c>
      <c r="K27" s="188"/>
      <c r="L27" s="38"/>
      <c r="M27" s="35"/>
      <c r="N27" s="35"/>
      <c r="O27" s="35" t="s">
        <v>306</v>
      </c>
    </row>
    <row r="28" spans="1:19" ht="12.75" customHeight="1">
      <c r="A28" s="193">
        <f>A27+1</f>
        <v>24</v>
      </c>
      <c r="B28" s="265"/>
      <c r="C28" s="283"/>
      <c r="F28" s="413"/>
      <c r="G28" s="414"/>
      <c r="H28" s="327"/>
      <c r="I28" s="388"/>
      <c r="J28" s="261"/>
      <c r="K28" s="153"/>
      <c r="L28" s="38"/>
      <c r="M28" s="35"/>
      <c r="N28" s="35"/>
      <c r="O28" s="35" t="s">
        <v>306</v>
      </c>
    </row>
    <row r="29" spans="1:19" ht="12.75" customHeight="1" thickBot="1">
      <c r="A29" s="193">
        <f t="shared" si="0"/>
        <v>25</v>
      </c>
      <c r="B29" s="337" t="s">
        <v>162</v>
      </c>
      <c r="C29" s="283"/>
      <c r="D29" s="283"/>
      <c r="E29" s="376"/>
      <c r="F29" s="377"/>
      <c r="G29" s="354"/>
      <c r="H29" s="42"/>
      <c r="I29" s="42"/>
      <c r="J29" s="378">
        <f>SUM(J27:J28)</f>
        <v>39499.867166666671</v>
      </c>
      <c r="K29" s="153"/>
      <c r="L29" s="38"/>
      <c r="M29" s="35"/>
      <c r="N29" s="35"/>
      <c r="O29" s="35"/>
    </row>
    <row r="30" spans="1:19" ht="12.75" customHeight="1" thickTop="1">
      <c r="A30" s="193">
        <f t="shared" si="0"/>
        <v>26</v>
      </c>
      <c r="B30" s="265"/>
      <c r="C30" s="283"/>
      <c r="D30" s="283"/>
      <c r="E30" s="283"/>
      <c r="F30" s="329"/>
      <c r="G30" s="330"/>
      <c r="H30" s="42"/>
      <c r="I30" s="42"/>
      <c r="J30" s="42"/>
      <c r="K30" s="153"/>
      <c r="L30" s="38"/>
      <c r="M30" s="35"/>
      <c r="N30" s="35"/>
      <c r="O30" s="35"/>
    </row>
    <row r="31" spans="1:19" ht="12">
      <c r="A31" s="193">
        <f t="shared" si="0"/>
        <v>27</v>
      </c>
      <c r="B31" s="186"/>
      <c r="C31" s="184"/>
      <c r="D31" s="184"/>
      <c r="E31" s="89"/>
      <c r="F31" s="89"/>
      <c r="G31" s="89"/>
      <c r="H31" s="149"/>
      <c r="I31" s="149"/>
      <c r="J31" s="149"/>
      <c r="K31" s="153"/>
    </row>
    <row r="32" spans="1:19" ht="12.6" thickBot="1">
      <c r="A32" s="193">
        <f t="shared" si="0"/>
        <v>28</v>
      </c>
      <c r="B32" s="127" t="s">
        <v>83</v>
      </c>
      <c r="C32" s="190"/>
      <c r="D32" s="190"/>
      <c r="E32" s="154"/>
      <c r="F32" s="154"/>
      <c r="G32" s="154"/>
      <c r="H32" s="191"/>
      <c r="I32" s="191"/>
      <c r="J32" s="191"/>
      <c r="K32" s="189"/>
      <c r="S32" s="126"/>
    </row>
  </sheetData>
  <mergeCells count="2">
    <mergeCell ref="B19:C19"/>
    <mergeCell ref="B18:C18"/>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C31" sqref="C31"/>
    </sheetView>
  </sheetViews>
  <sheetFormatPr defaultRowHeight="10.199999999999999"/>
  <cols>
    <col min="1" max="1" width="4.85546875" customWidth="1"/>
    <col min="2" max="2" width="52.7109375" bestFit="1" customWidth="1"/>
    <col min="3" max="6" width="21.7109375" customWidth="1"/>
    <col min="7" max="7" width="15.85546875" customWidth="1"/>
    <col min="8" max="9" width="12" style="126" customWidth="1"/>
  </cols>
  <sheetData>
    <row r="1" spans="1:9" ht="12">
      <c r="B1" s="36" t="s">
        <v>46</v>
      </c>
    </row>
    <row r="2" spans="1:9" ht="12">
      <c r="A2" s="89"/>
      <c r="B2" s="128" t="s">
        <v>105</v>
      </c>
    </row>
    <row r="3" spans="1:9" ht="12">
      <c r="A3" s="89"/>
      <c r="B3" s="579">
        <f>'Pg 1 CofCap'!B5</f>
        <v>42551</v>
      </c>
    </row>
    <row r="4" spans="1:9" ht="12">
      <c r="A4" s="38"/>
      <c r="B4" s="36"/>
      <c r="C4" s="389"/>
      <c r="D4" s="389"/>
      <c r="E4" s="389"/>
      <c r="F4" s="389"/>
      <c r="G4" s="389"/>
    </row>
    <row r="5" spans="1:9" ht="12">
      <c r="A5" s="390" t="s">
        <v>5</v>
      </c>
      <c r="B5" s="390" t="s">
        <v>27</v>
      </c>
      <c r="C5" s="390" t="s">
        <v>52</v>
      </c>
      <c r="D5" s="390" t="s">
        <v>64</v>
      </c>
      <c r="E5" s="390" t="s">
        <v>64</v>
      </c>
      <c r="F5" s="390" t="s">
        <v>65</v>
      </c>
      <c r="G5" s="390" t="s">
        <v>66</v>
      </c>
    </row>
    <row r="6" spans="1:9" ht="11.25" customHeight="1">
      <c r="A6" s="389"/>
      <c r="B6" s="391"/>
      <c r="C6" s="391"/>
      <c r="D6" s="391"/>
      <c r="E6" s="391"/>
      <c r="F6" s="391"/>
      <c r="G6" s="391"/>
    </row>
    <row r="7" spans="1:9" ht="11.25" customHeight="1">
      <c r="A7" s="193"/>
      <c r="B7" s="163"/>
      <c r="C7" s="342"/>
      <c r="D7" s="342"/>
      <c r="E7" s="342"/>
      <c r="F7" s="342"/>
    </row>
    <row r="8" spans="1:9" ht="11.25" customHeight="1">
      <c r="A8" s="193">
        <v>1</v>
      </c>
      <c r="B8" s="392" t="s">
        <v>9</v>
      </c>
      <c r="C8" s="393" t="s">
        <v>166</v>
      </c>
      <c r="D8" s="393" t="s">
        <v>166</v>
      </c>
      <c r="E8" s="393" t="s">
        <v>266</v>
      </c>
      <c r="F8" s="393" t="s">
        <v>266</v>
      </c>
      <c r="G8" s="389"/>
    </row>
    <row r="9" spans="1:9" ht="11.25" customHeight="1">
      <c r="A9" s="193">
        <f>A8+1</f>
        <v>2</v>
      </c>
      <c r="B9" s="392"/>
      <c r="C9" s="394" t="s">
        <v>167</v>
      </c>
      <c r="D9" s="394" t="s">
        <v>308</v>
      </c>
      <c r="E9" s="394" t="s">
        <v>267</v>
      </c>
      <c r="F9" s="394" t="s">
        <v>310</v>
      </c>
      <c r="G9" s="395" t="s">
        <v>168</v>
      </c>
    </row>
    <row r="10" spans="1:9" ht="11.25" customHeight="1">
      <c r="A10" s="193">
        <f t="shared" ref="A10:A31" si="0">A9+1</f>
        <v>3</v>
      </c>
      <c r="B10" s="128" t="s">
        <v>148</v>
      </c>
      <c r="C10" s="396" t="s">
        <v>309</v>
      </c>
      <c r="D10" s="396">
        <v>18900423</v>
      </c>
      <c r="E10" s="396">
        <v>18100673</v>
      </c>
      <c r="F10" s="396">
        <v>18900443</v>
      </c>
      <c r="G10" s="396" t="s">
        <v>169</v>
      </c>
    </row>
    <row r="11" spans="1:9" ht="11.25" customHeight="1">
      <c r="A11" s="193">
        <f t="shared" si="0"/>
        <v>4</v>
      </c>
      <c r="B11" s="128"/>
      <c r="C11" s="397"/>
      <c r="D11" s="397"/>
      <c r="E11" s="389"/>
      <c r="F11" s="389"/>
      <c r="G11" s="389"/>
    </row>
    <row r="12" spans="1:9" ht="11.4">
      <c r="A12" s="193">
        <f t="shared" si="0"/>
        <v>5</v>
      </c>
      <c r="B12" s="398" t="s">
        <v>62</v>
      </c>
      <c r="C12" s="389"/>
      <c r="D12" s="389"/>
      <c r="E12" s="389"/>
      <c r="F12" s="389"/>
      <c r="G12" s="399"/>
    </row>
    <row r="13" spans="1:9" ht="11.4">
      <c r="A13" s="193">
        <f t="shared" si="0"/>
        <v>6</v>
      </c>
      <c r="B13" s="591" t="s">
        <v>325</v>
      </c>
      <c r="C13" s="588">
        <f>692648.27+163530.19</f>
        <v>856178.46</v>
      </c>
      <c r="D13" s="588">
        <v>856195.71</v>
      </c>
      <c r="E13" s="588">
        <v>1701500.24</v>
      </c>
      <c r="F13" s="588">
        <v>105114.47</v>
      </c>
      <c r="G13" s="401"/>
      <c r="I13" s="126" t="s">
        <v>307</v>
      </c>
    </row>
    <row r="14" spans="1:9" ht="11.4">
      <c r="A14" s="193">
        <f t="shared" si="0"/>
        <v>7</v>
      </c>
      <c r="B14" s="35"/>
      <c r="C14" s="402"/>
      <c r="D14" s="402"/>
      <c r="E14" s="402"/>
      <c r="F14" s="402"/>
      <c r="G14" s="401"/>
    </row>
    <row r="15" spans="1:9" ht="11.4">
      <c r="A15" s="193">
        <f t="shared" si="0"/>
        <v>8</v>
      </c>
      <c r="B15" s="412">
        <v>42186</v>
      </c>
      <c r="C15" s="402">
        <f>-22343.5-5275.16</f>
        <v>-27618.66</v>
      </c>
      <c r="D15" s="402">
        <v>-27619.22</v>
      </c>
      <c r="E15" s="402">
        <v>-36989.14</v>
      </c>
      <c r="F15" s="402">
        <v>-2285.1</v>
      </c>
      <c r="G15" s="401"/>
    </row>
    <row r="16" spans="1:9" ht="11.4">
      <c r="A16" s="193">
        <f t="shared" si="0"/>
        <v>9</v>
      </c>
      <c r="B16" s="412">
        <v>42217</v>
      </c>
      <c r="C16" s="402">
        <f>-22343.5-5275.16</f>
        <v>-27618.66</v>
      </c>
      <c r="D16" s="402">
        <v>-27619.22</v>
      </c>
      <c r="E16" s="402">
        <v>-36989.14</v>
      </c>
      <c r="F16" s="402">
        <v>-2285.1</v>
      </c>
      <c r="G16" s="401"/>
    </row>
    <row r="17" spans="1:8" ht="11.4">
      <c r="A17" s="193">
        <f t="shared" si="0"/>
        <v>10</v>
      </c>
      <c r="B17" s="412">
        <v>42248</v>
      </c>
      <c r="C17" s="402">
        <f>-22343.5-5275.16</f>
        <v>-27618.66</v>
      </c>
      <c r="D17" s="402">
        <v>-27619.22</v>
      </c>
      <c r="E17" s="402">
        <v>-36989.14</v>
      </c>
      <c r="F17" s="402">
        <v>-2285.1</v>
      </c>
      <c r="G17" s="401"/>
    </row>
    <row r="18" spans="1:8" ht="11.4">
      <c r="A18" s="193">
        <f t="shared" si="0"/>
        <v>11</v>
      </c>
      <c r="B18" s="412">
        <v>42278</v>
      </c>
      <c r="C18" s="402">
        <f>-22343.5-5275.16</f>
        <v>-27618.66</v>
      </c>
      <c r="D18" s="402">
        <v>-27619.22</v>
      </c>
      <c r="E18" s="402">
        <v>-36989.14</v>
      </c>
      <c r="F18" s="402">
        <v>-2285.1</v>
      </c>
      <c r="G18" s="401"/>
    </row>
    <row r="19" spans="1:8" ht="11.4">
      <c r="A19" s="193">
        <f t="shared" si="0"/>
        <v>12</v>
      </c>
      <c r="B19" s="412">
        <v>42309</v>
      </c>
      <c r="C19" s="402">
        <f>-22343.5-5275.16</f>
        <v>-27618.66</v>
      </c>
      <c r="D19" s="402">
        <v>-27619.22</v>
      </c>
      <c r="E19" s="402">
        <v>-36989.14</v>
      </c>
      <c r="F19" s="402">
        <v>-2285.1</v>
      </c>
      <c r="G19" s="400"/>
      <c r="H19" s="372"/>
    </row>
    <row r="20" spans="1:8" ht="11.4">
      <c r="A20" s="193">
        <f t="shared" si="0"/>
        <v>13</v>
      </c>
      <c r="B20" s="412">
        <v>42339</v>
      </c>
      <c r="C20" s="402">
        <v>-27618.66</v>
      </c>
      <c r="D20" s="402">
        <v>-27619.22</v>
      </c>
      <c r="E20" s="402">
        <v>-36989.14</v>
      </c>
      <c r="F20" s="402">
        <v>-2285.1</v>
      </c>
      <c r="G20" s="401"/>
    </row>
    <row r="21" spans="1:8" ht="11.4">
      <c r="A21" s="193">
        <f t="shared" si="0"/>
        <v>14</v>
      </c>
      <c r="B21" s="412">
        <v>42370</v>
      </c>
      <c r="C21" s="402">
        <v>-27618.66</v>
      </c>
      <c r="D21" s="402">
        <v>-27619.22</v>
      </c>
      <c r="E21" s="402">
        <v>-36989.14</v>
      </c>
      <c r="F21" s="402">
        <v>-2285.1</v>
      </c>
      <c r="G21" s="401"/>
    </row>
    <row r="22" spans="1:8" ht="11.4">
      <c r="A22" s="193">
        <f t="shared" si="0"/>
        <v>15</v>
      </c>
      <c r="B22" s="412">
        <v>42401</v>
      </c>
      <c r="C22" s="402">
        <v>-27618.66</v>
      </c>
      <c r="D22" s="402">
        <v>-27619.22</v>
      </c>
      <c r="E22" s="402">
        <v>-36989.14</v>
      </c>
      <c r="F22" s="402">
        <v>-2285.1</v>
      </c>
      <c r="G22" s="401"/>
    </row>
    <row r="23" spans="1:8" ht="11.4">
      <c r="A23" s="193">
        <f t="shared" si="0"/>
        <v>16</v>
      </c>
      <c r="B23" s="412">
        <v>42430</v>
      </c>
      <c r="C23" s="402">
        <v>-27618.66</v>
      </c>
      <c r="D23" s="402">
        <v>-27619.22</v>
      </c>
      <c r="E23" s="402">
        <v>-36989.14</v>
      </c>
      <c r="F23" s="402">
        <v>-2285.1</v>
      </c>
      <c r="G23" s="401"/>
    </row>
    <row r="24" spans="1:8" ht="11.4">
      <c r="A24" s="193">
        <f t="shared" si="0"/>
        <v>17</v>
      </c>
      <c r="B24" s="412">
        <v>42461</v>
      </c>
      <c r="C24" s="402">
        <v>-27618.66</v>
      </c>
      <c r="D24" s="402">
        <v>-27619.22</v>
      </c>
      <c r="E24" s="402">
        <v>-36989.14</v>
      </c>
      <c r="F24" s="402">
        <v>-2285.1</v>
      </c>
      <c r="G24" s="401"/>
    </row>
    <row r="25" spans="1:8" ht="11.4">
      <c r="A25" s="193">
        <v>18</v>
      </c>
      <c r="B25" s="412">
        <v>42491</v>
      </c>
      <c r="C25" s="402">
        <v>-27618.66</v>
      </c>
      <c r="D25" s="402">
        <v>-27619.22</v>
      </c>
      <c r="E25" s="402">
        <v>-36989.14</v>
      </c>
      <c r="F25" s="402">
        <v>-2285.1</v>
      </c>
      <c r="G25" s="401"/>
    </row>
    <row r="26" spans="1:8" ht="12" thickBot="1">
      <c r="A26" s="193">
        <v>19</v>
      </c>
      <c r="B26" s="412">
        <v>42522</v>
      </c>
      <c r="C26" s="402">
        <v>-27618.66</v>
      </c>
      <c r="D26" s="402">
        <v>-27619.22</v>
      </c>
      <c r="E26" s="402">
        <v>-36989.14</v>
      </c>
      <c r="F26" s="402">
        <v>-2285.1</v>
      </c>
      <c r="G26" s="401"/>
    </row>
    <row r="27" spans="1:8" ht="12.6" thickBot="1">
      <c r="A27" s="193">
        <f>A26+1</f>
        <v>20</v>
      </c>
      <c r="B27" s="403" t="s">
        <v>174</v>
      </c>
      <c r="C27" s="409">
        <f>SUM(C15:C26)</f>
        <v>-331423.91999999993</v>
      </c>
      <c r="D27" s="409">
        <f>SUM(D15:D26)</f>
        <v>-331430.64</v>
      </c>
      <c r="E27" s="409">
        <f>SUM(E15:E26)</f>
        <v>-443869.68000000011</v>
      </c>
      <c r="F27" s="409">
        <f>SUM(F15:F26)</f>
        <v>-27421.199999999993</v>
      </c>
      <c r="G27" s="410">
        <f>SUM(C27:F27)</f>
        <v>-1134145.44</v>
      </c>
    </row>
    <row r="28" spans="1:8" ht="11.4">
      <c r="A28" s="193">
        <f t="shared" si="0"/>
        <v>21</v>
      </c>
      <c r="B28" s="398"/>
      <c r="C28" s="404"/>
      <c r="D28" s="404"/>
      <c r="E28" s="404"/>
      <c r="F28" s="404"/>
      <c r="G28" s="399"/>
    </row>
    <row r="29" spans="1:8" ht="11.4">
      <c r="A29" s="193">
        <f t="shared" si="0"/>
        <v>22</v>
      </c>
      <c r="B29" s="405" t="s">
        <v>164</v>
      </c>
      <c r="C29" s="402"/>
      <c r="D29" s="402"/>
      <c r="E29" s="402">
        <v>3758.01</v>
      </c>
      <c r="F29" s="402"/>
      <c r="G29" s="401"/>
    </row>
    <row r="30" spans="1:8" ht="11.4">
      <c r="A30" s="193">
        <f t="shared" si="0"/>
        <v>23</v>
      </c>
      <c r="B30" s="406" t="s">
        <v>165</v>
      </c>
      <c r="C30" s="402"/>
      <c r="D30" s="402"/>
      <c r="E30" s="402"/>
      <c r="F30" s="402"/>
      <c r="G30" s="401"/>
    </row>
    <row r="31" spans="1:8" ht="12" thickBot="1">
      <c r="A31" s="193">
        <f t="shared" si="0"/>
        <v>24</v>
      </c>
      <c r="B31" s="207" t="s">
        <v>63</v>
      </c>
      <c r="C31" s="411">
        <f>C13+C27+C29+C30</f>
        <v>524754.54</v>
      </c>
      <c r="D31" s="411">
        <f>D13+D27+D29+D30</f>
        <v>524765.06999999995</v>
      </c>
      <c r="E31" s="411">
        <f>E13+E27+E29+E30</f>
        <v>1261388.5699999998</v>
      </c>
      <c r="F31" s="411">
        <f>F13+F27+F29+F30</f>
        <v>77693.27</v>
      </c>
      <c r="G31" s="401"/>
    </row>
    <row r="32" spans="1:8" ht="12.6" thickTop="1">
      <c r="A32" s="193"/>
      <c r="B32" s="407"/>
      <c r="C32" s="389"/>
      <c r="D32" s="389"/>
      <c r="E32" s="389"/>
      <c r="F32" s="389"/>
      <c r="G32" s="389"/>
    </row>
    <row r="33" spans="1:7" ht="11.4">
      <c r="A33" s="193"/>
      <c r="B33" s="389"/>
      <c r="C33" s="400"/>
      <c r="D33" s="400"/>
      <c r="E33" s="400"/>
      <c r="F33" s="400"/>
      <c r="G33" s="35"/>
    </row>
    <row r="34" spans="1:7" ht="11.4">
      <c r="A34" s="193"/>
      <c r="B34" s="35"/>
      <c r="C34" s="408"/>
      <c r="D34" s="408"/>
      <c r="E34" s="408"/>
      <c r="F34" s="408"/>
      <c r="G34" s="35"/>
    </row>
    <row r="35" spans="1:7" ht="11.4">
      <c r="A35" s="193"/>
      <c r="B35" s="35"/>
      <c r="C35" s="35"/>
      <c r="D35" s="35"/>
      <c r="E35" s="35"/>
      <c r="F35" s="35"/>
      <c r="G35" s="35"/>
    </row>
    <row r="36" spans="1:7">
      <c r="A36" s="193"/>
    </row>
    <row r="37" spans="1:7">
      <c r="A37" s="193"/>
    </row>
    <row r="38" spans="1:7">
      <c r="A38" s="193"/>
      <c r="B38" s="222"/>
    </row>
    <row r="39" spans="1:7">
      <c r="A39" s="193"/>
    </row>
    <row r="40" spans="1:7">
      <c r="A40" s="193"/>
    </row>
    <row r="41" spans="1:7">
      <c r="A41" s="193"/>
    </row>
    <row r="42" spans="1:7">
      <c r="A42" s="193"/>
    </row>
    <row r="43" spans="1:7">
      <c r="A43" s="193"/>
      <c r="B43" s="161"/>
    </row>
    <row r="44" spans="1:7">
      <c r="A44" s="193"/>
    </row>
    <row r="45" spans="1:7">
      <c r="A45" s="193"/>
    </row>
    <row r="46" spans="1:7">
      <c r="A46" s="193"/>
      <c r="B46" s="224"/>
    </row>
    <row r="47" spans="1:7">
      <c r="A47" s="193"/>
    </row>
    <row r="48" spans="1:7">
      <c r="A48" s="193"/>
    </row>
    <row r="49" spans="1:2">
      <c r="A49" s="193"/>
    </row>
    <row r="50" spans="1:2">
      <c r="A50" s="193"/>
    </row>
    <row r="51" spans="1:2">
      <c r="A51" s="193"/>
    </row>
    <row r="52" spans="1:2">
      <c r="A52" s="193"/>
    </row>
    <row r="53" spans="1:2">
      <c r="A53" s="193"/>
      <c r="B53" s="162"/>
    </row>
    <row r="54" spans="1:2">
      <c r="A54" s="193"/>
      <c r="B54" s="162"/>
    </row>
    <row r="55" spans="1:2">
      <c r="A55" s="193"/>
      <c r="B55" s="224"/>
    </row>
  </sheetData>
  <phoneticPr fontId="24" type="noConversion"/>
  <pageMargins left="0.79" right="0.67" top="0.44" bottom="0.44" header="0.23" footer="0.17"/>
  <pageSetup scale="96"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60"/>
  <sheetViews>
    <sheetView zoomScaleNormal="100" workbookViewId="0">
      <pane xSplit="5" ySplit="5" topLeftCell="F6" activePane="bottomRight" state="frozen"/>
      <selection activeCell="D18" sqref="D18"/>
      <selection pane="topRight" activeCell="D18" sqref="D18"/>
      <selection pane="bottomLeft" activeCell="D18" sqref="D18"/>
      <selection pane="bottomRight" activeCell="F30" sqref="F30"/>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0" width="10.42578125" style="23" customWidth="1"/>
    <col min="11" max="14" width="9.140625" style="23" customWidth="1"/>
    <col min="15" max="15" width="9.85546875" style="23" customWidth="1"/>
    <col min="16" max="16" width="9.140625" style="23" customWidth="1"/>
    <col min="17" max="17" width="9.85546875" style="23" customWidth="1"/>
    <col min="18" max="22" width="8.85546875" style="23" customWidth="1"/>
    <col min="23" max="24" width="6" style="23" customWidth="1"/>
    <col min="25" max="25" width="8.85546875" style="23" customWidth="1" outlineLevel="1"/>
    <col min="26" max="26" width="10.85546875" style="23" customWidth="1" outlineLevel="1"/>
    <col min="27" max="27" width="8.85546875" style="23" customWidth="1" outlineLevel="1"/>
    <col min="28" max="16384" width="8.85546875" style="23"/>
  </cols>
  <sheetData>
    <row r="1" spans="1:26" ht="12.75" customHeight="1">
      <c r="A1" s="234" t="s">
        <v>96</v>
      </c>
      <c r="B1" s="156"/>
      <c r="C1" s="156"/>
      <c r="D1" s="155"/>
      <c r="E1" s="157"/>
      <c r="F1" s="155"/>
      <c r="G1" s="156"/>
      <c r="H1" s="156"/>
      <c r="I1" s="156"/>
    </row>
    <row r="2" spans="1:26" s="57" customFormat="1" ht="12.75" customHeight="1">
      <c r="A2" s="268">
        <f>'Pg 1 CofCap'!B5</f>
        <v>42551</v>
      </c>
      <c r="B2" s="158"/>
      <c r="C2" s="158"/>
      <c r="D2" s="158"/>
      <c r="E2" s="159"/>
      <c r="F2" s="158"/>
      <c r="G2" s="160"/>
      <c r="H2" s="159"/>
      <c r="I2" s="158"/>
      <c r="J2" s="199"/>
      <c r="K2" s="199"/>
      <c r="L2" s="199"/>
      <c r="M2" s="199"/>
      <c r="N2" s="199"/>
      <c r="O2" s="199"/>
      <c r="P2" s="199"/>
      <c r="Q2" s="199"/>
      <c r="R2" s="199"/>
      <c r="S2" s="199"/>
      <c r="T2" s="199"/>
      <c r="U2" s="199"/>
      <c r="V2" s="199"/>
    </row>
    <row r="3" spans="1:26" s="57" customFormat="1" ht="12.75" customHeight="1">
      <c r="A3" s="268"/>
      <c r="B3" s="158"/>
      <c r="C3" s="158"/>
      <c r="D3" s="158"/>
      <c r="E3" s="159"/>
      <c r="F3" s="158"/>
      <c r="G3" s="160"/>
      <c r="H3" s="159"/>
      <c r="I3" s="158"/>
      <c r="J3" s="199"/>
      <c r="K3" s="199"/>
      <c r="L3" s="199"/>
      <c r="M3" s="199"/>
      <c r="N3" s="199"/>
      <c r="O3" s="199"/>
      <c r="P3" s="199" t="s">
        <v>328</v>
      </c>
      <c r="Q3" s="199" t="s">
        <v>327</v>
      </c>
      <c r="R3" s="199" t="s">
        <v>326</v>
      </c>
      <c r="S3" s="199" t="s">
        <v>329</v>
      </c>
      <c r="T3" s="199" t="s">
        <v>330</v>
      </c>
      <c r="U3" s="199" t="s">
        <v>331</v>
      </c>
      <c r="V3" s="199" t="s">
        <v>332</v>
      </c>
    </row>
    <row r="4" spans="1:26" ht="11.1" customHeight="1">
      <c r="A4" s="180" t="s">
        <v>5</v>
      </c>
      <c r="B4" s="180" t="s">
        <v>27</v>
      </c>
      <c r="C4" s="180" t="s">
        <v>52</v>
      </c>
      <c r="D4" s="180" t="s">
        <v>64</v>
      </c>
      <c r="E4" s="180" t="s">
        <v>65</v>
      </c>
      <c r="F4" s="180" t="s">
        <v>66</v>
      </c>
      <c r="G4" s="180" t="s">
        <v>67</v>
      </c>
      <c r="H4" s="180" t="s">
        <v>68</v>
      </c>
      <c r="I4" s="180" t="s">
        <v>69</v>
      </c>
      <c r="J4" s="180" t="s">
        <v>71</v>
      </c>
      <c r="K4" s="180" t="s">
        <v>72</v>
      </c>
      <c r="L4" s="180" t="s">
        <v>73</v>
      </c>
      <c r="M4" s="180" t="s">
        <v>74</v>
      </c>
      <c r="N4" s="180" t="s">
        <v>75</v>
      </c>
      <c r="O4" s="180" t="s">
        <v>76</v>
      </c>
      <c r="P4" s="180" t="s">
        <v>87</v>
      </c>
      <c r="Q4" s="180" t="s">
        <v>88</v>
      </c>
      <c r="R4" s="180" t="s">
        <v>89</v>
      </c>
      <c r="S4" s="180" t="s">
        <v>90</v>
      </c>
      <c r="T4" s="180" t="s">
        <v>91</v>
      </c>
      <c r="U4" s="180" t="s">
        <v>92</v>
      </c>
      <c r="V4" s="180" t="s">
        <v>170</v>
      </c>
      <c r="Y4" s="480" t="s">
        <v>202</v>
      </c>
    </row>
    <row r="5" spans="1:26" ht="31.2">
      <c r="A5" s="367">
        <v>1</v>
      </c>
      <c r="B5" s="368" t="s">
        <v>127</v>
      </c>
      <c r="C5" s="368" t="s">
        <v>100</v>
      </c>
      <c r="D5" s="368" t="s">
        <v>57</v>
      </c>
      <c r="E5" s="368" t="s">
        <v>104</v>
      </c>
      <c r="F5" s="368" t="s">
        <v>117</v>
      </c>
      <c r="G5" s="368" t="s">
        <v>84</v>
      </c>
      <c r="H5" s="368" t="s">
        <v>94</v>
      </c>
      <c r="I5" s="368" t="s">
        <v>80</v>
      </c>
      <c r="J5" s="369">
        <f>'Pg 2 CapStructure'!C6</f>
        <v>42185</v>
      </c>
      <c r="K5" s="369">
        <f>'Pg 2 CapStructure'!D6</f>
        <v>42216</v>
      </c>
      <c r="L5" s="369">
        <f>'Pg 2 CapStructure'!E6</f>
        <v>42247</v>
      </c>
      <c r="M5" s="369">
        <f>'Pg 2 CapStructure'!F6</f>
        <v>42277</v>
      </c>
      <c r="N5" s="369">
        <f>'Pg 2 CapStructure'!G6</f>
        <v>42307</v>
      </c>
      <c r="O5" s="369">
        <f>'Pg 2 CapStructure'!H6</f>
        <v>42338</v>
      </c>
      <c r="P5" s="369">
        <f>'Pg 2 CapStructure'!I6</f>
        <v>42369</v>
      </c>
      <c r="Q5" s="369">
        <f>'Pg 2 CapStructure'!J6</f>
        <v>42400</v>
      </c>
      <c r="R5" s="369">
        <f>'Pg 2 CapStructure'!K6</f>
        <v>42429</v>
      </c>
      <c r="S5" s="369">
        <f>'Pg 2 CapStructure'!L6</f>
        <v>42460</v>
      </c>
      <c r="T5" s="369">
        <f>'Pg 2 CapStructure'!M6</f>
        <v>42490</v>
      </c>
      <c r="U5" s="369">
        <f>'Pg 2 CapStructure'!N6</f>
        <v>42521</v>
      </c>
      <c r="V5" s="369">
        <f>'Pg 2 CapStructure'!O6</f>
        <v>42551</v>
      </c>
      <c r="Y5" s="481" t="s">
        <v>38</v>
      </c>
      <c r="Z5" s="481" t="s">
        <v>203</v>
      </c>
    </row>
    <row r="6" spans="1:26">
      <c r="A6" s="134">
        <v>2</v>
      </c>
      <c r="B6" s="138" t="s">
        <v>23</v>
      </c>
      <c r="C6" s="284">
        <v>7.3499999999999996E-2</v>
      </c>
      <c r="D6" s="285">
        <v>34953</v>
      </c>
      <c r="E6" s="285">
        <v>42258</v>
      </c>
      <c r="F6" s="273">
        <f t="shared" ref="F6:F28" si="0">ROUND(((+J6+V6)+(SUM(K6:U6)*2))/24,0)</f>
        <v>2083333</v>
      </c>
      <c r="G6" s="286">
        <v>98.84387199999999</v>
      </c>
      <c r="H6" s="183">
        <f t="shared" ref="H6:H14" si="1">ROUND(YIELD(D6,E6,C6,G6,100,2,2),4)</f>
        <v>7.46E-2</v>
      </c>
      <c r="I6" s="273">
        <f t="shared" ref="I6:I14" si="2">ROUND(+H6*F6,0)</f>
        <v>155417</v>
      </c>
      <c r="J6" s="273">
        <v>10000000</v>
      </c>
      <c r="K6" s="273">
        <v>10000000</v>
      </c>
      <c r="L6" s="273">
        <v>10000000</v>
      </c>
      <c r="M6" s="273"/>
      <c r="N6" s="273"/>
      <c r="O6" s="273"/>
      <c r="P6" s="273"/>
      <c r="Q6" s="273"/>
      <c r="R6" s="273"/>
      <c r="S6" s="273"/>
      <c r="T6" s="273"/>
      <c r="U6" s="273"/>
      <c r="V6" s="273"/>
      <c r="Y6" s="273">
        <f t="shared" ref="Y6:Y27" si="3">H6*V6</f>
        <v>0</v>
      </c>
    </row>
    <row r="7" spans="1:26" s="27" customFormat="1">
      <c r="A7" s="367">
        <v>3</v>
      </c>
      <c r="B7" s="138" t="s">
        <v>23</v>
      </c>
      <c r="C7" s="284">
        <v>7.3599999999999999E-2</v>
      </c>
      <c r="D7" s="285">
        <v>34953</v>
      </c>
      <c r="E7" s="285">
        <v>42262</v>
      </c>
      <c r="F7" s="273">
        <f t="shared" si="0"/>
        <v>416667</v>
      </c>
      <c r="G7" s="286">
        <v>98.843919999999997</v>
      </c>
      <c r="H7" s="183">
        <f t="shared" si="1"/>
        <v>7.4700000000000003E-2</v>
      </c>
      <c r="I7" s="273">
        <f t="shared" si="2"/>
        <v>31125</v>
      </c>
      <c r="J7" s="273">
        <v>2000000</v>
      </c>
      <c r="K7" s="273">
        <v>2000000</v>
      </c>
      <c r="L7" s="273">
        <v>2000000</v>
      </c>
      <c r="M7" s="273"/>
      <c r="N7" s="273"/>
      <c r="O7" s="273"/>
      <c r="P7" s="273"/>
      <c r="Q7" s="273"/>
      <c r="R7" s="273"/>
      <c r="S7" s="273"/>
      <c r="T7" s="273"/>
      <c r="U7" s="273"/>
      <c r="V7" s="273"/>
      <c r="Y7" s="273">
        <f t="shared" si="3"/>
        <v>0</v>
      </c>
      <c r="Z7" s="23"/>
    </row>
    <row r="8" spans="1:26" s="27" customFormat="1">
      <c r="A8" s="134">
        <v>4</v>
      </c>
      <c r="B8" s="138" t="s">
        <v>95</v>
      </c>
      <c r="C8" s="284">
        <v>5.1970000000000002E-2</v>
      </c>
      <c r="D8" s="285">
        <v>38637</v>
      </c>
      <c r="E8" s="285">
        <v>42278</v>
      </c>
      <c r="F8" s="273">
        <f t="shared" si="0"/>
        <v>0</v>
      </c>
      <c r="G8" s="286">
        <v>99.193039993333343</v>
      </c>
      <c r="H8" s="183">
        <f t="shared" si="1"/>
        <v>5.2999999999999999E-2</v>
      </c>
      <c r="I8" s="273">
        <f>ROUND(+H8*F8,0)</f>
        <v>0</v>
      </c>
      <c r="J8" s="273"/>
      <c r="K8" s="273"/>
      <c r="L8" s="273"/>
      <c r="M8" s="273"/>
      <c r="N8" s="273"/>
      <c r="O8" s="273"/>
      <c r="P8" s="273"/>
      <c r="Q8" s="273"/>
      <c r="R8" s="273"/>
      <c r="S8" s="273"/>
      <c r="T8" s="273"/>
      <c r="U8" s="273"/>
      <c r="V8" s="273"/>
      <c r="Y8" s="273">
        <f t="shared" si="3"/>
        <v>0</v>
      </c>
      <c r="Z8" s="23"/>
    </row>
    <row r="9" spans="1:26" s="27" customFormat="1">
      <c r="A9" s="367">
        <v>5</v>
      </c>
      <c r="B9" s="138" t="s">
        <v>95</v>
      </c>
      <c r="C9" s="284">
        <v>6.7500000000000004E-2</v>
      </c>
      <c r="D9" s="285">
        <v>39836</v>
      </c>
      <c r="E9" s="285">
        <v>42384</v>
      </c>
      <c r="F9" s="273">
        <f t="shared" si="0"/>
        <v>0</v>
      </c>
      <c r="G9" s="286">
        <v>99.239900000000006</v>
      </c>
      <c r="H9" s="183">
        <f t="shared" si="1"/>
        <v>6.8900000000000003E-2</v>
      </c>
      <c r="I9" s="273">
        <f>ROUND(+H9*F9,0)</f>
        <v>0</v>
      </c>
      <c r="J9" s="273"/>
      <c r="K9" s="273"/>
      <c r="L9" s="273"/>
      <c r="M9" s="273"/>
      <c r="N9" s="273"/>
      <c r="O9" s="273"/>
      <c r="P9" s="273"/>
      <c r="Q9" s="273"/>
      <c r="R9" s="273"/>
      <c r="S9" s="273"/>
      <c r="T9" s="273"/>
      <c r="U9" s="273"/>
      <c r="V9" s="273"/>
      <c r="Y9" s="273">
        <f t="shared" si="3"/>
        <v>0</v>
      </c>
      <c r="Z9" s="23"/>
    </row>
    <row r="10" spans="1:26" s="27" customFormat="1">
      <c r="A10" s="134">
        <v>6</v>
      </c>
      <c r="B10" s="138" t="s">
        <v>21</v>
      </c>
      <c r="C10" s="284">
        <v>6.7400000000000002E-2</v>
      </c>
      <c r="D10" s="285">
        <v>35961</v>
      </c>
      <c r="E10" s="285">
        <v>43266</v>
      </c>
      <c r="F10" s="273">
        <f t="shared" si="0"/>
        <v>200000000</v>
      </c>
      <c r="G10" s="286">
        <v>98.98509159000001</v>
      </c>
      <c r="H10" s="183">
        <f t="shared" si="1"/>
        <v>6.83E-2</v>
      </c>
      <c r="I10" s="273">
        <f t="shared" si="2"/>
        <v>13660000</v>
      </c>
      <c r="J10" s="273">
        <v>200000000</v>
      </c>
      <c r="K10" s="273">
        <v>200000000</v>
      </c>
      <c r="L10" s="273">
        <v>200000000</v>
      </c>
      <c r="M10" s="273">
        <v>200000000</v>
      </c>
      <c r="N10" s="273">
        <v>200000000</v>
      </c>
      <c r="O10" s="273">
        <v>200000000</v>
      </c>
      <c r="P10" s="273">
        <v>200000000</v>
      </c>
      <c r="Q10" s="273">
        <v>200000000</v>
      </c>
      <c r="R10" s="273">
        <v>200000000</v>
      </c>
      <c r="S10" s="273">
        <v>200000000</v>
      </c>
      <c r="T10" s="273">
        <v>200000000</v>
      </c>
      <c r="U10" s="273">
        <v>200000000</v>
      </c>
      <c r="V10" s="273">
        <v>200000000</v>
      </c>
      <c r="Y10" s="273">
        <f t="shared" si="3"/>
        <v>13660000</v>
      </c>
    </row>
    <row r="11" spans="1:26" s="28" customFormat="1">
      <c r="A11" s="367">
        <v>7</v>
      </c>
      <c r="B11" s="138" t="s">
        <v>23</v>
      </c>
      <c r="C11" s="284">
        <v>7.1499999999999994E-2</v>
      </c>
      <c r="D11" s="285">
        <v>35053</v>
      </c>
      <c r="E11" s="285">
        <v>46010</v>
      </c>
      <c r="F11" s="273">
        <f t="shared" si="0"/>
        <v>15000000</v>
      </c>
      <c r="G11" s="286">
        <v>99.211911999999998</v>
      </c>
      <c r="H11" s="183">
        <f t="shared" si="1"/>
        <v>7.2099999999999997E-2</v>
      </c>
      <c r="I11" s="273">
        <f t="shared" si="2"/>
        <v>1081500</v>
      </c>
      <c r="J11" s="273">
        <v>15000000</v>
      </c>
      <c r="K11" s="273">
        <v>15000000</v>
      </c>
      <c r="L11" s="273">
        <v>15000000</v>
      </c>
      <c r="M11" s="273">
        <v>15000000</v>
      </c>
      <c r="N11" s="273">
        <v>15000000</v>
      </c>
      <c r="O11" s="273">
        <v>15000000</v>
      </c>
      <c r="P11" s="273">
        <v>15000000</v>
      </c>
      <c r="Q11" s="273">
        <v>15000000</v>
      </c>
      <c r="R11" s="273">
        <v>15000000</v>
      </c>
      <c r="S11" s="273">
        <v>15000000</v>
      </c>
      <c r="T11" s="273">
        <v>15000000</v>
      </c>
      <c r="U11" s="273">
        <v>15000000</v>
      </c>
      <c r="V11" s="273">
        <v>15000000</v>
      </c>
      <c r="Y11" s="273">
        <f t="shared" si="3"/>
        <v>1081500</v>
      </c>
      <c r="Z11" s="27"/>
    </row>
    <row r="12" spans="1:26" s="28" customFormat="1">
      <c r="A12" s="134">
        <v>8</v>
      </c>
      <c r="B12" s="138" t="s">
        <v>23</v>
      </c>
      <c r="C12" s="284">
        <v>7.1999999999999995E-2</v>
      </c>
      <c r="D12" s="285">
        <v>35054</v>
      </c>
      <c r="E12" s="285">
        <v>46013</v>
      </c>
      <c r="F12" s="273">
        <f t="shared" si="0"/>
        <v>2000000</v>
      </c>
      <c r="G12" s="286">
        <v>99.211600000000004</v>
      </c>
      <c r="H12" s="183">
        <f t="shared" si="1"/>
        <v>7.2599999999999998E-2</v>
      </c>
      <c r="I12" s="273">
        <f t="shared" si="2"/>
        <v>145200</v>
      </c>
      <c r="J12" s="273">
        <v>2000000</v>
      </c>
      <c r="K12" s="273">
        <v>2000000</v>
      </c>
      <c r="L12" s="273">
        <v>2000000</v>
      </c>
      <c r="M12" s="273">
        <v>2000000</v>
      </c>
      <c r="N12" s="273">
        <v>2000000</v>
      </c>
      <c r="O12" s="273">
        <v>2000000</v>
      </c>
      <c r="P12" s="273">
        <v>2000000</v>
      </c>
      <c r="Q12" s="273">
        <v>2000000</v>
      </c>
      <c r="R12" s="273">
        <v>2000000</v>
      </c>
      <c r="S12" s="273">
        <v>2000000</v>
      </c>
      <c r="T12" s="273">
        <v>2000000</v>
      </c>
      <c r="U12" s="273">
        <v>2000000</v>
      </c>
      <c r="V12" s="273">
        <v>2000000</v>
      </c>
      <c r="Y12" s="273">
        <f t="shared" si="3"/>
        <v>145200</v>
      </c>
    </row>
    <row r="13" spans="1:26" s="28" customFormat="1">
      <c r="A13" s="367">
        <v>9</v>
      </c>
      <c r="B13" s="138" t="s">
        <v>21</v>
      </c>
      <c r="C13" s="284">
        <v>7.0199999999999999E-2</v>
      </c>
      <c r="D13" s="285">
        <v>35786</v>
      </c>
      <c r="E13" s="285">
        <v>46722</v>
      </c>
      <c r="F13" s="273">
        <f t="shared" si="0"/>
        <v>300000000</v>
      </c>
      <c r="G13" s="286">
        <v>98.985735776666658</v>
      </c>
      <c r="H13" s="183">
        <f t="shared" si="1"/>
        <v>7.0999999999999994E-2</v>
      </c>
      <c r="I13" s="273">
        <f t="shared" si="2"/>
        <v>21300000</v>
      </c>
      <c r="J13" s="273">
        <v>300000000</v>
      </c>
      <c r="K13" s="273">
        <v>300000000</v>
      </c>
      <c r="L13" s="273">
        <v>300000000</v>
      </c>
      <c r="M13" s="273">
        <v>300000000</v>
      </c>
      <c r="N13" s="273">
        <v>300000000</v>
      </c>
      <c r="O13" s="273">
        <v>300000000</v>
      </c>
      <c r="P13" s="273">
        <v>300000000</v>
      </c>
      <c r="Q13" s="273">
        <v>300000000</v>
      </c>
      <c r="R13" s="273">
        <v>300000000</v>
      </c>
      <c r="S13" s="273">
        <v>300000000</v>
      </c>
      <c r="T13" s="273">
        <v>300000000</v>
      </c>
      <c r="U13" s="273">
        <v>300000000</v>
      </c>
      <c r="V13" s="273">
        <v>300000000</v>
      </c>
      <c r="Y13" s="273">
        <f t="shared" si="3"/>
        <v>21299999.999999996</v>
      </c>
    </row>
    <row r="14" spans="1:26">
      <c r="A14" s="134">
        <v>10</v>
      </c>
      <c r="B14" s="138" t="s">
        <v>22</v>
      </c>
      <c r="C14" s="284">
        <v>7.0000000000000007E-2</v>
      </c>
      <c r="D14" s="285">
        <v>36228</v>
      </c>
      <c r="E14" s="285">
        <v>47186</v>
      </c>
      <c r="F14" s="273">
        <f t="shared" si="0"/>
        <v>100000000</v>
      </c>
      <c r="G14" s="286">
        <v>99.042870549999989</v>
      </c>
      <c r="H14" s="183">
        <f t="shared" si="1"/>
        <v>7.0800000000000002E-2</v>
      </c>
      <c r="I14" s="273">
        <f t="shared" si="2"/>
        <v>7080000</v>
      </c>
      <c r="J14" s="273">
        <v>100000000</v>
      </c>
      <c r="K14" s="273">
        <v>100000000</v>
      </c>
      <c r="L14" s="273">
        <v>100000000</v>
      </c>
      <c r="M14" s="273">
        <v>100000000</v>
      </c>
      <c r="N14" s="273">
        <v>100000000</v>
      </c>
      <c r="O14" s="273">
        <v>100000000</v>
      </c>
      <c r="P14" s="273">
        <v>100000000</v>
      </c>
      <c r="Q14" s="273">
        <v>100000000</v>
      </c>
      <c r="R14" s="273">
        <v>100000000</v>
      </c>
      <c r="S14" s="273">
        <v>100000000</v>
      </c>
      <c r="T14" s="273">
        <v>100000000</v>
      </c>
      <c r="U14" s="273">
        <v>100000000</v>
      </c>
      <c r="V14" s="273">
        <v>100000000</v>
      </c>
      <c r="Y14" s="273">
        <f t="shared" si="3"/>
        <v>7080000</v>
      </c>
      <c r="Z14" s="28"/>
    </row>
    <row r="15" spans="1:26">
      <c r="A15" s="367">
        <v>11</v>
      </c>
      <c r="B15" s="287" t="s">
        <v>24</v>
      </c>
      <c r="C15" s="284">
        <v>3.9E-2</v>
      </c>
      <c r="D15" s="288">
        <v>41417</v>
      </c>
      <c r="E15" s="289">
        <v>47908</v>
      </c>
      <c r="F15" s="273">
        <f t="shared" si="0"/>
        <v>138460000</v>
      </c>
      <c r="G15" s="286">
        <v>98.939099999999996</v>
      </c>
      <c r="H15" s="183">
        <f t="shared" ref="H15:H27" si="4">ROUND(YIELD(D15,E15,C15,G15,100,2,2),4)</f>
        <v>3.9800000000000002E-2</v>
      </c>
      <c r="I15" s="273">
        <f t="shared" ref="I15:I27" si="5">ROUND(+H15*F15,0)</f>
        <v>5510708</v>
      </c>
      <c r="J15" s="273">
        <v>138460000</v>
      </c>
      <c r="K15" s="273">
        <v>138460000</v>
      </c>
      <c r="L15" s="273">
        <v>138460000</v>
      </c>
      <c r="M15" s="273">
        <v>138460000</v>
      </c>
      <c r="N15" s="273">
        <v>138460000</v>
      </c>
      <c r="O15" s="273">
        <v>138460000</v>
      </c>
      <c r="P15" s="273">
        <v>138460000</v>
      </c>
      <c r="Q15" s="273">
        <v>138460000</v>
      </c>
      <c r="R15" s="273">
        <v>138460000</v>
      </c>
      <c r="S15" s="273">
        <v>138460000</v>
      </c>
      <c r="T15" s="273">
        <v>138460000</v>
      </c>
      <c r="U15" s="273">
        <v>138460000</v>
      </c>
      <c r="V15" s="273">
        <v>138460000</v>
      </c>
      <c r="Y15" s="273">
        <f t="shared" si="3"/>
        <v>5510708</v>
      </c>
    </row>
    <row r="16" spans="1:26">
      <c r="A16" s="134">
        <v>12</v>
      </c>
      <c r="B16" s="287" t="s">
        <v>24</v>
      </c>
      <c r="C16" s="284">
        <v>0.04</v>
      </c>
      <c r="D16" s="288">
        <v>41417</v>
      </c>
      <c r="E16" s="289">
        <v>47908</v>
      </c>
      <c r="F16" s="273">
        <f t="shared" si="0"/>
        <v>23400000</v>
      </c>
      <c r="G16" s="286">
        <v>98.939099999999996</v>
      </c>
      <c r="H16" s="183">
        <f t="shared" si="4"/>
        <v>4.0800000000000003E-2</v>
      </c>
      <c r="I16" s="273">
        <f t="shared" si="5"/>
        <v>954720</v>
      </c>
      <c r="J16" s="273">
        <v>23400000</v>
      </c>
      <c r="K16" s="273">
        <v>23400000</v>
      </c>
      <c r="L16" s="273">
        <v>23400000</v>
      </c>
      <c r="M16" s="273">
        <v>23400000</v>
      </c>
      <c r="N16" s="273">
        <v>23400000</v>
      </c>
      <c r="O16" s="273">
        <v>23400000</v>
      </c>
      <c r="P16" s="273">
        <v>23400000</v>
      </c>
      <c r="Q16" s="273">
        <v>23400000</v>
      </c>
      <c r="R16" s="273">
        <v>23400000</v>
      </c>
      <c r="S16" s="273">
        <v>23400000</v>
      </c>
      <c r="T16" s="273">
        <v>23400000</v>
      </c>
      <c r="U16" s="273">
        <v>23400000</v>
      </c>
      <c r="V16" s="273">
        <v>23400000</v>
      </c>
      <c r="Y16" s="273">
        <f t="shared" si="3"/>
        <v>954720.00000000012</v>
      </c>
    </row>
    <row r="17" spans="1:26">
      <c r="A17" s="367">
        <v>13</v>
      </c>
      <c r="B17" s="138" t="s">
        <v>95</v>
      </c>
      <c r="C17" s="284">
        <v>5.4829999999999997E-2</v>
      </c>
      <c r="D17" s="285">
        <v>38499</v>
      </c>
      <c r="E17" s="285">
        <v>49461</v>
      </c>
      <c r="F17" s="273">
        <f t="shared" si="0"/>
        <v>250000000</v>
      </c>
      <c r="G17" s="286">
        <v>84.886606835999999</v>
      </c>
      <c r="H17" s="183">
        <f t="shared" si="4"/>
        <v>6.6500000000000004E-2</v>
      </c>
      <c r="I17" s="277">
        <f t="shared" si="5"/>
        <v>16625000</v>
      </c>
      <c r="J17" s="277">
        <v>250000000</v>
      </c>
      <c r="K17" s="277">
        <v>250000000</v>
      </c>
      <c r="L17" s="277">
        <v>250000000</v>
      </c>
      <c r="M17" s="277">
        <v>250000000</v>
      </c>
      <c r="N17" s="277">
        <v>250000000</v>
      </c>
      <c r="O17" s="277">
        <v>250000000</v>
      </c>
      <c r="P17" s="277">
        <v>250000000</v>
      </c>
      <c r="Q17" s="277">
        <v>250000000</v>
      </c>
      <c r="R17" s="277">
        <v>250000000</v>
      </c>
      <c r="S17" s="277">
        <v>250000000</v>
      </c>
      <c r="T17" s="277">
        <v>250000000</v>
      </c>
      <c r="U17" s="277">
        <v>250000000</v>
      </c>
      <c r="V17" s="277">
        <v>250000000</v>
      </c>
      <c r="Y17" s="273">
        <f t="shared" si="3"/>
        <v>16625000</v>
      </c>
    </row>
    <row r="18" spans="1:26">
      <c r="A18" s="134">
        <v>14</v>
      </c>
      <c r="B18" s="138" t="s">
        <v>95</v>
      </c>
      <c r="C18" s="284">
        <v>6.7239999999999994E-2</v>
      </c>
      <c r="D18" s="285">
        <v>38898</v>
      </c>
      <c r="E18" s="285">
        <v>49841</v>
      </c>
      <c r="F18" s="273">
        <f t="shared" si="0"/>
        <v>250000000</v>
      </c>
      <c r="G18" s="286">
        <v>107.515271756</v>
      </c>
      <c r="H18" s="183">
        <f t="shared" si="4"/>
        <v>6.1699999999999998E-2</v>
      </c>
      <c r="I18" s="277">
        <f t="shared" si="5"/>
        <v>15425000</v>
      </c>
      <c r="J18" s="277">
        <v>250000000</v>
      </c>
      <c r="K18" s="277">
        <v>250000000</v>
      </c>
      <c r="L18" s="277">
        <v>250000000</v>
      </c>
      <c r="M18" s="277">
        <v>250000000</v>
      </c>
      <c r="N18" s="277">
        <v>250000000</v>
      </c>
      <c r="O18" s="277">
        <v>250000000</v>
      </c>
      <c r="P18" s="277">
        <v>250000000</v>
      </c>
      <c r="Q18" s="277">
        <v>250000000</v>
      </c>
      <c r="R18" s="277">
        <v>250000000</v>
      </c>
      <c r="S18" s="277">
        <v>250000000</v>
      </c>
      <c r="T18" s="277">
        <v>250000000</v>
      </c>
      <c r="U18" s="277">
        <v>250000000</v>
      </c>
      <c r="V18" s="277">
        <v>250000000</v>
      </c>
      <c r="Y18" s="273">
        <f t="shared" si="3"/>
        <v>15425000</v>
      </c>
    </row>
    <row r="19" spans="1:26">
      <c r="A19" s="367">
        <v>15</v>
      </c>
      <c r="B19" s="138" t="s">
        <v>95</v>
      </c>
      <c r="C19" s="284">
        <v>6.2740000000000004E-2</v>
      </c>
      <c r="D19" s="285">
        <v>38978</v>
      </c>
      <c r="E19" s="285">
        <v>50114</v>
      </c>
      <c r="F19" s="273">
        <f t="shared" si="0"/>
        <v>300000000</v>
      </c>
      <c r="G19" s="286">
        <v>98.812700000000007</v>
      </c>
      <c r="H19" s="183">
        <f t="shared" si="4"/>
        <v>6.3600000000000004E-2</v>
      </c>
      <c r="I19" s="277">
        <f t="shared" si="5"/>
        <v>19080000</v>
      </c>
      <c r="J19" s="277">
        <v>300000000</v>
      </c>
      <c r="K19" s="277">
        <v>300000000</v>
      </c>
      <c r="L19" s="277">
        <v>300000000</v>
      </c>
      <c r="M19" s="277">
        <v>300000000</v>
      </c>
      <c r="N19" s="277">
        <v>300000000</v>
      </c>
      <c r="O19" s="277">
        <v>300000000</v>
      </c>
      <c r="P19" s="277">
        <v>300000000</v>
      </c>
      <c r="Q19" s="277">
        <v>300000000</v>
      </c>
      <c r="R19" s="277">
        <v>300000000</v>
      </c>
      <c r="S19" s="277">
        <v>300000000</v>
      </c>
      <c r="T19" s="277">
        <v>300000000</v>
      </c>
      <c r="U19" s="277">
        <v>300000000</v>
      </c>
      <c r="V19" s="277">
        <v>300000000</v>
      </c>
      <c r="Y19" s="273">
        <f t="shared" si="3"/>
        <v>19080000</v>
      </c>
    </row>
    <row r="20" spans="1:26">
      <c r="A20" s="134">
        <v>16</v>
      </c>
      <c r="B20" s="138" t="s">
        <v>95</v>
      </c>
      <c r="C20" s="284">
        <v>5.7570000000000003E-2</v>
      </c>
      <c r="D20" s="285">
        <v>40067</v>
      </c>
      <c r="E20" s="285">
        <v>51058</v>
      </c>
      <c r="F20" s="273">
        <f t="shared" si="0"/>
        <v>350000000</v>
      </c>
      <c r="G20" s="286">
        <v>98.983599999999996</v>
      </c>
      <c r="H20" s="183">
        <f t="shared" si="4"/>
        <v>5.8299999999999998E-2</v>
      </c>
      <c r="I20" s="277">
        <f t="shared" si="5"/>
        <v>20405000</v>
      </c>
      <c r="J20" s="277">
        <v>350000000</v>
      </c>
      <c r="K20" s="277">
        <v>350000000</v>
      </c>
      <c r="L20" s="277">
        <v>350000000</v>
      </c>
      <c r="M20" s="277">
        <v>350000000</v>
      </c>
      <c r="N20" s="277">
        <v>350000000</v>
      </c>
      <c r="O20" s="277">
        <v>350000000</v>
      </c>
      <c r="P20" s="277">
        <v>350000000</v>
      </c>
      <c r="Q20" s="277">
        <v>350000000</v>
      </c>
      <c r="R20" s="277">
        <v>350000000</v>
      </c>
      <c r="S20" s="277">
        <v>350000000</v>
      </c>
      <c r="T20" s="277">
        <v>350000000</v>
      </c>
      <c r="U20" s="277">
        <v>350000000</v>
      </c>
      <c r="V20" s="277">
        <v>350000000</v>
      </c>
      <c r="Y20" s="273">
        <f t="shared" si="3"/>
        <v>20405000</v>
      </c>
    </row>
    <row r="21" spans="1:26">
      <c r="A21" s="367">
        <v>17</v>
      </c>
      <c r="B21" s="138" t="s">
        <v>95</v>
      </c>
      <c r="C21" s="284">
        <v>5.7950000000000002E-2</v>
      </c>
      <c r="D21" s="285">
        <v>40245</v>
      </c>
      <c r="E21" s="285">
        <v>51210</v>
      </c>
      <c r="F21" s="273">
        <f t="shared" si="0"/>
        <v>325000000</v>
      </c>
      <c r="G21" s="286">
        <v>98.958799999999997</v>
      </c>
      <c r="H21" s="183">
        <f t="shared" si="4"/>
        <v>5.8700000000000002E-2</v>
      </c>
      <c r="I21" s="277">
        <f t="shared" si="5"/>
        <v>19077500</v>
      </c>
      <c r="J21" s="277">
        <v>325000000</v>
      </c>
      <c r="K21" s="277">
        <v>325000000</v>
      </c>
      <c r="L21" s="277">
        <v>325000000</v>
      </c>
      <c r="M21" s="277">
        <v>325000000</v>
      </c>
      <c r="N21" s="277">
        <v>325000000</v>
      </c>
      <c r="O21" s="277">
        <v>325000000</v>
      </c>
      <c r="P21" s="277">
        <v>325000000</v>
      </c>
      <c r="Q21" s="277">
        <v>325000000</v>
      </c>
      <c r="R21" s="277">
        <v>325000000</v>
      </c>
      <c r="S21" s="277">
        <v>325000000</v>
      </c>
      <c r="T21" s="277">
        <v>325000000</v>
      </c>
      <c r="U21" s="277">
        <v>325000000</v>
      </c>
      <c r="V21" s="277">
        <v>325000000</v>
      </c>
      <c r="Y21" s="273">
        <f t="shared" si="3"/>
        <v>19077500</v>
      </c>
    </row>
    <row r="22" spans="1:26">
      <c r="A22" s="134">
        <v>18</v>
      </c>
      <c r="B22" s="138" t="s">
        <v>95</v>
      </c>
      <c r="C22" s="284">
        <v>5.7639999999999997E-2</v>
      </c>
      <c r="D22" s="285">
        <v>40358</v>
      </c>
      <c r="E22" s="285">
        <v>51332</v>
      </c>
      <c r="F22" s="273">
        <f t="shared" si="0"/>
        <v>250000000</v>
      </c>
      <c r="G22" s="286">
        <v>98.965199999999996</v>
      </c>
      <c r="H22" s="183">
        <f t="shared" si="4"/>
        <v>5.8400000000000001E-2</v>
      </c>
      <c r="I22" s="277">
        <f t="shared" si="5"/>
        <v>14600000</v>
      </c>
      <c r="J22" s="277">
        <v>250000000</v>
      </c>
      <c r="K22" s="277">
        <v>250000000</v>
      </c>
      <c r="L22" s="277">
        <v>250000000</v>
      </c>
      <c r="M22" s="277">
        <v>250000000</v>
      </c>
      <c r="N22" s="277">
        <v>250000000</v>
      </c>
      <c r="O22" s="277">
        <v>250000000</v>
      </c>
      <c r="P22" s="277">
        <v>250000000</v>
      </c>
      <c r="Q22" s="277">
        <v>250000000</v>
      </c>
      <c r="R22" s="277">
        <v>250000000</v>
      </c>
      <c r="S22" s="277">
        <v>250000000</v>
      </c>
      <c r="T22" s="277">
        <v>250000000</v>
      </c>
      <c r="U22" s="277">
        <v>250000000</v>
      </c>
      <c r="V22" s="277">
        <v>250000000</v>
      </c>
      <c r="Y22" s="273">
        <f t="shared" si="3"/>
        <v>14600000</v>
      </c>
    </row>
    <row r="23" spans="1:26">
      <c r="A23" s="367">
        <v>19</v>
      </c>
      <c r="B23" s="138" t="s">
        <v>95</v>
      </c>
      <c r="C23" s="284">
        <v>5.638E-2</v>
      </c>
      <c r="D23" s="285">
        <v>40627</v>
      </c>
      <c r="E23" s="285">
        <v>51606</v>
      </c>
      <c r="F23" s="273">
        <f t="shared" si="0"/>
        <v>300000000</v>
      </c>
      <c r="G23" s="286">
        <v>98.971000000000004</v>
      </c>
      <c r="H23" s="183">
        <f t="shared" si="4"/>
        <v>5.7099999999999998E-2</v>
      </c>
      <c r="I23" s="277">
        <f t="shared" si="5"/>
        <v>17130000</v>
      </c>
      <c r="J23" s="277">
        <v>300000000</v>
      </c>
      <c r="K23" s="277">
        <v>300000000</v>
      </c>
      <c r="L23" s="277">
        <v>300000000</v>
      </c>
      <c r="M23" s="277">
        <v>300000000</v>
      </c>
      <c r="N23" s="277">
        <v>300000000</v>
      </c>
      <c r="O23" s="277">
        <v>300000000</v>
      </c>
      <c r="P23" s="277">
        <v>300000000</v>
      </c>
      <c r="Q23" s="277">
        <v>300000000</v>
      </c>
      <c r="R23" s="277">
        <v>300000000</v>
      </c>
      <c r="S23" s="277">
        <v>300000000</v>
      </c>
      <c r="T23" s="277">
        <v>300000000</v>
      </c>
      <c r="U23" s="277">
        <v>300000000</v>
      </c>
      <c r="V23" s="277">
        <v>300000000</v>
      </c>
      <c r="Y23" s="273">
        <f t="shared" si="3"/>
        <v>17130000</v>
      </c>
    </row>
    <row r="24" spans="1:26">
      <c r="A24" s="134">
        <v>20</v>
      </c>
      <c r="B24" s="138" t="s">
        <v>95</v>
      </c>
      <c r="C24" s="284">
        <v>4.4339999999999997E-2</v>
      </c>
      <c r="D24" s="285">
        <v>40863</v>
      </c>
      <c r="E24" s="285">
        <v>51820</v>
      </c>
      <c r="F24" s="273">
        <f t="shared" si="0"/>
        <v>250000000</v>
      </c>
      <c r="G24" s="286">
        <v>98.962999999999994</v>
      </c>
      <c r="H24" s="183">
        <f t="shared" si="4"/>
        <v>4.4999999999999998E-2</v>
      </c>
      <c r="I24" s="277">
        <f t="shared" si="5"/>
        <v>11250000</v>
      </c>
      <c r="J24" s="277">
        <v>250000000</v>
      </c>
      <c r="K24" s="277">
        <v>250000000</v>
      </c>
      <c r="L24" s="277">
        <v>250000000</v>
      </c>
      <c r="M24" s="277">
        <v>250000000</v>
      </c>
      <c r="N24" s="277">
        <v>250000000</v>
      </c>
      <c r="O24" s="277">
        <v>250000000</v>
      </c>
      <c r="P24" s="277">
        <v>250000000</v>
      </c>
      <c r="Q24" s="277">
        <v>250000000</v>
      </c>
      <c r="R24" s="277">
        <v>250000000</v>
      </c>
      <c r="S24" s="277">
        <v>250000000</v>
      </c>
      <c r="T24" s="277">
        <v>250000000</v>
      </c>
      <c r="U24" s="277">
        <v>250000000</v>
      </c>
      <c r="V24" s="277">
        <v>250000000</v>
      </c>
      <c r="Y24" s="273">
        <f t="shared" si="3"/>
        <v>11250000</v>
      </c>
    </row>
    <row r="25" spans="1:26">
      <c r="A25" s="367">
        <v>21</v>
      </c>
      <c r="B25" s="138" t="s">
        <v>95</v>
      </c>
      <c r="C25" s="284">
        <v>4.7E-2</v>
      </c>
      <c r="D25" s="285">
        <v>40869</v>
      </c>
      <c r="E25" s="285">
        <v>55472</v>
      </c>
      <c r="F25" s="273">
        <f t="shared" si="0"/>
        <v>45000000</v>
      </c>
      <c r="G25" s="286">
        <v>98.863900000000001</v>
      </c>
      <c r="H25" s="183">
        <f t="shared" si="4"/>
        <v>4.7600000000000003E-2</v>
      </c>
      <c r="I25" s="277">
        <f t="shared" si="5"/>
        <v>2142000</v>
      </c>
      <c r="J25" s="277">
        <v>45000000</v>
      </c>
      <c r="K25" s="277">
        <v>45000000</v>
      </c>
      <c r="L25" s="277">
        <v>45000000</v>
      </c>
      <c r="M25" s="277">
        <v>45000000</v>
      </c>
      <c r="N25" s="277">
        <v>45000000</v>
      </c>
      <c r="O25" s="277">
        <v>45000000</v>
      </c>
      <c r="P25" s="277">
        <v>45000000</v>
      </c>
      <c r="Q25" s="277">
        <v>45000000</v>
      </c>
      <c r="R25" s="277">
        <v>45000000</v>
      </c>
      <c r="S25" s="277">
        <v>45000000</v>
      </c>
      <c r="T25" s="277">
        <v>45000000</v>
      </c>
      <c r="U25" s="277">
        <v>45000000</v>
      </c>
      <c r="V25" s="277">
        <v>45000000</v>
      </c>
      <c r="Y25" s="273">
        <f t="shared" si="3"/>
        <v>2142000</v>
      </c>
    </row>
    <row r="26" spans="1:26">
      <c r="A26" s="134">
        <v>22</v>
      </c>
      <c r="B26" s="138" t="s">
        <v>126</v>
      </c>
      <c r="C26" s="284">
        <v>6.9739999999999996E-2</v>
      </c>
      <c r="D26" s="285">
        <v>39237</v>
      </c>
      <c r="E26" s="285">
        <v>42887</v>
      </c>
      <c r="F26" s="273">
        <f t="shared" si="0"/>
        <v>250000000</v>
      </c>
      <c r="G26" s="286">
        <v>98.226200000000006</v>
      </c>
      <c r="H26" s="183">
        <f t="shared" si="4"/>
        <v>7.2300000000000003E-2</v>
      </c>
      <c r="I26" s="277">
        <f t="shared" si="5"/>
        <v>18075000</v>
      </c>
      <c r="J26" s="273">
        <v>250000000</v>
      </c>
      <c r="K26" s="273">
        <v>250000000</v>
      </c>
      <c r="L26" s="273">
        <v>250000000</v>
      </c>
      <c r="M26" s="273">
        <v>250000000</v>
      </c>
      <c r="N26" s="273">
        <v>250000000</v>
      </c>
      <c r="O26" s="273">
        <v>250000000</v>
      </c>
      <c r="P26" s="273">
        <v>250000000</v>
      </c>
      <c r="Q26" s="273">
        <v>250000000</v>
      </c>
      <c r="R26" s="273">
        <v>250000000</v>
      </c>
      <c r="S26" s="273">
        <v>250000000</v>
      </c>
      <c r="T26" s="273">
        <v>250000000</v>
      </c>
      <c r="U26" s="273">
        <v>250000000</v>
      </c>
      <c r="V26" s="273">
        <v>250000000</v>
      </c>
      <c r="Y26" s="273">
        <f t="shared" si="3"/>
        <v>18075000</v>
      </c>
    </row>
    <row r="27" spans="1:26">
      <c r="A27" s="367">
        <v>23</v>
      </c>
      <c r="B27" s="138" t="s">
        <v>95</v>
      </c>
      <c r="C27" s="284">
        <v>4.2999999999999997E-2</v>
      </c>
      <c r="D27" s="285">
        <v>42150</v>
      </c>
      <c r="E27" s="285">
        <v>53102</v>
      </c>
      <c r="F27" s="273">
        <f t="shared" si="0"/>
        <v>425000000</v>
      </c>
      <c r="G27" s="286">
        <v>98.483341649411756</v>
      </c>
      <c r="H27" s="183">
        <f t="shared" si="4"/>
        <v>4.3900000000000002E-2</v>
      </c>
      <c r="I27" s="277">
        <f t="shared" si="5"/>
        <v>18657500</v>
      </c>
      <c r="J27" s="273">
        <v>425000000</v>
      </c>
      <c r="K27" s="273">
        <v>425000000</v>
      </c>
      <c r="L27" s="273">
        <v>425000000</v>
      </c>
      <c r="M27" s="273">
        <v>425000000</v>
      </c>
      <c r="N27" s="273">
        <v>425000000</v>
      </c>
      <c r="O27" s="273">
        <v>425000000</v>
      </c>
      <c r="P27" s="273">
        <v>425000000</v>
      </c>
      <c r="Q27" s="273">
        <v>425000000</v>
      </c>
      <c r="R27" s="273">
        <v>425000000</v>
      </c>
      <c r="S27" s="273">
        <v>425000000</v>
      </c>
      <c r="T27" s="273">
        <v>425000000</v>
      </c>
      <c r="U27" s="273">
        <v>425000000</v>
      </c>
      <c r="V27" s="273">
        <v>425000000</v>
      </c>
      <c r="Y27" s="273">
        <f t="shared" si="3"/>
        <v>18657500</v>
      </c>
    </row>
    <row r="28" spans="1:26">
      <c r="A28" s="134">
        <v>24</v>
      </c>
      <c r="B28" s="138"/>
      <c r="C28" s="284"/>
      <c r="D28" s="285"/>
      <c r="E28" s="285"/>
      <c r="F28" s="273">
        <f t="shared" si="0"/>
        <v>0</v>
      </c>
      <c r="G28" s="294"/>
      <c r="H28" s="183"/>
      <c r="I28" s="277"/>
      <c r="J28" s="273"/>
      <c r="K28" s="273"/>
      <c r="L28" s="273"/>
      <c r="M28" s="273"/>
      <c r="N28" s="273"/>
      <c r="O28" s="273"/>
      <c r="P28" s="273"/>
      <c r="Q28" s="273"/>
      <c r="R28" s="273"/>
      <c r="S28" s="273"/>
      <c r="T28" s="273"/>
      <c r="U28" s="273"/>
      <c r="V28" s="273"/>
      <c r="Y28" s="482">
        <f>SUM(Y6:Y26)</f>
        <v>203541628</v>
      </c>
    </row>
    <row r="29" spans="1:26" ht="13.8" thickBot="1">
      <c r="A29" s="367">
        <v>25</v>
      </c>
      <c r="B29" s="138"/>
      <c r="C29" s="140" t="s">
        <v>116</v>
      </c>
      <c r="D29" s="285"/>
      <c r="E29" s="285"/>
      <c r="F29" s="273"/>
      <c r="G29" s="290"/>
      <c r="H29" s="183"/>
      <c r="I29" s="291">
        <f>'Pg 7 Reacquired Debt'!I30</f>
        <v>2269845.2399999998</v>
      </c>
      <c r="J29" s="231"/>
      <c r="K29" s="231"/>
      <c r="L29" s="231"/>
      <c r="M29" s="231"/>
      <c r="N29" s="231"/>
      <c r="O29" s="231"/>
      <c r="P29" s="231"/>
      <c r="Q29" s="231"/>
      <c r="R29" s="231"/>
      <c r="S29" s="231"/>
      <c r="T29" s="231"/>
      <c r="U29" s="231"/>
      <c r="V29" s="231"/>
      <c r="Y29" s="482">
        <f>I29</f>
        <v>2269845.2399999998</v>
      </c>
    </row>
    <row r="30" spans="1:26" ht="13.8" thickBot="1">
      <c r="A30" s="134">
        <v>26</v>
      </c>
      <c r="B30" s="140" t="s">
        <v>129</v>
      </c>
      <c r="C30" s="284"/>
      <c r="D30" s="285"/>
      <c r="E30" s="285"/>
      <c r="F30" s="291">
        <f>SUM(F6:F29)</f>
        <v>3776360000</v>
      </c>
      <c r="G30" s="292"/>
      <c r="H30" s="216">
        <f>ROUND(+I30/F30,4)</f>
        <v>5.9499999999999997E-2</v>
      </c>
      <c r="I30" s="295">
        <f t="shared" ref="I30:V30" si="6">SUM(I6:I29)</f>
        <v>224655515.24000001</v>
      </c>
      <c r="J30" s="295">
        <f>SUM(J6:J29)</f>
        <v>3785860000</v>
      </c>
      <c r="K30" s="295">
        <f>SUM(K6:K29)</f>
        <v>3785860000</v>
      </c>
      <c r="L30" s="295">
        <f>SUM(L6:L29)</f>
        <v>3785860000</v>
      </c>
      <c r="M30" s="295">
        <f t="shared" si="6"/>
        <v>3773860000</v>
      </c>
      <c r="N30" s="295">
        <f t="shared" si="6"/>
        <v>3773860000</v>
      </c>
      <c r="O30" s="295">
        <f t="shared" si="6"/>
        <v>3773860000</v>
      </c>
      <c r="P30" s="295">
        <f t="shared" si="6"/>
        <v>3773860000</v>
      </c>
      <c r="Q30" s="295">
        <f t="shared" si="6"/>
        <v>3773860000</v>
      </c>
      <c r="R30" s="295">
        <f t="shared" si="6"/>
        <v>3773860000</v>
      </c>
      <c r="S30" s="295">
        <f t="shared" si="6"/>
        <v>3773860000</v>
      </c>
      <c r="T30" s="295">
        <f t="shared" si="6"/>
        <v>3773860000</v>
      </c>
      <c r="U30" s="295">
        <f t="shared" si="6"/>
        <v>3773860000</v>
      </c>
      <c r="V30" s="295">
        <f t="shared" si="6"/>
        <v>3773860000</v>
      </c>
      <c r="Y30" s="295">
        <f>SUM(Y28:Y29)</f>
        <v>205811473.24000001</v>
      </c>
      <c r="Z30" s="483">
        <f>Y30/V30</f>
        <v>5.4536064729481221E-2</v>
      </c>
    </row>
    <row r="31" spans="1:26">
      <c r="A31" s="367">
        <v>27</v>
      </c>
      <c r="B31" s="138"/>
      <c r="C31" s="284"/>
      <c r="D31" s="285"/>
      <c r="E31" s="285"/>
      <c r="F31" s="293"/>
      <c r="G31" s="290"/>
      <c r="H31" s="246"/>
      <c r="I31" s="293"/>
      <c r="J31" s="505"/>
      <c r="K31" s="505"/>
      <c r="L31" s="505"/>
      <c r="M31" s="505"/>
      <c r="N31" s="505"/>
      <c r="O31" s="505"/>
      <c r="P31" s="505"/>
      <c r="Q31" s="505"/>
      <c r="R31" s="505"/>
      <c r="S31" s="505"/>
      <c r="T31" s="505"/>
      <c r="U31" s="505"/>
      <c r="V31" s="505"/>
      <c r="Y31" s="274">
        <f>H31*V31</f>
        <v>0</v>
      </c>
    </row>
    <row r="32" spans="1:26">
      <c r="A32" s="134">
        <v>28</v>
      </c>
      <c r="B32" s="136" t="s">
        <v>85</v>
      </c>
      <c r="C32" s="137"/>
      <c r="D32" s="137"/>
      <c r="E32" s="137"/>
      <c r="F32" s="137"/>
      <c r="G32" s="137"/>
      <c r="H32" s="137"/>
      <c r="I32" s="137"/>
      <c r="Y32" s="293"/>
      <c r="Z32" s="246"/>
    </row>
    <row r="33" spans="1:56">
      <c r="A33" s="367">
        <v>29</v>
      </c>
      <c r="B33" s="136" t="s">
        <v>93</v>
      </c>
      <c r="C33" s="137"/>
      <c r="D33" s="137"/>
      <c r="E33" s="137"/>
      <c r="F33" s="137"/>
      <c r="G33" s="139"/>
      <c r="H33" s="137"/>
      <c r="I33" s="137"/>
    </row>
    <row r="34" spans="1:56">
      <c r="A34" s="134"/>
      <c r="B34" s="136"/>
      <c r="C34" s="137"/>
      <c r="D34" s="137"/>
      <c r="E34" s="137"/>
      <c r="F34" s="137"/>
      <c r="G34" s="139"/>
      <c r="H34" s="137"/>
      <c r="I34" s="137"/>
    </row>
    <row r="35" spans="1:56">
      <c r="A35" s="134"/>
      <c r="B35" s="136"/>
      <c r="C35" s="137"/>
      <c r="D35" s="137"/>
      <c r="E35" s="137"/>
      <c r="F35" s="137"/>
      <c r="G35" s="139"/>
      <c r="H35" s="137"/>
      <c r="I35" s="137"/>
    </row>
    <row r="36" spans="1:56">
      <c r="A36" s="134"/>
      <c r="B36" s="135"/>
      <c r="C36" s="135"/>
      <c r="D36" s="135"/>
      <c r="E36" s="325" t="str">
        <f>IF((F30-'Pg 2 CapStructure'!Q16)&gt;1,"Total LTD ERROR",IF((F30-'Pg 2 CapStructure'!Q16)&lt;-1,"Total LTD ERROR",""))</f>
        <v>Total LTD ERROR</v>
      </c>
      <c r="G36" s="135"/>
      <c r="H36" s="296"/>
      <c r="I36" s="297"/>
      <c r="J36" s="298"/>
      <c r="K36" s="298"/>
      <c r="L36" s="298"/>
      <c r="M36" s="298"/>
      <c r="N36" s="298"/>
      <c r="O36" s="298"/>
      <c r="P36" s="298"/>
      <c r="Q36" s="298"/>
      <c r="R36" s="298"/>
      <c r="S36" s="298"/>
      <c r="T36" s="298"/>
      <c r="U36" s="298"/>
      <c r="V36" s="29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row>
    <row r="37" spans="1:56">
      <c r="A37" s="44"/>
      <c r="B37" s="299"/>
      <c r="C37" s="299"/>
      <c r="D37" s="299"/>
      <c r="E37" s="299"/>
      <c r="F37" s="272"/>
      <c r="G37" s="299"/>
      <c r="H37" s="137"/>
      <c r="I37" s="179"/>
      <c r="J37" s="300"/>
      <c r="K37" s="300"/>
      <c r="L37" s="300"/>
      <c r="M37" s="300"/>
      <c r="N37" s="138"/>
      <c r="O37" s="138"/>
      <c r="P37" s="138"/>
      <c r="Q37" s="138"/>
      <c r="R37" s="138"/>
      <c r="S37" s="138"/>
      <c r="T37" s="138"/>
      <c r="U37" s="138"/>
      <c r="V37" s="138"/>
    </row>
    <row r="38" spans="1:56">
      <c r="A38" s="44"/>
      <c r="B38" s="299"/>
      <c r="C38" s="299"/>
      <c r="D38" s="299"/>
      <c r="E38" s="299"/>
      <c r="F38" s="271"/>
      <c r="G38" s="299"/>
      <c r="H38" s="135"/>
      <c r="I38" s="297"/>
      <c r="J38" s="274"/>
      <c r="K38" s="274"/>
      <c r="L38" s="274"/>
      <c r="M38" s="274"/>
      <c r="N38" s="274"/>
      <c r="O38" s="274"/>
      <c r="P38" s="274"/>
      <c r="Q38" s="274"/>
      <c r="R38" s="274"/>
      <c r="S38" s="274"/>
      <c r="T38" s="274"/>
      <c r="U38" s="274"/>
      <c r="V38" s="274"/>
    </row>
    <row r="39" spans="1:56">
      <c r="A39" s="44"/>
      <c r="B39" s="28"/>
      <c r="C39" s="28"/>
      <c r="D39" s="28"/>
      <c r="E39" s="28"/>
      <c r="F39" s="272"/>
      <c r="G39" s="28"/>
      <c r="H39" s="28"/>
      <c r="I39" s="45"/>
      <c r="J39" s="221" t="str">
        <f t="shared" ref="J39:V39" si="7">IF(J38&lt;&gt;0,"ERROR","")</f>
        <v/>
      </c>
      <c r="K39" s="221" t="str">
        <f t="shared" si="7"/>
        <v/>
      </c>
      <c r="L39" s="221" t="str">
        <f t="shared" si="7"/>
        <v/>
      </c>
      <c r="M39" s="221" t="str">
        <f t="shared" si="7"/>
        <v/>
      </c>
      <c r="N39" s="221" t="str">
        <f t="shared" si="7"/>
        <v/>
      </c>
      <c r="O39" s="221" t="str">
        <f t="shared" si="7"/>
        <v/>
      </c>
      <c r="P39" s="221" t="str">
        <f t="shared" si="7"/>
        <v/>
      </c>
      <c r="Q39" s="221" t="str">
        <f t="shared" si="7"/>
        <v/>
      </c>
      <c r="R39" s="221" t="str">
        <f t="shared" si="7"/>
        <v/>
      </c>
      <c r="S39" s="221" t="str">
        <f t="shared" si="7"/>
        <v/>
      </c>
      <c r="T39" s="221" t="str">
        <f t="shared" si="7"/>
        <v/>
      </c>
      <c r="U39" s="221" t="str">
        <f t="shared" si="7"/>
        <v/>
      </c>
      <c r="V39" s="44" t="str">
        <f t="shared" si="7"/>
        <v/>
      </c>
    </row>
    <row r="40" spans="1:56">
      <c r="A40" s="44"/>
      <c r="B40" s="28"/>
      <c r="C40" s="28"/>
      <c r="D40" s="28"/>
      <c r="E40" s="28"/>
      <c r="F40" s="45"/>
      <c r="G40" s="28"/>
      <c r="H40" s="183"/>
    </row>
    <row r="41" spans="1:56">
      <c r="A41" s="46"/>
      <c r="B41" s="47"/>
      <c r="C41" s="48"/>
      <c r="D41" s="49"/>
      <c r="E41" s="49"/>
      <c r="F41" s="262"/>
      <c r="G41" s="51"/>
      <c r="H41" s="183"/>
      <c r="I41" s="97"/>
    </row>
    <row r="42" spans="1:56">
      <c r="A42" s="46"/>
      <c r="B42" s="47"/>
      <c r="C42" s="48"/>
      <c r="D42" s="49"/>
      <c r="E42" s="49"/>
      <c r="F42" s="50"/>
      <c r="G42" s="51"/>
      <c r="H42" s="52"/>
      <c r="I42" s="53"/>
    </row>
    <row r="43" spans="1:56">
      <c r="A43" s="46"/>
      <c r="B43" s="47"/>
      <c r="C43" s="48"/>
      <c r="D43" s="49"/>
      <c r="E43" s="49"/>
      <c r="F43" s="50"/>
      <c r="G43" s="51"/>
      <c r="H43" s="52"/>
      <c r="I43" s="53"/>
    </row>
    <row r="44" spans="1:56" hidden="1">
      <c r="A44" s="54"/>
      <c r="B44" s="28"/>
      <c r="C44" s="28"/>
      <c r="D44" s="28"/>
      <c r="E44" s="28"/>
      <c r="F44" s="45"/>
      <c r="G44" s="28"/>
      <c r="H44" s="55"/>
      <c r="I44" s="45"/>
    </row>
    <row r="45" spans="1:56" hidden="1">
      <c r="A45" s="54"/>
      <c r="B45" s="28"/>
      <c r="C45" s="28"/>
      <c r="D45" s="28"/>
      <c r="E45" s="28"/>
      <c r="F45" s="45"/>
      <c r="G45" s="28"/>
      <c r="H45" s="56"/>
      <c r="I45" s="45"/>
    </row>
    <row r="46" spans="1:56" hidden="1">
      <c r="A46" s="54"/>
      <c r="B46" s="28"/>
      <c r="C46" s="28"/>
      <c r="D46" s="28"/>
      <c r="E46" s="28"/>
      <c r="F46" s="45"/>
      <c r="G46" s="28"/>
      <c r="H46" s="28"/>
      <c r="I46" s="45"/>
    </row>
    <row r="47" spans="1:56">
      <c r="A47" s="46"/>
      <c r="B47" s="47"/>
      <c r="C47" s="48"/>
      <c r="D47" s="49"/>
      <c r="E47" s="49"/>
      <c r="F47" s="50"/>
      <c r="G47" s="51"/>
      <c r="H47" s="52"/>
      <c r="I47" s="53"/>
    </row>
    <row r="48" spans="1:56">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honeticPr fontId="24" type="noConversion"/>
  <printOptions horizontalCentered="1"/>
  <pageMargins left="0.2" right="0.2" top="0.41" bottom="0.35" header="0.17" footer="0.17"/>
  <pageSetup scale="89"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S78"/>
  <sheetViews>
    <sheetView zoomScaleNormal="100" workbookViewId="0">
      <pane xSplit="2" ySplit="7" topLeftCell="C8" activePane="bottomRight" state="frozen"/>
      <selection activeCell="D18" sqref="D18"/>
      <selection pane="topRight" activeCell="D18" sqref="D18"/>
      <selection pane="bottomLeft" activeCell="D18" sqref="D18"/>
      <selection pane="bottomRight" activeCell="I28" sqref="I28"/>
    </sheetView>
  </sheetViews>
  <sheetFormatPr defaultColWidth="8.85546875" defaultRowHeight="15" outlineLevelCol="1"/>
  <cols>
    <col min="1" max="1" width="4.7109375" style="31" customWidth="1"/>
    <col min="2" max="2" width="46" style="31" customWidth="1"/>
    <col min="3" max="3" width="10.85546875" style="31" customWidth="1"/>
    <col min="4" max="4" width="11.85546875" style="31" customWidth="1"/>
    <col min="5" max="5" width="12.85546875" style="31" customWidth="1"/>
    <col min="6" max="6" width="15.85546875" style="31" customWidth="1"/>
    <col min="7" max="7" width="13" style="31" customWidth="1"/>
    <col min="8" max="8" width="13.85546875" style="31" customWidth="1"/>
    <col min="9" max="9" width="15.140625" style="31" customWidth="1"/>
    <col min="10" max="10" width="12.140625" style="31" customWidth="1"/>
    <col min="11" max="11" width="6.28515625" style="31" customWidth="1"/>
    <col min="12" max="12" width="12" style="31" hidden="1" customWidth="1" outlineLevel="1"/>
    <col min="13" max="13" width="14.7109375" style="31" hidden="1" customWidth="1" outlineLevel="1"/>
    <col min="14" max="14" width="15.140625" style="31" hidden="1" customWidth="1" outlineLevel="1"/>
    <col min="15" max="15" width="12.140625" style="31" hidden="1" customWidth="1" outlineLevel="1"/>
    <col min="16" max="16" width="9.7109375" style="31" hidden="1" customWidth="1" outlineLevel="1"/>
    <col min="17" max="17" width="13.42578125" style="31" bestFit="1" customWidth="1" collapsed="1"/>
    <col min="18" max="18" width="10.42578125" style="31" bestFit="1" customWidth="1"/>
    <col min="19" max="19" width="9.140625" style="31" bestFit="1" customWidth="1"/>
    <col min="20" max="16384" width="8.85546875" style="31"/>
  </cols>
  <sheetData>
    <row r="1" spans="1:19" ht="12.75" customHeight="1">
      <c r="B1" s="66" t="s">
        <v>25</v>
      </c>
      <c r="C1" s="59"/>
      <c r="D1" s="59"/>
      <c r="E1" s="59"/>
      <c r="F1" s="59"/>
      <c r="G1" s="59"/>
      <c r="H1" s="59"/>
      <c r="I1" s="59"/>
      <c r="J1" s="60"/>
      <c r="K1" s="58"/>
      <c r="L1" s="58"/>
      <c r="M1" s="58"/>
      <c r="N1" s="58"/>
      <c r="O1" s="58"/>
      <c r="P1" s="58"/>
    </row>
    <row r="2" spans="1:19" s="32" customFormat="1" ht="12.75" customHeight="1">
      <c r="B2" s="66" t="s">
        <v>26</v>
      </c>
      <c r="C2" s="59"/>
      <c r="D2" s="59"/>
      <c r="E2" s="59"/>
      <c r="F2" s="59"/>
      <c r="G2" s="59"/>
      <c r="H2" s="59"/>
      <c r="I2" s="59"/>
      <c r="J2" s="62"/>
      <c r="K2" s="58"/>
      <c r="L2" s="58"/>
      <c r="M2" s="58"/>
      <c r="N2" s="58"/>
      <c r="O2" s="58"/>
      <c r="P2" s="58"/>
    </row>
    <row r="3" spans="1:19" s="32" customFormat="1" ht="12.75" customHeight="1">
      <c r="B3" s="599">
        <f>+'Pg 1 CofCap'!B5</f>
        <v>42551</v>
      </c>
      <c r="C3" s="599"/>
      <c r="D3" s="599"/>
      <c r="E3" s="59"/>
      <c r="F3" s="59"/>
      <c r="G3" s="59"/>
      <c r="H3" s="59"/>
      <c r="I3" s="59"/>
      <c r="J3" s="60"/>
      <c r="K3" s="58"/>
      <c r="L3" s="58"/>
      <c r="M3" s="58"/>
      <c r="N3" s="58"/>
      <c r="O3" s="58"/>
      <c r="P3" s="58"/>
    </row>
    <row r="4" spans="1:19" s="32" customFormat="1" ht="12.75" customHeight="1">
      <c r="B4" s="125"/>
      <c r="C4" s="125"/>
      <c r="D4" s="125"/>
      <c r="E4" s="59"/>
      <c r="F4" s="59"/>
      <c r="G4" s="59"/>
      <c r="H4" s="59"/>
      <c r="I4" s="59"/>
      <c r="J4" s="60"/>
      <c r="K4" s="58"/>
      <c r="L4" s="514" t="s">
        <v>232</v>
      </c>
      <c r="M4" s="58"/>
      <c r="N4" s="58"/>
      <c r="O4" s="58"/>
      <c r="P4" s="58"/>
    </row>
    <row r="5" spans="1:19" s="32" customFormat="1" ht="12.75" customHeight="1">
      <c r="A5" s="237">
        <v>1</v>
      </c>
      <c r="B5" s="129" t="s">
        <v>5</v>
      </c>
      <c r="C5" s="129" t="s">
        <v>27</v>
      </c>
      <c r="D5" s="129" t="s">
        <v>52</v>
      </c>
      <c r="E5" s="129" t="s">
        <v>64</v>
      </c>
      <c r="F5" s="129" t="s">
        <v>65</v>
      </c>
      <c r="G5" s="263" t="s">
        <v>66</v>
      </c>
      <c r="H5" s="129" t="s">
        <v>67</v>
      </c>
      <c r="I5" s="129" t="s">
        <v>68</v>
      </c>
      <c r="J5" s="129" t="s">
        <v>69</v>
      </c>
      <c r="K5" s="58"/>
      <c r="L5" s="58"/>
      <c r="M5" s="58"/>
      <c r="N5" s="58"/>
      <c r="O5" s="58"/>
      <c r="P5" s="58"/>
    </row>
    <row r="6" spans="1:19" s="32" customFormat="1" ht="12.75" customHeight="1">
      <c r="A6" s="237">
        <f t="shared" ref="A6:A35" si="0">A5+1</f>
        <v>2</v>
      </c>
      <c r="B6" s="61" t="s">
        <v>2</v>
      </c>
      <c r="C6" s="249" t="s">
        <v>17</v>
      </c>
      <c r="D6" s="250" t="s">
        <v>107</v>
      </c>
      <c r="E6" s="223" t="s">
        <v>143</v>
      </c>
      <c r="F6" s="223" t="s">
        <v>144</v>
      </c>
      <c r="G6" s="223" t="s">
        <v>144</v>
      </c>
      <c r="H6" s="223" t="s">
        <v>70</v>
      </c>
      <c r="I6" s="250" t="s">
        <v>18</v>
      </c>
      <c r="J6" s="60"/>
      <c r="K6" s="58"/>
      <c r="L6" s="513" t="s">
        <v>229</v>
      </c>
      <c r="M6" s="58"/>
      <c r="N6" s="58"/>
      <c r="O6" s="58"/>
      <c r="P6" s="58"/>
    </row>
    <row r="7" spans="1:19" s="32" customFormat="1" ht="12.75" customHeight="1">
      <c r="A7" s="237">
        <f t="shared" si="0"/>
        <v>3</v>
      </c>
      <c r="B7" s="115" t="s">
        <v>17</v>
      </c>
      <c r="C7" s="63" t="s">
        <v>108</v>
      </c>
      <c r="D7" s="63" t="s">
        <v>108</v>
      </c>
      <c r="E7" s="63" t="s">
        <v>108</v>
      </c>
      <c r="F7" s="63" t="s">
        <v>17</v>
      </c>
      <c r="G7" s="63" t="s">
        <v>108</v>
      </c>
      <c r="H7" s="63" t="s">
        <v>145</v>
      </c>
      <c r="I7" s="63" t="s">
        <v>142</v>
      </c>
      <c r="J7" s="64" t="s">
        <v>56</v>
      </c>
      <c r="K7" s="58"/>
      <c r="L7" s="513" t="s">
        <v>230</v>
      </c>
      <c r="M7" s="58"/>
      <c r="N7" s="58"/>
      <c r="O7" s="508">
        <v>40543</v>
      </c>
      <c r="P7" s="58"/>
    </row>
    <row r="8" spans="1:19" s="32" customFormat="1" ht="12.75" customHeight="1">
      <c r="A8" s="237">
        <f t="shared" si="0"/>
        <v>4</v>
      </c>
      <c r="B8" s="116"/>
      <c r="C8" s="117"/>
      <c r="D8" s="117"/>
      <c r="E8" s="117"/>
      <c r="F8" s="117"/>
      <c r="G8" s="117"/>
      <c r="H8" s="301"/>
      <c r="I8" s="65"/>
      <c r="J8" s="118"/>
      <c r="L8" s="509">
        <v>40543</v>
      </c>
      <c r="M8" s="507" t="s">
        <v>226</v>
      </c>
      <c r="N8" s="507" t="s">
        <v>227</v>
      </c>
      <c r="O8" s="507" t="s">
        <v>231</v>
      </c>
      <c r="P8" s="507" t="s">
        <v>228</v>
      </c>
    </row>
    <row r="9" spans="1:19" s="32" customFormat="1" ht="12.75" customHeight="1">
      <c r="A9" s="237">
        <f>A8+1</f>
        <v>5</v>
      </c>
      <c r="B9" s="116">
        <v>0.10249999999999999</v>
      </c>
      <c r="C9" s="117">
        <v>32140</v>
      </c>
      <c r="D9" s="117">
        <v>35779</v>
      </c>
      <c r="E9" s="117">
        <v>35048</v>
      </c>
      <c r="F9" s="117"/>
      <c r="G9" s="117"/>
      <c r="H9" s="301">
        <v>42684</v>
      </c>
      <c r="I9" s="302">
        <v>18336</v>
      </c>
      <c r="J9" s="118">
        <v>18900013</v>
      </c>
      <c r="L9" s="506"/>
      <c r="M9" s="512"/>
      <c r="N9" s="512"/>
      <c r="O9" s="510"/>
      <c r="P9" s="512"/>
      <c r="Q9" s="302" t="s">
        <v>316</v>
      </c>
      <c r="R9" s="302"/>
      <c r="S9" s="580"/>
    </row>
    <row r="10" spans="1:19" s="32" customFormat="1" ht="12.75" customHeight="1">
      <c r="A10" s="237">
        <f t="shared" si="0"/>
        <v>6</v>
      </c>
      <c r="B10" s="116" t="s">
        <v>124</v>
      </c>
      <c r="C10" s="117">
        <v>35587</v>
      </c>
      <c r="D10" s="117">
        <v>46539</v>
      </c>
      <c r="E10" s="117">
        <v>39234</v>
      </c>
      <c r="F10" s="117" t="s">
        <v>133</v>
      </c>
      <c r="G10" s="117">
        <v>39237</v>
      </c>
      <c r="H10" s="301">
        <v>42887</v>
      </c>
      <c r="I10" s="302">
        <f>15912.9*12</f>
        <v>190954.8</v>
      </c>
      <c r="J10" s="118">
        <v>18900383</v>
      </c>
      <c r="L10" s="506"/>
      <c r="M10" s="512"/>
      <c r="N10" s="512"/>
      <c r="O10" s="510"/>
      <c r="P10" s="512"/>
      <c r="Q10" s="302"/>
      <c r="R10" s="302"/>
      <c r="S10" s="580"/>
    </row>
    <row r="11" spans="1:19" s="32" customFormat="1" ht="12.75" customHeight="1">
      <c r="A11" s="237">
        <f t="shared" si="0"/>
        <v>7</v>
      </c>
      <c r="B11" s="116" t="s">
        <v>138</v>
      </c>
      <c r="C11" s="117">
        <v>33410</v>
      </c>
      <c r="D11" s="117">
        <v>37063</v>
      </c>
      <c r="E11" s="117">
        <v>35961</v>
      </c>
      <c r="F11" s="117" t="s">
        <v>134</v>
      </c>
      <c r="G11" s="117">
        <v>35961</v>
      </c>
      <c r="H11" s="301">
        <v>43266</v>
      </c>
      <c r="I11" s="302">
        <v>3498.84</v>
      </c>
      <c r="J11" s="118">
        <v>18900243</v>
      </c>
      <c r="L11" s="506"/>
      <c r="M11" s="512"/>
      <c r="N11" s="512"/>
      <c r="O11" s="510"/>
      <c r="P11" s="512"/>
      <c r="Q11" s="302"/>
      <c r="R11" s="302"/>
      <c r="S11" s="580"/>
    </row>
    <row r="12" spans="1:19" s="32" customFormat="1" ht="12.75" customHeight="1">
      <c r="A12" s="237">
        <f t="shared" si="0"/>
        <v>8</v>
      </c>
      <c r="B12" s="303" t="s">
        <v>44</v>
      </c>
      <c r="C12" s="117">
        <v>33616</v>
      </c>
      <c r="D12" s="117">
        <f>DATE(2022,1,12)</f>
        <v>44573</v>
      </c>
      <c r="E12" s="304">
        <v>37701</v>
      </c>
      <c r="F12" s="304"/>
      <c r="G12" s="304"/>
      <c r="H12" s="301">
        <f>DATE(2022,1,12)</f>
        <v>44573</v>
      </c>
      <c r="I12" s="302">
        <f>95.09*12</f>
        <v>1141.08</v>
      </c>
      <c r="J12" s="118">
        <v>18900293</v>
      </c>
      <c r="L12" s="506"/>
      <c r="M12" s="512"/>
      <c r="N12" s="512"/>
      <c r="O12" s="510"/>
      <c r="P12" s="512"/>
      <c r="Q12" s="302"/>
      <c r="R12" s="302"/>
      <c r="S12" s="580"/>
    </row>
    <row r="13" spans="1:19" s="32" customFormat="1" ht="12.75" customHeight="1">
      <c r="A13" s="237">
        <f t="shared" si="0"/>
        <v>9</v>
      </c>
      <c r="B13" s="303" t="s">
        <v>45</v>
      </c>
      <c r="C13" s="117">
        <v>33616</v>
      </c>
      <c r="D13" s="117">
        <f>DATE(2022,1,13)</f>
        <v>44574</v>
      </c>
      <c r="E13" s="304">
        <v>37701</v>
      </c>
      <c r="F13" s="304"/>
      <c r="G13" s="304"/>
      <c r="H13" s="301">
        <f>DATE(2022,1,13)</f>
        <v>44574</v>
      </c>
      <c r="I13" s="302">
        <f>221.88*12</f>
        <v>2662.56</v>
      </c>
      <c r="J13" s="118">
        <v>18900303</v>
      </c>
      <c r="K13" s="506"/>
      <c r="L13" s="511"/>
      <c r="M13" s="512"/>
      <c r="N13" s="512"/>
      <c r="O13" s="510"/>
      <c r="P13" s="512"/>
      <c r="Q13" s="302"/>
      <c r="R13" s="302"/>
    </row>
    <row r="14" spans="1:19" s="32" customFormat="1" ht="12.75" customHeight="1">
      <c r="A14" s="237">
        <f t="shared" si="0"/>
        <v>10</v>
      </c>
      <c r="B14" s="303" t="s">
        <v>125</v>
      </c>
      <c r="C14" s="117">
        <v>33828</v>
      </c>
      <c r="D14" s="117">
        <v>44785</v>
      </c>
      <c r="E14" s="304">
        <v>37770</v>
      </c>
      <c r="F14" s="304"/>
      <c r="G14" s="304"/>
      <c r="H14" s="301">
        <v>44785</v>
      </c>
      <c r="I14" s="302">
        <f>5207.14*12</f>
        <v>62485.680000000008</v>
      </c>
      <c r="J14" s="118">
        <v>18900323</v>
      </c>
      <c r="L14" s="511"/>
      <c r="M14" s="512"/>
      <c r="N14" s="512"/>
      <c r="O14" s="510"/>
      <c r="P14" s="512"/>
      <c r="Q14" s="302"/>
      <c r="R14" s="302"/>
    </row>
    <row r="15" spans="1:19" s="32" customFormat="1" ht="12.75" customHeight="1">
      <c r="A15" s="237">
        <f t="shared" si="0"/>
        <v>11</v>
      </c>
      <c r="B15" s="303" t="s">
        <v>146</v>
      </c>
      <c r="C15" s="117">
        <v>34199</v>
      </c>
      <c r="D15" s="117">
        <v>45156</v>
      </c>
      <c r="E15" s="304">
        <v>37851</v>
      </c>
      <c r="H15" s="301">
        <v>45156</v>
      </c>
      <c r="I15" s="302">
        <f>887.99*12</f>
        <v>10655.880000000001</v>
      </c>
      <c r="J15" s="118">
        <v>18900353</v>
      </c>
      <c r="K15" s="506"/>
      <c r="L15" s="511"/>
      <c r="M15" s="512"/>
      <c r="N15" s="512"/>
      <c r="O15" s="510"/>
      <c r="P15" s="512"/>
      <c r="Q15" s="302"/>
      <c r="R15" s="302"/>
    </row>
    <row r="16" spans="1:19" s="32" customFormat="1" ht="12.75" customHeight="1">
      <c r="A16" s="237">
        <f t="shared" si="0"/>
        <v>12</v>
      </c>
      <c r="B16" s="116" t="s">
        <v>139</v>
      </c>
      <c r="C16" s="117">
        <v>33161</v>
      </c>
      <c r="D16" s="117">
        <v>35718</v>
      </c>
      <c r="E16" s="117">
        <v>34372</v>
      </c>
      <c r="F16" s="117" t="s">
        <v>135</v>
      </c>
      <c r="G16" s="117">
        <v>34366</v>
      </c>
      <c r="H16" s="301">
        <v>45323</v>
      </c>
      <c r="I16" s="302">
        <v>168880.08</v>
      </c>
      <c r="J16" s="118">
        <v>18900173</v>
      </c>
      <c r="L16" s="506"/>
      <c r="M16" s="512"/>
      <c r="N16" s="512"/>
      <c r="O16" s="510"/>
      <c r="P16" s="512"/>
      <c r="Q16" s="302"/>
      <c r="R16" s="302"/>
    </row>
    <row r="17" spans="1:18" s="32" customFormat="1" ht="12.75" customHeight="1">
      <c r="A17" s="237">
        <f t="shared" si="0"/>
        <v>13</v>
      </c>
      <c r="B17" s="116" t="s">
        <v>123</v>
      </c>
      <c r="C17" s="117">
        <v>35587</v>
      </c>
      <c r="D17" s="117">
        <v>46539</v>
      </c>
      <c r="E17" s="117">
        <v>38504</v>
      </c>
      <c r="F17" s="117"/>
      <c r="G17" s="117"/>
      <c r="H17" s="301">
        <v>46539</v>
      </c>
      <c r="I17" s="302">
        <f>229804.2</f>
        <v>229804.2</v>
      </c>
      <c r="J17" s="118">
        <v>18900193</v>
      </c>
      <c r="L17" s="506"/>
      <c r="M17" s="512"/>
      <c r="N17" s="512"/>
      <c r="O17" s="510"/>
      <c r="P17" s="512"/>
      <c r="Q17" s="302"/>
      <c r="R17" s="302"/>
    </row>
    <row r="18" spans="1:18" s="32" customFormat="1" ht="12.75" customHeight="1">
      <c r="A18" s="237">
        <f t="shared" si="0"/>
        <v>14</v>
      </c>
      <c r="B18" s="303" t="s">
        <v>40</v>
      </c>
      <c r="C18" s="117">
        <v>33457</v>
      </c>
      <c r="D18" s="117">
        <f>DATE(2021,8,1)</f>
        <v>44409</v>
      </c>
      <c r="E18" s="304">
        <v>37691</v>
      </c>
      <c r="F18" s="304" t="s">
        <v>136</v>
      </c>
      <c r="G18" s="304">
        <v>37691</v>
      </c>
      <c r="H18" s="301">
        <v>47908</v>
      </c>
      <c r="I18" s="302">
        <v>45480.480000000003</v>
      </c>
      <c r="J18" s="118">
        <v>18900253</v>
      </c>
      <c r="L18" s="506"/>
      <c r="M18" s="512"/>
      <c r="N18" s="512"/>
      <c r="O18" s="510"/>
      <c r="P18" s="512"/>
      <c r="Q18" s="302"/>
      <c r="R18" s="302"/>
    </row>
    <row r="19" spans="1:18" s="32" customFormat="1" ht="12.75" customHeight="1">
      <c r="A19" s="237">
        <f t="shared" si="0"/>
        <v>15</v>
      </c>
      <c r="B19" s="303" t="s">
        <v>41</v>
      </c>
      <c r="C19" s="117">
        <v>33457</v>
      </c>
      <c r="D19" s="117">
        <f>DATE(2021,8,1)</f>
        <v>44409</v>
      </c>
      <c r="E19" s="304">
        <v>37691</v>
      </c>
      <c r="F19" s="304" t="s">
        <v>136</v>
      </c>
      <c r="G19" s="304">
        <v>37691</v>
      </c>
      <c r="H19" s="301">
        <v>47908</v>
      </c>
      <c r="I19" s="302">
        <v>34561.440000000002</v>
      </c>
      <c r="J19" s="118">
        <v>18900263</v>
      </c>
      <c r="L19" s="506"/>
      <c r="M19" s="512"/>
      <c r="N19" s="512"/>
      <c r="O19" s="510"/>
      <c r="P19" s="512"/>
      <c r="Q19" s="302"/>
      <c r="R19" s="302"/>
    </row>
    <row r="20" spans="1:18" s="32" customFormat="1" ht="12.75" customHeight="1">
      <c r="A20" s="237">
        <f t="shared" si="0"/>
        <v>16</v>
      </c>
      <c r="B20" s="303" t="s">
        <v>42</v>
      </c>
      <c r="C20" s="117">
        <v>33664</v>
      </c>
      <c r="D20" s="117">
        <f>DATE(2022,3,1)</f>
        <v>44621</v>
      </c>
      <c r="E20" s="304">
        <v>37691</v>
      </c>
      <c r="F20" s="304" t="s">
        <v>136</v>
      </c>
      <c r="G20" s="304">
        <v>37691</v>
      </c>
      <c r="H20" s="301">
        <v>47908</v>
      </c>
      <c r="I20" s="302">
        <v>105825.48</v>
      </c>
      <c r="J20" s="118">
        <v>18900273</v>
      </c>
      <c r="L20" s="506"/>
      <c r="M20" s="512"/>
      <c r="N20" s="512"/>
      <c r="O20" s="510"/>
      <c r="P20" s="512"/>
      <c r="Q20" s="302"/>
      <c r="R20" s="302"/>
    </row>
    <row r="21" spans="1:18" s="32" customFormat="1" ht="12.75" customHeight="1">
      <c r="A21" s="237">
        <f t="shared" si="0"/>
        <v>17</v>
      </c>
      <c r="B21" s="303" t="s">
        <v>43</v>
      </c>
      <c r="C21" s="117">
        <v>33664</v>
      </c>
      <c r="D21" s="117">
        <f>DATE(2022,3,1)</f>
        <v>44621</v>
      </c>
      <c r="E21" s="304">
        <v>37691</v>
      </c>
      <c r="F21" s="304" t="s">
        <v>136</v>
      </c>
      <c r="G21" s="304">
        <v>37691</v>
      </c>
      <c r="H21" s="301">
        <v>47908</v>
      </c>
      <c r="I21" s="302">
        <v>32297.759999999998</v>
      </c>
      <c r="J21" s="118">
        <v>18900283</v>
      </c>
      <c r="L21" s="506"/>
      <c r="M21" s="512"/>
      <c r="N21" s="512"/>
      <c r="O21" s="510"/>
      <c r="P21" s="512"/>
      <c r="Q21" s="302"/>
      <c r="R21" s="302"/>
    </row>
    <row r="22" spans="1:18" s="32" customFormat="1" ht="12.75" customHeight="1">
      <c r="A22" s="237">
        <f t="shared" si="0"/>
        <v>18</v>
      </c>
      <c r="B22" s="303" t="s">
        <v>268</v>
      </c>
      <c r="C22" s="117">
        <v>37691</v>
      </c>
      <c r="D22" s="117">
        <v>47908</v>
      </c>
      <c r="E22" s="304">
        <v>41449</v>
      </c>
      <c r="F22" s="304" t="s">
        <v>269</v>
      </c>
      <c r="G22" s="304">
        <v>41417</v>
      </c>
      <c r="H22" s="301">
        <v>47908</v>
      </c>
      <c r="I22" s="302">
        <f>12*24927.39</f>
        <v>299128.68</v>
      </c>
      <c r="J22" s="118">
        <v>18900433</v>
      </c>
      <c r="L22" s="506"/>
      <c r="M22" s="512"/>
      <c r="N22" s="512"/>
      <c r="O22" s="510"/>
      <c r="P22" s="512"/>
      <c r="Q22" s="302"/>
      <c r="R22" s="302"/>
    </row>
    <row r="23" spans="1:18" s="32" customFormat="1" ht="12.75" customHeight="1">
      <c r="A23" s="237">
        <f t="shared" si="0"/>
        <v>19</v>
      </c>
      <c r="B23" s="303" t="s">
        <v>268</v>
      </c>
      <c r="C23" s="117">
        <v>37691</v>
      </c>
      <c r="D23" s="117">
        <v>47908</v>
      </c>
      <c r="E23" s="304">
        <v>41449</v>
      </c>
      <c r="F23" s="304" t="s">
        <v>269</v>
      </c>
      <c r="G23" s="304">
        <v>41417</v>
      </c>
      <c r="H23" s="301">
        <v>47908</v>
      </c>
      <c r="I23" s="302">
        <f>12*4212.77</f>
        <v>50553.240000000005</v>
      </c>
      <c r="J23" s="118">
        <v>18900533</v>
      </c>
      <c r="L23" s="506"/>
      <c r="M23" s="512"/>
      <c r="N23" s="512"/>
      <c r="O23" s="510"/>
      <c r="P23" s="512"/>
      <c r="Q23" s="302"/>
      <c r="R23" s="302"/>
    </row>
    <row r="24" spans="1:18" s="32" customFormat="1" ht="12.75" customHeight="1">
      <c r="A24" s="237">
        <f>A23+1</f>
        <v>20</v>
      </c>
      <c r="B24" s="116" t="s">
        <v>101</v>
      </c>
      <c r="C24" s="117">
        <v>38183</v>
      </c>
      <c r="D24" s="117">
        <v>38913</v>
      </c>
      <c r="E24" s="117">
        <v>38499</v>
      </c>
      <c r="F24" s="117" t="s">
        <v>102</v>
      </c>
      <c r="G24" s="117">
        <v>38499</v>
      </c>
      <c r="H24" s="301">
        <v>49456</v>
      </c>
      <c r="I24" s="302">
        <f>17086.56</f>
        <v>17086.560000000001</v>
      </c>
      <c r="J24" s="118">
        <v>18900183</v>
      </c>
      <c r="L24" s="506"/>
      <c r="M24" s="512"/>
      <c r="N24" s="512"/>
      <c r="O24" s="510"/>
      <c r="P24" s="512"/>
      <c r="Q24" s="302"/>
      <c r="R24" s="302"/>
    </row>
    <row r="25" spans="1:18" s="32" customFormat="1" ht="12.75" customHeight="1">
      <c r="A25" s="237">
        <f t="shared" si="0"/>
        <v>21</v>
      </c>
      <c r="B25" s="116" t="s">
        <v>29</v>
      </c>
      <c r="C25" s="117">
        <v>37035</v>
      </c>
      <c r="D25" s="117">
        <v>51682</v>
      </c>
      <c r="E25" s="117">
        <v>38898</v>
      </c>
      <c r="F25" s="117" t="s">
        <v>137</v>
      </c>
      <c r="G25" s="117">
        <v>38898</v>
      </c>
      <c r="H25" s="301">
        <v>49841</v>
      </c>
      <c r="I25" s="302">
        <f>(16418.45*12)</f>
        <v>197021.40000000002</v>
      </c>
      <c r="J25" s="118">
        <v>18900373</v>
      </c>
      <c r="L25" s="506"/>
      <c r="M25" s="512"/>
      <c r="N25" s="512"/>
      <c r="O25" s="510"/>
      <c r="P25" s="512"/>
      <c r="Q25" s="302"/>
      <c r="R25" s="302"/>
    </row>
    <row r="26" spans="1:18" s="32" customFormat="1" ht="12.75" customHeight="1">
      <c r="A26" s="237">
        <f t="shared" si="0"/>
        <v>22</v>
      </c>
      <c r="B26" s="116" t="s">
        <v>260</v>
      </c>
      <c r="C26" s="117">
        <v>33117</v>
      </c>
      <c r="D26" s="117">
        <v>44075</v>
      </c>
      <c r="E26" s="117">
        <v>40900</v>
      </c>
      <c r="F26" s="117" t="s">
        <v>261</v>
      </c>
      <c r="G26" s="117">
        <v>40869</v>
      </c>
      <c r="H26" s="301">
        <v>55472</v>
      </c>
      <c r="I26" s="302">
        <v>400518.84</v>
      </c>
      <c r="J26" s="118">
        <v>18900393</v>
      </c>
      <c r="L26" s="506"/>
      <c r="M26" s="275"/>
      <c r="N26" s="275"/>
      <c r="O26" s="275"/>
      <c r="P26" s="275"/>
      <c r="Q26" s="302"/>
      <c r="R26" s="302"/>
    </row>
    <row r="27" spans="1:18" s="32" customFormat="1" ht="12.75" customHeight="1">
      <c r="A27" s="237">
        <f t="shared" si="0"/>
        <v>23</v>
      </c>
      <c r="B27" s="116" t="s">
        <v>313</v>
      </c>
      <c r="C27" s="117">
        <v>38637</v>
      </c>
      <c r="D27" s="117">
        <v>42278</v>
      </c>
      <c r="E27" s="117"/>
      <c r="F27" s="117" t="s">
        <v>315</v>
      </c>
      <c r="G27" s="117">
        <v>42160</v>
      </c>
      <c r="H27" s="301">
        <v>53102</v>
      </c>
      <c r="I27" s="302">
        <v>82302.48</v>
      </c>
      <c r="J27" s="118">
        <v>18900203</v>
      </c>
      <c r="L27" s="506"/>
      <c r="M27" s="275"/>
      <c r="N27" s="275"/>
      <c r="O27" s="275"/>
      <c r="P27" s="275"/>
      <c r="Q27" s="302"/>
      <c r="R27" s="302"/>
    </row>
    <row r="28" spans="1:18" s="32" customFormat="1" ht="12.75" customHeight="1">
      <c r="A28" s="237">
        <f t="shared" si="0"/>
        <v>24</v>
      </c>
      <c r="B28" s="116" t="s">
        <v>314</v>
      </c>
      <c r="C28" s="117">
        <v>39836</v>
      </c>
      <c r="D28" s="117">
        <v>42384</v>
      </c>
      <c r="E28" s="117"/>
      <c r="F28" s="117" t="s">
        <v>315</v>
      </c>
      <c r="G28" s="117">
        <v>42160</v>
      </c>
      <c r="H28" s="301">
        <v>53102</v>
      </c>
      <c r="I28" s="302">
        <v>316649.76</v>
      </c>
      <c r="J28" s="118">
        <v>18900213</v>
      </c>
      <c r="L28" s="506"/>
      <c r="M28" s="275"/>
      <c r="N28" s="275"/>
      <c r="O28" s="275"/>
      <c r="P28" s="275"/>
      <c r="Q28" s="302"/>
      <c r="R28" s="302"/>
    </row>
    <row r="29" spans="1:18" s="32" customFormat="1" ht="12.75" customHeight="1">
      <c r="A29" s="237">
        <f t="shared" si="0"/>
        <v>25</v>
      </c>
      <c r="B29" s="116"/>
      <c r="C29" s="117"/>
      <c r="D29" s="117"/>
      <c r="E29" s="117"/>
      <c r="F29" s="117"/>
      <c r="G29" s="117"/>
      <c r="H29" s="301"/>
      <c r="I29" s="305"/>
      <c r="J29" s="306"/>
    </row>
    <row r="30" spans="1:18" s="32" customFormat="1" ht="15" customHeight="1" thickBot="1">
      <c r="A30" s="237">
        <f t="shared" si="0"/>
        <v>26</v>
      </c>
      <c r="B30" s="114" t="s">
        <v>28</v>
      </c>
      <c r="C30" s="119"/>
      <c r="D30" s="119"/>
      <c r="E30" s="119"/>
      <c r="F30" s="119"/>
      <c r="G30" s="119"/>
      <c r="H30" s="119"/>
      <c r="I30" s="307">
        <f>SUM(I8:I29)</f>
        <v>2269845.2399999998</v>
      </c>
      <c r="J30" s="121"/>
    </row>
    <row r="31" spans="1:18" s="32" customFormat="1" ht="12.75" customHeight="1" thickTop="1">
      <c r="A31" s="237">
        <f t="shared" si="0"/>
        <v>27</v>
      </c>
      <c r="B31" s="122"/>
      <c r="C31" s="123"/>
      <c r="D31" s="123"/>
      <c r="E31" s="123"/>
      <c r="F31" s="123"/>
      <c r="G31" s="123"/>
      <c r="H31" s="123"/>
      <c r="I31" s="65"/>
      <c r="J31" s="120"/>
    </row>
    <row r="32" spans="1:18" s="32" customFormat="1" ht="12.75" customHeight="1">
      <c r="A32" s="237">
        <f t="shared" si="0"/>
        <v>28</v>
      </c>
      <c r="C32" s="58"/>
      <c r="D32" s="58"/>
      <c r="E32" s="58"/>
      <c r="F32" s="58"/>
      <c r="G32" s="58"/>
      <c r="H32" s="150"/>
      <c r="I32" s="65"/>
      <c r="J32" s="120"/>
    </row>
    <row r="33" spans="1:10" s="32" customFormat="1" ht="12.75" customHeight="1">
      <c r="A33" s="237">
        <f t="shared" si="0"/>
        <v>29</v>
      </c>
      <c r="B33" s="235"/>
      <c r="C33" s="236"/>
      <c r="D33" s="236"/>
      <c r="E33" s="236"/>
      <c r="F33" s="236"/>
      <c r="H33" s="33"/>
      <c r="I33" s="65"/>
    </row>
    <row r="34" spans="1:10" s="32" customFormat="1" ht="12.75" customHeight="1">
      <c r="A34" s="237">
        <f t="shared" si="0"/>
        <v>30</v>
      </c>
      <c r="B34" s="58" t="s">
        <v>141</v>
      </c>
      <c r="H34" s="33"/>
      <c r="I34" s="65"/>
      <c r="J34" s="118"/>
    </row>
    <row r="35" spans="1:10" s="32" customFormat="1" ht="12.75" customHeight="1">
      <c r="A35" s="237">
        <f t="shared" si="0"/>
        <v>31</v>
      </c>
      <c r="B35" s="266" t="s">
        <v>140</v>
      </c>
      <c r="H35" s="33"/>
      <c r="I35" s="33"/>
    </row>
    <row r="36" spans="1:10" s="32" customFormat="1" ht="12.75" customHeight="1">
      <c r="A36" s="238"/>
      <c r="H36" s="33"/>
      <c r="I36" s="33"/>
    </row>
    <row r="37" spans="1:10" s="32" customFormat="1" ht="12.75" customHeight="1">
      <c r="H37" s="33"/>
      <c r="I37" s="33"/>
    </row>
    <row r="38" spans="1:10" s="32" customFormat="1" ht="12.75" customHeight="1">
      <c r="H38" s="33"/>
      <c r="I38" s="225"/>
    </row>
    <row r="39" spans="1:10" s="32" customFormat="1" ht="12.75" customHeight="1">
      <c r="H39" s="33"/>
      <c r="I39" s="33"/>
    </row>
    <row r="40" spans="1:10" s="32" customFormat="1" ht="12.75" customHeight="1">
      <c r="H40" s="33"/>
      <c r="I40" s="33"/>
    </row>
    <row r="41" spans="1:10" s="32" customFormat="1" ht="12.75" customHeight="1">
      <c r="H41" s="33"/>
      <c r="I41" s="33"/>
    </row>
    <row r="42" spans="1:10" s="32" customFormat="1" ht="12.75" customHeight="1">
      <c r="H42" s="33"/>
      <c r="I42" s="33"/>
    </row>
    <row r="43" spans="1:10" s="32" customFormat="1" ht="12.75" customHeight="1">
      <c r="H43" s="33"/>
      <c r="I43" s="33"/>
    </row>
    <row r="44" spans="1:10" s="32" customFormat="1" ht="12.75" customHeight="1">
      <c r="H44" s="33"/>
      <c r="I44" s="33"/>
    </row>
    <row r="45" spans="1:10" s="32" customFormat="1" ht="12.75" customHeight="1">
      <c r="H45" s="33"/>
      <c r="I45" s="33"/>
    </row>
    <row r="46" spans="1:10" s="32" customFormat="1" ht="12.75" customHeight="1">
      <c r="H46" s="33"/>
      <c r="I46" s="33"/>
    </row>
    <row r="47" spans="1:10" s="32" customFormat="1" ht="12.75" customHeight="1"/>
    <row r="48" spans="1:10" s="32" customFormat="1" ht="12.75" customHeight="1"/>
    <row r="49" s="32" customFormat="1" ht="12.75" customHeight="1"/>
    <row r="50" s="32" customFormat="1" ht="12.75" customHeight="1"/>
    <row r="51" s="32" customFormat="1" ht="12.75" customHeight="1"/>
    <row r="52" s="32" customFormat="1" ht="12.75" customHeight="1"/>
    <row r="53" s="32" customFormat="1" ht="12.75" customHeight="1"/>
    <row r="54" s="32" customFormat="1" ht="15.6"/>
    <row r="55" s="32" customFormat="1" ht="15.6"/>
    <row r="56" s="32" customFormat="1" ht="15.6"/>
    <row r="57" s="32" customFormat="1" ht="15.6"/>
    <row r="58" s="32" customFormat="1" ht="15.6"/>
    <row r="59" s="32" customFormat="1" ht="15.6"/>
    <row r="60" s="32" customFormat="1" ht="15.6"/>
    <row r="61" s="32" customFormat="1" ht="15.6"/>
    <row r="62" s="32" customFormat="1" ht="15.6"/>
    <row r="63" s="32" customFormat="1" ht="15.6"/>
    <row r="64" s="32" customFormat="1" ht="15.6"/>
    <row r="65" s="32" customFormat="1" ht="15.6"/>
    <row r="66" s="32" customFormat="1" ht="15.6"/>
    <row r="67" s="32" customFormat="1" ht="15.6"/>
    <row r="68" s="32" customFormat="1" ht="15.6"/>
    <row r="69" s="32" customFormat="1" ht="15.6"/>
    <row r="70" s="32" customFormat="1" ht="15.6"/>
    <row r="71" s="32" customFormat="1" ht="15.6"/>
    <row r="72" s="32" customFormat="1" ht="15.6"/>
    <row r="73" s="32" customFormat="1" ht="15.6"/>
    <row r="74" s="32" customFormat="1" ht="15.6"/>
    <row r="75" s="32" customFormat="1" ht="15.6"/>
    <row r="76" s="32" customFormat="1" ht="15.6"/>
    <row r="77" s="32" customFormat="1" ht="15.6"/>
    <row r="78" s="32" customFormat="1" ht="15.6"/>
  </sheetData>
  <mergeCells count="1">
    <mergeCell ref="B3:D3"/>
  </mergeCells>
  <phoneticPr fontId="24"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0" width="10.42578125" style="23" customWidth="1"/>
    <col min="11" max="14" width="9.140625" style="23" customWidth="1"/>
    <col min="15" max="15" width="9.85546875" style="23" customWidth="1"/>
    <col min="16" max="16" width="9.140625" style="23" customWidth="1"/>
    <col min="17" max="17" width="9.85546875" style="23" customWidth="1"/>
    <col min="18" max="22" width="8.85546875" style="23" customWidth="1"/>
    <col min="23" max="24" width="6" style="23" customWidth="1"/>
    <col min="25" max="25" width="8.85546875" style="23" customWidth="1" outlineLevel="1"/>
    <col min="26" max="26" width="10.85546875" style="23" customWidth="1" outlineLevel="1"/>
    <col min="27" max="27" width="8.85546875" style="23" customWidth="1" outlineLevel="1"/>
    <col min="28" max="16384" width="8.85546875" style="23"/>
  </cols>
  <sheetData>
    <row r="1" spans="1:26" ht="12.75" customHeight="1">
      <c r="A1" s="234" t="s">
        <v>96</v>
      </c>
      <c r="B1" s="156"/>
      <c r="C1" s="156"/>
      <c r="D1" s="155"/>
      <c r="E1" s="157"/>
      <c r="F1" s="155"/>
      <c r="G1" s="156"/>
      <c r="H1" s="156"/>
      <c r="I1" s="156"/>
    </row>
    <row r="2" spans="1:26" s="57" customFormat="1" ht="12.75" customHeight="1">
      <c r="A2" s="268">
        <f>'Pg 1 CofCap'!B5</f>
        <v>42551</v>
      </c>
      <c r="B2" s="158"/>
      <c r="C2" s="158"/>
      <c r="D2" s="158"/>
      <c r="E2" s="159"/>
      <c r="F2" s="158"/>
      <c r="G2" s="160"/>
      <c r="H2" s="159"/>
      <c r="I2" s="158"/>
      <c r="J2" s="199"/>
      <c r="K2" s="199"/>
      <c r="L2" s="199"/>
      <c r="M2" s="199"/>
      <c r="N2" s="199"/>
      <c r="O2" s="199"/>
      <c r="P2" s="199"/>
      <c r="Q2" s="199"/>
      <c r="R2" s="199"/>
      <c r="S2" s="199"/>
      <c r="T2" s="199"/>
      <c r="U2" s="199"/>
      <c r="V2" s="199"/>
    </row>
    <row r="3" spans="1:26" s="57" customFormat="1" ht="12.75" customHeight="1">
      <c r="A3" s="268"/>
      <c r="B3" s="158"/>
      <c r="C3" s="158"/>
      <c r="D3" s="158"/>
      <c r="E3" s="159"/>
      <c r="F3" s="158"/>
      <c r="G3" s="160"/>
      <c r="H3" s="159"/>
      <c r="I3" s="158"/>
      <c r="J3" s="199"/>
      <c r="K3" s="199"/>
      <c r="L3" s="199"/>
      <c r="M3" s="199"/>
      <c r="N3" s="199"/>
      <c r="O3" s="199"/>
      <c r="P3" s="199"/>
      <c r="Q3" s="199"/>
      <c r="R3" s="199"/>
      <c r="S3" s="199"/>
      <c r="T3" s="199"/>
      <c r="U3" s="199"/>
      <c r="V3" s="199"/>
    </row>
    <row r="4" spans="1:26" ht="11.1" customHeight="1">
      <c r="A4" s="180" t="s">
        <v>5</v>
      </c>
      <c r="B4" s="180" t="s">
        <v>27</v>
      </c>
      <c r="C4" s="180" t="s">
        <v>52</v>
      </c>
      <c r="D4" s="180" t="s">
        <v>64</v>
      </c>
      <c r="E4" s="180" t="s">
        <v>65</v>
      </c>
      <c r="F4" s="180" t="s">
        <v>66</v>
      </c>
      <c r="G4" s="180" t="s">
        <v>67</v>
      </c>
      <c r="H4" s="180" t="s">
        <v>68</v>
      </c>
      <c r="I4" s="180" t="s">
        <v>69</v>
      </c>
      <c r="J4" s="180" t="s">
        <v>71</v>
      </c>
      <c r="K4" s="180" t="s">
        <v>72</v>
      </c>
      <c r="L4" s="180" t="s">
        <v>73</v>
      </c>
      <c r="M4" s="180" t="s">
        <v>74</v>
      </c>
      <c r="N4" s="180" t="s">
        <v>75</v>
      </c>
      <c r="O4" s="180" t="s">
        <v>76</v>
      </c>
      <c r="P4" s="180" t="s">
        <v>87</v>
      </c>
      <c r="Q4" s="180" t="s">
        <v>88</v>
      </c>
      <c r="R4" s="180" t="s">
        <v>89</v>
      </c>
      <c r="S4" s="180" t="s">
        <v>90</v>
      </c>
      <c r="T4" s="180" t="s">
        <v>91</v>
      </c>
      <c r="U4" s="180" t="s">
        <v>92</v>
      </c>
      <c r="V4" s="180" t="s">
        <v>170</v>
      </c>
      <c r="Y4" s="480" t="s">
        <v>202</v>
      </c>
    </row>
    <row r="5" spans="1:26" ht="21">
      <c r="A5" s="367">
        <v>1</v>
      </c>
      <c r="B5" s="368" t="s">
        <v>127</v>
      </c>
      <c r="C5" s="368" t="s">
        <v>100</v>
      </c>
      <c r="D5" s="368" t="s">
        <v>57</v>
      </c>
      <c r="E5" s="368" t="s">
        <v>104</v>
      </c>
      <c r="F5" s="368" t="s">
        <v>117</v>
      </c>
      <c r="G5" s="368" t="s">
        <v>322</v>
      </c>
      <c r="H5" s="368" t="s">
        <v>323</v>
      </c>
      <c r="I5" s="368" t="s">
        <v>80</v>
      </c>
      <c r="J5" s="369">
        <f>'Pg 2 CapStructure'!C6</f>
        <v>42185</v>
      </c>
      <c r="K5" s="369">
        <f>'Pg 2 CapStructure'!D6</f>
        <v>42216</v>
      </c>
      <c r="L5" s="369">
        <f>'Pg 2 CapStructure'!E6</f>
        <v>42247</v>
      </c>
      <c r="M5" s="369">
        <f>'Pg 2 CapStructure'!F6</f>
        <v>42277</v>
      </c>
      <c r="N5" s="369">
        <f>'Pg 2 CapStructure'!G6</f>
        <v>42307</v>
      </c>
      <c r="O5" s="369">
        <f>'Pg 2 CapStructure'!H6</f>
        <v>42338</v>
      </c>
      <c r="P5" s="369">
        <f>'Pg 2 CapStructure'!I6</f>
        <v>42369</v>
      </c>
      <c r="Q5" s="369">
        <f>'Pg 2 CapStructure'!J6</f>
        <v>42400</v>
      </c>
      <c r="R5" s="369">
        <f>'Pg 2 CapStructure'!K6</f>
        <v>42429</v>
      </c>
      <c r="S5" s="369">
        <f>'Pg 2 CapStructure'!L6</f>
        <v>42460</v>
      </c>
      <c r="T5" s="369">
        <f>'Pg 2 CapStructure'!M6</f>
        <v>42490</v>
      </c>
      <c r="U5" s="369">
        <f>'Pg 2 CapStructure'!N6</f>
        <v>42521</v>
      </c>
      <c r="V5" s="369">
        <f>'Pg 2 CapStructure'!O6</f>
        <v>42551</v>
      </c>
      <c r="Y5" s="481" t="s">
        <v>38</v>
      </c>
      <c r="Z5" s="481" t="s">
        <v>203</v>
      </c>
    </row>
    <row r="6" spans="1:26">
      <c r="A6" s="134">
        <v>2</v>
      </c>
      <c r="B6" s="138" t="s">
        <v>23</v>
      </c>
      <c r="C6" s="284">
        <v>7.3499999999999996E-2</v>
      </c>
      <c r="D6" s="285">
        <v>34953</v>
      </c>
      <c r="E6" s="285">
        <v>42258</v>
      </c>
      <c r="F6" s="273">
        <f t="shared" ref="F6:F27" si="0">ROUND(((+J6+V6)+(SUM(K6:U6)*2))/24,0)</f>
        <v>7083333</v>
      </c>
      <c r="G6" s="286">
        <v>100</v>
      </c>
      <c r="H6" s="183">
        <f t="shared" ref="H6:H27" si="1">ROUND(YIELD(D6,E6,C6,G6,100,2,2),4)</f>
        <v>7.3499999999999996E-2</v>
      </c>
      <c r="I6" s="273">
        <f t="shared" ref="I6:I27" si="2">ROUND(+H6*F6,0)</f>
        <v>520625</v>
      </c>
      <c r="J6" s="273">
        <v>10000000</v>
      </c>
      <c r="K6" s="273">
        <v>10000000</v>
      </c>
      <c r="L6" s="273">
        <v>10000000</v>
      </c>
      <c r="M6" s="273">
        <v>10000000</v>
      </c>
      <c r="N6" s="273">
        <v>10000000</v>
      </c>
      <c r="O6" s="273">
        <v>10000000</v>
      </c>
      <c r="P6" s="273">
        <v>10000000</v>
      </c>
      <c r="Q6" s="273">
        <v>10000000</v>
      </c>
      <c r="R6" s="273">
        <v>10000000</v>
      </c>
      <c r="S6" s="273"/>
      <c r="T6" s="273"/>
      <c r="U6" s="273"/>
      <c r="V6" s="273"/>
      <c r="Y6" s="273">
        <f t="shared" ref="Y6:Y27" si="3">H6*V6</f>
        <v>0</v>
      </c>
    </row>
    <row r="7" spans="1:26" s="27" customFormat="1">
      <c r="A7" s="134">
        <f t="shared" ref="A7:A22" si="4">A6+1</f>
        <v>3</v>
      </c>
      <c r="B7" s="138" t="s">
        <v>23</v>
      </c>
      <c r="C7" s="284">
        <v>7.3599999999999999E-2</v>
      </c>
      <c r="D7" s="285">
        <v>34953</v>
      </c>
      <c r="E7" s="285">
        <v>42262</v>
      </c>
      <c r="F7" s="273">
        <f t="shared" si="0"/>
        <v>1416667</v>
      </c>
      <c r="G7" s="286">
        <v>100</v>
      </c>
      <c r="H7" s="183">
        <f t="shared" si="1"/>
        <v>7.3599999999999999E-2</v>
      </c>
      <c r="I7" s="273">
        <f t="shared" si="2"/>
        <v>104267</v>
      </c>
      <c r="J7" s="273">
        <v>2000000</v>
      </c>
      <c r="K7" s="273">
        <v>2000000</v>
      </c>
      <c r="L7" s="273">
        <v>2000000</v>
      </c>
      <c r="M7" s="273">
        <v>2000000</v>
      </c>
      <c r="N7" s="273">
        <v>2000000</v>
      </c>
      <c r="O7" s="273">
        <v>2000000</v>
      </c>
      <c r="P7" s="273">
        <v>2000000</v>
      </c>
      <c r="Q7" s="273">
        <v>2000000</v>
      </c>
      <c r="R7" s="273">
        <v>2000000</v>
      </c>
      <c r="S7" s="273"/>
      <c r="T7" s="273"/>
      <c r="U7" s="273"/>
      <c r="V7" s="273"/>
      <c r="Y7" s="273">
        <f t="shared" si="3"/>
        <v>0</v>
      </c>
      <c r="Z7" s="23"/>
    </row>
    <row r="8" spans="1:26" s="27" customFormat="1">
      <c r="A8" s="134">
        <f t="shared" si="4"/>
        <v>4</v>
      </c>
      <c r="B8" s="138" t="s">
        <v>95</v>
      </c>
      <c r="C8" s="284">
        <v>5.1970000000000002E-2</v>
      </c>
      <c r="D8" s="285">
        <v>38637</v>
      </c>
      <c r="E8" s="285">
        <v>42278</v>
      </c>
      <c r="F8" s="273">
        <f t="shared" si="0"/>
        <v>68750000</v>
      </c>
      <c r="G8" s="286">
        <v>100</v>
      </c>
      <c r="H8" s="183">
        <f t="shared" si="1"/>
        <v>5.1999999999999998E-2</v>
      </c>
      <c r="I8" s="273">
        <f>ROUND(+H8*F8,0)</f>
        <v>3575000</v>
      </c>
      <c r="J8" s="273">
        <v>150000000</v>
      </c>
      <c r="K8" s="273">
        <v>150000000</v>
      </c>
      <c r="L8" s="273">
        <v>150000000</v>
      </c>
      <c r="M8" s="273">
        <v>150000000</v>
      </c>
      <c r="N8" s="273">
        <v>150000000</v>
      </c>
      <c r="O8" s="273">
        <v>150000000</v>
      </c>
      <c r="P8" s="273"/>
      <c r="Q8" s="273"/>
      <c r="R8" s="273"/>
      <c r="S8" s="273"/>
      <c r="T8" s="273"/>
      <c r="U8" s="273"/>
      <c r="V8" s="273"/>
      <c r="Y8" s="273">
        <f t="shared" si="3"/>
        <v>0</v>
      </c>
      <c r="Z8" s="23"/>
    </row>
    <row r="9" spans="1:26" s="27" customFormat="1">
      <c r="A9" s="134">
        <f t="shared" si="4"/>
        <v>5</v>
      </c>
      <c r="B9" s="138" t="s">
        <v>95</v>
      </c>
      <c r="C9" s="284">
        <v>6.7500000000000004E-2</v>
      </c>
      <c r="D9" s="285">
        <v>39836</v>
      </c>
      <c r="E9" s="285">
        <v>42384</v>
      </c>
      <c r="F9" s="273">
        <f t="shared" si="0"/>
        <v>114583333</v>
      </c>
      <c r="G9" s="286">
        <v>100</v>
      </c>
      <c r="H9" s="183">
        <f t="shared" si="1"/>
        <v>6.7500000000000004E-2</v>
      </c>
      <c r="I9" s="273">
        <f>ROUND(+H9*F9,0)</f>
        <v>7734375</v>
      </c>
      <c r="J9" s="273">
        <v>250000000</v>
      </c>
      <c r="K9" s="273">
        <v>250000000</v>
      </c>
      <c r="L9" s="273">
        <v>250000000</v>
      </c>
      <c r="M9" s="273">
        <v>250000000</v>
      </c>
      <c r="N9" s="273">
        <v>250000000</v>
      </c>
      <c r="O9" s="273">
        <v>250000000</v>
      </c>
      <c r="P9" s="273"/>
      <c r="Q9" s="273"/>
      <c r="R9" s="273"/>
      <c r="S9" s="273"/>
      <c r="T9" s="273"/>
      <c r="U9" s="273"/>
      <c r="V9" s="273"/>
      <c r="Y9" s="273">
        <f t="shared" si="3"/>
        <v>0</v>
      </c>
      <c r="Z9" s="23"/>
    </row>
    <row r="10" spans="1:26" s="27" customFormat="1">
      <c r="A10" s="134">
        <f t="shared" si="4"/>
        <v>6</v>
      </c>
      <c r="B10" s="138" t="s">
        <v>21</v>
      </c>
      <c r="C10" s="284">
        <v>6.7400000000000002E-2</v>
      </c>
      <c r="D10" s="285">
        <v>35961</v>
      </c>
      <c r="E10" s="285">
        <v>43266</v>
      </c>
      <c r="F10" s="273">
        <f t="shared" si="0"/>
        <v>200000000</v>
      </c>
      <c r="G10" s="286">
        <v>100</v>
      </c>
      <c r="H10" s="183">
        <f t="shared" si="1"/>
        <v>6.7400000000000002E-2</v>
      </c>
      <c r="I10" s="273">
        <f t="shared" si="2"/>
        <v>13480000</v>
      </c>
      <c r="J10" s="273">
        <v>200000000</v>
      </c>
      <c r="K10" s="273">
        <v>200000000</v>
      </c>
      <c r="L10" s="273">
        <v>200000000</v>
      </c>
      <c r="M10" s="273">
        <v>200000000</v>
      </c>
      <c r="N10" s="273">
        <v>200000000</v>
      </c>
      <c r="O10" s="273">
        <v>200000000</v>
      </c>
      <c r="P10" s="273">
        <v>200000000</v>
      </c>
      <c r="Q10" s="273">
        <v>200000000</v>
      </c>
      <c r="R10" s="273">
        <v>200000000</v>
      </c>
      <c r="S10" s="273">
        <v>200000000</v>
      </c>
      <c r="T10" s="273">
        <v>200000000</v>
      </c>
      <c r="U10" s="273">
        <v>200000000</v>
      </c>
      <c r="V10" s="273">
        <v>200000000</v>
      </c>
      <c r="Y10" s="273">
        <f t="shared" si="3"/>
        <v>13480000</v>
      </c>
    </row>
    <row r="11" spans="1:26" s="28" customFormat="1">
      <c r="A11" s="134">
        <f t="shared" si="4"/>
        <v>7</v>
      </c>
      <c r="B11" s="138" t="s">
        <v>23</v>
      </c>
      <c r="C11" s="284">
        <v>7.1499999999999994E-2</v>
      </c>
      <c r="D11" s="285">
        <v>35053</v>
      </c>
      <c r="E11" s="285">
        <v>46010</v>
      </c>
      <c r="F11" s="273">
        <f t="shared" si="0"/>
        <v>15000000</v>
      </c>
      <c r="G11" s="286">
        <v>100</v>
      </c>
      <c r="H11" s="183">
        <f t="shared" si="1"/>
        <v>7.1499999999999994E-2</v>
      </c>
      <c r="I11" s="273">
        <f t="shared" si="2"/>
        <v>1072500</v>
      </c>
      <c r="J11" s="273">
        <v>15000000</v>
      </c>
      <c r="K11" s="273">
        <v>15000000</v>
      </c>
      <c r="L11" s="273">
        <v>15000000</v>
      </c>
      <c r="M11" s="273">
        <v>15000000</v>
      </c>
      <c r="N11" s="273">
        <v>15000000</v>
      </c>
      <c r="O11" s="273">
        <v>15000000</v>
      </c>
      <c r="P11" s="273">
        <v>15000000</v>
      </c>
      <c r="Q11" s="273">
        <v>15000000</v>
      </c>
      <c r="R11" s="273">
        <v>15000000</v>
      </c>
      <c r="S11" s="273">
        <v>15000000</v>
      </c>
      <c r="T11" s="273">
        <v>15000000</v>
      </c>
      <c r="U11" s="273">
        <v>15000000</v>
      </c>
      <c r="V11" s="273">
        <v>15000000</v>
      </c>
      <c r="Y11" s="273">
        <f t="shared" si="3"/>
        <v>1072500</v>
      </c>
      <c r="Z11" s="27"/>
    </row>
    <row r="12" spans="1:26" s="28" customFormat="1">
      <c r="A12" s="134">
        <f t="shared" si="4"/>
        <v>8</v>
      </c>
      <c r="B12" s="138" t="s">
        <v>23</v>
      </c>
      <c r="C12" s="284">
        <v>7.1999999999999995E-2</v>
      </c>
      <c r="D12" s="285">
        <v>35054</v>
      </c>
      <c r="E12" s="285">
        <v>46013</v>
      </c>
      <c r="F12" s="273">
        <f t="shared" si="0"/>
        <v>2000000</v>
      </c>
      <c r="G12" s="286">
        <v>100</v>
      </c>
      <c r="H12" s="183">
        <f t="shared" si="1"/>
        <v>7.1999999999999995E-2</v>
      </c>
      <c r="I12" s="273">
        <f t="shared" si="2"/>
        <v>144000</v>
      </c>
      <c r="J12" s="273">
        <v>2000000</v>
      </c>
      <c r="K12" s="273">
        <v>2000000</v>
      </c>
      <c r="L12" s="273">
        <v>2000000</v>
      </c>
      <c r="M12" s="273">
        <v>2000000</v>
      </c>
      <c r="N12" s="273">
        <v>2000000</v>
      </c>
      <c r="O12" s="273">
        <v>2000000</v>
      </c>
      <c r="P12" s="273">
        <v>2000000</v>
      </c>
      <c r="Q12" s="273">
        <v>2000000</v>
      </c>
      <c r="R12" s="273">
        <v>2000000</v>
      </c>
      <c r="S12" s="273">
        <v>2000000</v>
      </c>
      <c r="T12" s="273">
        <v>2000000</v>
      </c>
      <c r="U12" s="273">
        <v>2000000</v>
      </c>
      <c r="V12" s="273">
        <v>2000000</v>
      </c>
      <c r="Y12" s="273">
        <f t="shared" si="3"/>
        <v>144000</v>
      </c>
    </row>
    <row r="13" spans="1:26" s="28" customFormat="1">
      <c r="A13" s="134">
        <f t="shared" si="4"/>
        <v>9</v>
      </c>
      <c r="B13" s="138" t="s">
        <v>21</v>
      </c>
      <c r="C13" s="284">
        <v>7.0199999999999999E-2</v>
      </c>
      <c r="D13" s="285">
        <v>35786</v>
      </c>
      <c r="E13" s="285">
        <v>46722</v>
      </c>
      <c r="F13" s="273">
        <f t="shared" si="0"/>
        <v>300000000</v>
      </c>
      <c r="G13" s="286">
        <v>100</v>
      </c>
      <c r="H13" s="183">
        <f t="shared" si="1"/>
        <v>7.0199999999999999E-2</v>
      </c>
      <c r="I13" s="273">
        <f t="shared" si="2"/>
        <v>21060000</v>
      </c>
      <c r="J13" s="273">
        <v>300000000</v>
      </c>
      <c r="K13" s="273">
        <v>300000000</v>
      </c>
      <c r="L13" s="273">
        <v>300000000</v>
      </c>
      <c r="M13" s="273">
        <v>300000000</v>
      </c>
      <c r="N13" s="273">
        <v>300000000</v>
      </c>
      <c r="O13" s="273">
        <v>300000000</v>
      </c>
      <c r="P13" s="273">
        <v>300000000</v>
      </c>
      <c r="Q13" s="273">
        <v>300000000</v>
      </c>
      <c r="R13" s="273">
        <v>300000000</v>
      </c>
      <c r="S13" s="273">
        <v>300000000</v>
      </c>
      <c r="T13" s="273">
        <v>300000000</v>
      </c>
      <c r="U13" s="273">
        <v>300000000</v>
      </c>
      <c r="V13" s="273">
        <v>300000000</v>
      </c>
      <c r="Y13" s="273">
        <f t="shared" si="3"/>
        <v>21060000</v>
      </c>
    </row>
    <row r="14" spans="1:26">
      <c r="A14" s="134">
        <f t="shared" si="4"/>
        <v>10</v>
      </c>
      <c r="B14" s="138" t="s">
        <v>22</v>
      </c>
      <c r="C14" s="284">
        <v>7.0000000000000007E-2</v>
      </c>
      <c r="D14" s="285">
        <v>36228</v>
      </c>
      <c r="E14" s="285">
        <v>47186</v>
      </c>
      <c r="F14" s="273">
        <f t="shared" si="0"/>
        <v>100000000</v>
      </c>
      <c r="G14" s="286">
        <v>100</v>
      </c>
      <c r="H14" s="183">
        <f t="shared" si="1"/>
        <v>7.0000000000000007E-2</v>
      </c>
      <c r="I14" s="273">
        <f t="shared" si="2"/>
        <v>7000000</v>
      </c>
      <c r="J14" s="273">
        <v>100000000</v>
      </c>
      <c r="K14" s="273">
        <v>100000000</v>
      </c>
      <c r="L14" s="273">
        <v>100000000</v>
      </c>
      <c r="M14" s="273">
        <v>100000000</v>
      </c>
      <c r="N14" s="273">
        <v>100000000</v>
      </c>
      <c r="O14" s="273">
        <v>100000000</v>
      </c>
      <c r="P14" s="273">
        <v>100000000</v>
      </c>
      <c r="Q14" s="273">
        <v>100000000</v>
      </c>
      <c r="R14" s="273">
        <v>100000000</v>
      </c>
      <c r="S14" s="273">
        <v>100000000</v>
      </c>
      <c r="T14" s="273">
        <v>100000000</v>
      </c>
      <c r="U14" s="273">
        <v>100000000</v>
      </c>
      <c r="V14" s="273">
        <v>100000000</v>
      </c>
      <c r="Y14" s="273">
        <f t="shared" si="3"/>
        <v>7000000.0000000009</v>
      </c>
      <c r="Z14" s="28"/>
    </row>
    <row r="15" spans="1:26">
      <c r="A15" s="134">
        <f t="shared" si="4"/>
        <v>11</v>
      </c>
      <c r="B15" s="287" t="s">
        <v>24</v>
      </c>
      <c r="C15" s="284">
        <v>3.9E-2</v>
      </c>
      <c r="D15" s="288">
        <v>41417</v>
      </c>
      <c r="E15" s="289">
        <v>47908</v>
      </c>
      <c r="F15" s="273">
        <f t="shared" si="0"/>
        <v>138460000</v>
      </c>
      <c r="G15" s="286">
        <v>100</v>
      </c>
      <c r="H15" s="183">
        <f t="shared" si="1"/>
        <v>3.9E-2</v>
      </c>
      <c r="I15" s="273">
        <f t="shared" si="2"/>
        <v>5399940</v>
      </c>
      <c r="J15" s="273">
        <v>138460000</v>
      </c>
      <c r="K15" s="273">
        <v>138460000</v>
      </c>
      <c r="L15" s="273">
        <v>138460000</v>
      </c>
      <c r="M15" s="273">
        <v>138460000</v>
      </c>
      <c r="N15" s="273">
        <v>138460000</v>
      </c>
      <c r="O15" s="273">
        <v>138460000</v>
      </c>
      <c r="P15" s="273">
        <v>138460000</v>
      </c>
      <c r="Q15" s="273">
        <v>138460000</v>
      </c>
      <c r="R15" s="273">
        <v>138460000</v>
      </c>
      <c r="S15" s="273">
        <v>138460000</v>
      </c>
      <c r="T15" s="273">
        <v>138460000</v>
      </c>
      <c r="U15" s="273">
        <v>138460000</v>
      </c>
      <c r="V15" s="273">
        <v>138460000</v>
      </c>
      <c r="Y15" s="273">
        <f t="shared" si="3"/>
        <v>5399940</v>
      </c>
    </row>
    <row r="16" spans="1:26">
      <c r="A16" s="134">
        <f t="shared" si="4"/>
        <v>12</v>
      </c>
      <c r="B16" s="287" t="s">
        <v>24</v>
      </c>
      <c r="C16" s="284">
        <v>0.04</v>
      </c>
      <c r="D16" s="288">
        <v>41417</v>
      </c>
      <c r="E16" s="289">
        <v>47908</v>
      </c>
      <c r="F16" s="273">
        <f t="shared" si="0"/>
        <v>23400000</v>
      </c>
      <c r="G16" s="286">
        <v>100</v>
      </c>
      <c r="H16" s="183">
        <f t="shared" si="1"/>
        <v>0.04</v>
      </c>
      <c r="I16" s="273">
        <f t="shared" si="2"/>
        <v>936000</v>
      </c>
      <c r="J16" s="273">
        <v>23400000</v>
      </c>
      <c r="K16" s="273">
        <v>23400000</v>
      </c>
      <c r="L16" s="273">
        <v>23400000</v>
      </c>
      <c r="M16" s="273">
        <v>23400000</v>
      </c>
      <c r="N16" s="273">
        <v>23400000</v>
      </c>
      <c r="O16" s="273">
        <v>23400000</v>
      </c>
      <c r="P16" s="273">
        <v>23400000</v>
      </c>
      <c r="Q16" s="273">
        <v>23400000</v>
      </c>
      <c r="R16" s="273">
        <v>23400000</v>
      </c>
      <c r="S16" s="273">
        <v>23400000</v>
      </c>
      <c r="T16" s="273">
        <v>23400000</v>
      </c>
      <c r="U16" s="273">
        <v>23400000</v>
      </c>
      <c r="V16" s="273">
        <v>23400000</v>
      </c>
      <c r="Y16" s="273">
        <f t="shared" si="3"/>
        <v>936000</v>
      </c>
    </row>
    <row r="17" spans="1:26">
      <c r="A17" s="134">
        <f t="shared" si="4"/>
        <v>13</v>
      </c>
      <c r="B17" s="138" t="s">
        <v>95</v>
      </c>
      <c r="C17" s="284">
        <v>5.4829999999999997E-2</v>
      </c>
      <c r="D17" s="285">
        <v>38499</v>
      </c>
      <c r="E17" s="285">
        <v>49461</v>
      </c>
      <c r="F17" s="273">
        <f t="shared" si="0"/>
        <v>250000000</v>
      </c>
      <c r="G17" s="286">
        <v>100</v>
      </c>
      <c r="H17" s="183">
        <f t="shared" si="1"/>
        <v>5.4800000000000001E-2</v>
      </c>
      <c r="I17" s="277">
        <f t="shared" si="2"/>
        <v>13700000</v>
      </c>
      <c r="J17" s="277">
        <v>250000000</v>
      </c>
      <c r="K17" s="277">
        <v>250000000</v>
      </c>
      <c r="L17" s="277">
        <v>250000000</v>
      </c>
      <c r="M17" s="277">
        <v>250000000</v>
      </c>
      <c r="N17" s="277">
        <v>250000000</v>
      </c>
      <c r="O17" s="277">
        <v>250000000</v>
      </c>
      <c r="P17" s="277">
        <v>250000000</v>
      </c>
      <c r="Q17" s="277">
        <v>250000000</v>
      </c>
      <c r="R17" s="277">
        <v>250000000</v>
      </c>
      <c r="S17" s="277">
        <v>250000000</v>
      </c>
      <c r="T17" s="277">
        <v>250000000</v>
      </c>
      <c r="U17" s="277">
        <v>250000000</v>
      </c>
      <c r="V17" s="277">
        <v>250000000</v>
      </c>
      <c r="Y17" s="273">
        <f t="shared" si="3"/>
        <v>13700000</v>
      </c>
    </row>
    <row r="18" spans="1:26">
      <c r="A18" s="134">
        <f t="shared" si="4"/>
        <v>14</v>
      </c>
      <c r="B18" s="138" t="s">
        <v>95</v>
      </c>
      <c r="C18" s="284">
        <v>6.7239999999999994E-2</v>
      </c>
      <c r="D18" s="285">
        <v>38898</v>
      </c>
      <c r="E18" s="285">
        <v>49841</v>
      </c>
      <c r="F18" s="273">
        <f t="shared" si="0"/>
        <v>250000000</v>
      </c>
      <c r="G18" s="286">
        <v>100</v>
      </c>
      <c r="H18" s="183">
        <f t="shared" si="1"/>
        <v>6.7199999999999996E-2</v>
      </c>
      <c r="I18" s="277">
        <f t="shared" si="2"/>
        <v>16800000</v>
      </c>
      <c r="J18" s="277">
        <v>250000000</v>
      </c>
      <c r="K18" s="277">
        <v>250000000</v>
      </c>
      <c r="L18" s="277">
        <v>250000000</v>
      </c>
      <c r="M18" s="277">
        <v>250000000</v>
      </c>
      <c r="N18" s="277">
        <v>250000000</v>
      </c>
      <c r="O18" s="277">
        <v>250000000</v>
      </c>
      <c r="P18" s="277">
        <v>250000000</v>
      </c>
      <c r="Q18" s="277">
        <v>250000000</v>
      </c>
      <c r="R18" s="277">
        <v>250000000</v>
      </c>
      <c r="S18" s="277">
        <v>250000000</v>
      </c>
      <c r="T18" s="277">
        <v>250000000</v>
      </c>
      <c r="U18" s="277">
        <v>250000000</v>
      </c>
      <c r="V18" s="277">
        <v>250000000</v>
      </c>
      <c r="Y18" s="273">
        <f t="shared" si="3"/>
        <v>16800000</v>
      </c>
    </row>
    <row r="19" spans="1:26">
      <c r="A19" s="134">
        <f t="shared" si="4"/>
        <v>15</v>
      </c>
      <c r="B19" s="138" t="s">
        <v>95</v>
      </c>
      <c r="C19" s="284">
        <v>6.2740000000000004E-2</v>
      </c>
      <c r="D19" s="285">
        <v>38978</v>
      </c>
      <c r="E19" s="285">
        <v>50114</v>
      </c>
      <c r="F19" s="273">
        <f t="shared" si="0"/>
        <v>300000000</v>
      </c>
      <c r="G19" s="286">
        <v>100</v>
      </c>
      <c r="H19" s="183">
        <f t="shared" si="1"/>
        <v>6.2700000000000006E-2</v>
      </c>
      <c r="I19" s="277">
        <f t="shared" si="2"/>
        <v>18810000</v>
      </c>
      <c r="J19" s="277">
        <v>300000000</v>
      </c>
      <c r="K19" s="277">
        <v>300000000</v>
      </c>
      <c r="L19" s="277">
        <v>300000000</v>
      </c>
      <c r="M19" s="277">
        <v>300000000</v>
      </c>
      <c r="N19" s="277">
        <v>300000000</v>
      </c>
      <c r="O19" s="277">
        <v>300000000</v>
      </c>
      <c r="P19" s="277">
        <v>300000000</v>
      </c>
      <c r="Q19" s="277">
        <v>300000000</v>
      </c>
      <c r="R19" s="277">
        <v>300000000</v>
      </c>
      <c r="S19" s="277">
        <v>300000000</v>
      </c>
      <c r="T19" s="277">
        <v>300000000</v>
      </c>
      <c r="U19" s="277">
        <v>300000000</v>
      </c>
      <c r="V19" s="277">
        <v>300000000</v>
      </c>
      <c r="Y19" s="273">
        <f t="shared" si="3"/>
        <v>18810000</v>
      </c>
    </row>
    <row r="20" spans="1:26">
      <c r="A20" s="134">
        <f t="shared" si="4"/>
        <v>16</v>
      </c>
      <c r="B20" s="138" t="s">
        <v>95</v>
      </c>
      <c r="C20" s="284">
        <v>5.7570000000000003E-2</v>
      </c>
      <c r="D20" s="285">
        <v>40067</v>
      </c>
      <c r="E20" s="285">
        <v>51058</v>
      </c>
      <c r="F20" s="273">
        <f t="shared" si="0"/>
        <v>350000000</v>
      </c>
      <c r="G20" s="286">
        <v>100</v>
      </c>
      <c r="H20" s="183">
        <f t="shared" si="1"/>
        <v>5.7599999999999998E-2</v>
      </c>
      <c r="I20" s="277">
        <f t="shared" si="2"/>
        <v>20160000</v>
      </c>
      <c r="J20" s="277">
        <v>350000000</v>
      </c>
      <c r="K20" s="277">
        <v>350000000</v>
      </c>
      <c r="L20" s="277">
        <v>350000000</v>
      </c>
      <c r="M20" s="277">
        <v>350000000</v>
      </c>
      <c r="N20" s="277">
        <v>350000000</v>
      </c>
      <c r="O20" s="277">
        <v>350000000</v>
      </c>
      <c r="P20" s="277">
        <v>350000000</v>
      </c>
      <c r="Q20" s="277">
        <v>350000000</v>
      </c>
      <c r="R20" s="277">
        <v>350000000</v>
      </c>
      <c r="S20" s="277">
        <v>350000000</v>
      </c>
      <c r="T20" s="277">
        <v>350000000</v>
      </c>
      <c r="U20" s="277">
        <v>350000000</v>
      </c>
      <c r="V20" s="277">
        <v>350000000</v>
      </c>
      <c r="Y20" s="273">
        <f t="shared" si="3"/>
        <v>20160000</v>
      </c>
    </row>
    <row r="21" spans="1:26">
      <c r="A21" s="134">
        <f t="shared" si="4"/>
        <v>17</v>
      </c>
      <c r="B21" s="138" t="s">
        <v>95</v>
      </c>
      <c r="C21" s="284">
        <v>5.7950000000000002E-2</v>
      </c>
      <c r="D21" s="285">
        <v>40245</v>
      </c>
      <c r="E21" s="285">
        <v>51210</v>
      </c>
      <c r="F21" s="273">
        <f t="shared" si="0"/>
        <v>325000000</v>
      </c>
      <c r="G21" s="286">
        <v>100</v>
      </c>
      <c r="H21" s="183">
        <f t="shared" si="1"/>
        <v>5.79E-2</v>
      </c>
      <c r="I21" s="277">
        <f t="shared" si="2"/>
        <v>18817500</v>
      </c>
      <c r="J21" s="277">
        <v>325000000</v>
      </c>
      <c r="K21" s="277">
        <v>325000000</v>
      </c>
      <c r="L21" s="277">
        <v>325000000</v>
      </c>
      <c r="M21" s="277">
        <v>325000000</v>
      </c>
      <c r="N21" s="277">
        <v>325000000</v>
      </c>
      <c r="O21" s="277">
        <v>325000000</v>
      </c>
      <c r="P21" s="277">
        <v>325000000</v>
      </c>
      <c r="Q21" s="277">
        <v>325000000</v>
      </c>
      <c r="R21" s="277">
        <v>325000000</v>
      </c>
      <c r="S21" s="277">
        <v>325000000</v>
      </c>
      <c r="T21" s="277">
        <v>325000000</v>
      </c>
      <c r="U21" s="277">
        <v>325000000</v>
      </c>
      <c r="V21" s="277">
        <v>325000000</v>
      </c>
      <c r="Y21" s="273">
        <f t="shared" si="3"/>
        <v>18817500</v>
      </c>
    </row>
    <row r="22" spans="1:26">
      <c r="A22" s="134">
        <f t="shared" si="4"/>
        <v>18</v>
      </c>
      <c r="B22" s="138" t="s">
        <v>95</v>
      </c>
      <c r="C22" s="284">
        <v>5.7639999999999997E-2</v>
      </c>
      <c r="D22" s="285">
        <v>40358</v>
      </c>
      <c r="E22" s="285">
        <v>51332</v>
      </c>
      <c r="F22" s="273">
        <f t="shared" si="0"/>
        <v>250000000</v>
      </c>
      <c r="G22" s="286">
        <v>100</v>
      </c>
      <c r="H22" s="183">
        <f t="shared" si="1"/>
        <v>5.7599999999999998E-2</v>
      </c>
      <c r="I22" s="277">
        <f t="shared" si="2"/>
        <v>14400000</v>
      </c>
      <c r="J22" s="277">
        <v>250000000</v>
      </c>
      <c r="K22" s="277">
        <v>250000000</v>
      </c>
      <c r="L22" s="277">
        <v>250000000</v>
      </c>
      <c r="M22" s="277">
        <v>250000000</v>
      </c>
      <c r="N22" s="277">
        <v>250000000</v>
      </c>
      <c r="O22" s="277">
        <v>250000000</v>
      </c>
      <c r="P22" s="277">
        <v>250000000</v>
      </c>
      <c r="Q22" s="277">
        <v>250000000</v>
      </c>
      <c r="R22" s="277">
        <v>250000000</v>
      </c>
      <c r="S22" s="277">
        <v>250000000</v>
      </c>
      <c r="T22" s="277">
        <v>250000000</v>
      </c>
      <c r="U22" s="277">
        <v>250000000</v>
      </c>
      <c r="V22" s="277">
        <v>250000000</v>
      </c>
      <c r="Y22" s="273">
        <f t="shared" si="3"/>
        <v>14400000</v>
      </c>
    </row>
    <row r="23" spans="1:26">
      <c r="A23" s="134">
        <v>25</v>
      </c>
      <c r="B23" s="138" t="s">
        <v>95</v>
      </c>
      <c r="C23" s="284">
        <v>5.638E-2</v>
      </c>
      <c r="D23" s="285">
        <v>40627</v>
      </c>
      <c r="E23" s="285">
        <v>51606</v>
      </c>
      <c r="F23" s="273">
        <f t="shared" si="0"/>
        <v>300000000</v>
      </c>
      <c r="G23" s="286">
        <v>100</v>
      </c>
      <c r="H23" s="183">
        <f t="shared" si="1"/>
        <v>5.6399999999999999E-2</v>
      </c>
      <c r="I23" s="277">
        <f t="shared" si="2"/>
        <v>16920000</v>
      </c>
      <c r="J23" s="277">
        <v>300000000</v>
      </c>
      <c r="K23" s="277">
        <v>300000000</v>
      </c>
      <c r="L23" s="277">
        <v>300000000</v>
      </c>
      <c r="M23" s="277">
        <v>300000000</v>
      </c>
      <c r="N23" s="277">
        <v>300000000</v>
      </c>
      <c r="O23" s="277">
        <v>300000000</v>
      </c>
      <c r="P23" s="277">
        <v>300000000</v>
      </c>
      <c r="Q23" s="277">
        <v>300000000</v>
      </c>
      <c r="R23" s="277">
        <v>300000000</v>
      </c>
      <c r="S23" s="277">
        <v>300000000</v>
      </c>
      <c r="T23" s="277">
        <v>300000000</v>
      </c>
      <c r="U23" s="277">
        <v>300000000</v>
      </c>
      <c r="V23" s="277">
        <v>300000000</v>
      </c>
      <c r="Y23" s="273">
        <f t="shared" si="3"/>
        <v>16920000</v>
      </c>
    </row>
    <row r="24" spans="1:26">
      <c r="A24" s="134">
        <v>26</v>
      </c>
      <c r="B24" s="138" t="s">
        <v>95</v>
      </c>
      <c r="C24" s="284">
        <v>4.4339999999999997E-2</v>
      </c>
      <c r="D24" s="285">
        <v>40863</v>
      </c>
      <c r="E24" s="285">
        <v>51820</v>
      </c>
      <c r="F24" s="273">
        <f t="shared" si="0"/>
        <v>250000000</v>
      </c>
      <c r="G24" s="286">
        <v>100</v>
      </c>
      <c r="H24" s="183">
        <f t="shared" si="1"/>
        <v>4.4299999999999999E-2</v>
      </c>
      <c r="I24" s="277">
        <f t="shared" si="2"/>
        <v>11075000</v>
      </c>
      <c r="J24" s="277">
        <v>250000000</v>
      </c>
      <c r="K24" s="277">
        <v>250000000</v>
      </c>
      <c r="L24" s="277">
        <v>250000000</v>
      </c>
      <c r="M24" s="277">
        <v>250000000</v>
      </c>
      <c r="N24" s="277">
        <v>250000000</v>
      </c>
      <c r="O24" s="277">
        <v>250000000</v>
      </c>
      <c r="P24" s="277">
        <v>250000000</v>
      </c>
      <c r="Q24" s="277">
        <v>250000000</v>
      </c>
      <c r="R24" s="277">
        <v>250000000</v>
      </c>
      <c r="S24" s="277">
        <v>250000000</v>
      </c>
      <c r="T24" s="277">
        <v>250000000</v>
      </c>
      <c r="U24" s="277">
        <v>250000000</v>
      </c>
      <c r="V24" s="277">
        <v>250000000</v>
      </c>
      <c r="Y24" s="273">
        <f t="shared" si="3"/>
        <v>11075000</v>
      </c>
    </row>
    <row r="25" spans="1:26">
      <c r="A25" s="134">
        <v>27</v>
      </c>
      <c r="B25" s="138" t="s">
        <v>95</v>
      </c>
      <c r="C25" s="284">
        <v>4.7E-2</v>
      </c>
      <c r="D25" s="285">
        <v>40869</v>
      </c>
      <c r="E25" s="285">
        <v>55472</v>
      </c>
      <c r="F25" s="273">
        <f t="shared" si="0"/>
        <v>45000000</v>
      </c>
      <c r="G25" s="286">
        <v>100</v>
      </c>
      <c r="H25" s="183">
        <f t="shared" si="1"/>
        <v>4.7E-2</v>
      </c>
      <c r="I25" s="277">
        <f t="shared" si="2"/>
        <v>2115000</v>
      </c>
      <c r="J25" s="277">
        <v>45000000</v>
      </c>
      <c r="K25" s="277">
        <v>45000000</v>
      </c>
      <c r="L25" s="277">
        <v>45000000</v>
      </c>
      <c r="M25" s="277">
        <v>45000000</v>
      </c>
      <c r="N25" s="277">
        <v>45000000</v>
      </c>
      <c r="O25" s="277">
        <v>45000000</v>
      </c>
      <c r="P25" s="277">
        <v>45000000</v>
      </c>
      <c r="Q25" s="277">
        <v>45000000</v>
      </c>
      <c r="R25" s="277">
        <v>45000000</v>
      </c>
      <c r="S25" s="277">
        <v>45000000</v>
      </c>
      <c r="T25" s="277">
        <v>45000000</v>
      </c>
      <c r="U25" s="277">
        <v>45000000</v>
      </c>
      <c r="V25" s="277">
        <v>45000000</v>
      </c>
      <c r="Y25" s="273">
        <f t="shared" si="3"/>
        <v>2115000</v>
      </c>
    </row>
    <row r="26" spans="1:26">
      <c r="A26" s="134">
        <v>28</v>
      </c>
      <c r="B26" s="138" t="s">
        <v>126</v>
      </c>
      <c r="C26" s="284">
        <v>6.9739999999999996E-2</v>
      </c>
      <c r="D26" s="285">
        <v>39237</v>
      </c>
      <c r="E26" s="285">
        <v>42887</v>
      </c>
      <c r="F26" s="273">
        <f t="shared" si="0"/>
        <v>250000000</v>
      </c>
      <c r="G26" s="286">
        <v>100</v>
      </c>
      <c r="H26" s="183">
        <f t="shared" si="1"/>
        <v>6.9699999999999998E-2</v>
      </c>
      <c r="I26" s="277">
        <f t="shared" si="2"/>
        <v>17425000</v>
      </c>
      <c r="J26" s="273">
        <v>250000000</v>
      </c>
      <c r="K26" s="273">
        <v>250000000</v>
      </c>
      <c r="L26" s="273">
        <v>250000000</v>
      </c>
      <c r="M26" s="273">
        <v>250000000</v>
      </c>
      <c r="N26" s="273">
        <v>250000000</v>
      </c>
      <c r="O26" s="273">
        <v>250000000</v>
      </c>
      <c r="P26" s="273">
        <v>250000000</v>
      </c>
      <c r="Q26" s="273">
        <v>250000000</v>
      </c>
      <c r="R26" s="273">
        <v>250000000</v>
      </c>
      <c r="S26" s="273">
        <v>250000000</v>
      </c>
      <c r="T26" s="273">
        <v>250000000</v>
      </c>
      <c r="U26" s="273">
        <v>250000000</v>
      </c>
      <c r="V26" s="273">
        <v>250000000</v>
      </c>
      <c r="Y26" s="273">
        <f t="shared" si="3"/>
        <v>17425000</v>
      </c>
    </row>
    <row r="27" spans="1:26">
      <c r="A27" s="134">
        <v>29</v>
      </c>
      <c r="B27" s="138" t="s">
        <v>95</v>
      </c>
      <c r="C27" s="284">
        <v>4.2999999999999997E-2</v>
      </c>
      <c r="D27" s="285">
        <v>42150</v>
      </c>
      <c r="E27" s="285">
        <v>53102</v>
      </c>
      <c r="F27" s="273">
        <f t="shared" si="0"/>
        <v>265625000</v>
      </c>
      <c r="G27" s="286">
        <v>100</v>
      </c>
      <c r="H27" s="183">
        <f t="shared" si="1"/>
        <v>4.2999999999999997E-2</v>
      </c>
      <c r="I27" s="277">
        <f t="shared" si="2"/>
        <v>11421875</v>
      </c>
      <c r="J27" s="273"/>
      <c r="K27" s="273"/>
      <c r="L27" s="273"/>
      <c r="M27" s="273"/>
      <c r="N27" s="273"/>
      <c r="O27" s="273">
        <v>425000000</v>
      </c>
      <c r="P27" s="273">
        <v>425000000</v>
      </c>
      <c r="Q27" s="273">
        <v>425000000</v>
      </c>
      <c r="R27" s="273">
        <v>425000000</v>
      </c>
      <c r="S27" s="273">
        <v>425000000</v>
      </c>
      <c r="T27" s="273">
        <v>425000000</v>
      </c>
      <c r="U27" s="273">
        <v>425000000</v>
      </c>
      <c r="V27" s="273">
        <v>425000000</v>
      </c>
      <c r="Y27" s="277">
        <f t="shared" si="3"/>
        <v>18275000</v>
      </c>
    </row>
    <row r="28" spans="1:26">
      <c r="A28" s="134">
        <v>30</v>
      </c>
      <c r="B28" s="138"/>
      <c r="C28" s="284"/>
      <c r="D28" s="285"/>
      <c r="E28" s="285"/>
      <c r="F28" s="273"/>
      <c r="G28" s="286"/>
      <c r="H28" s="183"/>
      <c r="I28" s="277"/>
      <c r="J28" s="277"/>
      <c r="K28" s="277"/>
      <c r="L28" s="277"/>
      <c r="M28" s="277"/>
      <c r="N28" s="277"/>
      <c r="O28" s="277"/>
      <c r="P28" s="277"/>
      <c r="Q28" s="277"/>
      <c r="R28" s="277"/>
      <c r="S28" s="277"/>
      <c r="T28" s="277"/>
      <c r="U28" s="277"/>
      <c r="V28" s="277"/>
      <c r="Y28" s="482">
        <f>SUM(Y6:Y27)</f>
        <v>217589940</v>
      </c>
    </row>
    <row r="29" spans="1:26" ht="13.8" thickBot="1">
      <c r="A29" s="134">
        <v>31</v>
      </c>
      <c r="B29" s="138"/>
      <c r="C29" s="140"/>
      <c r="D29" s="285"/>
      <c r="E29" s="285"/>
      <c r="F29" s="273"/>
      <c r="G29" s="294"/>
      <c r="H29" s="183"/>
      <c r="I29" s="293"/>
      <c r="J29" s="273"/>
      <c r="K29" s="273"/>
      <c r="L29" s="273"/>
      <c r="M29" s="273"/>
      <c r="N29" s="273"/>
      <c r="O29" s="273"/>
      <c r="P29" s="273"/>
      <c r="Q29" s="273"/>
      <c r="R29" s="273"/>
      <c r="S29" s="273"/>
      <c r="T29" s="273"/>
      <c r="U29" s="273"/>
      <c r="V29" s="273"/>
      <c r="Y29" s="590"/>
    </row>
    <row r="30" spans="1:26" ht="13.8" thickBot="1">
      <c r="A30" s="134">
        <v>32</v>
      </c>
      <c r="B30" s="140" t="s">
        <v>129</v>
      </c>
      <c r="C30" s="284"/>
      <c r="D30" s="285"/>
      <c r="E30" s="285"/>
      <c r="F30" s="291">
        <f>SUM(F6:F29)</f>
        <v>3806318333</v>
      </c>
      <c r="G30" s="292"/>
      <c r="H30" s="216">
        <f>ROUND(+I30/F30,4)</f>
        <v>5.8500000000000003E-2</v>
      </c>
      <c r="I30" s="295">
        <f t="shared" ref="I30:V30" si="5">SUM(I6:I29)</f>
        <v>222671082</v>
      </c>
      <c r="J30" s="295">
        <f t="shared" si="5"/>
        <v>3760860000</v>
      </c>
      <c r="K30" s="295">
        <f t="shared" si="5"/>
        <v>3760860000</v>
      </c>
      <c r="L30" s="295">
        <f t="shared" si="5"/>
        <v>3760860000</v>
      </c>
      <c r="M30" s="295">
        <f t="shared" si="5"/>
        <v>3760860000</v>
      </c>
      <c r="N30" s="295">
        <f t="shared" si="5"/>
        <v>3760860000</v>
      </c>
      <c r="O30" s="295">
        <f t="shared" si="5"/>
        <v>4185860000</v>
      </c>
      <c r="P30" s="295">
        <f t="shared" si="5"/>
        <v>3785860000</v>
      </c>
      <c r="Q30" s="295">
        <f t="shared" si="5"/>
        <v>3785860000</v>
      </c>
      <c r="R30" s="295">
        <f t="shared" si="5"/>
        <v>3785860000</v>
      </c>
      <c r="S30" s="295">
        <f t="shared" si="5"/>
        <v>3773860000</v>
      </c>
      <c r="T30" s="295">
        <f t="shared" si="5"/>
        <v>3773860000</v>
      </c>
      <c r="U30" s="295">
        <f t="shared" si="5"/>
        <v>3773860000</v>
      </c>
      <c r="V30" s="295">
        <f t="shared" si="5"/>
        <v>3773860000</v>
      </c>
      <c r="Y30" s="295">
        <f>Y28+Y29</f>
        <v>217589940</v>
      </c>
      <c r="Z30" s="483">
        <f>Y30/V30</f>
        <v>5.765713089515774E-2</v>
      </c>
    </row>
    <row r="31" spans="1:26">
      <c r="A31" s="134">
        <v>33</v>
      </c>
      <c r="B31" s="138"/>
      <c r="C31" s="284"/>
      <c r="D31" s="285"/>
      <c r="E31" s="285"/>
      <c r="F31" s="293"/>
      <c r="G31" s="290"/>
      <c r="H31" s="246"/>
      <c r="I31" s="293"/>
      <c r="J31" s="505"/>
      <c r="K31" s="505"/>
      <c r="L31" s="505"/>
      <c r="M31" s="505"/>
      <c r="N31" s="505"/>
      <c r="O31" s="505"/>
      <c r="P31" s="505"/>
      <c r="Q31" s="505"/>
      <c r="R31" s="505"/>
      <c r="S31" s="505"/>
      <c r="T31" s="505"/>
      <c r="U31" s="505"/>
      <c r="V31" s="505"/>
      <c r="Y31" s="274">
        <f>H31*V31</f>
        <v>0</v>
      </c>
    </row>
    <row r="32" spans="1:26">
      <c r="A32" s="134">
        <v>34</v>
      </c>
      <c r="B32" s="136" t="s">
        <v>321</v>
      </c>
      <c r="C32" s="137"/>
      <c r="D32" s="137"/>
      <c r="E32" s="137"/>
      <c r="F32" s="293"/>
      <c r="G32" s="25"/>
      <c r="H32" s="246"/>
      <c r="I32" s="293"/>
      <c r="J32" s="277"/>
      <c r="K32" s="349"/>
      <c r="L32" s="349"/>
      <c r="M32" s="349"/>
      <c r="N32" s="349"/>
      <c r="O32" s="349"/>
      <c r="P32" s="349"/>
      <c r="Q32" s="349"/>
      <c r="R32" s="349"/>
      <c r="S32" s="349"/>
      <c r="T32" s="349"/>
      <c r="U32" s="349"/>
      <c r="V32" s="349"/>
      <c r="Y32" s="273"/>
    </row>
    <row r="33" spans="1:56">
      <c r="A33" s="134"/>
      <c r="B33" s="136"/>
      <c r="C33" s="137"/>
      <c r="D33" s="137"/>
      <c r="E33" s="137"/>
      <c r="F33" s="137"/>
      <c r="G33" s="137"/>
      <c r="H33" s="137"/>
      <c r="I33" s="137"/>
      <c r="Y33" s="293"/>
      <c r="Z33" s="246"/>
    </row>
    <row r="34" spans="1:56">
      <c r="A34" s="134"/>
      <c r="B34" s="136"/>
      <c r="C34" s="137"/>
      <c r="D34" s="137"/>
      <c r="E34" s="137"/>
      <c r="F34" s="137"/>
      <c r="G34" s="139"/>
      <c r="H34" s="137"/>
      <c r="I34" s="137"/>
    </row>
    <row r="35" spans="1:56">
      <c r="A35" s="134"/>
      <c r="B35" s="136"/>
      <c r="C35" s="137"/>
      <c r="D35" s="137"/>
      <c r="E35" s="137"/>
      <c r="F35" s="137"/>
      <c r="G35" s="139"/>
      <c r="H35" s="137"/>
      <c r="I35" s="137"/>
    </row>
    <row r="36" spans="1:56">
      <c r="A36" s="134"/>
      <c r="B36" s="136"/>
      <c r="C36" s="137"/>
      <c r="D36" s="137"/>
      <c r="E36" s="137"/>
      <c r="F36" s="137"/>
      <c r="G36" s="139"/>
      <c r="H36" s="137"/>
      <c r="I36" s="137"/>
    </row>
    <row r="37" spans="1:56">
      <c r="A37" s="134"/>
      <c r="B37" s="135"/>
      <c r="C37" s="135"/>
      <c r="D37" s="135"/>
      <c r="E37" s="325" t="str">
        <f>IF((F30-'Pg 2 CapStructure'!Q16)&gt;1,"Total LTD ERROR",IF((F30-'Pg 2 CapStructure'!Q16)&lt;-1,"Total LTD ERROR",""))</f>
        <v>Total LTD ERROR</v>
      </c>
      <c r="G37" s="135"/>
      <c r="H37" s="296"/>
      <c r="I37" s="297"/>
      <c r="J37" s="298"/>
      <c r="K37" s="298"/>
      <c r="L37" s="298"/>
      <c r="M37" s="298"/>
      <c r="N37" s="298"/>
      <c r="O37" s="298"/>
      <c r="P37" s="298"/>
      <c r="Q37" s="298"/>
      <c r="R37" s="298"/>
      <c r="S37" s="298"/>
      <c r="T37" s="298"/>
      <c r="U37" s="298"/>
      <c r="V37" s="29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row>
    <row r="38" spans="1:56">
      <c r="A38" s="44"/>
      <c r="B38" s="299"/>
      <c r="C38" s="299"/>
      <c r="D38" s="299"/>
      <c r="E38" s="299"/>
      <c r="F38" s="272"/>
      <c r="G38" s="299"/>
      <c r="H38" s="137"/>
      <c r="I38" s="179"/>
      <c r="J38" s="300"/>
      <c r="K38" s="300"/>
      <c r="L38" s="300"/>
      <c r="M38" s="300"/>
      <c r="N38" s="138"/>
      <c r="O38" s="138"/>
      <c r="P38" s="138"/>
      <c r="Q38" s="138"/>
      <c r="R38" s="138"/>
      <c r="S38" s="138"/>
      <c r="T38" s="138"/>
      <c r="U38" s="138"/>
      <c r="V38" s="138"/>
    </row>
    <row r="39" spans="1:56">
      <c r="A39" s="44"/>
      <c r="B39" s="299"/>
      <c r="C39" s="299"/>
      <c r="D39" s="299"/>
      <c r="E39" s="299"/>
      <c r="F39" s="271"/>
      <c r="G39" s="299"/>
      <c r="H39" s="135"/>
      <c r="I39" s="297"/>
      <c r="J39" s="274"/>
      <c r="K39" s="274"/>
      <c r="L39" s="274"/>
      <c r="M39" s="274"/>
      <c r="N39" s="274"/>
      <c r="O39" s="274"/>
      <c r="P39" s="274"/>
      <c r="Q39" s="274"/>
      <c r="R39" s="274"/>
      <c r="S39" s="274"/>
      <c r="T39" s="274"/>
      <c r="U39" s="274"/>
      <c r="V39" s="274"/>
    </row>
    <row r="40" spans="1:56">
      <c r="A40" s="44"/>
      <c r="B40" s="28"/>
      <c r="C40" s="28"/>
      <c r="D40" s="28"/>
      <c r="E40" s="28"/>
      <c r="F40" s="272"/>
      <c r="G40" s="28"/>
      <c r="H40" s="28"/>
      <c r="I40" s="45"/>
      <c r="J40" s="221" t="str">
        <f t="shared" ref="J40:V40" si="6">IF(J39&lt;&gt;0,"ERROR","")</f>
        <v/>
      </c>
      <c r="K40" s="221" t="str">
        <f t="shared" si="6"/>
        <v/>
      </c>
      <c r="L40" s="221" t="str">
        <f t="shared" si="6"/>
        <v/>
      </c>
      <c r="M40" s="221" t="str">
        <f t="shared" si="6"/>
        <v/>
      </c>
      <c r="N40" s="221" t="str">
        <f t="shared" si="6"/>
        <v/>
      </c>
      <c r="O40" s="221" t="str">
        <f t="shared" si="6"/>
        <v/>
      </c>
      <c r="P40" s="221" t="str">
        <f t="shared" si="6"/>
        <v/>
      </c>
      <c r="Q40" s="221" t="str">
        <f t="shared" si="6"/>
        <v/>
      </c>
      <c r="R40" s="221" t="str">
        <f t="shared" si="6"/>
        <v/>
      </c>
      <c r="S40" s="221" t="str">
        <f t="shared" si="6"/>
        <v/>
      </c>
      <c r="T40" s="221" t="str">
        <f t="shared" si="6"/>
        <v/>
      </c>
      <c r="U40" s="221" t="str">
        <f t="shared" si="6"/>
        <v/>
      </c>
      <c r="V40" s="44" t="str">
        <f t="shared" si="6"/>
        <v/>
      </c>
    </row>
    <row r="41" spans="1:56">
      <c r="A41" s="44"/>
      <c r="B41" s="28"/>
      <c r="C41" s="28"/>
      <c r="D41" s="28"/>
      <c r="E41" s="28"/>
      <c r="F41" s="45"/>
      <c r="G41" s="28"/>
      <c r="H41" s="183"/>
    </row>
    <row r="42" spans="1:56">
      <c r="A42" s="46"/>
      <c r="B42" s="47"/>
      <c r="C42" s="48"/>
      <c r="D42" s="49"/>
      <c r="E42" s="49"/>
      <c r="F42" s="262"/>
      <c r="G42" s="51"/>
      <c r="H42" s="183"/>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3.2"/>
  <cols>
    <col min="2" max="2" width="9.28515625" style="578" customWidth="1"/>
    <col min="5" max="5" width="10.85546875" style="574" bestFit="1" customWidth="1"/>
    <col min="8" max="8" width="39" customWidth="1"/>
    <col min="9" max="10" width="9.28515625" customWidth="1"/>
    <col min="11" max="11" width="10.85546875" customWidth="1"/>
    <col min="12" max="12" width="9.28515625" customWidth="1"/>
    <col min="13" max="13" width="10.85546875" customWidth="1"/>
    <col min="14" max="17" width="9.28515625" customWidth="1"/>
  </cols>
  <sheetData>
    <row r="1" spans="2:15">
      <c r="B1" s="578" t="s">
        <v>301</v>
      </c>
    </row>
    <row r="2" spans="2:15">
      <c r="C2">
        <v>1000</v>
      </c>
      <c r="E2" s="574">
        <v>18900013</v>
      </c>
      <c r="H2" t="s">
        <v>276</v>
      </c>
      <c r="K2">
        <v>52742</v>
      </c>
      <c r="M2">
        <v>52742</v>
      </c>
      <c r="O2">
        <v>0</v>
      </c>
    </row>
    <row r="3" spans="2:15">
      <c r="C3">
        <v>1000</v>
      </c>
      <c r="E3" s="574">
        <v>18900173</v>
      </c>
      <c r="H3" t="s">
        <v>277</v>
      </c>
      <c r="K3">
        <v>1702874.8</v>
      </c>
      <c r="M3">
        <v>1702874.8</v>
      </c>
      <c r="O3">
        <v>0</v>
      </c>
    </row>
    <row r="4" spans="2:15">
      <c r="C4">
        <v>1000</v>
      </c>
      <c r="E4" s="574">
        <v>18900183</v>
      </c>
      <c r="H4" t="s">
        <v>278</v>
      </c>
      <c r="K4">
        <v>365936.61</v>
      </c>
      <c r="M4">
        <v>365936.61</v>
      </c>
      <c r="O4">
        <v>0</v>
      </c>
    </row>
    <row r="5" spans="2:15">
      <c r="C5">
        <v>1000</v>
      </c>
      <c r="E5" s="574">
        <v>18900193</v>
      </c>
      <c r="H5" t="s">
        <v>279</v>
      </c>
      <c r="K5">
        <v>3083205.61</v>
      </c>
      <c r="M5">
        <v>3083205.61</v>
      </c>
      <c r="O5">
        <v>0</v>
      </c>
    </row>
    <row r="6" spans="2:15">
      <c r="C6">
        <v>1000</v>
      </c>
      <c r="E6" s="574">
        <v>18900243</v>
      </c>
      <c r="H6" t="s">
        <v>280</v>
      </c>
      <c r="K6">
        <v>15744.35</v>
      </c>
      <c r="M6">
        <v>15744.35</v>
      </c>
      <c r="O6">
        <v>0</v>
      </c>
    </row>
    <row r="7" spans="2:15">
      <c r="C7">
        <v>1000</v>
      </c>
      <c r="E7" s="574">
        <v>18900253</v>
      </c>
      <c r="H7" t="s">
        <v>281</v>
      </c>
      <c r="K7">
        <v>780747.67</v>
      </c>
      <c r="M7">
        <v>780747.67</v>
      </c>
      <c r="O7">
        <v>0</v>
      </c>
    </row>
    <row r="8" spans="2:15">
      <c r="C8">
        <v>1000</v>
      </c>
      <c r="E8" s="574">
        <v>18900263</v>
      </c>
      <c r="H8" t="s">
        <v>282</v>
      </c>
      <c r="K8">
        <v>593303.81999999995</v>
      </c>
      <c r="M8">
        <v>593303.81999999995</v>
      </c>
      <c r="O8">
        <v>0</v>
      </c>
    </row>
    <row r="9" spans="2:15">
      <c r="C9">
        <v>1000</v>
      </c>
      <c r="E9" s="574">
        <v>18900273</v>
      </c>
      <c r="H9" t="s">
        <v>283</v>
      </c>
      <c r="K9">
        <v>1816669.69</v>
      </c>
      <c r="M9">
        <v>1816669.69</v>
      </c>
      <c r="O9">
        <v>0</v>
      </c>
    </row>
    <row r="10" spans="2:15">
      <c r="C10">
        <v>1000</v>
      </c>
      <c r="E10" s="574">
        <v>18900283</v>
      </c>
      <c r="H10" t="s">
        <v>284</v>
      </c>
      <c r="K10">
        <v>554446.11</v>
      </c>
      <c r="M10">
        <v>554446.11</v>
      </c>
      <c r="O10">
        <v>0</v>
      </c>
    </row>
    <row r="11" spans="2:15">
      <c r="C11">
        <v>1000</v>
      </c>
      <c r="E11" s="574">
        <v>18900293</v>
      </c>
      <c r="H11" t="s">
        <v>285</v>
      </c>
      <c r="K11">
        <v>9128.82</v>
      </c>
      <c r="M11">
        <v>9128.82</v>
      </c>
      <c r="O11">
        <v>0</v>
      </c>
    </row>
    <row r="12" spans="2:15">
      <c r="C12">
        <v>1000</v>
      </c>
      <c r="E12" s="574">
        <v>18900303</v>
      </c>
      <c r="H12" t="s">
        <v>286</v>
      </c>
      <c r="K12">
        <v>21299.61</v>
      </c>
      <c r="M12">
        <v>21299.61</v>
      </c>
      <c r="O12">
        <v>0</v>
      </c>
    </row>
    <row r="13" spans="2:15">
      <c r="C13">
        <v>1000</v>
      </c>
      <c r="E13" s="574">
        <v>18900323</v>
      </c>
      <c r="H13" t="s">
        <v>287</v>
      </c>
      <c r="K13">
        <v>541542.92000000004</v>
      </c>
      <c r="M13">
        <v>541542.92000000004</v>
      </c>
      <c r="O13">
        <v>0</v>
      </c>
    </row>
    <row r="14" spans="2:15">
      <c r="C14">
        <v>1000</v>
      </c>
      <c r="E14" s="574">
        <v>18900353</v>
      </c>
      <c r="H14" t="s">
        <v>288</v>
      </c>
      <c r="K14">
        <v>102120.9</v>
      </c>
      <c r="M14">
        <v>102120.9</v>
      </c>
      <c r="O14">
        <v>0</v>
      </c>
    </row>
    <row r="15" spans="2:15">
      <c r="C15">
        <v>1000</v>
      </c>
      <c r="E15" s="574">
        <v>18900373</v>
      </c>
      <c r="H15" t="s">
        <v>289</v>
      </c>
      <c r="K15">
        <v>4432980.76</v>
      </c>
      <c r="M15">
        <v>4432980.76</v>
      </c>
      <c r="O15">
        <v>0</v>
      </c>
    </row>
    <row r="16" spans="2:15">
      <c r="C16">
        <v>1000</v>
      </c>
      <c r="E16" s="574">
        <v>18900383</v>
      </c>
      <c r="H16" t="s">
        <v>290</v>
      </c>
      <c r="K16">
        <v>652428.99</v>
      </c>
      <c r="M16">
        <v>652428.99</v>
      </c>
      <c r="O16">
        <v>0</v>
      </c>
    </row>
    <row r="17" spans="2:17">
      <c r="C17">
        <v>1000</v>
      </c>
      <c r="E17" s="574">
        <v>18900393</v>
      </c>
      <c r="H17" t="s">
        <v>291</v>
      </c>
      <c r="K17">
        <v>15152963.5</v>
      </c>
      <c r="M17">
        <v>15152963.5</v>
      </c>
      <c r="O17">
        <v>0</v>
      </c>
    </row>
    <row r="18" spans="2:17">
      <c r="C18" s="575">
        <v>1000</v>
      </c>
      <c r="D18" s="575"/>
      <c r="E18" s="576">
        <v>18900403</v>
      </c>
      <c r="F18" s="575"/>
      <c r="G18" s="575"/>
      <c r="H18" s="575" t="s">
        <v>292</v>
      </c>
      <c r="I18" s="575"/>
      <c r="J18" s="575"/>
      <c r="K18" s="575">
        <v>258483.07</v>
      </c>
      <c r="L18" s="575"/>
      <c r="M18" s="575">
        <v>258483.07</v>
      </c>
      <c r="N18" s="575"/>
      <c r="O18" s="575">
        <v>0</v>
      </c>
      <c r="P18" s="575"/>
      <c r="Q18" s="575"/>
    </row>
    <row r="19" spans="2:17">
      <c r="C19" s="575">
        <v>1000</v>
      </c>
      <c r="D19" s="575"/>
      <c r="E19" s="576">
        <v>18900413</v>
      </c>
      <c r="F19" s="575"/>
      <c r="G19" s="575"/>
      <c r="H19" s="575" t="s">
        <v>293</v>
      </c>
      <c r="I19" s="575"/>
      <c r="J19" s="575"/>
      <c r="K19" s="575">
        <v>339527.78</v>
      </c>
      <c r="L19" s="575"/>
      <c r="M19" s="575">
        <v>339527.78</v>
      </c>
      <c r="N19" s="575"/>
      <c r="O19" s="575">
        <v>0</v>
      </c>
      <c r="P19" s="575"/>
      <c r="Q19" s="575"/>
    </row>
    <row r="20" spans="2:17">
      <c r="C20" s="575">
        <v>1000</v>
      </c>
      <c r="D20" s="575"/>
      <c r="E20" s="576">
        <v>18900423</v>
      </c>
      <c r="F20" s="575"/>
      <c r="G20" s="575"/>
      <c r="H20" s="575" t="s">
        <v>294</v>
      </c>
      <c r="I20" s="575"/>
      <c r="J20" s="575"/>
      <c r="K20" s="575">
        <v>1353341.67</v>
      </c>
      <c r="L20" s="575"/>
      <c r="M20" s="575">
        <v>1353341.67</v>
      </c>
      <c r="N20" s="575"/>
      <c r="O20" s="575">
        <v>0</v>
      </c>
      <c r="P20" s="575"/>
      <c r="Q20" s="575"/>
    </row>
    <row r="21" spans="2:17">
      <c r="C21">
        <v>1000</v>
      </c>
      <c r="E21" s="574">
        <v>18900433</v>
      </c>
      <c r="H21" t="s">
        <v>295</v>
      </c>
      <c r="K21">
        <v>5135043.88</v>
      </c>
      <c r="M21">
        <v>5135043.88</v>
      </c>
      <c r="O21">
        <v>0</v>
      </c>
    </row>
    <row r="22" spans="2:17">
      <c r="C22">
        <v>1000</v>
      </c>
      <c r="E22" s="574">
        <v>18900533</v>
      </c>
      <c r="H22" t="s">
        <v>296</v>
      </c>
      <c r="K22">
        <v>867832.16</v>
      </c>
      <c r="M22">
        <v>867832.16</v>
      </c>
      <c r="O22">
        <v>0</v>
      </c>
    </row>
    <row r="24" spans="2:17">
      <c r="B24" s="578" t="s">
        <v>299</v>
      </c>
    </row>
    <row r="25" spans="2:17">
      <c r="C25">
        <v>1000</v>
      </c>
      <c r="E25" s="574">
        <v>18900013</v>
      </c>
      <c r="H25" t="s">
        <v>276</v>
      </c>
      <c r="K25">
        <v>43574</v>
      </c>
      <c r="M25">
        <v>52742</v>
      </c>
      <c r="O25">
        <v>-9168</v>
      </c>
      <c r="Q25">
        <v>-17.399999999999999</v>
      </c>
    </row>
    <row r="26" spans="2:17">
      <c r="C26">
        <v>1000</v>
      </c>
      <c r="E26" s="574">
        <v>18900173</v>
      </c>
      <c r="H26" t="s">
        <v>277</v>
      </c>
      <c r="K26">
        <v>1618434.76</v>
      </c>
      <c r="M26">
        <v>1702874.8</v>
      </c>
      <c r="O26">
        <v>-84440.04</v>
      </c>
      <c r="Q26">
        <v>-5</v>
      </c>
    </row>
    <row r="27" spans="2:17">
      <c r="C27">
        <v>1000</v>
      </c>
      <c r="E27" s="574">
        <v>18900183</v>
      </c>
      <c r="H27" t="s">
        <v>278</v>
      </c>
      <c r="K27">
        <v>357393.33</v>
      </c>
      <c r="M27">
        <v>365936.61</v>
      </c>
      <c r="O27">
        <v>-8543.2800000000007</v>
      </c>
      <c r="Q27">
        <v>-2.2999999999999998</v>
      </c>
    </row>
    <row r="28" spans="2:17">
      <c r="C28">
        <v>1000</v>
      </c>
      <c r="E28" s="574">
        <v>18900193</v>
      </c>
      <c r="H28" t="s">
        <v>279</v>
      </c>
      <c r="K28">
        <v>2968303.51</v>
      </c>
      <c r="M28">
        <v>3083205.61</v>
      </c>
      <c r="O28">
        <v>-114902.1</v>
      </c>
      <c r="Q28">
        <v>-3.7</v>
      </c>
    </row>
    <row r="29" spans="2:17">
      <c r="C29">
        <v>1000</v>
      </c>
      <c r="E29" s="574">
        <v>18900243</v>
      </c>
      <c r="H29" t="s">
        <v>280</v>
      </c>
      <c r="K29">
        <v>13994.93</v>
      </c>
      <c r="M29">
        <v>15744.35</v>
      </c>
      <c r="O29">
        <v>-1749.42</v>
      </c>
      <c r="Q29">
        <v>-11.1</v>
      </c>
    </row>
    <row r="30" spans="2:17">
      <c r="C30">
        <v>1000</v>
      </c>
      <c r="E30" s="574">
        <v>18900253</v>
      </c>
      <c r="H30" t="s">
        <v>281</v>
      </c>
      <c r="K30">
        <v>758007.43</v>
      </c>
      <c r="M30">
        <v>780747.67</v>
      </c>
      <c r="O30">
        <v>-22740.240000000002</v>
      </c>
      <c r="Q30">
        <v>-2.9</v>
      </c>
    </row>
    <row r="31" spans="2:17">
      <c r="C31">
        <v>1000</v>
      </c>
      <c r="E31" s="574">
        <v>18900263</v>
      </c>
      <c r="H31" t="s">
        <v>282</v>
      </c>
      <c r="K31">
        <v>576023.1</v>
      </c>
      <c r="M31">
        <v>593303.81999999995</v>
      </c>
      <c r="O31">
        <v>-17280.72</v>
      </c>
      <c r="Q31">
        <v>-2.9</v>
      </c>
    </row>
    <row r="32" spans="2:17">
      <c r="C32">
        <v>1000</v>
      </c>
      <c r="E32" s="574">
        <v>18900273</v>
      </c>
      <c r="H32" t="s">
        <v>283</v>
      </c>
      <c r="K32">
        <v>1763756.95</v>
      </c>
      <c r="M32">
        <v>1816669.69</v>
      </c>
      <c r="O32">
        <v>-52912.74</v>
      </c>
      <c r="Q32">
        <v>-2.9</v>
      </c>
    </row>
    <row r="33" spans="3:19">
      <c r="C33">
        <v>1000</v>
      </c>
      <c r="E33" s="574">
        <v>18900283</v>
      </c>
      <c r="H33" t="s">
        <v>284</v>
      </c>
      <c r="K33">
        <v>538297.23</v>
      </c>
      <c r="M33">
        <v>554446.11</v>
      </c>
      <c r="O33">
        <v>-16148.88</v>
      </c>
      <c r="Q33">
        <v>-2.9</v>
      </c>
    </row>
    <row r="34" spans="3:19">
      <c r="C34">
        <v>1000</v>
      </c>
      <c r="E34" s="574">
        <v>18900293</v>
      </c>
      <c r="H34" t="s">
        <v>285</v>
      </c>
      <c r="K34">
        <v>8558.2800000000007</v>
      </c>
      <c r="M34">
        <v>9128.82</v>
      </c>
      <c r="O34">
        <v>-570.54</v>
      </c>
      <c r="Q34">
        <v>-6.2</v>
      </c>
    </row>
    <row r="35" spans="3:19">
      <c r="C35">
        <v>1000</v>
      </c>
      <c r="E35" s="574">
        <v>18900303</v>
      </c>
      <c r="H35" t="s">
        <v>286</v>
      </c>
      <c r="K35">
        <v>19968.330000000002</v>
      </c>
      <c r="M35">
        <v>21299.61</v>
      </c>
      <c r="O35">
        <v>-1331.28</v>
      </c>
      <c r="Q35">
        <v>-6.3</v>
      </c>
    </row>
    <row r="36" spans="3:19">
      <c r="C36">
        <v>1000</v>
      </c>
      <c r="E36" s="574">
        <v>18900323</v>
      </c>
      <c r="H36" t="s">
        <v>287</v>
      </c>
      <c r="K36">
        <v>510300.08</v>
      </c>
      <c r="M36">
        <v>541542.92000000004</v>
      </c>
      <c r="O36">
        <v>-31242.84</v>
      </c>
      <c r="Q36">
        <v>-5.8</v>
      </c>
    </row>
    <row r="37" spans="3:19">
      <c r="C37">
        <v>1000</v>
      </c>
      <c r="E37" s="574">
        <v>18900353</v>
      </c>
      <c r="H37" t="s">
        <v>288</v>
      </c>
      <c r="K37">
        <v>96792.960000000006</v>
      </c>
      <c r="M37">
        <v>102120.9</v>
      </c>
      <c r="O37">
        <v>-5327.94</v>
      </c>
      <c r="Q37">
        <v>-5.2</v>
      </c>
    </row>
    <row r="38" spans="3:19">
      <c r="C38">
        <v>1000</v>
      </c>
      <c r="E38" s="574">
        <v>18900373</v>
      </c>
      <c r="H38" t="s">
        <v>289</v>
      </c>
      <c r="K38">
        <v>4334470.0599999996</v>
      </c>
      <c r="M38">
        <v>4432980.76</v>
      </c>
      <c r="O38">
        <v>-98510.7</v>
      </c>
      <c r="Q38">
        <v>-2.2000000000000002</v>
      </c>
    </row>
    <row r="39" spans="3:19">
      <c r="C39">
        <v>1000</v>
      </c>
      <c r="E39" s="574">
        <v>18900383</v>
      </c>
      <c r="H39" t="s">
        <v>290</v>
      </c>
      <c r="K39">
        <v>556951.59</v>
      </c>
      <c r="M39">
        <v>652428.99</v>
      </c>
      <c r="O39">
        <v>-95477.4</v>
      </c>
      <c r="Q39">
        <v>-14.6</v>
      </c>
    </row>
    <row r="40" spans="3:19">
      <c r="C40">
        <v>1000</v>
      </c>
      <c r="E40" s="574">
        <v>18900393</v>
      </c>
      <c r="H40" t="s">
        <v>291</v>
      </c>
      <c r="K40">
        <v>14952704.08</v>
      </c>
      <c r="M40">
        <v>15152963.5</v>
      </c>
      <c r="O40">
        <v>-200259.42</v>
      </c>
      <c r="Q40">
        <v>-1.3</v>
      </c>
    </row>
    <row r="41" spans="3:19">
      <c r="C41" s="575">
        <v>1000</v>
      </c>
      <c r="D41" s="575"/>
      <c r="E41" s="576">
        <v>18900403</v>
      </c>
      <c r="F41" s="575"/>
      <c r="G41" s="575"/>
      <c r="H41" s="575" t="s">
        <v>292</v>
      </c>
      <c r="I41" s="575"/>
      <c r="J41" s="575"/>
      <c r="K41" s="575">
        <v>226832.11</v>
      </c>
      <c r="L41" s="575"/>
      <c r="M41" s="575">
        <v>258483.07</v>
      </c>
      <c r="N41" s="575"/>
      <c r="O41" s="575">
        <v>-31650.959999999999</v>
      </c>
      <c r="P41" s="575"/>
      <c r="Q41" s="575">
        <v>-12.2</v>
      </c>
      <c r="S41">
        <f>K41-K68</f>
        <v>-35683.260000000009</v>
      </c>
    </row>
    <row r="42" spans="3:19">
      <c r="C42" s="575">
        <v>1000</v>
      </c>
      <c r="D42" s="575"/>
      <c r="E42" s="576">
        <v>18900413</v>
      </c>
      <c r="F42" s="575"/>
      <c r="G42" s="575"/>
      <c r="H42" s="575" t="s">
        <v>293</v>
      </c>
      <c r="I42" s="575"/>
      <c r="J42" s="575"/>
      <c r="K42" s="575">
        <v>297952.94</v>
      </c>
      <c r="L42" s="575"/>
      <c r="M42" s="575">
        <v>339527.78</v>
      </c>
      <c r="N42" s="575"/>
      <c r="O42" s="575">
        <v>-41574.839999999997</v>
      </c>
      <c r="P42" s="575"/>
      <c r="Q42" s="575">
        <v>-12.2</v>
      </c>
      <c r="S42">
        <f>K42-K69</f>
        <v>-59006.340000000026</v>
      </c>
    </row>
    <row r="43" spans="3:19">
      <c r="C43" s="575">
        <v>1000</v>
      </c>
      <c r="D43" s="575"/>
      <c r="E43" s="576">
        <v>18900423</v>
      </c>
      <c r="F43" s="575"/>
      <c r="G43" s="575"/>
      <c r="H43" s="575" t="s">
        <v>294</v>
      </c>
      <c r="I43" s="575"/>
      <c r="J43" s="575"/>
      <c r="K43" s="575">
        <v>1187626.3500000001</v>
      </c>
      <c r="L43" s="575"/>
      <c r="M43" s="575">
        <v>1353341.67</v>
      </c>
      <c r="N43" s="575"/>
      <c r="O43" s="575">
        <v>-165715.32</v>
      </c>
      <c r="P43" s="575"/>
      <c r="Q43" s="575">
        <v>-12.2</v>
      </c>
      <c r="S43">
        <f>K43-K70</f>
        <v>-331430.6399999999</v>
      </c>
    </row>
    <row r="44" spans="3:19">
      <c r="C44">
        <v>1000</v>
      </c>
      <c r="E44" s="574">
        <v>18900433</v>
      </c>
      <c r="H44" t="s">
        <v>295</v>
      </c>
      <c r="K44">
        <v>4985479.54</v>
      </c>
      <c r="M44">
        <v>5135043.88</v>
      </c>
      <c r="O44">
        <v>-149564.34</v>
      </c>
      <c r="Q44">
        <v>-2.9</v>
      </c>
    </row>
    <row r="45" spans="3:19">
      <c r="C45" s="575">
        <v>1000</v>
      </c>
      <c r="D45" s="575"/>
      <c r="E45" s="576">
        <v>18900443</v>
      </c>
      <c r="F45" s="575"/>
      <c r="G45" s="575"/>
      <c r="H45" s="575" t="s">
        <v>297</v>
      </c>
      <c r="I45" s="575"/>
      <c r="J45" s="575"/>
      <c r="K45" s="575">
        <v>137185.22</v>
      </c>
      <c r="L45" s="575"/>
      <c r="M45" s="575">
        <v>0</v>
      </c>
      <c r="N45" s="575"/>
      <c r="O45" s="575">
        <v>137185.22</v>
      </c>
      <c r="P45" s="575"/>
      <c r="Q45" s="575"/>
    </row>
    <row r="46" spans="3:19">
      <c r="C46" s="575">
        <v>1000</v>
      </c>
      <c r="D46" s="575"/>
      <c r="E46" s="576">
        <v>18900453</v>
      </c>
      <c r="F46" s="575"/>
      <c r="G46" s="575"/>
      <c r="H46" s="575" t="s">
        <v>298</v>
      </c>
      <c r="I46" s="575"/>
      <c r="J46" s="575"/>
      <c r="K46" s="575">
        <v>75041.440000000002</v>
      </c>
      <c r="L46" s="575"/>
      <c r="M46" s="575">
        <v>0</v>
      </c>
      <c r="N46" s="575"/>
      <c r="O46" s="575">
        <v>75041.440000000002</v>
      </c>
      <c r="P46" s="575"/>
      <c r="Q46" s="575"/>
    </row>
    <row r="47" spans="3:19">
      <c r="C47">
        <v>1000</v>
      </c>
      <c r="E47" s="574">
        <v>18900533</v>
      </c>
      <c r="H47" t="s">
        <v>296</v>
      </c>
      <c r="K47">
        <v>842555.54</v>
      </c>
      <c r="M47">
        <v>867832.16</v>
      </c>
      <c r="O47">
        <v>-25276.62</v>
      </c>
      <c r="Q47">
        <v>-2.9</v>
      </c>
    </row>
    <row r="51" spans="2:17">
      <c r="B51" s="578" t="s">
        <v>300</v>
      </c>
    </row>
    <row r="52" spans="2:17">
      <c r="C52" s="574">
        <v>1000</v>
      </c>
      <c r="E52" s="574">
        <v>18900013</v>
      </c>
      <c r="H52" t="s">
        <v>276</v>
      </c>
      <c r="K52">
        <v>61910</v>
      </c>
      <c r="M52">
        <v>52742</v>
      </c>
      <c r="O52">
        <v>9168</v>
      </c>
      <c r="Q52">
        <v>17.399999999999999</v>
      </c>
    </row>
    <row r="53" spans="2:17">
      <c r="C53" s="574">
        <v>1000</v>
      </c>
      <c r="E53" s="574">
        <v>18900173</v>
      </c>
      <c r="H53" t="s">
        <v>277</v>
      </c>
      <c r="K53">
        <v>1787314.84</v>
      </c>
      <c r="M53">
        <v>1702874.8</v>
      </c>
      <c r="O53">
        <v>84440.04</v>
      </c>
      <c r="Q53">
        <v>5</v>
      </c>
    </row>
    <row r="54" spans="2:17">
      <c r="C54" s="574">
        <v>1000</v>
      </c>
      <c r="E54" s="574">
        <v>18900183</v>
      </c>
      <c r="H54" t="s">
        <v>278</v>
      </c>
      <c r="K54">
        <v>374479.89</v>
      </c>
      <c r="M54">
        <v>365936.61</v>
      </c>
      <c r="O54">
        <v>8543.2800000000007</v>
      </c>
      <c r="Q54">
        <v>2.2999999999999998</v>
      </c>
    </row>
    <row r="55" spans="2:17">
      <c r="C55" s="574">
        <v>1000</v>
      </c>
      <c r="E55" s="574">
        <v>18900193</v>
      </c>
      <c r="H55" t="s">
        <v>279</v>
      </c>
      <c r="K55">
        <v>3198107.71</v>
      </c>
      <c r="M55">
        <v>3083205.61</v>
      </c>
      <c r="O55">
        <v>114902.1</v>
      </c>
      <c r="Q55">
        <v>3.7</v>
      </c>
    </row>
    <row r="56" spans="2:17">
      <c r="C56" s="574">
        <v>1000</v>
      </c>
      <c r="E56" s="574">
        <v>18900243</v>
      </c>
      <c r="H56" t="s">
        <v>280</v>
      </c>
      <c r="K56">
        <v>17493.77</v>
      </c>
      <c r="M56">
        <v>15744.35</v>
      </c>
      <c r="O56">
        <v>1749.42</v>
      </c>
      <c r="Q56">
        <v>11.1</v>
      </c>
    </row>
    <row r="57" spans="2:17">
      <c r="C57" s="574">
        <v>1000</v>
      </c>
      <c r="E57" s="574">
        <v>18900253</v>
      </c>
      <c r="H57" t="s">
        <v>281</v>
      </c>
      <c r="K57">
        <v>803487.91</v>
      </c>
      <c r="M57">
        <v>780747.67</v>
      </c>
      <c r="O57">
        <v>22740.240000000002</v>
      </c>
      <c r="Q57">
        <v>2.9</v>
      </c>
    </row>
    <row r="58" spans="2:17">
      <c r="C58" s="574">
        <v>1000</v>
      </c>
      <c r="E58" s="574">
        <v>18900263</v>
      </c>
      <c r="H58" t="s">
        <v>282</v>
      </c>
      <c r="K58">
        <v>610584.54</v>
      </c>
      <c r="M58">
        <v>593303.81999999995</v>
      </c>
      <c r="O58">
        <v>17280.72</v>
      </c>
      <c r="Q58">
        <v>2.9</v>
      </c>
    </row>
    <row r="59" spans="2:17">
      <c r="C59" s="574">
        <v>1000</v>
      </c>
      <c r="E59" s="574">
        <v>18900273</v>
      </c>
      <c r="H59" t="s">
        <v>283</v>
      </c>
      <c r="K59">
        <v>1869582.43</v>
      </c>
      <c r="M59">
        <v>1816669.69</v>
      </c>
      <c r="O59">
        <v>52912.74</v>
      </c>
      <c r="Q59">
        <v>2.9</v>
      </c>
    </row>
    <row r="60" spans="2:17">
      <c r="C60" s="574">
        <v>1000</v>
      </c>
      <c r="E60" s="574">
        <v>18900283</v>
      </c>
      <c r="H60" t="s">
        <v>284</v>
      </c>
      <c r="K60">
        <v>570594.99</v>
      </c>
      <c r="M60">
        <v>554446.11</v>
      </c>
      <c r="O60">
        <v>16148.88</v>
      </c>
      <c r="Q60">
        <v>2.9</v>
      </c>
    </row>
    <row r="61" spans="2:17">
      <c r="C61" s="574">
        <v>1000</v>
      </c>
      <c r="E61" s="574">
        <v>18900293</v>
      </c>
      <c r="H61" t="s">
        <v>285</v>
      </c>
      <c r="K61">
        <v>9699.36</v>
      </c>
      <c r="M61">
        <v>9128.82</v>
      </c>
      <c r="O61">
        <v>570.54</v>
      </c>
      <c r="Q61">
        <v>6.2</v>
      </c>
    </row>
    <row r="62" spans="2:17">
      <c r="C62" s="574">
        <v>1000</v>
      </c>
      <c r="E62" s="574">
        <v>18900303</v>
      </c>
      <c r="H62" t="s">
        <v>286</v>
      </c>
      <c r="K62">
        <v>22630.89</v>
      </c>
      <c r="M62">
        <v>21299.61</v>
      </c>
      <c r="O62">
        <v>1331.28</v>
      </c>
      <c r="Q62">
        <v>6.3</v>
      </c>
    </row>
    <row r="63" spans="2:17">
      <c r="C63" s="574">
        <v>1000</v>
      </c>
      <c r="E63" s="574">
        <v>18900323</v>
      </c>
      <c r="H63" t="s">
        <v>287</v>
      </c>
      <c r="K63">
        <v>572785.76</v>
      </c>
      <c r="M63">
        <v>541542.92000000004</v>
      </c>
      <c r="O63">
        <v>31242.84</v>
      </c>
      <c r="Q63">
        <v>5.8</v>
      </c>
    </row>
    <row r="64" spans="2:17">
      <c r="C64" s="574">
        <v>1000</v>
      </c>
      <c r="E64" s="574">
        <v>18900353</v>
      </c>
      <c r="H64" t="s">
        <v>288</v>
      </c>
      <c r="K64">
        <v>107448.84</v>
      </c>
      <c r="M64">
        <v>102120.9</v>
      </c>
      <c r="O64">
        <v>5327.94</v>
      </c>
      <c r="Q64">
        <v>5.2</v>
      </c>
    </row>
    <row r="65" spans="3:17">
      <c r="C65" s="574">
        <v>1000</v>
      </c>
      <c r="E65" s="574">
        <v>18900373</v>
      </c>
      <c r="H65" t="s">
        <v>289</v>
      </c>
      <c r="K65">
        <v>4531491.46</v>
      </c>
      <c r="M65">
        <v>4432980.76</v>
      </c>
      <c r="O65">
        <v>98510.7</v>
      </c>
      <c r="Q65">
        <v>2.2000000000000002</v>
      </c>
    </row>
    <row r="66" spans="3:17">
      <c r="C66" s="574">
        <v>1000</v>
      </c>
      <c r="E66" s="574">
        <v>18900383</v>
      </c>
      <c r="H66" t="s">
        <v>290</v>
      </c>
      <c r="K66">
        <v>747906.39</v>
      </c>
      <c r="M66">
        <v>652428.99</v>
      </c>
      <c r="O66">
        <v>95477.4</v>
      </c>
      <c r="Q66">
        <v>14.6</v>
      </c>
    </row>
    <row r="67" spans="3:17">
      <c r="C67" s="574">
        <v>1000</v>
      </c>
      <c r="E67" s="574">
        <v>18900393</v>
      </c>
      <c r="H67" t="s">
        <v>291</v>
      </c>
      <c r="K67">
        <v>15353222.92</v>
      </c>
      <c r="M67">
        <v>15152963.5</v>
      </c>
      <c r="O67">
        <v>200259.42</v>
      </c>
      <c r="Q67">
        <v>1.3</v>
      </c>
    </row>
    <row r="68" spans="3:17">
      <c r="C68" s="576">
        <v>1000</v>
      </c>
      <c r="D68" s="575"/>
      <c r="E68" s="576">
        <v>18900403</v>
      </c>
      <c r="F68" s="575"/>
      <c r="G68" s="575"/>
      <c r="H68" s="575" t="s">
        <v>292</v>
      </c>
      <c r="I68" s="575"/>
      <c r="J68" s="575"/>
      <c r="K68" s="575">
        <v>262515.37</v>
      </c>
      <c r="L68" s="575"/>
      <c r="M68" s="575">
        <v>258483.07</v>
      </c>
      <c r="N68" s="575"/>
      <c r="O68" s="575">
        <v>4032.3</v>
      </c>
      <c r="P68" s="575"/>
      <c r="Q68" s="575">
        <v>1.6</v>
      </c>
    </row>
    <row r="69" spans="3:17">
      <c r="C69" s="576">
        <v>1000</v>
      </c>
      <c r="D69" s="575"/>
      <c r="E69" s="576">
        <v>18900413</v>
      </c>
      <c r="F69" s="575"/>
      <c r="G69" s="575"/>
      <c r="H69" s="575" t="s">
        <v>293</v>
      </c>
      <c r="I69" s="575"/>
      <c r="J69" s="575"/>
      <c r="K69" s="575">
        <v>356959.28</v>
      </c>
      <c r="L69" s="575"/>
      <c r="M69" s="575">
        <v>339527.78</v>
      </c>
      <c r="N69" s="575"/>
      <c r="O69" s="575">
        <v>17431.5</v>
      </c>
      <c r="P69" s="575"/>
      <c r="Q69" s="575">
        <v>5.0999999999999996</v>
      </c>
    </row>
    <row r="70" spans="3:17">
      <c r="C70" s="576">
        <v>1000</v>
      </c>
      <c r="D70" s="575"/>
      <c r="E70" s="576">
        <v>18900423</v>
      </c>
      <c r="F70" s="575"/>
      <c r="G70" s="575"/>
      <c r="H70" s="575" t="s">
        <v>294</v>
      </c>
      <c r="I70" s="575"/>
      <c r="J70" s="575"/>
      <c r="K70" s="575">
        <v>1519056.99</v>
      </c>
      <c r="L70" s="575"/>
      <c r="M70" s="575">
        <v>1353341.67</v>
      </c>
      <c r="N70" s="575"/>
      <c r="O70" s="575">
        <v>165715.32</v>
      </c>
      <c r="P70" s="575"/>
      <c r="Q70" s="575">
        <v>12.2</v>
      </c>
    </row>
    <row r="71" spans="3:17">
      <c r="C71" s="574">
        <v>1000</v>
      </c>
      <c r="E71" s="574">
        <v>18900433</v>
      </c>
      <c r="H71" t="s">
        <v>295</v>
      </c>
      <c r="K71">
        <v>5284608.22</v>
      </c>
      <c r="M71">
        <v>5135043.88</v>
      </c>
      <c r="O71">
        <v>149564.34</v>
      </c>
      <c r="Q71">
        <v>2.9</v>
      </c>
    </row>
    <row r="72" spans="3:17">
      <c r="C72" s="574">
        <v>1000</v>
      </c>
      <c r="E72" s="574">
        <v>18900533</v>
      </c>
      <c r="H72" t="s">
        <v>296</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28515625" defaultRowHeight="13.2" outlineLevelRow="1"/>
  <cols>
    <col min="1" max="1" width="2.85546875" style="418" customWidth="1"/>
    <col min="2" max="2" width="40.7109375" style="418" customWidth="1"/>
    <col min="3" max="3" width="20" style="418" bestFit="1" customWidth="1"/>
    <col min="4" max="4" width="10.7109375" style="418" customWidth="1"/>
    <col min="5" max="5" width="18.28515625" style="479" customWidth="1"/>
    <col min="6" max="6" width="10.140625" style="418" customWidth="1"/>
    <col min="7" max="7" width="11.28515625" style="418" customWidth="1"/>
    <col min="8" max="16384" width="13.28515625" style="418"/>
  </cols>
  <sheetData>
    <row r="1" spans="1:28" ht="15.6">
      <c r="A1" s="415" t="s">
        <v>4</v>
      </c>
      <c r="B1" s="416"/>
      <c r="C1" s="416"/>
      <c r="D1" s="416"/>
      <c r="E1" s="416"/>
      <c r="F1" s="416"/>
      <c r="G1" s="416"/>
      <c r="H1" s="417"/>
      <c r="I1" s="417"/>
      <c r="J1" s="417"/>
      <c r="K1" s="417"/>
      <c r="L1" s="417"/>
      <c r="M1" s="417"/>
    </row>
    <row r="2" spans="1:28" ht="15.6">
      <c r="A2" s="419" t="s">
        <v>183</v>
      </c>
      <c r="B2" s="420"/>
      <c r="C2" s="421"/>
      <c r="D2" s="420"/>
      <c r="E2" s="420"/>
      <c r="F2" s="420"/>
      <c r="G2" s="420"/>
      <c r="AB2" s="422" t="s">
        <v>184</v>
      </c>
    </row>
    <row r="3" spans="1:28">
      <c r="A3" s="423">
        <v>42004</v>
      </c>
      <c r="B3" s="423"/>
      <c r="C3" s="423"/>
      <c r="D3" s="423"/>
      <c r="E3" s="424"/>
      <c r="F3" s="424"/>
      <c r="G3" s="424"/>
    </row>
    <row r="4" spans="1:28" ht="15.6">
      <c r="A4" s="425"/>
      <c r="B4" s="426"/>
      <c r="C4" s="427"/>
      <c r="D4" s="426"/>
      <c r="E4" s="428"/>
      <c r="F4" s="426"/>
      <c r="G4" s="426"/>
    </row>
    <row r="5" spans="1:28">
      <c r="A5" s="425"/>
      <c r="B5" s="426"/>
      <c r="C5" s="426"/>
      <c r="D5" s="426"/>
      <c r="E5" s="428"/>
      <c r="F5" s="426"/>
      <c r="G5" s="426"/>
    </row>
    <row r="6" spans="1:28">
      <c r="A6" s="131"/>
      <c r="B6" s="426"/>
      <c r="C6" s="426"/>
      <c r="D6" s="426"/>
      <c r="E6" s="428"/>
      <c r="F6" s="426"/>
      <c r="G6" s="426"/>
    </row>
    <row r="7" spans="1:28">
      <c r="A7" s="131"/>
      <c r="B7" s="105" t="s">
        <v>2</v>
      </c>
      <c r="C7" s="112"/>
      <c r="D7" s="112"/>
      <c r="E7" s="429"/>
      <c r="F7" s="112"/>
      <c r="G7" s="105"/>
      <c r="H7" s="105"/>
      <c r="I7" s="105"/>
    </row>
    <row r="8" spans="1:28">
      <c r="A8" s="131"/>
      <c r="B8" s="112"/>
      <c r="C8" s="108"/>
      <c r="D8" s="112"/>
      <c r="E8" s="429"/>
      <c r="F8" s="112"/>
      <c r="G8" s="430" t="s">
        <v>185</v>
      </c>
      <c r="H8" s="105"/>
      <c r="I8" s="105"/>
    </row>
    <row r="9" spans="1:28">
      <c r="A9" s="131"/>
      <c r="B9" s="108" t="s">
        <v>186</v>
      </c>
      <c r="C9" s="108" t="s">
        <v>187</v>
      </c>
      <c r="D9" s="430" t="s">
        <v>188</v>
      </c>
      <c r="E9" s="430" t="s">
        <v>189</v>
      </c>
      <c r="F9" s="430" t="s">
        <v>190</v>
      </c>
      <c r="G9" s="430" t="s">
        <v>191</v>
      </c>
      <c r="H9" s="105"/>
      <c r="I9" s="105"/>
    </row>
    <row r="10" spans="1:28">
      <c r="A10" s="131"/>
      <c r="B10" s="110"/>
      <c r="C10" s="110"/>
      <c r="D10" s="110"/>
      <c r="E10" s="431"/>
      <c r="F10" s="110"/>
      <c r="G10" s="110"/>
      <c r="H10" s="105"/>
      <c r="I10" s="105"/>
    </row>
    <row r="11" spans="1:28">
      <c r="A11" s="131"/>
      <c r="B11" s="108"/>
      <c r="C11" s="110"/>
      <c r="D11" s="110"/>
      <c r="E11" s="431"/>
      <c r="F11" s="110"/>
      <c r="G11" s="110"/>
      <c r="H11" s="105"/>
      <c r="I11" s="105"/>
    </row>
    <row r="12" spans="1:28">
      <c r="A12" s="131"/>
      <c r="B12" s="432" t="s">
        <v>192</v>
      </c>
      <c r="C12" s="433">
        <f>'Pg 3 STD Cost Rate'!C22</f>
        <v>37676196.729999997</v>
      </c>
      <c r="D12" s="434">
        <f>ROUND(C12/C$27,4)</f>
        <v>5.1999999999999998E-3</v>
      </c>
      <c r="E12" s="435">
        <f>'Pg 3 STD Cost Rate'!E22</f>
        <v>2563982.2704996667</v>
      </c>
      <c r="F12" s="436">
        <f>ROUND(E12/C12,4)</f>
        <v>6.8099999999999994E-2</v>
      </c>
      <c r="G12" s="437">
        <f>ROUND(+D12*F12,4)</f>
        <v>4.0000000000000002E-4</v>
      </c>
      <c r="H12" s="105"/>
      <c r="I12" s="105"/>
    </row>
    <row r="13" spans="1:28">
      <c r="A13" s="131"/>
      <c r="B13" s="432"/>
      <c r="C13" s="433"/>
      <c r="D13" s="434"/>
      <c r="E13" s="435"/>
      <c r="F13" s="436"/>
      <c r="G13" s="437"/>
      <c r="H13" s="105"/>
      <c r="I13" s="105"/>
    </row>
    <row r="14" spans="1:28" hidden="1" outlineLevel="1">
      <c r="A14" s="131"/>
      <c r="B14" s="438" t="s">
        <v>193</v>
      </c>
      <c r="C14" s="439">
        <f>'Pg 6 LTD Cost '!V30</f>
        <v>3773860000</v>
      </c>
      <c r="D14" s="440">
        <f>ROUND(C14/C$27,4)</f>
        <v>0.51680000000000004</v>
      </c>
      <c r="E14" s="441">
        <f>'Pg 6 LTD Cost '!Y30</f>
        <v>205811473.24000001</v>
      </c>
      <c r="F14" s="442">
        <f>ROUND(E14/C14,4)</f>
        <v>5.45E-2</v>
      </c>
      <c r="G14" s="443">
        <f>ROUND(+D14*F14,4)</f>
        <v>2.8199999999999999E-2</v>
      </c>
      <c r="H14" s="105"/>
      <c r="I14" s="105"/>
    </row>
    <row r="15" spans="1:28" hidden="1" outlineLevel="1">
      <c r="A15" s="131"/>
      <c r="B15" s="438" t="s">
        <v>194</v>
      </c>
      <c r="C15" s="439"/>
      <c r="D15" s="440"/>
      <c r="E15" s="441"/>
      <c r="F15" s="442"/>
      <c r="G15" s="443"/>
      <c r="H15" s="105"/>
      <c r="I15" s="105"/>
    </row>
    <row r="16" spans="1:28" hidden="1" outlineLevel="1">
      <c r="A16" s="131"/>
      <c r="B16" s="438" t="s">
        <v>195</v>
      </c>
      <c r="C16" s="439"/>
      <c r="D16" s="440"/>
      <c r="E16" s="441"/>
      <c r="F16" s="442"/>
      <c r="G16" s="443"/>
      <c r="H16" s="105"/>
      <c r="I16" s="105"/>
    </row>
    <row r="17" spans="1:9" hidden="1" outlineLevel="1">
      <c r="A17" s="131"/>
      <c r="B17" s="438" t="s">
        <v>196</v>
      </c>
      <c r="C17" s="444"/>
      <c r="D17" s="440">
        <f>ROUND(C17/C$27,4)</f>
        <v>0</v>
      </c>
      <c r="E17" s="445"/>
      <c r="F17" s="442"/>
      <c r="G17" s="443">
        <f>ROUND(+D17*F17,4)</f>
        <v>0</v>
      </c>
      <c r="H17" s="105"/>
      <c r="I17" s="105"/>
    </row>
    <row r="18" spans="1:9" hidden="1" outlineLevel="1">
      <c r="A18" s="131"/>
      <c r="B18" s="446"/>
      <c r="C18" s="433"/>
      <c r="D18" s="434" t="s">
        <v>2</v>
      </c>
      <c r="E18" s="435"/>
      <c r="F18" s="436"/>
      <c r="G18" s="437"/>
      <c r="H18" s="105"/>
      <c r="I18" s="105"/>
    </row>
    <row r="19" spans="1:9" collapsed="1">
      <c r="A19" s="131"/>
      <c r="B19" s="447" t="s">
        <v>197</v>
      </c>
      <c r="C19" s="433">
        <f>SUM(C14:C18)</f>
        <v>3773860000</v>
      </c>
      <c r="D19" s="434">
        <f>ROUND(C19/C27,4)</f>
        <v>0.51680000000000004</v>
      </c>
      <c r="E19" s="433">
        <f>SUM(E14:E18)</f>
        <v>205811473.24000001</v>
      </c>
      <c r="F19" s="448">
        <f>ROUND(E19/C19,4)</f>
        <v>5.45E-2</v>
      </c>
      <c r="G19" s="437">
        <f>ROUND(+D19*F19,4)</f>
        <v>2.8199999999999999E-2</v>
      </c>
      <c r="H19" s="105"/>
      <c r="I19" s="105"/>
    </row>
    <row r="20" spans="1:9">
      <c r="A20" s="131"/>
      <c r="B20" s="110"/>
      <c r="C20" s="449"/>
      <c r="D20" s="449"/>
      <c r="E20" s="435"/>
      <c r="F20" s="449"/>
      <c r="G20" s="449"/>
      <c r="H20" s="105"/>
      <c r="I20" s="105"/>
    </row>
    <row r="21" spans="1:9">
      <c r="A21" s="131"/>
      <c r="B21" s="111" t="s">
        <v>198</v>
      </c>
      <c r="C21" s="450">
        <f>C19+C12</f>
        <v>3811536196.73</v>
      </c>
      <c r="D21" s="451">
        <f>ROUND(C21/$C$27,4)</f>
        <v>0.52190000000000003</v>
      </c>
      <c r="E21" s="452">
        <f>E19+E12</f>
        <v>208375455.51049969</v>
      </c>
      <c r="F21" s="453">
        <f>ROUND(E21/C21,4)</f>
        <v>5.4699999999999999E-2</v>
      </c>
      <c r="G21" s="454">
        <f>ROUND(+D21*F21,4)</f>
        <v>2.8500000000000001E-2</v>
      </c>
      <c r="H21" s="105"/>
      <c r="I21" s="105"/>
    </row>
    <row r="22" spans="1:9">
      <c r="A22" s="131"/>
      <c r="B22" s="112"/>
      <c r="C22" s="455"/>
      <c r="D22" s="434"/>
      <c r="E22" s="435"/>
      <c r="F22" s="455"/>
      <c r="G22" s="455"/>
      <c r="H22" s="105"/>
      <c r="I22" s="105"/>
    </row>
    <row r="23" spans="1:9">
      <c r="A23" s="131"/>
      <c r="B23" s="111" t="s">
        <v>199</v>
      </c>
      <c r="C23" s="456">
        <v>0</v>
      </c>
      <c r="D23" s="434">
        <f>ROUND(C23/$C$27,4)</f>
        <v>0</v>
      </c>
      <c r="E23" s="457">
        <v>0</v>
      </c>
      <c r="F23" s="484">
        <v>0</v>
      </c>
      <c r="G23" s="437">
        <f>ROUND(+D23*F23,4)</f>
        <v>0</v>
      </c>
      <c r="H23" s="105"/>
      <c r="I23" s="105"/>
    </row>
    <row r="24" spans="1:9">
      <c r="A24" s="131"/>
      <c r="B24" s="112"/>
      <c r="C24" s="433"/>
      <c r="D24" s="434"/>
      <c r="E24" s="435"/>
      <c r="F24" s="455"/>
      <c r="G24" s="455"/>
      <c r="H24" s="105"/>
      <c r="I24" s="105"/>
    </row>
    <row r="25" spans="1:9">
      <c r="A25" s="131"/>
      <c r="B25" s="111" t="s">
        <v>205</v>
      </c>
      <c r="C25" s="450">
        <f>'Pg 2 CapStructure'!O34-'Pg 2 CapStructure'!O38</f>
        <v>3491326817</v>
      </c>
      <c r="D25" s="451">
        <f>ROUND(C25/$C$27,4)</f>
        <v>0.47810000000000002</v>
      </c>
      <c r="E25" s="458"/>
      <c r="F25" s="459">
        <f>'Pg 1 CofCap'!E18</f>
        <v>9.8000000000000004E-2</v>
      </c>
      <c r="G25" s="454">
        <f>ROUND(+D25*F25,4)</f>
        <v>4.6899999999999997E-2</v>
      </c>
      <c r="H25" s="105"/>
      <c r="I25" s="105"/>
    </row>
    <row r="26" spans="1:9">
      <c r="A26" s="131"/>
      <c r="B26" s="112"/>
      <c r="C26" s="460"/>
      <c r="D26" s="461"/>
      <c r="E26" s="435"/>
      <c r="F26" s="455"/>
      <c r="G26" s="460"/>
      <c r="H26" s="105"/>
      <c r="I26" s="105"/>
    </row>
    <row r="27" spans="1:9">
      <c r="A27" s="131"/>
      <c r="B27" s="111" t="s">
        <v>168</v>
      </c>
      <c r="C27" s="462">
        <f>SUM(C21:C25)</f>
        <v>7302863013.7299995</v>
      </c>
      <c r="D27" s="463">
        <f>SUM(D21:D25)</f>
        <v>1</v>
      </c>
      <c r="E27" s="464"/>
      <c r="F27" s="465"/>
      <c r="G27" s="466">
        <f>SUM(G21:G25)</f>
        <v>7.5399999999999995E-2</v>
      </c>
      <c r="H27" s="105"/>
      <c r="I27" s="105"/>
    </row>
    <row r="28" spans="1:9">
      <c r="A28" s="131"/>
      <c r="B28" s="105"/>
      <c r="C28" s="455"/>
      <c r="D28" s="455"/>
      <c r="E28" s="467"/>
      <c r="F28" s="455"/>
      <c r="G28" s="455"/>
      <c r="H28" s="105"/>
      <c r="I28" s="105"/>
    </row>
    <row r="29" spans="1:9">
      <c r="A29" s="131"/>
      <c r="B29" s="105"/>
      <c r="C29" s="455"/>
      <c r="D29" s="455"/>
      <c r="E29" s="467"/>
      <c r="F29" s="455" t="s">
        <v>2</v>
      </c>
      <c r="G29" s="455"/>
      <c r="H29" s="105"/>
      <c r="I29" s="105"/>
    </row>
    <row r="30" spans="1:9">
      <c r="A30" s="131"/>
      <c r="B30" s="105"/>
      <c r="C30" s="468"/>
      <c r="D30" s="105"/>
      <c r="E30" s="469"/>
      <c r="F30" s="105"/>
      <c r="G30" s="105"/>
      <c r="H30" s="105"/>
      <c r="I30" s="105"/>
    </row>
    <row r="31" spans="1:9">
      <c r="A31" s="131"/>
      <c r="B31" s="470" t="s">
        <v>200</v>
      </c>
      <c r="C31" s="426"/>
      <c r="D31" s="426"/>
      <c r="E31" s="428"/>
      <c r="F31" s="426"/>
      <c r="G31" s="426"/>
    </row>
    <row r="32" spans="1:9">
      <c r="A32" s="131"/>
      <c r="B32" s="471" t="s">
        <v>201</v>
      </c>
      <c r="C32" s="426"/>
      <c r="D32" s="426"/>
      <c r="E32" s="428"/>
      <c r="F32" s="426"/>
      <c r="G32" s="426"/>
    </row>
    <row r="33" spans="1:7">
      <c r="A33" s="131"/>
      <c r="B33" s="472" t="s">
        <v>204</v>
      </c>
      <c r="C33" s="426"/>
      <c r="D33" s="426"/>
      <c r="E33" s="428"/>
      <c r="F33" s="426"/>
      <c r="G33" s="426"/>
    </row>
    <row r="34" spans="1:7">
      <c r="A34" s="473"/>
      <c r="B34" s="470" t="s">
        <v>206</v>
      </c>
      <c r="C34" s="426"/>
      <c r="D34" s="426"/>
      <c r="E34" s="428"/>
      <c r="F34" s="426"/>
      <c r="G34" s="426"/>
    </row>
    <row r="35" spans="1:7">
      <c r="A35" s="473"/>
      <c r="B35" s="426"/>
      <c r="C35" s="426"/>
      <c r="D35" s="426"/>
      <c r="E35" s="428"/>
      <c r="F35" s="426"/>
      <c r="G35" s="426"/>
    </row>
    <row r="36" spans="1:7">
      <c r="A36" s="425"/>
      <c r="B36" s="426"/>
      <c r="C36" s="426"/>
      <c r="D36" s="426"/>
      <c r="E36" s="428"/>
      <c r="F36" s="426"/>
      <c r="G36" s="426"/>
    </row>
    <row r="40" spans="1:7">
      <c r="B40" s="418" t="s">
        <v>311</v>
      </c>
      <c r="C40" s="581">
        <f>C19</f>
        <v>3773860000</v>
      </c>
    </row>
    <row r="41" spans="1:7">
      <c r="B41" s="418" t="s">
        <v>312</v>
      </c>
      <c r="C41" s="582">
        <f>C25</f>
        <v>3491326817</v>
      </c>
      <c r="D41" s="475"/>
      <c r="E41" s="476"/>
    </row>
    <row r="42" spans="1:7">
      <c r="B42" s="418" t="s">
        <v>16</v>
      </c>
      <c r="C42" s="581">
        <f>SUM(C40:C41)</f>
        <v>7265186817</v>
      </c>
      <c r="D42" s="475"/>
      <c r="E42" s="476"/>
    </row>
    <row r="43" spans="1:7">
      <c r="C43" s="474"/>
      <c r="D43" s="475"/>
      <c r="E43" s="476"/>
    </row>
    <row r="44" spans="1:7">
      <c r="C44" s="474"/>
      <c r="D44" s="475"/>
      <c r="E44" s="476"/>
    </row>
    <row r="45" spans="1:7">
      <c r="C45" s="474"/>
      <c r="D45" s="475"/>
      <c r="E45" s="476"/>
    </row>
    <row r="46" spans="1:7">
      <c r="C46" s="474"/>
      <c r="D46" s="475"/>
      <c r="E46" s="476"/>
    </row>
    <row r="47" spans="1:7">
      <c r="D47" s="475"/>
      <c r="E47" s="476"/>
    </row>
    <row r="48" spans="1:7">
      <c r="C48" s="474"/>
      <c r="D48" s="475"/>
      <c r="E48" s="476"/>
    </row>
    <row r="49" spans="4:5">
      <c r="D49" s="477"/>
      <c r="E49" s="478"/>
    </row>
  </sheetData>
  <phoneticPr fontId="24"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7109375" defaultRowHeight="11.4"/>
  <cols>
    <col min="1" max="16384" width="10.7109375" style="517"/>
  </cols>
  <sheetData>
    <row r="1" spans="1:7" s="516" customFormat="1" ht="60">
      <c r="A1" s="515" t="s">
        <v>233</v>
      </c>
      <c r="B1" s="515"/>
      <c r="C1" s="515"/>
      <c r="D1" s="515"/>
      <c r="E1" s="515"/>
      <c r="F1" s="515"/>
      <c r="G1" s="515"/>
    </row>
    <row r="10" spans="1:7">
      <c r="B10" s="518"/>
    </row>
  </sheetData>
  <phoneticPr fontId="24"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5546875" defaultRowHeight="13.2" outlineLevelCol="1"/>
  <cols>
    <col min="1" max="1" width="3.85546875" style="25"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3" width="9.140625" style="23" customWidth="1"/>
    <col min="14" max="14" width="9.85546875" style="23" customWidth="1"/>
    <col min="15" max="15" width="9.140625" style="23" customWidth="1"/>
    <col min="16" max="16" width="9.85546875" style="23" customWidth="1"/>
    <col min="17" max="21" width="8.85546875" style="23" customWidth="1"/>
    <col min="22" max="23" width="6" style="23" customWidth="1"/>
    <col min="24" max="24" width="8.85546875" style="23" customWidth="1" outlineLevel="1"/>
    <col min="25" max="25" width="10.85546875" style="23" bestFit="1" customWidth="1" outlineLevel="1"/>
    <col min="26" max="26" width="8.85546875" style="23" customWidth="1" outlineLevel="1"/>
    <col min="27" max="16384" width="8.85546875" style="23"/>
  </cols>
  <sheetData>
    <row r="1" spans="1:25" ht="12.75" customHeight="1">
      <c r="A1" s="234" t="s">
        <v>96</v>
      </c>
      <c r="B1" s="156"/>
      <c r="C1" s="156"/>
      <c r="D1" s="155"/>
      <c r="E1" s="157"/>
      <c r="F1" s="155"/>
      <c r="G1" s="156"/>
      <c r="H1" s="156"/>
      <c r="I1" s="156"/>
    </row>
    <row r="2" spans="1:25" s="57" customFormat="1" ht="12.75" customHeight="1">
      <c r="A2" s="268">
        <f>'Pg 1 CofCap'!B5</f>
        <v>42551</v>
      </c>
      <c r="B2" s="158"/>
      <c r="C2" s="158"/>
      <c r="D2" s="158"/>
      <c r="E2" s="159"/>
      <c r="F2" s="158"/>
      <c r="G2" s="160"/>
      <c r="H2" s="159"/>
      <c r="I2" s="158"/>
      <c r="J2" s="199"/>
      <c r="K2" s="199"/>
      <c r="L2" s="199"/>
      <c r="M2" s="199"/>
      <c r="N2" s="199"/>
      <c r="O2" s="199"/>
      <c r="P2" s="199"/>
      <c r="Q2" s="199"/>
      <c r="R2" s="199"/>
      <c r="S2" s="199"/>
      <c r="T2" s="199"/>
      <c r="U2" s="199"/>
    </row>
    <row r="3" spans="1:25" s="57" customFormat="1" ht="12.75" customHeight="1">
      <c r="A3" s="268"/>
      <c r="B3" s="158"/>
      <c r="C3" s="158"/>
      <c r="D3" s="158"/>
      <c r="E3" s="159"/>
      <c r="F3" s="158"/>
      <c r="G3" s="160"/>
      <c r="H3" s="159"/>
      <c r="I3" s="158"/>
      <c r="J3" s="199"/>
      <c r="K3" s="199"/>
      <c r="L3" s="199"/>
      <c r="M3" s="199"/>
      <c r="N3" s="199"/>
      <c r="O3" s="199"/>
      <c r="P3" s="199"/>
      <c r="Q3" s="199"/>
      <c r="R3" s="199"/>
      <c r="S3" s="199"/>
      <c r="T3" s="199"/>
      <c r="U3" s="199"/>
    </row>
    <row r="4" spans="1:25" ht="11.1" customHeight="1">
      <c r="A4" s="180" t="s">
        <v>5</v>
      </c>
      <c r="B4" s="180" t="s">
        <v>27</v>
      </c>
      <c r="C4" s="180" t="s">
        <v>52</v>
      </c>
      <c r="D4" s="180" t="s">
        <v>64</v>
      </c>
      <c r="E4" s="180" t="s">
        <v>65</v>
      </c>
      <c r="F4" s="180" t="s">
        <v>66</v>
      </c>
      <c r="G4" s="180" t="s">
        <v>67</v>
      </c>
      <c r="H4" s="180" t="s">
        <v>68</v>
      </c>
      <c r="I4" s="180" t="s">
        <v>69</v>
      </c>
      <c r="J4" s="180" t="s">
        <v>72</v>
      </c>
      <c r="K4" s="180" t="s">
        <v>73</v>
      </c>
      <c r="L4" s="180" t="s">
        <v>74</v>
      </c>
      <c r="M4" s="180" t="s">
        <v>75</v>
      </c>
      <c r="N4" s="180" t="s">
        <v>76</v>
      </c>
      <c r="O4" s="180" t="s">
        <v>87</v>
      </c>
      <c r="P4" s="180" t="s">
        <v>88</v>
      </c>
      <c r="Q4" s="180" t="s">
        <v>89</v>
      </c>
      <c r="R4" s="180" t="s">
        <v>90</v>
      </c>
      <c r="S4" s="180" t="s">
        <v>91</v>
      </c>
      <c r="T4" s="180" t="s">
        <v>92</v>
      </c>
      <c r="U4" s="180" t="s">
        <v>170</v>
      </c>
      <c r="X4" s="480" t="s">
        <v>202</v>
      </c>
    </row>
    <row r="5" spans="1:25" ht="31.2">
      <c r="A5" s="367">
        <v>1</v>
      </c>
      <c r="B5" s="368" t="s">
        <v>127</v>
      </c>
      <c r="C5" s="368" t="s">
        <v>100</v>
      </c>
      <c r="D5" s="368" t="s">
        <v>57</v>
      </c>
      <c r="E5" s="368" t="s">
        <v>104</v>
      </c>
      <c r="F5" s="368" t="s">
        <v>117</v>
      </c>
      <c r="G5" s="368" t="s">
        <v>84</v>
      </c>
      <c r="H5" s="368" t="s">
        <v>94</v>
      </c>
      <c r="I5" s="368" t="s">
        <v>80</v>
      </c>
      <c r="J5" s="369">
        <v>41560</v>
      </c>
      <c r="K5" s="369">
        <v>41591</v>
      </c>
      <c r="L5" s="369">
        <v>41621</v>
      </c>
      <c r="M5" s="369">
        <f>'Pg 2 CapStructure'!E6</f>
        <v>42247</v>
      </c>
      <c r="N5" s="369">
        <f>'Pg 2 CapStructure'!F6</f>
        <v>42277</v>
      </c>
      <c r="O5" s="369">
        <f>'Pg 2 CapStructure'!G6</f>
        <v>42307</v>
      </c>
      <c r="P5" s="369">
        <f>'Pg 2 CapStructure'!H6</f>
        <v>42338</v>
      </c>
      <c r="Q5" s="369">
        <f>'Pg 2 CapStructure'!I6</f>
        <v>42369</v>
      </c>
      <c r="R5" s="369">
        <f>'Pg 2 CapStructure'!J6</f>
        <v>42400</v>
      </c>
      <c r="S5" s="369">
        <f>'Pg 2 CapStructure'!K6</f>
        <v>42429</v>
      </c>
      <c r="T5" s="369">
        <f>'Pg 2 CapStructure'!L6</f>
        <v>42460</v>
      </c>
      <c r="U5" s="369">
        <f>'Pg 2 CapStructure'!M6</f>
        <v>42490</v>
      </c>
      <c r="X5" s="481" t="s">
        <v>38</v>
      </c>
      <c r="Y5" s="481" t="s">
        <v>203</v>
      </c>
    </row>
    <row r="6" spans="1:25">
      <c r="A6" s="134">
        <f>A5+1</f>
        <v>2</v>
      </c>
      <c r="B6" s="138" t="s">
        <v>22</v>
      </c>
      <c r="C6" s="284">
        <v>6.9000000000000006E-2</v>
      </c>
      <c r="D6" s="285">
        <v>34242</v>
      </c>
      <c r="E6" s="285">
        <v>41548</v>
      </c>
      <c r="F6" s="273">
        <f>ROUND(((+J6+U6)+(SUM(K6:T6)*2))/22,0)</f>
        <v>0</v>
      </c>
      <c r="G6" s="286">
        <v>98.82208</v>
      </c>
      <c r="H6" s="183">
        <f t="shared" ref="H6:H27" si="0">ROUND(YIELD(D6,E6,C6,G6,100,2,2),4)</f>
        <v>7.0099999999999996E-2</v>
      </c>
      <c r="I6" s="273">
        <f t="shared" ref="I6:I27" si="1">ROUND(+H6*F6,0)</f>
        <v>0</v>
      </c>
      <c r="J6" s="273">
        <v>0</v>
      </c>
      <c r="K6" s="273">
        <v>0</v>
      </c>
      <c r="L6" s="273">
        <v>0</v>
      </c>
      <c r="M6" s="273">
        <v>0</v>
      </c>
      <c r="N6" s="273">
        <v>0</v>
      </c>
      <c r="O6" s="273">
        <v>0</v>
      </c>
      <c r="P6" s="273">
        <v>0</v>
      </c>
      <c r="Q6" s="273">
        <v>0</v>
      </c>
      <c r="R6" s="273">
        <v>0</v>
      </c>
      <c r="S6" s="273">
        <v>0</v>
      </c>
      <c r="T6" s="273">
        <v>0</v>
      </c>
      <c r="U6" s="273">
        <v>0</v>
      </c>
      <c r="X6" s="273">
        <f t="shared" ref="X6:X27" si="2">H6*U6</f>
        <v>0</v>
      </c>
    </row>
    <row r="7" spans="1:25">
      <c r="A7" s="134">
        <f>A6+1</f>
        <v>3</v>
      </c>
      <c r="B7" s="138" t="s">
        <v>23</v>
      </c>
      <c r="C7" s="284">
        <v>7.3499999999999996E-2</v>
      </c>
      <c r="D7" s="285">
        <v>34953</v>
      </c>
      <c r="E7" s="285">
        <v>42258</v>
      </c>
      <c r="F7" s="273">
        <f t="shared" ref="F7:F27" si="3">ROUND(((+J7+U7)+(SUM(K7:T7)*2))/22,0)</f>
        <v>10000000</v>
      </c>
      <c r="G7" s="286">
        <v>98.84387199999999</v>
      </c>
      <c r="H7" s="183">
        <f t="shared" si="0"/>
        <v>7.46E-2</v>
      </c>
      <c r="I7" s="273">
        <f t="shared" si="1"/>
        <v>746000</v>
      </c>
      <c r="J7" s="273">
        <v>10000000</v>
      </c>
      <c r="K7" s="273">
        <v>10000000</v>
      </c>
      <c r="L7" s="273">
        <v>10000000</v>
      </c>
      <c r="M7" s="273">
        <v>10000000</v>
      </c>
      <c r="N7" s="273">
        <v>10000000</v>
      </c>
      <c r="O7" s="273">
        <v>10000000</v>
      </c>
      <c r="P7" s="273">
        <v>10000000</v>
      </c>
      <c r="Q7" s="273">
        <v>10000000</v>
      </c>
      <c r="R7" s="273">
        <v>10000000</v>
      </c>
      <c r="S7" s="273">
        <v>10000000</v>
      </c>
      <c r="T7" s="273">
        <v>10000000</v>
      </c>
      <c r="U7" s="273">
        <v>10000000</v>
      </c>
      <c r="X7" s="273">
        <f t="shared" si="2"/>
        <v>746000</v>
      </c>
    </row>
    <row r="8" spans="1:25" s="27" customFormat="1">
      <c r="A8" s="134">
        <f>A7+1</f>
        <v>4</v>
      </c>
      <c r="B8" s="138" t="s">
        <v>23</v>
      </c>
      <c r="C8" s="284">
        <v>7.3599999999999999E-2</v>
      </c>
      <c r="D8" s="285">
        <v>34953</v>
      </c>
      <c r="E8" s="285">
        <v>42262</v>
      </c>
      <c r="F8" s="273">
        <f t="shared" si="3"/>
        <v>2000000</v>
      </c>
      <c r="G8" s="286">
        <v>98.843919999999997</v>
      </c>
      <c r="H8" s="183">
        <f t="shared" si="0"/>
        <v>7.4700000000000003E-2</v>
      </c>
      <c r="I8" s="273">
        <f t="shared" si="1"/>
        <v>149400</v>
      </c>
      <c r="J8" s="273">
        <v>2000000</v>
      </c>
      <c r="K8" s="273">
        <v>2000000</v>
      </c>
      <c r="L8" s="273">
        <v>2000000</v>
      </c>
      <c r="M8" s="273">
        <v>2000000</v>
      </c>
      <c r="N8" s="273">
        <v>2000000</v>
      </c>
      <c r="O8" s="273">
        <v>2000000</v>
      </c>
      <c r="P8" s="273">
        <v>2000000</v>
      </c>
      <c r="Q8" s="273">
        <v>2000000</v>
      </c>
      <c r="R8" s="273">
        <v>2000000</v>
      </c>
      <c r="S8" s="273">
        <v>2000000</v>
      </c>
      <c r="T8" s="273">
        <v>2000000</v>
      </c>
      <c r="U8" s="273">
        <v>2000000</v>
      </c>
      <c r="X8" s="273">
        <f t="shared" si="2"/>
        <v>149400</v>
      </c>
      <c r="Y8" s="23"/>
    </row>
    <row r="9" spans="1:25" s="27" customFormat="1">
      <c r="A9" s="134">
        <f>A8+1</f>
        <v>5</v>
      </c>
      <c r="B9" s="138" t="s">
        <v>95</v>
      </c>
      <c r="C9" s="284">
        <v>5.1970000000000002E-2</v>
      </c>
      <c r="D9" s="285">
        <v>38637</v>
      </c>
      <c r="E9" s="285">
        <v>42278</v>
      </c>
      <c r="F9" s="273">
        <f t="shared" si="3"/>
        <v>150000000</v>
      </c>
      <c r="G9" s="286">
        <v>99.193039993333343</v>
      </c>
      <c r="H9" s="183">
        <f t="shared" si="0"/>
        <v>5.2999999999999999E-2</v>
      </c>
      <c r="I9" s="273">
        <f>ROUND(+H9*F9,0)</f>
        <v>7950000</v>
      </c>
      <c r="J9" s="273">
        <v>150000000</v>
      </c>
      <c r="K9" s="273">
        <v>150000000</v>
      </c>
      <c r="L9" s="273">
        <v>150000000</v>
      </c>
      <c r="M9" s="273">
        <v>150000000</v>
      </c>
      <c r="N9" s="273">
        <v>150000000</v>
      </c>
      <c r="O9" s="273">
        <v>150000000</v>
      </c>
      <c r="P9" s="273">
        <v>150000000</v>
      </c>
      <c r="Q9" s="273">
        <v>150000000</v>
      </c>
      <c r="R9" s="273">
        <v>150000000</v>
      </c>
      <c r="S9" s="273">
        <v>150000000</v>
      </c>
      <c r="T9" s="273">
        <v>150000000</v>
      </c>
      <c r="U9" s="273">
        <v>150000000</v>
      </c>
      <c r="X9" s="273">
        <f t="shared" si="2"/>
        <v>7950000</v>
      </c>
      <c r="Y9" s="23"/>
    </row>
    <row r="10" spans="1:25" s="27" customFormat="1">
      <c r="A10" s="134">
        <f t="shared" ref="A10:A34" si="4">A9+1</f>
        <v>6</v>
      </c>
      <c r="B10" s="138" t="s">
        <v>95</v>
      </c>
      <c r="C10" s="284">
        <v>6.7500000000000004E-2</v>
      </c>
      <c r="D10" s="285">
        <v>39836</v>
      </c>
      <c r="E10" s="285">
        <v>42384</v>
      </c>
      <c r="F10" s="273">
        <f t="shared" si="3"/>
        <v>250000000</v>
      </c>
      <c r="G10" s="286">
        <v>99.239900000000006</v>
      </c>
      <c r="H10" s="183">
        <f t="shared" si="0"/>
        <v>6.8900000000000003E-2</v>
      </c>
      <c r="I10" s="273">
        <f>ROUND(+H10*F10,0)</f>
        <v>17225000</v>
      </c>
      <c r="J10" s="273">
        <v>250000000</v>
      </c>
      <c r="K10" s="273">
        <v>250000000</v>
      </c>
      <c r="L10" s="273">
        <v>250000000</v>
      </c>
      <c r="M10" s="273">
        <v>250000000</v>
      </c>
      <c r="N10" s="273">
        <v>250000000</v>
      </c>
      <c r="O10" s="273">
        <v>250000000</v>
      </c>
      <c r="P10" s="273">
        <v>250000000</v>
      </c>
      <c r="Q10" s="273">
        <v>250000000</v>
      </c>
      <c r="R10" s="273">
        <v>250000000</v>
      </c>
      <c r="S10" s="273">
        <v>250000000</v>
      </c>
      <c r="T10" s="273">
        <v>250000000</v>
      </c>
      <c r="U10" s="273">
        <v>250000000</v>
      </c>
      <c r="X10" s="273">
        <f t="shared" si="2"/>
        <v>17225000</v>
      </c>
      <c r="Y10" s="23"/>
    </row>
    <row r="11" spans="1:25" s="27" customFormat="1">
      <c r="A11" s="134">
        <f t="shared" si="4"/>
        <v>7</v>
      </c>
      <c r="B11" s="138" t="s">
        <v>21</v>
      </c>
      <c r="C11" s="284">
        <v>6.7400000000000002E-2</v>
      </c>
      <c r="D11" s="285">
        <v>35961</v>
      </c>
      <c r="E11" s="285">
        <v>43266</v>
      </c>
      <c r="F11" s="273">
        <f t="shared" si="3"/>
        <v>200000000</v>
      </c>
      <c r="G11" s="286">
        <v>98.98509159000001</v>
      </c>
      <c r="H11" s="183">
        <f t="shared" si="0"/>
        <v>6.83E-2</v>
      </c>
      <c r="I11" s="273">
        <f t="shared" si="1"/>
        <v>13660000</v>
      </c>
      <c r="J11" s="273">
        <v>200000000</v>
      </c>
      <c r="K11" s="273">
        <v>200000000</v>
      </c>
      <c r="L11" s="273">
        <v>200000000</v>
      </c>
      <c r="M11" s="273">
        <v>200000000</v>
      </c>
      <c r="N11" s="273">
        <v>200000000</v>
      </c>
      <c r="O11" s="273">
        <v>200000000</v>
      </c>
      <c r="P11" s="273">
        <v>200000000</v>
      </c>
      <c r="Q11" s="273">
        <v>200000000</v>
      </c>
      <c r="R11" s="273">
        <v>200000000</v>
      </c>
      <c r="S11" s="273">
        <v>200000000</v>
      </c>
      <c r="T11" s="273">
        <v>200000000</v>
      </c>
      <c r="U11" s="273">
        <v>200000000</v>
      </c>
      <c r="X11" s="273">
        <f t="shared" si="2"/>
        <v>13660000</v>
      </c>
    </row>
    <row r="12" spans="1:25" s="28" customFormat="1">
      <c r="A12" s="134">
        <f>A11+1</f>
        <v>8</v>
      </c>
      <c r="B12" s="138" t="s">
        <v>23</v>
      </c>
      <c r="C12" s="284">
        <v>7.1499999999999994E-2</v>
      </c>
      <c r="D12" s="285">
        <v>35053</v>
      </c>
      <c r="E12" s="285">
        <v>46010</v>
      </c>
      <c r="F12" s="273">
        <f t="shared" si="3"/>
        <v>15000000</v>
      </c>
      <c r="G12" s="286">
        <v>99.211911999999998</v>
      </c>
      <c r="H12" s="183">
        <f t="shared" si="0"/>
        <v>7.2099999999999997E-2</v>
      </c>
      <c r="I12" s="273">
        <f t="shared" si="1"/>
        <v>1081500</v>
      </c>
      <c r="J12" s="273">
        <v>15000000</v>
      </c>
      <c r="K12" s="273">
        <v>15000000</v>
      </c>
      <c r="L12" s="273">
        <v>15000000</v>
      </c>
      <c r="M12" s="273">
        <v>15000000</v>
      </c>
      <c r="N12" s="273">
        <v>15000000</v>
      </c>
      <c r="O12" s="273">
        <v>15000000</v>
      </c>
      <c r="P12" s="273">
        <v>15000000</v>
      </c>
      <c r="Q12" s="273">
        <v>15000000</v>
      </c>
      <c r="R12" s="273">
        <v>15000000</v>
      </c>
      <c r="S12" s="273">
        <v>15000000</v>
      </c>
      <c r="T12" s="273">
        <v>15000000</v>
      </c>
      <c r="U12" s="273">
        <v>15000000</v>
      </c>
      <c r="X12" s="273">
        <f t="shared" si="2"/>
        <v>1081500</v>
      </c>
      <c r="Y12" s="27"/>
    </row>
    <row r="13" spans="1:25" s="28" customFormat="1">
      <c r="A13" s="134">
        <f t="shared" si="4"/>
        <v>9</v>
      </c>
      <c r="B13" s="138" t="s">
        <v>23</v>
      </c>
      <c r="C13" s="284">
        <v>7.1999999999999995E-2</v>
      </c>
      <c r="D13" s="285">
        <v>35054</v>
      </c>
      <c r="E13" s="285">
        <v>46013</v>
      </c>
      <c r="F13" s="273">
        <f t="shared" si="3"/>
        <v>2000000</v>
      </c>
      <c r="G13" s="286">
        <v>99.211600000000004</v>
      </c>
      <c r="H13" s="183">
        <f t="shared" si="0"/>
        <v>7.2599999999999998E-2</v>
      </c>
      <c r="I13" s="273">
        <f t="shared" si="1"/>
        <v>145200</v>
      </c>
      <c r="J13" s="273">
        <v>2000000</v>
      </c>
      <c r="K13" s="273">
        <v>2000000</v>
      </c>
      <c r="L13" s="273">
        <v>2000000</v>
      </c>
      <c r="M13" s="273">
        <v>2000000</v>
      </c>
      <c r="N13" s="273">
        <v>2000000</v>
      </c>
      <c r="O13" s="273">
        <v>2000000</v>
      </c>
      <c r="P13" s="273">
        <v>2000000</v>
      </c>
      <c r="Q13" s="273">
        <v>2000000</v>
      </c>
      <c r="R13" s="273">
        <v>2000000</v>
      </c>
      <c r="S13" s="273">
        <v>2000000</v>
      </c>
      <c r="T13" s="273">
        <v>2000000</v>
      </c>
      <c r="U13" s="273">
        <v>2000000</v>
      </c>
      <c r="X13" s="273">
        <f t="shared" si="2"/>
        <v>145200</v>
      </c>
    </row>
    <row r="14" spans="1:25" s="28" customFormat="1">
      <c r="A14" s="134">
        <f t="shared" si="4"/>
        <v>10</v>
      </c>
      <c r="B14" s="138" t="s">
        <v>21</v>
      </c>
      <c r="C14" s="284">
        <v>7.0199999999999999E-2</v>
      </c>
      <c r="D14" s="285">
        <v>35786</v>
      </c>
      <c r="E14" s="285">
        <v>46722</v>
      </c>
      <c r="F14" s="273">
        <f t="shared" si="3"/>
        <v>300000000</v>
      </c>
      <c r="G14" s="286">
        <v>98.985735776666658</v>
      </c>
      <c r="H14" s="183">
        <f t="shared" si="0"/>
        <v>7.0999999999999994E-2</v>
      </c>
      <c r="I14" s="273">
        <f t="shared" si="1"/>
        <v>21300000</v>
      </c>
      <c r="J14" s="273">
        <v>300000000</v>
      </c>
      <c r="K14" s="273">
        <v>300000000</v>
      </c>
      <c r="L14" s="273">
        <v>300000000</v>
      </c>
      <c r="M14" s="273">
        <v>300000000</v>
      </c>
      <c r="N14" s="273">
        <v>300000000</v>
      </c>
      <c r="O14" s="273">
        <v>300000000</v>
      </c>
      <c r="P14" s="273">
        <v>300000000</v>
      </c>
      <c r="Q14" s="273">
        <v>300000000</v>
      </c>
      <c r="R14" s="273">
        <v>300000000</v>
      </c>
      <c r="S14" s="273">
        <v>300000000</v>
      </c>
      <c r="T14" s="273">
        <v>300000000</v>
      </c>
      <c r="U14" s="273">
        <v>300000000</v>
      </c>
      <c r="X14" s="273">
        <f t="shared" si="2"/>
        <v>21299999.999999996</v>
      </c>
    </row>
    <row r="15" spans="1:25">
      <c r="A15" s="134">
        <f t="shared" si="4"/>
        <v>11</v>
      </c>
      <c r="B15" s="138" t="s">
        <v>22</v>
      </c>
      <c r="C15" s="284">
        <v>7.0000000000000007E-2</v>
      </c>
      <c r="D15" s="285">
        <v>36228</v>
      </c>
      <c r="E15" s="285">
        <v>47186</v>
      </c>
      <c r="F15" s="273">
        <f t="shared" si="3"/>
        <v>100000000</v>
      </c>
      <c r="G15" s="286">
        <v>99.042870549999989</v>
      </c>
      <c r="H15" s="183">
        <f t="shared" si="0"/>
        <v>7.0800000000000002E-2</v>
      </c>
      <c r="I15" s="273">
        <f t="shared" si="1"/>
        <v>7080000</v>
      </c>
      <c r="J15" s="273">
        <v>100000000</v>
      </c>
      <c r="K15" s="273">
        <v>100000000</v>
      </c>
      <c r="L15" s="273">
        <v>100000000</v>
      </c>
      <c r="M15" s="273">
        <v>100000000</v>
      </c>
      <c r="N15" s="273">
        <v>100000000</v>
      </c>
      <c r="O15" s="273">
        <v>100000000</v>
      </c>
      <c r="P15" s="273">
        <v>100000000</v>
      </c>
      <c r="Q15" s="273">
        <v>100000000</v>
      </c>
      <c r="R15" s="273">
        <v>100000000</v>
      </c>
      <c r="S15" s="273">
        <v>100000000</v>
      </c>
      <c r="T15" s="273">
        <v>100000000</v>
      </c>
      <c r="U15" s="273">
        <v>100000000</v>
      </c>
      <c r="X15" s="273">
        <f t="shared" si="2"/>
        <v>7080000</v>
      </c>
      <c r="Y15" s="28"/>
    </row>
    <row r="16" spans="1:25">
      <c r="A16" s="134">
        <f>A15+1</f>
        <v>12</v>
      </c>
      <c r="B16" s="287" t="s">
        <v>24</v>
      </c>
      <c r="C16" s="284">
        <v>3.9E-2</v>
      </c>
      <c r="D16" s="288">
        <v>41417</v>
      </c>
      <c r="E16" s="289">
        <v>47908</v>
      </c>
      <c r="F16" s="273">
        <f t="shared" si="3"/>
        <v>138460000</v>
      </c>
      <c r="G16" s="286">
        <v>98.939099999999996</v>
      </c>
      <c r="H16" s="183">
        <f t="shared" si="0"/>
        <v>3.9800000000000002E-2</v>
      </c>
      <c r="I16" s="273">
        <f t="shared" si="1"/>
        <v>5510708</v>
      </c>
      <c r="J16" s="273">
        <v>138460000</v>
      </c>
      <c r="K16" s="273">
        <v>138460000</v>
      </c>
      <c r="L16" s="273">
        <v>138460000</v>
      </c>
      <c r="M16" s="273">
        <v>138460000</v>
      </c>
      <c r="N16" s="273">
        <v>138460000</v>
      </c>
      <c r="O16" s="273">
        <v>138460000</v>
      </c>
      <c r="P16" s="273">
        <v>138460000</v>
      </c>
      <c r="Q16" s="273">
        <v>138460000</v>
      </c>
      <c r="R16" s="273">
        <v>138460000</v>
      </c>
      <c r="S16" s="273">
        <v>138460000</v>
      </c>
      <c r="T16" s="273">
        <v>138460000</v>
      </c>
      <c r="U16" s="273">
        <v>138460000</v>
      </c>
      <c r="X16" s="273">
        <f t="shared" si="2"/>
        <v>5510708</v>
      </c>
    </row>
    <row r="17" spans="1:25">
      <c r="A17" s="134">
        <f t="shared" si="4"/>
        <v>13</v>
      </c>
      <c r="B17" s="287" t="s">
        <v>24</v>
      </c>
      <c r="C17" s="284">
        <v>0.04</v>
      </c>
      <c r="D17" s="288">
        <v>41417</v>
      </c>
      <c r="E17" s="289">
        <v>47908</v>
      </c>
      <c r="F17" s="273">
        <f t="shared" si="3"/>
        <v>23400000</v>
      </c>
      <c r="G17" s="286">
        <v>98.939099999999996</v>
      </c>
      <c r="H17" s="183">
        <f t="shared" si="0"/>
        <v>4.0800000000000003E-2</v>
      </c>
      <c r="I17" s="273">
        <f t="shared" si="1"/>
        <v>954720</v>
      </c>
      <c r="J17" s="273">
        <v>23400000</v>
      </c>
      <c r="K17" s="273">
        <v>23400000</v>
      </c>
      <c r="L17" s="273">
        <v>23400000</v>
      </c>
      <c r="M17" s="273">
        <v>23400000</v>
      </c>
      <c r="N17" s="273">
        <v>23400000</v>
      </c>
      <c r="O17" s="273">
        <v>23400000</v>
      </c>
      <c r="P17" s="273">
        <v>23400000</v>
      </c>
      <c r="Q17" s="273">
        <v>23400000</v>
      </c>
      <c r="R17" s="273">
        <v>23400000</v>
      </c>
      <c r="S17" s="273">
        <v>23400000</v>
      </c>
      <c r="T17" s="273">
        <v>23400000</v>
      </c>
      <c r="U17" s="273">
        <v>23400000</v>
      </c>
      <c r="X17" s="273">
        <f t="shared" si="2"/>
        <v>954720.00000000012</v>
      </c>
    </row>
    <row r="18" spans="1:25">
      <c r="A18" s="134">
        <f>A17+1</f>
        <v>14</v>
      </c>
      <c r="B18" s="138" t="s">
        <v>95</v>
      </c>
      <c r="C18" s="284">
        <v>5.4829999999999997E-2</v>
      </c>
      <c r="D18" s="285">
        <v>38499</v>
      </c>
      <c r="E18" s="285">
        <v>49461</v>
      </c>
      <c r="F18" s="273">
        <f t="shared" si="3"/>
        <v>250000000</v>
      </c>
      <c r="G18" s="286">
        <v>84.886606835999999</v>
      </c>
      <c r="H18" s="183">
        <f t="shared" si="0"/>
        <v>6.6500000000000004E-2</v>
      </c>
      <c r="I18" s="277">
        <f t="shared" si="1"/>
        <v>16625000</v>
      </c>
      <c r="J18" s="277">
        <v>250000000</v>
      </c>
      <c r="K18" s="277">
        <v>250000000</v>
      </c>
      <c r="L18" s="277">
        <v>250000000</v>
      </c>
      <c r="M18" s="277">
        <v>250000000</v>
      </c>
      <c r="N18" s="277">
        <v>250000000</v>
      </c>
      <c r="O18" s="277">
        <v>250000000</v>
      </c>
      <c r="P18" s="277">
        <v>250000000</v>
      </c>
      <c r="Q18" s="277">
        <v>250000000</v>
      </c>
      <c r="R18" s="277">
        <v>250000000</v>
      </c>
      <c r="S18" s="277">
        <v>250000000</v>
      </c>
      <c r="T18" s="277">
        <v>250000000</v>
      </c>
      <c r="U18" s="277">
        <v>250000000</v>
      </c>
      <c r="X18" s="273">
        <f t="shared" si="2"/>
        <v>16625000</v>
      </c>
    </row>
    <row r="19" spans="1:25">
      <c r="A19" s="134">
        <f t="shared" si="4"/>
        <v>15</v>
      </c>
      <c r="B19" s="138" t="s">
        <v>95</v>
      </c>
      <c r="C19" s="284">
        <v>6.7239999999999994E-2</v>
      </c>
      <c r="D19" s="285">
        <v>38898</v>
      </c>
      <c r="E19" s="285">
        <v>49841</v>
      </c>
      <c r="F19" s="273">
        <f t="shared" si="3"/>
        <v>250000000</v>
      </c>
      <c r="G19" s="286">
        <v>107.515271756</v>
      </c>
      <c r="H19" s="183">
        <f t="shared" si="0"/>
        <v>6.1699999999999998E-2</v>
      </c>
      <c r="I19" s="277">
        <f t="shared" si="1"/>
        <v>15425000</v>
      </c>
      <c r="J19" s="277">
        <v>250000000</v>
      </c>
      <c r="K19" s="277">
        <v>250000000</v>
      </c>
      <c r="L19" s="277">
        <v>250000000</v>
      </c>
      <c r="M19" s="277">
        <v>250000000</v>
      </c>
      <c r="N19" s="277">
        <v>250000000</v>
      </c>
      <c r="O19" s="277">
        <v>250000000</v>
      </c>
      <c r="P19" s="277">
        <v>250000000</v>
      </c>
      <c r="Q19" s="277">
        <v>250000000</v>
      </c>
      <c r="R19" s="277">
        <v>250000000</v>
      </c>
      <c r="S19" s="277">
        <v>250000000</v>
      </c>
      <c r="T19" s="277">
        <v>250000000</v>
      </c>
      <c r="U19" s="277">
        <v>250000000</v>
      </c>
      <c r="X19" s="273">
        <f t="shared" si="2"/>
        <v>15425000</v>
      </c>
    </row>
    <row r="20" spans="1:25">
      <c r="A20" s="134">
        <f t="shared" si="4"/>
        <v>16</v>
      </c>
      <c r="B20" s="138" t="s">
        <v>95</v>
      </c>
      <c r="C20" s="284">
        <v>6.2740000000000004E-2</v>
      </c>
      <c r="D20" s="285">
        <v>38978</v>
      </c>
      <c r="E20" s="285">
        <v>50114</v>
      </c>
      <c r="F20" s="273">
        <f t="shared" si="3"/>
        <v>300000000</v>
      </c>
      <c r="G20" s="286">
        <v>98.812700000000007</v>
      </c>
      <c r="H20" s="183">
        <f t="shared" si="0"/>
        <v>6.3600000000000004E-2</v>
      </c>
      <c r="I20" s="277">
        <f t="shared" si="1"/>
        <v>19080000</v>
      </c>
      <c r="J20" s="277">
        <v>300000000</v>
      </c>
      <c r="K20" s="277">
        <v>300000000</v>
      </c>
      <c r="L20" s="277">
        <v>300000000</v>
      </c>
      <c r="M20" s="277">
        <v>300000000</v>
      </c>
      <c r="N20" s="277">
        <v>300000000</v>
      </c>
      <c r="O20" s="277">
        <v>300000000</v>
      </c>
      <c r="P20" s="277">
        <v>300000000</v>
      </c>
      <c r="Q20" s="277">
        <v>300000000</v>
      </c>
      <c r="R20" s="277">
        <v>300000000</v>
      </c>
      <c r="S20" s="277">
        <v>300000000</v>
      </c>
      <c r="T20" s="277">
        <v>300000000</v>
      </c>
      <c r="U20" s="277">
        <v>300000000</v>
      </c>
      <c r="X20" s="273">
        <f t="shared" si="2"/>
        <v>19080000</v>
      </c>
    </row>
    <row r="21" spans="1:25">
      <c r="A21" s="134">
        <f t="shared" si="4"/>
        <v>17</v>
      </c>
      <c r="B21" s="138" t="s">
        <v>95</v>
      </c>
      <c r="C21" s="284">
        <v>5.7570000000000003E-2</v>
      </c>
      <c r="D21" s="285">
        <v>40067</v>
      </c>
      <c r="E21" s="285">
        <v>51058</v>
      </c>
      <c r="F21" s="273">
        <f t="shared" si="3"/>
        <v>350000000</v>
      </c>
      <c r="G21" s="286">
        <v>98.983599999999996</v>
      </c>
      <c r="H21" s="183">
        <f t="shared" si="0"/>
        <v>5.8299999999999998E-2</v>
      </c>
      <c r="I21" s="277">
        <f t="shared" si="1"/>
        <v>20405000</v>
      </c>
      <c r="J21" s="277">
        <v>350000000</v>
      </c>
      <c r="K21" s="277">
        <v>350000000</v>
      </c>
      <c r="L21" s="277">
        <v>350000000</v>
      </c>
      <c r="M21" s="277">
        <v>350000000</v>
      </c>
      <c r="N21" s="277">
        <v>350000000</v>
      </c>
      <c r="O21" s="277">
        <v>350000000</v>
      </c>
      <c r="P21" s="277">
        <v>350000000</v>
      </c>
      <c r="Q21" s="277">
        <v>350000000</v>
      </c>
      <c r="R21" s="277">
        <v>350000000</v>
      </c>
      <c r="S21" s="277">
        <v>350000000</v>
      </c>
      <c r="T21" s="277">
        <v>350000000</v>
      </c>
      <c r="U21" s="277">
        <v>350000000</v>
      </c>
      <c r="X21" s="273">
        <f t="shared" si="2"/>
        <v>20405000</v>
      </c>
    </row>
    <row r="22" spans="1:25">
      <c r="A22" s="134">
        <f t="shared" si="4"/>
        <v>18</v>
      </c>
      <c r="B22" s="138" t="s">
        <v>95</v>
      </c>
      <c r="C22" s="284">
        <v>5.7950000000000002E-2</v>
      </c>
      <c r="D22" s="285">
        <v>40245</v>
      </c>
      <c r="E22" s="285">
        <v>51210</v>
      </c>
      <c r="F22" s="273">
        <f t="shared" si="3"/>
        <v>325000000</v>
      </c>
      <c r="G22" s="286">
        <v>98.958799999999997</v>
      </c>
      <c r="H22" s="183">
        <f t="shared" si="0"/>
        <v>5.8700000000000002E-2</v>
      </c>
      <c r="I22" s="277">
        <f t="shared" si="1"/>
        <v>19077500</v>
      </c>
      <c r="J22" s="277">
        <v>325000000</v>
      </c>
      <c r="K22" s="277">
        <v>325000000</v>
      </c>
      <c r="L22" s="277">
        <v>325000000</v>
      </c>
      <c r="M22" s="277">
        <v>325000000</v>
      </c>
      <c r="N22" s="277">
        <v>325000000</v>
      </c>
      <c r="O22" s="277">
        <v>325000000</v>
      </c>
      <c r="P22" s="277">
        <v>325000000</v>
      </c>
      <c r="Q22" s="277">
        <v>325000000</v>
      </c>
      <c r="R22" s="277">
        <v>325000000</v>
      </c>
      <c r="S22" s="277">
        <v>325000000</v>
      </c>
      <c r="T22" s="277">
        <v>325000000</v>
      </c>
      <c r="U22" s="277">
        <v>325000000</v>
      </c>
      <c r="X22" s="273">
        <f t="shared" si="2"/>
        <v>19077500</v>
      </c>
    </row>
    <row r="23" spans="1:25">
      <c r="A23" s="134">
        <f t="shared" si="4"/>
        <v>19</v>
      </c>
      <c r="B23" s="138" t="s">
        <v>95</v>
      </c>
      <c r="C23" s="284">
        <v>5.7639999999999997E-2</v>
      </c>
      <c r="D23" s="285">
        <v>40358</v>
      </c>
      <c r="E23" s="285">
        <v>51332</v>
      </c>
      <c r="F23" s="273">
        <f t="shared" si="3"/>
        <v>250000000</v>
      </c>
      <c r="G23" s="286">
        <v>98.965199999999996</v>
      </c>
      <c r="H23" s="183">
        <f t="shared" si="0"/>
        <v>5.8400000000000001E-2</v>
      </c>
      <c r="I23" s="277">
        <f t="shared" si="1"/>
        <v>14600000</v>
      </c>
      <c r="J23" s="277">
        <v>250000000</v>
      </c>
      <c r="K23" s="277">
        <v>250000000</v>
      </c>
      <c r="L23" s="277">
        <v>250000000</v>
      </c>
      <c r="M23" s="277">
        <v>250000000</v>
      </c>
      <c r="N23" s="277">
        <v>250000000</v>
      </c>
      <c r="O23" s="277">
        <v>250000000</v>
      </c>
      <c r="P23" s="277">
        <v>250000000</v>
      </c>
      <c r="Q23" s="277">
        <v>250000000</v>
      </c>
      <c r="R23" s="277">
        <v>250000000</v>
      </c>
      <c r="S23" s="277">
        <v>250000000</v>
      </c>
      <c r="T23" s="277">
        <v>250000000</v>
      </c>
      <c r="U23" s="277">
        <v>250000000</v>
      </c>
      <c r="X23" s="273">
        <f t="shared" si="2"/>
        <v>14600000</v>
      </c>
    </row>
    <row r="24" spans="1:25">
      <c r="A24" s="134">
        <v>25</v>
      </c>
      <c r="B24" s="138" t="s">
        <v>95</v>
      </c>
      <c r="C24" s="284">
        <v>5.638E-2</v>
      </c>
      <c r="D24" s="285">
        <v>40627</v>
      </c>
      <c r="E24" s="285">
        <v>51606</v>
      </c>
      <c r="F24" s="273">
        <f t="shared" si="3"/>
        <v>300000000</v>
      </c>
      <c r="G24" s="286">
        <v>98.971000000000004</v>
      </c>
      <c r="H24" s="183">
        <f t="shared" si="0"/>
        <v>5.7099999999999998E-2</v>
      </c>
      <c r="I24" s="277">
        <f t="shared" si="1"/>
        <v>17130000</v>
      </c>
      <c r="J24" s="277">
        <v>300000000</v>
      </c>
      <c r="K24" s="277">
        <v>300000000</v>
      </c>
      <c r="L24" s="277">
        <v>300000000</v>
      </c>
      <c r="M24" s="277">
        <v>300000000</v>
      </c>
      <c r="N24" s="277">
        <v>300000000</v>
      </c>
      <c r="O24" s="277">
        <v>300000000</v>
      </c>
      <c r="P24" s="277">
        <v>300000000</v>
      </c>
      <c r="Q24" s="277">
        <v>300000000</v>
      </c>
      <c r="R24" s="277">
        <v>300000000</v>
      </c>
      <c r="S24" s="277">
        <v>300000000</v>
      </c>
      <c r="T24" s="277">
        <v>300000000</v>
      </c>
      <c r="U24" s="277">
        <v>300000000</v>
      </c>
      <c r="X24" s="273">
        <f t="shared" si="2"/>
        <v>17130000</v>
      </c>
    </row>
    <row r="25" spans="1:25">
      <c r="A25" s="134">
        <v>26</v>
      </c>
      <c r="B25" s="138" t="s">
        <v>95</v>
      </c>
      <c r="C25" s="284">
        <v>4.4339999999999997E-2</v>
      </c>
      <c r="D25" s="285">
        <v>40863</v>
      </c>
      <c r="E25" s="285">
        <v>51820</v>
      </c>
      <c r="F25" s="273">
        <f t="shared" si="3"/>
        <v>250000000</v>
      </c>
      <c r="G25" s="286">
        <v>98.962999999999994</v>
      </c>
      <c r="H25" s="183">
        <f t="shared" si="0"/>
        <v>4.4999999999999998E-2</v>
      </c>
      <c r="I25" s="277">
        <f t="shared" si="1"/>
        <v>11250000</v>
      </c>
      <c r="J25" s="277">
        <v>250000000</v>
      </c>
      <c r="K25" s="277">
        <v>250000000</v>
      </c>
      <c r="L25" s="277">
        <v>250000000</v>
      </c>
      <c r="M25" s="277">
        <v>250000000</v>
      </c>
      <c r="N25" s="277">
        <v>250000000</v>
      </c>
      <c r="O25" s="277">
        <v>250000000</v>
      </c>
      <c r="P25" s="277">
        <v>250000000</v>
      </c>
      <c r="Q25" s="277">
        <v>250000000</v>
      </c>
      <c r="R25" s="277">
        <v>250000000</v>
      </c>
      <c r="S25" s="277">
        <v>250000000</v>
      </c>
      <c r="T25" s="277">
        <v>250000000</v>
      </c>
      <c r="U25" s="277">
        <v>250000000</v>
      </c>
      <c r="X25" s="273">
        <f t="shared" si="2"/>
        <v>11250000</v>
      </c>
    </row>
    <row r="26" spans="1:25">
      <c r="A26" s="134">
        <v>27</v>
      </c>
      <c r="B26" s="138" t="s">
        <v>95</v>
      </c>
      <c r="C26" s="284">
        <v>4.7E-2</v>
      </c>
      <c r="D26" s="285">
        <v>40869</v>
      </c>
      <c r="E26" s="285">
        <v>55472</v>
      </c>
      <c r="F26" s="273">
        <f t="shared" si="3"/>
        <v>45000000</v>
      </c>
      <c r="G26" s="286">
        <v>98.863900000000001</v>
      </c>
      <c r="H26" s="183">
        <f t="shared" si="0"/>
        <v>4.7600000000000003E-2</v>
      </c>
      <c r="I26" s="277">
        <f t="shared" si="1"/>
        <v>2142000</v>
      </c>
      <c r="J26" s="277">
        <v>45000000</v>
      </c>
      <c r="K26" s="277">
        <v>45000000</v>
      </c>
      <c r="L26" s="277">
        <v>45000000</v>
      </c>
      <c r="M26" s="277">
        <v>45000000</v>
      </c>
      <c r="N26" s="277">
        <v>45000000</v>
      </c>
      <c r="O26" s="277">
        <v>45000000</v>
      </c>
      <c r="P26" s="277">
        <v>45000000</v>
      </c>
      <c r="Q26" s="277">
        <v>45000000</v>
      </c>
      <c r="R26" s="277">
        <v>45000000</v>
      </c>
      <c r="S26" s="277">
        <v>45000000</v>
      </c>
      <c r="T26" s="277">
        <v>45000000</v>
      </c>
      <c r="U26" s="277">
        <v>45000000</v>
      </c>
      <c r="X26" s="273">
        <f t="shared" si="2"/>
        <v>2142000</v>
      </c>
    </row>
    <row r="27" spans="1:25">
      <c r="A27" s="134">
        <v>28</v>
      </c>
      <c r="B27" s="138" t="s">
        <v>126</v>
      </c>
      <c r="C27" s="284">
        <v>6.9739999999999996E-2</v>
      </c>
      <c r="D27" s="285">
        <v>39237</v>
      </c>
      <c r="E27" s="285">
        <v>42887</v>
      </c>
      <c r="F27" s="273">
        <f t="shared" si="3"/>
        <v>250000000</v>
      </c>
      <c r="G27" s="286">
        <v>98.226200000000006</v>
      </c>
      <c r="H27" s="183">
        <f t="shared" si="0"/>
        <v>7.2300000000000003E-2</v>
      </c>
      <c r="I27" s="277">
        <f t="shared" si="1"/>
        <v>18075000</v>
      </c>
      <c r="J27" s="273">
        <v>250000000</v>
      </c>
      <c r="K27" s="273">
        <v>250000000</v>
      </c>
      <c r="L27" s="273">
        <v>250000000</v>
      </c>
      <c r="M27" s="273">
        <v>250000000</v>
      </c>
      <c r="N27" s="273">
        <v>250000000</v>
      </c>
      <c r="O27" s="273">
        <v>250000000</v>
      </c>
      <c r="P27" s="273">
        <v>250000000</v>
      </c>
      <c r="Q27" s="273">
        <v>250000000</v>
      </c>
      <c r="R27" s="273">
        <v>250000000</v>
      </c>
      <c r="S27" s="273">
        <v>250000000</v>
      </c>
      <c r="T27" s="273">
        <v>250000000</v>
      </c>
      <c r="U27" s="273">
        <v>250000000</v>
      </c>
      <c r="X27" s="273">
        <f t="shared" si="2"/>
        <v>18075000</v>
      </c>
    </row>
    <row r="28" spans="1:25">
      <c r="A28" s="134">
        <f t="shared" si="4"/>
        <v>29</v>
      </c>
      <c r="B28" s="138"/>
      <c r="C28" s="284"/>
      <c r="D28" s="285"/>
      <c r="E28" s="285"/>
      <c r="F28" s="273"/>
      <c r="G28" s="294"/>
      <c r="H28" s="183"/>
      <c r="I28" s="277"/>
      <c r="J28" s="273"/>
      <c r="K28" s="273"/>
      <c r="L28" s="273"/>
      <c r="M28" s="273"/>
      <c r="N28" s="273"/>
      <c r="O28" s="273"/>
      <c r="P28" s="273"/>
      <c r="Q28" s="273"/>
      <c r="R28" s="273"/>
      <c r="S28" s="273"/>
      <c r="T28" s="273"/>
      <c r="U28" s="273"/>
      <c r="X28" s="482">
        <f>SUM(X6:X27)</f>
        <v>229612028</v>
      </c>
    </row>
    <row r="29" spans="1:25" ht="13.8" thickBot="1">
      <c r="A29" s="134">
        <f t="shared" si="4"/>
        <v>30</v>
      </c>
      <c r="B29" s="138"/>
      <c r="C29" s="140" t="s">
        <v>116</v>
      </c>
      <c r="D29" s="285"/>
      <c r="E29" s="285"/>
      <c r="F29" s="273"/>
      <c r="G29" s="290"/>
      <c r="H29" s="183"/>
      <c r="I29" s="291">
        <f>'Pg 7 Reacquired Debt'!I30</f>
        <v>2269845.2399999998</v>
      </c>
      <c r="J29" s="231"/>
      <c r="K29" s="231"/>
      <c r="L29" s="231"/>
      <c r="M29" s="231"/>
      <c r="N29" s="231"/>
      <c r="O29" s="231"/>
      <c r="P29" s="231"/>
      <c r="Q29" s="231"/>
      <c r="R29" s="231"/>
      <c r="S29" s="231"/>
      <c r="T29" s="231"/>
      <c r="U29" s="231"/>
      <c r="X29" s="482">
        <f>I29</f>
        <v>2269845.2399999998</v>
      </c>
    </row>
    <row r="30" spans="1:25" ht="13.8" thickBot="1">
      <c r="A30" s="134">
        <f t="shared" si="4"/>
        <v>31</v>
      </c>
      <c r="B30" s="140" t="s">
        <v>129</v>
      </c>
      <c r="C30" s="284"/>
      <c r="D30" s="285"/>
      <c r="E30" s="285"/>
      <c r="F30" s="291">
        <f>SUM(F6:F29)</f>
        <v>3760860000</v>
      </c>
      <c r="G30" s="292"/>
      <c r="H30" s="216">
        <f>ROUND(+I30/F30,4)</f>
        <v>6.1699999999999998E-2</v>
      </c>
      <c r="I30" s="295">
        <f t="shared" ref="I30:U30" si="5">SUM(I6:I29)</f>
        <v>231881873.24000001</v>
      </c>
      <c r="J30" s="295">
        <f t="shared" si="5"/>
        <v>3760860000</v>
      </c>
      <c r="K30" s="295">
        <f t="shared" si="5"/>
        <v>3760860000</v>
      </c>
      <c r="L30" s="295">
        <f t="shared" si="5"/>
        <v>3760860000</v>
      </c>
      <c r="M30" s="295">
        <f t="shared" si="5"/>
        <v>3760860000</v>
      </c>
      <c r="N30" s="295">
        <f t="shared" si="5"/>
        <v>3760860000</v>
      </c>
      <c r="O30" s="295">
        <f t="shared" si="5"/>
        <v>3760860000</v>
      </c>
      <c r="P30" s="295">
        <f t="shared" si="5"/>
        <v>3760860000</v>
      </c>
      <c r="Q30" s="295">
        <f t="shared" si="5"/>
        <v>3760860000</v>
      </c>
      <c r="R30" s="295">
        <f t="shared" si="5"/>
        <v>3760860000</v>
      </c>
      <c r="S30" s="295">
        <f t="shared" si="5"/>
        <v>3760860000</v>
      </c>
      <c r="T30" s="295">
        <f t="shared" si="5"/>
        <v>3760860000</v>
      </c>
      <c r="U30" s="295">
        <f t="shared" si="5"/>
        <v>3760860000</v>
      </c>
      <c r="X30" s="295">
        <f>SUM(X28:X29)</f>
        <v>231881873.24000001</v>
      </c>
      <c r="Y30" s="483">
        <f>X30/U30</f>
        <v>6.1656608658657866E-2</v>
      </c>
    </row>
    <row r="31" spans="1:25">
      <c r="A31" s="134">
        <f t="shared" si="4"/>
        <v>32</v>
      </c>
      <c r="B31" s="138"/>
      <c r="C31" s="284"/>
      <c r="D31" s="285"/>
      <c r="E31" s="285"/>
      <c r="F31" s="293"/>
      <c r="G31" s="290"/>
      <c r="H31" s="246"/>
      <c r="I31" s="293"/>
      <c r="J31" s="505"/>
      <c r="K31" s="505"/>
      <c r="L31" s="505"/>
      <c r="M31" s="505"/>
      <c r="N31" s="505"/>
      <c r="O31" s="505"/>
      <c r="P31" s="505"/>
      <c r="Q31" s="505"/>
      <c r="R31" s="505"/>
      <c r="S31" s="505"/>
      <c r="T31" s="505"/>
      <c r="U31" s="505"/>
      <c r="X31" s="274">
        <f>H31*U31</f>
        <v>0</v>
      </c>
    </row>
    <row r="32" spans="1:25">
      <c r="A32" s="134">
        <f t="shared" si="4"/>
        <v>33</v>
      </c>
      <c r="B32" s="140"/>
      <c r="C32" s="137"/>
      <c r="D32" s="137"/>
      <c r="E32" s="137"/>
      <c r="F32" s="293"/>
      <c r="G32" s="25"/>
      <c r="H32" s="246"/>
      <c r="I32" s="293"/>
      <c r="J32" s="349"/>
      <c r="K32" s="349"/>
      <c r="L32" s="349"/>
      <c r="M32" s="349"/>
      <c r="N32" s="349"/>
      <c r="O32" s="349"/>
      <c r="P32" s="349"/>
      <c r="Q32" s="349"/>
      <c r="R32" s="349"/>
      <c r="S32" s="349"/>
      <c r="T32" s="349"/>
      <c r="U32" s="349"/>
      <c r="X32" s="273">
        <f>I32</f>
        <v>0</v>
      </c>
    </row>
    <row r="33" spans="1:55">
      <c r="A33" s="134">
        <f t="shared" si="4"/>
        <v>34</v>
      </c>
      <c r="B33" s="136" t="s">
        <v>85</v>
      </c>
      <c r="C33" s="137"/>
      <c r="D33" s="137"/>
      <c r="E33" s="137"/>
      <c r="F33" s="137"/>
      <c r="G33" s="137"/>
      <c r="H33" s="137"/>
      <c r="I33" s="137"/>
      <c r="X33" s="293"/>
      <c r="Y33" s="246"/>
    </row>
    <row r="34" spans="1:55">
      <c r="A34" s="134">
        <f t="shared" si="4"/>
        <v>35</v>
      </c>
      <c r="B34" s="136" t="s">
        <v>93</v>
      </c>
      <c r="C34" s="137"/>
      <c r="D34" s="137"/>
      <c r="E34" s="137"/>
      <c r="F34" s="137"/>
      <c r="G34" s="139"/>
      <c r="H34" s="137"/>
      <c r="I34" s="137"/>
    </row>
    <row r="35" spans="1:55">
      <c r="A35" s="134"/>
      <c r="B35" s="136"/>
      <c r="C35" s="137"/>
      <c r="D35" s="137"/>
      <c r="E35" s="137"/>
      <c r="F35" s="137"/>
      <c r="G35" s="139"/>
      <c r="H35" s="137"/>
      <c r="I35" s="137"/>
    </row>
    <row r="36" spans="1:55">
      <c r="A36" s="134"/>
      <c r="B36" s="135"/>
      <c r="C36" s="135"/>
      <c r="D36" s="135"/>
      <c r="E36" s="325" t="str">
        <f>IF((F30-'Pg 2 CapStructure'!Q16)&gt;1,"Total LTD ERROR",IF((F30-'Pg 2 CapStructure'!Q16)&lt;-1,"Total LTD ERROR",""))</f>
        <v>Total LTD ERROR</v>
      </c>
      <c r="G36" s="135"/>
      <c r="H36" s="296"/>
      <c r="I36" s="297"/>
      <c r="J36" s="298"/>
      <c r="K36" s="298"/>
      <c r="L36" s="298"/>
      <c r="M36" s="298"/>
      <c r="N36" s="298"/>
      <c r="O36" s="298"/>
      <c r="P36" s="298"/>
      <c r="Q36" s="298"/>
      <c r="R36" s="298"/>
      <c r="S36" s="298"/>
      <c r="T36" s="298"/>
      <c r="U36" s="29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row>
    <row r="37" spans="1:55">
      <c r="A37" s="44"/>
      <c r="B37" s="299"/>
      <c r="C37" s="299"/>
      <c r="D37" s="299"/>
      <c r="E37" s="299"/>
      <c r="F37" s="272"/>
      <c r="G37" s="299"/>
      <c r="H37" s="137"/>
      <c r="I37" s="179"/>
      <c r="J37" s="300"/>
      <c r="K37" s="300"/>
      <c r="L37" s="300"/>
      <c r="M37" s="138"/>
      <c r="N37" s="138"/>
      <c r="O37" s="138"/>
      <c r="P37" s="138"/>
      <c r="Q37" s="138"/>
      <c r="R37" s="138"/>
      <c r="S37" s="138"/>
      <c r="T37" s="138"/>
      <c r="U37" s="138"/>
    </row>
    <row r="38" spans="1:55">
      <c r="A38" s="44"/>
      <c r="B38" s="299"/>
      <c r="C38" s="299"/>
      <c r="D38" s="299"/>
      <c r="E38" s="299"/>
      <c r="F38" s="271"/>
      <c r="G38" s="299"/>
      <c r="H38" s="135"/>
      <c r="I38" s="297"/>
      <c r="J38" s="274"/>
      <c r="K38" s="274"/>
      <c r="L38" s="274"/>
      <c r="M38" s="274"/>
      <c r="N38" s="274"/>
      <c r="O38" s="274"/>
      <c r="P38" s="274"/>
      <c r="Q38" s="274"/>
      <c r="R38" s="274"/>
      <c r="S38" s="274"/>
      <c r="T38" s="274"/>
      <c r="U38" s="274"/>
    </row>
    <row r="39" spans="1:55">
      <c r="A39" s="44"/>
      <c r="B39" s="28"/>
      <c r="C39" s="28"/>
      <c r="D39" s="28"/>
      <c r="E39" s="28"/>
      <c r="F39" s="272"/>
      <c r="G39" s="28"/>
      <c r="H39" s="28"/>
      <c r="I39" s="45"/>
      <c r="J39" s="221" t="str">
        <f t="shared" ref="J39:U39" si="6">IF(J38&lt;&gt;0,"ERROR","")</f>
        <v/>
      </c>
      <c r="K39" s="221" t="str">
        <f t="shared" si="6"/>
        <v/>
      </c>
      <c r="L39" s="221" t="str">
        <f t="shared" si="6"/>
        <v/>
      </c>
      <c r="M39" s="221" t="str">
        <f t="shared" si="6"/>
        <v/>
      </c>
      <c r="N39" s="221" t="str">
        <f t="shared" si="6"/>
        <v/>
      </c>
      <c r="O39" s="221" t="str">
        <f t="shared" si="6"/>
        <v/>
      </c>
      <c r="P39" s="221" t="str">
        <f t="shared" si="6"/>
        <v/>
      </c>
      <c r="Q39" s="221" t="str">
        <f t="shared" si="6"/>
        <v/>
      </c>
      <c r="R39" s="221" t="str">
        <f t="shared" si="6"/>
        <v/>
      </c>
      <c r="S39" s="221" t="str">
        <f t="shared" si="6"/>
        <v/>
      </c>
      <c r="T39" s="221" t="str">
        <f t="shared" si="6"/>
        <v/>
      </c>
      <c r="U39" s="44" t="str">
        <f t="shared" si="6"/>
        <v/>
      </c>
    </row>
    <row r="40" spans="1:55">
      <c r="A40" s="44"/>
      <c r="B40" s="28"/>
      <c r="C40" s="28"/>
      <c r="D40" s="28"/>
      <c r="E40" s="28"/>
      <c r="F40" s="45"/>
      <c r="G40" s="28"/>
      <c r="H40" s="183"/>
    </row>
    <row r="41" spans="1:55">
      <c r="A41" s="46"/>
      <c r="B41" s="47"/>
      <c r="C41" s="48"/>
      <c r="D41" s="49"/>
      <c r="E41" s="49"/>
      <c r="F41" s="262"/>
      <c r="G41" s="51"/>
      <c r="H41" s="183"/>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50" t="s">
        <v>4</v>
      </c>
      <c r="C1" s="350"/>
      <c r="D1" s="350"/>
      <c r="E1" s="350"/>
      <c r="F1" s="350"/>
    </row>
    <row r="2" spans="1:12">
      <c r="A2" s="104"/>
      <c r="B2" s="17"/>
      <c r="C2" s="17"/>
      <c r="D2" s="17"/>
      <c r="E2" s="17"/>
      <c r="F2" s="17"/>
    </row>
    <row r="3" spans="1:12" ht="15.6">
      <c r="B3" s="351" t="s">
        <v>6</v>
      </c>
      <c r="C3" s="351"/>
      <c r="D3" s="351"/>
      <c r="E3" s="351"/>
      <c r="F3" s="351"/>
    </row>
    <row r="4" spans="1:12" ht="15.6">
      <c r="B4" s="352" t="s">
        <v>58</v>
      </c>
      <c r="C4" s="352"/>
      <c r="D4" s="352"/>
      <c r="E4" s="352"/>
      <c r="F4" s="352"/>
      <c r="H4" s="239"/>
      <c r="L4" s="242"/>
    </row>
    <row r="5" spans="1:12">
      <c r="A5" s="105"/>
      <c r="B5" s="267">
        <f>'Pg 1 CofCap'!B5</f>
        <v>42551</v>
      </c>
      <c r="C5" s="267"/>
      <c r="D5" s="267"/>
      <c r="E5" s="267"/>
      <c r="F5" s="267"/>
      <c r="H5" s="239"/>
      <c r="L5" s="242"/>
    </row>
    <row r="6" spans="1:12">
      <c r="A6" s="18"/>
      <c r="C6" s="19"/>
      <c r="H6" s="239"/>
      <c r="L6" s="242"/>
    </row>
    <row r="7" spans="1:12" ht="17.399999999999999">
      <c r="A7" s="18"/>
      <c r="B7" s="519" t="s">
        <v>234</v>
      </c>
      <c r="C7" s="520"/>
      <c r="D7" s="520"/>
      <c r="E7" s="520"/>
      <c r="F7" s="521"/>
      <c r="H7" s="239"/>
      <c r="L7" s="242"/>
    </row>
    <row r="8" spans="1:12" ht="15.6">
      <c r="A8" s="18"/>
      <c r="B8" s="522" t="s">
        <v>235</v>
      </c>
      <c r="C8" s="523"/>
      <c r="D8" s="523"/>
      <c r="E8" s="523"/>
      <c r="F8" s="524"/>
      <c r="H8" s="239"/>
      <c r="L8" s="242"/>
    </row>
    <row r="9" spans="1:12">
      <c r="A9" s="194">
        <v>1</v>
      </c>
      <c r="B9" s="129" t="s">
        <v>5</v>
      </c>
      <c r="C9" s="129" t="s">
        <v>27</v>
      </c>
      <c r="D9" s="129" t="s">
        <v>52</v>
      </c>
      <c r="E9" s="129" t="s">
        <v>64</v>
      </c>
      <c r="F9" s="129" t="s">
        <v>65</v>
      </c>
      <c r="H9" s="239"/>
      <c r="L9" s="242"/>
    </row>
    <row r="10" spans="1:12">
      <c r="A10" s="194">
        <f t="shared" ref="A10:A24" si="0">+A9+1</f>
        <v>2</v>
      </c>
      <c r="B10" s="105"/>
      <c r="C10" s="105"/>
      <c r="D10" s="105"/>
      <c r="E10" s="105"/>
      <c r="F10" s="105"/>
      <c r="H10" s="239"/>
      <c r="L10" s="242"/>
    </row>
    <row r="11" spans="1:12">
      <c r="A11" s="194">
        <f t="shared" si="0"/>
        <v>3</v>
      </c>
      <c r="B11" s="106" t="s">
        <v>2</v>
      </c>
      <c r="C11" s="107"/>
      <c r="D11" s="107"/>
      <c r="E11" s="107"/>
      <c r="F11" s="107" t="s">
        <v>7</v>
      </c>
      <c r="H11" s="239"/>
      <c r="L11" s="242"/>
    </row>
    <row r="12" spans="1:12">
      <c r="A12" s="194">
        <f t="shared" si="0"/>
        <v>4</v>
      </c>
      <c r="B12" s="107"/>
      <c r="C12" s="108"/>
      <c r="D12" s="107"/>
      <c r="E12" s="107"/>
      <c r="F12" s="108" t="s">
        <v>8</v>
      </c>
      <c r="H12" s="239"/>
      <c r="L12" s="242"/>
    </row>
    <row r="13" spans="1:12">
      <c r="A13" s="194">
        <f t="shared" si="0"/>
        <v>5</v>
      </c>
      <c r="B13" s="109" t="s">
        <v>9</v>
      </c>
      <c r="C13" s="109" t="s">
        <v>79</v>
      </c>
      <c r="D13" s="109" t="s">
        <v>10</v>
      </c>
      <c r="E13" s="109" t="s">
        <v>11</v>
      </c>
      <c r="F13" s="109" t="s">
        <v>12</v>
      </c>
      <c r="H13" s="239"/>
      <c r="L13" s="242"/>
    </row>
    <row r="14" spans="1:12">
      <c r="A14" s="194">
        <f t="shared" si="0"/>
        <v>6</v>
      </c>
      <c r="B14" s="110"/>
      <c r="C14" s="110"/>
      <c r="D14" s="110"/>
      <c r="E14" s="110"/>
      <c r="F14" s="110"/>
      <c r="H14" s="239"/>
      <c r="L14" s="242"/>
    </row>
    <row r="15" spans="1:12">
      <c r="A15" s="194">
        <f t="shared" si="0"/>
        <v>7</v>
      </c>
      <c r="B15" s="111" t="s">
        <v>13</v>
      </c>
      <c r="C15" s="167">
        <f>'Pg 1 CofCap'!C14</f>
        <v>45875333</v>
      </c>
      <c r="D15" s="569">
        <f>'Pg 1 CofCap'!D14</f>
        <v>6.1999999999999998E-3</v>
      </c>
      <c r="E15" s="357" t="e">
        <f>'A2  STD Cost Rate-Prior Fac'!F23</f>
        <v>#REF!</v>
      </c>
      <c r="F15" s="182" t="e">
        <f>ROUND(D15*E15,5)</f>
        <v>#REF!</v>
      </c>
      <c r="L15" s="239"/>
    </row>
    <row r="16" spans="1:12">
      <c r="A16" s="194">
        <f t="shared" si="0"/>
        <v>8</v>
      </c>
      <c r="B16" s="110"/>
      <c r="C16" s="169"/>
      <c r="D16" s="182"/>
      <c r="E16" s="168"/>
      <c r="F16" s="182"/>
      <c r="L16" s="239"/>
    </row>
    <row r="17" spans="1:12">
      <c r="A17" s="194">
        <f t="shared" si="0"/>
        <v>9</v>
      </c>
      <c r="B17" s="111" t="s">
        <v>14</v>
      </c>
      <c r="C17" s="169">
        <f>'Pg 1 CofCap'!C16</f>
        <v>3766017117</v>
      </c>
      <c r="D17" s="525">
        <f>'Pg 1 CofCap'!D16</f>
        <v>0.50619999999999998</v>
      </c>
      <c r="E17" s="170">
        <f>'Pg 1 CofCap'!E16</f>
        <v>5.9499999999999997E-2</v>
      </c>
      <c r="F17" s="182">
        <f>ROUND(D17*E17,5)</f>
        <v>3.0120000000000001E-2</v>
      </c>
      <c r="L17" s="239"/>
    </row>
    <row r="18" spans="1:12">
      <c r="A18" s="194">
        <f t="shared" si="0"/>
        <v>10</v>
      </c>
      <c r="B18" s="112"/>
      <c r="C18" s="169"/>
      <c r="D18" s="182"/>
      <c r="E18" s="172"/>
      <c r="F18" s="365"/>
      <c r="H18" s="526"/>
      <c r="I18" s="526"/>
      <c r="J18" s="526"/>
      <c r="K18" s="526"/>
      <c r="L18" s="526"/>
    </row>
    <row r="19" spans="1:12">
      <c r="A19" s="194">
        <f t="shared" si="0"/>
        <v>11</v>
      </c>
      <c r="B19" s="111" t="s">
        <v>15</v>
      </c>
      <c r="C19" s="173">
        <f>'Pg 1 CofCap'!C18</f>
        <v>3627618353</v>
      </c>
      <c r="D19" s="343">
        <f>'Pg 1 CofCap'!D18</f>
        <v>0.48759999999999998</v>
      </c>
      <c r="E19" s="527">
        <f>'Pg 1 CofCap'!E18</f>
        <v>9.8000000000000004E-2</v>
      </c>
      <c r="F19" s="366">
        <f>ROUND(D19*E19,5)</f>
        <v>4.7780000000000003E-2</v>
      </c>
      <c r="H19" s="253"/>
      <c r="I19" s="253"/>
      <c r="J19" s="254"/>
      <c r="K19" s="255"/>
      <c r="L19" s="170"/>
    </row>
    <row r="20" spans="1:12">
      <c r="A20" s="194">
        <f t="shared" si="0"/>
        <v>12</v>
      </c>
      <c r="B20" s="112"/>
      <c r="C20" s="170"/>
      <c r="D20" s="174"/>
      <c r="E20" s="175"/>
      <c r="F20" s="170"/>
      <c r="H20" s="253"/>
      <c r="I20" s="253"/>
      <c r="J20" s="254"/>
      <c r="K20" s="255"/>
      <c r="L20" s="170"/>
    </row>
    <row r="21" spans="1:12">
      <c r="A21" s="194">
        <f t="shared" si="0"/>
        <v>13</v>
      </c>
      <c r="B21" s="111" t="s">
        <v>16</v>
      </c>
      <c r="C21" s="176">
        <f>ROUND(SUM(C15:C19),2)</f>
        <v>7439510803</v>
      </c>
      <c r="D21" s="245">
        <f>SUM(D15:D19)</f>
        <v>1</v>
      </c>
      <c r="E21" s="177"/>
      <c r="F21" s="228" t="e">
        <f>ROUND(SUM(F15:F19),5)</f>
        <v>#REF!</v>
      </c>
      <c r="H21" s="113"/>
      <c r="I21" s="113"/>
      <c r="J21" s="254"/>
      <c r="K21" s="170"/>
      <c r="L21" s="256"/>
    </row>
    <row r="22" spans="1:12">
      <c r="A22" s="194">
        <f t="shared" si="0"/>
        <v>14</v>
      </c>
      <c r="B22" s="105"/>
      <c r="C22" s="113"/>
      <c r="D22" s="113"/>
      <c r="E22" s="113"/>
      <c r="F22" s="113"/>
      <c r="H22" s="105"/>
      <c r="I22" s="105"/>
      <c r="J22" s="105"/>
    </row>
    <row r="23" spans="1:12">
      <c r="A23" s="194">
        <f t="shared" si="0"/>
        <v>15</v>
      </c>
      <c r="B23" s="105"/>
      <c r="C23" s="105"/>
      <c r="D23" s="105"/>
      <c r="E23" s="141"/>
      <c r="F23" s="105"/>
    </row>
    <row r="24" spans="1:12">
      <c r="A24" s="194">
        <f t="shared" si="0"/>
        <v>16</v>
      </c>
      <c r="B24" s="111" t="s">
        <v>236</v>
      </c>
      <c r="C24" s="105"/>
      <c r="D24" s="105"/>
      <c r="E24" s="105"/>
      <c r="F24" s="105"/>
      <c r="G24" s="243"/>
    </row>
    <row r="25" spans="1:12">
      <c r="A25" s="15"/>
      <c r="B25" s="105"/>
      <c r="C25" s="105"/>
      <c r="D25" s="105"/>
      <c r="E25" s="105"/>
      <c r="F25" s="105"/>
    </row>
    <row r="26" spans="1:12">
      <c r="A26" s="15"/>
      <c r="B26" s="105"/>
      <c r="C26" s="169"/>
      <c r="D26" s="105"/>
      <c r="E26" s="105"/>
      <c r="F26" s="105"/>
    </row>
    <row r="27" spans="1:12">
      <c r="A27" s="15"/>
      <c r="B27" s="105"/>
      <c r="C27" s="169"/>
      <c r="D27" s="105"/>
      <c r="E27" s="105"/>
      <c r="F27" s="105"/>
    </row>
    <row r="28" spans="1:12">
      <c r="A28" s="15"/>
      <c r="B28" s="105"/>
      <c r="C28" s="169"/>
      <c r="D28" s="105"/>
      <c r="E28" s="105"/>
      <c r="F28" s="105"/>
    </row>
    <row r="29" spans="1:12">
      <c r="A29" s="15"/>
      <c r="B29" s="105"/>
      <c r="D29" s="105"/>
      <c r="E29" s="105"/>
      <c r="F29" s="105"/>
    </row>
    <row r="30" spans="1:12">
      <c r="A30" s="15"/>
      <c r="B30" s="105"/>
      <c r="C30" s="195"/>
      <c r="D30" s="105"/>
      <c r="E30" s="105"/>
      <c r="F30" s="105"/>
    </row>
    <row r="31" spans="1:12">
      <c r="A31" s="15"/>
      <c r="B31" s="105"/>
      <c r="C31" s="105"/>
      <c r="D31" s="105"/>
      <c r="E31" s="105"/>
      <c r="F31" s="105"/>
    </row>
    <row r="32" spans="1:12">
      <c r="A32" s="15"/>
      <c r="B32" s="105"/>
      <c r="C32" s="105"/>
      <c r="D32" s="105"/>
      <c r="E32" s="105"/>
      <c r="F32" s="105"/>
    </row>
    <row r="33" spans="2:6">
      <c r="B33" s="105"/>
      <c r="C33" s="105"/>
      <c r="D33" s="105"/>
      <c r="E33" s="105"/>
      <c r="F33" s="105"/>
    </row>
    <row r="34" spans="2:6">
      <c r="B34" s="105"/>
      <c r="C34" s="105"/>
      <c r="D34" s="105"/>
      <c r="E34" s="105"/>
      <c r="F34" s="105"/>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4"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42578125" defaultRowHeight="13.2"/>
  <cols>
    <col min="1" max="1" width="8.28515625" style="5" customWidth="1"/>
    <col min="2" max="2" width="46" style="5" customWidth="1"/>
    <col min="3" max="3" width="15.8554687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ht="21">
      <c r="B1" s="528" t="s">
        <v>237</v>
      </c>
      <c r="C1" s="528"/>
      <c r="D1" s="528"/>
      <c r="E1" s="528"/>
      <c r="F1" s="528"/>
      <c r="G1" s="529"/>
    </row>
    <row r="2" spans="1:8">
      <c r="A2" s="3" t="s">
        <v>2</v>
      </c>
      <c r="B2" s="4"/>
      <c r="C2" s="4"/>
      <c r="D2" s="4"/>
      <c r="E2" s="4"/>
      <c r="F2" s="4"/>
      <c r="G2" s="4"/>
      <c r="H2" s="4"/>
    </row>
    <row r="3" spans="1:8" ht="16.2">
      <c r="A3" s="34"/>
      <c r="B3" s="340" t="s">
        <v>25</v>
      </c>
      <c r="C3" s="202"/>
      <c r="D3" s="202"/>
      <c r="E3" s="202"/>
      <c r="F3" s="202"/>
    </row>
    <row r="4" spans="1:8" ht="16.2">
      <c r="A4" s="34"/>
      <c r="B4" s="340" t="s">
        <v>37</v>
      </c>
      <c r="C4" s="202"/>
      <c r="D4" s="202"/>
      <c r="E4" s="202"/>
      <c r="F4" s="202"/>
    </row>
    <row r="5" spans="1:8" ht="15.75" customHeight="1">
      <c r="B5" s="341">
        <f>'Pg 1 CofCap'!B5</f>
        <v>42551</v>
      </c>
      <c r="C5" s="203"/>
      <c r="D5" s="203"/>
      <c r="E5" s="203"/>
      <c r="F5" s="203"/>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37676196.729999997</v>
      </c>
      <c r="D13" s="212">
        <f>IF(E13=0,"NA",(E13/C13))</f>
        <v>6.207596580834608E-3</v>
      </c>
      <c r="E13" s="76">
        <f>'A3  STD Int &amp; Fees-Prior Fac'!D11</f>
        <v>233878.63</v>
      </c>
      <c r="F13" s="74"/>
      <c r="G13" s="75"/>
    </row>
    <row r="14" spans="1:8">
      <c r="A14" s="3">
        <f t="shared" si="0"/>
        <v>7</v>
      </c>
      <c r="B14" s="67" t="s">
        <v>115</v>
      </c>
      <c r="C14" s="76">
        <f>'A3  STD Int &amp; Fees-Prior Fac'!C12</f>
        <v>0</v>
      </c>
      <c r="D14" s="212" t="e">
        <f>IF(E14=0,"NA",(E14/C14))</f>
        <v>#REF!</v>
      </c>
      <c r="E14" s="76" t="e">
        <f>'A3  STD Int &amp; Fees-Prior Fac'!D12</f>
        <v>#REF!</v>
      </c>
      <c r="F14" s="74"/>
      <c r="G14" s="75"/>
    </row>
    <row r="15" spans="1:8">
      <c r="A15" s="3">
        <f t="shared" si="0"/>
        <v>8</v>
      </c>
      <c r="B15" s="67" t="s">
        <v>149</v>
      </c>
      <c r="C15" s="76" t="e">
        <f>'A3  STD Int &amp; Fees-Prior Fac'!C13</f>
        <v>#REF!</v>
      </c>
      <c r="D15" s="212" t="e">
        <f>IF(E15=0,"NA",(E15/C15))</f>
        <v>#REF!</v>
      </c>
      <c r="E15" s="76" t="e">
        <f>'A3  STD Int &amp; Fees-Prior Fac'!D13</f>
        <v>#REF!</v>
      </c>
      <c r="F15" s="74"/>
      <c r="G15" s="75"/>
    </row>
    <row r="16" spans="1:8">
      <c r="A16" s="3">
        <f t="shared" si="0"/>
        <v>9</v>
      </c>
      <c r="B16" s="67" t="s">
        <v>150</v>
      </c>
      <c r="C16" s="76" t="e">
        <f>'A3  STD Int &amp; Fees-Prior Fac'!C14</f>
        <v>#REF!</v>
      </c>
      <c r="D16" s="212" t="e">
        <f>IF(E16=0,"NA",(E16/C16))</f>
        <v>#REF!</v>
      </c>
      <c r="E16" s="76" t="e">
        <f>'A3  STD Int &amp; Fees-Prior Fac'!D14</f>
        <v>#REF!</v>
      </c>
      <c r="F16" s="74"/>
      <c r="G16" s="75"/>
    </row>
    <row r="17" spans="1:7">
      <c r="A17" s="3">
        <f t="shared" si="0"/>
        <v>10</v>
      </c>
      <c r="B17" s="333" t="s">
        <v>157</v>
      </c>
      <c r="C17" s="335" t="e">
        <f>SUM(C13:C16)</f>
        <v>#REF!</v>
      </c>
      <c r="D17" s="336" t="e">
        <f>IF(E17=0,"NA",(E17/C17))</f>
        <v>#REF!</v>
      </c>
      <c r="E17" s="334" t="e">
        <f>SUM(E13:E16)</f>
        <v>#REF!</v>
      </c>
      <c r="F17" s="74"/>
      <c r="G17" s="75"/>
    </row>
    <row r="18" spans="1:7">
      <c r="A18" s="3">
        <f t="shared" si="0"/>
        <v>11</v>
      </c>
      <c r="B18" s="67"/>
      <c r="C18" s="86"/>
      <c r="D18" s="213"/>
      <c r="E18" s="77"/>
      <c r="F18" s="67"/>
      <c r="G18" s="75"/>
    </row>
    <row r="19" spans="1:7">
      <c r="A19" s="3">
        <f t="shared" si="0"/>
        <v>12</v>
      </c>
      <c r="B19" s="71" t="s">
        <v>54</v>
      </c>
      <c r="C19" s="87"/>
      <c r="D19" s="88"/>
      <c r="E19" s="356" t="e">
        <f>'A3  STD Int &amp; Fees-Prior Fac'!H16</f>
        <v>#REF!</v>
      </c>
      <c r="F19" s="192" t="s">
        <v>77</v>
      </c>
      <c r="G19" s="75"/>
    </row>
    <row r="20" spans="1:7">
      <c r="A20" s="3">
        <f t="shared" si="0"/>
        <v>13</v>
      </c>
      <c r="B20" s="71"/>
      <c r="C20" s="78"/>
      <c r="D20" s="79"/>
      <c r="E20" s="83"/>
      <c r="F20" s="74"/>
      <c r="G20" s="75"/>
    </row>
    <row r="21" spans="1:7">
      <c r="A21" s="3">
        <f t="shared" si="0"/>
        <v>14</v>
      </c>
      <c r="B21" s="71" t="s">
        <v>55</v>
      </c>
      <c r="C21" s="78"/>
      <c r="D21" s="79"/>
      <c r="E21" s="356">
        <f>-'A4  STD Amort-Prior Fac'!E25</f>
        <v>293659.07999999996</v>
      </c>
      <c r="F21" s="192" t="s">
        <v>98</v>
      </c>
      <c r="G21" s="75"/>
    </row>
    <row r="22" spans="1:7" ht="13.8" thickBot="1">
      <c r="A22" s="3">
        <f t="shared" si="0"/>
        <v>15</v>
      </c>
      <c r="B22" s="67"/>
      <c r="C22" s="77"/>
      <c r="D22" s="76"/>
      <c r="E22" s="84"/>
      <c r="G22" s="67"/>
    </row>
    <row r="23" spans="1:7" ht="13.8" thickBot="1">
      <c r="A23" s="3">
        <f t="shared" si="0"/>
        <v>16</v>
      </c>
      <c r="B23" s="80" t="s">
        <v>39</v>
      </c>
      <c r="C23" s="81" t="e">
        <f>C17</f>
        <v>#REF!</v>
      </c>
      <c r="D23" s="82"/>
      <c r="E23" s="81" t="e">
        <f>SUM(E17:E22)</f>
        <v>#REF!</v>
      </c>
      <c r="F23" s="217"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2" t="s">
        <v>176</v>
      </c>
      <c r="C26" s="530"/>
      <c r="D26" s="530"/>
      <c r="E26" s="530"/>
      <c r="F26" s="71"/>
      <c r="G26" s="10"/>
    </row>
    <row r="27" spans="1:7">
      <c r="A27" s="3">
        <f t="shared" si="0"/>
        <v>20</v>
      </c>
      <c r="B27" s="132" t="s">
        <v>238</v>
      </c>
      <c r="C27" s="530"/>
      <c r="D27" s="530"/>
      <c r="E27" s="530"/>
      <c r="F27" s="71"/>
      <c r="G27" s="10"/>
    </row>
    <row r="28" spans="1:7">
      <c r="A28" s="3">
        <f t="shared" si="0"/>
        <v>21</v>
      </c>
      <c r="B28" s="132" t="s">
        <v>239</v>
      </c>
      <c r="C28" s="71"/>
      <c r="D28" s="71"/>
      <c r="E28" s="71"/>
      <c r="F28" s="71"/>
      <c r="G28" s="10"/>
    </row>
    <row r="29" spans="1:7">
      <c r="A29" s="3"/>
      <c r="B29" s="132"/>
      <c r="E29" s="10"/>
      <c r="F29" s="9"/>
      <c r="G29" s="10"/>
    </row>
    <row r="30" spans="1:7">
      <c r="A30" s="3"/>
      <c r="B30" s="132"/>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0.199999999999999"/>
  <cols>
    <col min="1" max="1" width="5.140625" customWidth="1"/>
    <col min="2" max="2" width="24.7109375" customWidth="1"/>
    <col min="3" max="3" width="16.140625" customWidth="1"/>
    <col min="4" max="4" width="15.140625" customWidth="1"/>
    <col min="5" max="5" width="11.85546875" customWidth="1"/>
    <col min="6" max="6" width="15" customWidth="1"/>
    <col min="7" max="7" width="14.28515625" customWidth="1"/>
    <col min="8" max="8" width="14.85546875" customWidth="1"/>
    <col min="9" max="10" width="12.85546875" customWidth="1"/>
    <col min="11" max="11" width="5.85546875" customWidth="1"/>
    <col min="12" max="12" width="8.42578125" customWidth="1"/>
    <col min="13" max="13" width="10" customWidth="1"/>
    <col min="14" max="14" width="11.140625" customWidth="1"/>
    <col min="15" max="15" width="11.42578125" customWidth="1"/>
  </cols>
  <sheetData>
    <row r="1" spans="1:15" ht="20.399999999999999">
      <c r="A1" s="35"/>
      <c r="B1" s="36" t="s">
        <v>46</v>
      </c>
      <c r="C1" s="36"/>
      <c r="D1" s="35"/>
      <c r="E1" s="531" t="s">
        <v>237</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3.2">
      <c r="A3" s="35"/>
      <c r="B3" s="267">
        <f>'Pg 1 CofCap'!B5</f>
        <v>42551</v>
      </c>
      <c r="C3" s="258"/>
      <c r="D3" s="259"/>
      <c r="E3" s="259"/>
      <c r="F3" s="259"/>
      <c r="G3" s="260"/>
      <c r="H3" s="260"/>
      <c r="I3" s="260"/>
      <c r="J3" s="260"/>
      <c r="K3" s="35"/>
      <c r="L3" s="35"/>
      <c r="N3" s="35"/>
      <c r="O3" s="35"/>
    </row>
    <row r="4" spans="1:15" ht="12">
      <c r="A4" s="35"/>
      <c r="B4" s="36"/>
      <c r="C4" s="43"/>
      <c r="D4" s="35"/>
      <c r="E4" s="35"/>
      <c r="F4" s="35"/>
      <c r="G4" s="35"/>
      <c r="H4" s="35"/>
      <c r="I4" s="35"/>
      <c r="J4" s="35"/>
      <c r="K4" s="35"/>
      <c r="L4" s="35"/>
      <c r="N4" s="35"/>
      <c r="O4" s="35"/>
    </row>
    <row r="5" spans="1:15" ht="13.8" thickBot="1">
      <c r="A5" s="193">
        <v>1</v>
      </c>
      <c r="B5" s="358" t="s">
        <v>5</v>
      </c>
      <c r="C5" s="358" t="s">
        <v>27</v>
      </c>
      <c r="D5" s="358" t="s">
        <v>52</v>
      </c>
      <c r="E5" s="358" t="s">
        <v>64</v>
      </c>
      <c r="F5" s="358" t="s">
        <v>65</v>
      </c>
      <c r="G5" s="358" t="s">
        <v>66</v>
      </c>
      <c r="H5" s="358" t="s">
        <v>67</v>
      </c>
      <c r="I5" s="358" t="s">
        <v>68</v>
      </c>
      <c r="J5" s="358" t="s">
        <v>69</v>
      </c>
      <c r="K5" s="69"/>
      <c r="L5" s="69"/>
      <c r="N5" s="35"/>
      <c r="O5" s="35"/>
    </row>
    <row r="6" spans="1:15" ht="12">
      <c r="A6" s="193">
        <f t="shared" ref="A6:A40" si="0">+A5+1</f>
        <v>2</v>
      </c>
      <c r="B6" s="359" t="s">
        <v>121</v>
      </c>
      <c r="C6" s="360"/>
      <c r="D6" s="360"/>
      <c r="E6" s="360"/>
      <c r="F6" s="360"/>
      <c r="G6" s="360"/>
      <c r="H6" s="151"/>
      <c r="I6" s="151"/>
      <c r="J6" s="151"/>
      <c r="K6" s="361"/>
      <c r="M6" s="35"/>
      <c r="N6" s="35"/>
      <c r="O6" s="35"/>
    </row>
    <row r="7" spans="1:15" ht="12">
      <c r="A7" s="193">
        <f t="shared" si="0"/>
        <v>3</v>
      </c>
      <c r="B7" s="532"/>
      <c r="C7" s="207"/>
      <c r="D7" s="207"/>
      <c r="E7" s="207"/>
      <c r="F7" s="207"/>
      <c r="G7" s="207"/>
      <c r="H7" s="89"/>
      <c r="I7" s="89"/>
      <c r="J7" s="89"/>
      <c r="K7" s="153"/>
      <c r="M7" s="35"/>
      <c r="N7" s="35"/>
      <c r="O7" s="35"/>
    </row>
    <row r="8" spans="1:15" ht="12">
      <c r="A8" s="193">
        <f t="shared" si="0"/>
        <v>4</v>
      </c>
      <c r="B8" s="206"/>
      <c r="C8" s="207"/>
      <c r="D8" s="393" t="s">
        <v>240</v>
      </c>
      <c r="E8" s="214" t="s">
        <v>241</v>
      </c>
      <c r="F8" s="214" t="s">
        <v>242</v>
      </c>
      <c r="G8" s="394" t="s">
        <v>240</v>
      </c>
      <c r="H8" s="38"/>
      <c r="I8" s="38"/>
      <c r="J8" s="38"/>
      <c r="K8" s="362" t="s">
        <v>2</v>
      </c>
      <c r="L8" s="35"/>
      <c r="M8" s="276"/>
      <c r="N8" s="35"/>
      <c r="O8" s="35"/>
    </row>
    <row r="9" spans="1:15" ht="11.4">
      <c r="A9" s="193">
        <f t="shared" si="0"/>
        <v>5</v>
      </c>
      <c r="B9" s="206"/>
      <c r="C9" s="214" t="s">
        <v>50</v>
      </c>
      <c r="D9" s="214" t="s">
        <v>114</v>
      </c>
      <c r="E9" s="214" t="s">
        <v>50</v>
      </c>
      <c r="F9" s="214" t="s">
        <v>243</v>
      </c>
      <c r="G9" s="214" t="s">
        <v>50</v>
      </c>
      <c r="H9" s="214" t="s">
        <v>131</v>
      </c>
      <c r="I9" s="38"/>
      <c r="J9" s="38"/>
      <c r="K9" s="362"/>
      <c r="L9" s="205"/>
      <c r="M9" s="35"/>
      <c r="N9" s="35"/>
      <c r="O9" s="35"/>
    </row>
    <row r="10" spans="1:15" ht="11.4">
      <c r="A10" s="193">
        <f t="shared" si="0"/>
        <v>6</v>
      </c>
      <c r="B10" s="206"/>
      <c r="C10" s="215" t="s">
        <v>151</v>
      </c>
      <c r="D10" s="215" t="s">
        <v>38</v>
      </c>
      <c r="E10" s="215" t="s">
        <v>99</v>
      </c>
      <c r="F10" s="215" t="s">
        <v>252</v>
      </c>
      <c r="G10" s="215" t="s">
        <v>99</v>
      </c>
      <c r="H10" s="215" t="s">
        <v>152</v>
      </c>
      <c r="I10" s="40"/>
      <c r="J10" s="38"/>
      <c r="K10" s="362"/>
      <c r="L10" s="205"/>
      <c r="M10" s="240"/>
      <c r="N10" s="35"/>
      <c r="O10" s="35"/>
    </row>
    <row r="11" spans="1:15" ht="11.4">
      <c r="A11" s="193">
        <f t="shared" si="0"/>
        <v>7</v>
      </c>
      <c r="B11" s="206" t="s">
        <v>36</v>
      </c>
      <c r="C11" s="261">
        <f>'Pg 4 STD OS &amp; Comm Fees'!C11</f>
        <v>37676196.729999997</v>
      </c>
      <c r="D11" s="261">
        <f>G11*C11</f>
        <v>233878.63</v>
      </c>
      <c r="E11" s="269">
        <f>'Pg 4 STD OS &amp; Comm Fees'!E11</f>
        <v>6.207596580834608E-3</v>
      </c>
      <c r="F11" s="269">
        <v>0</v>
      </c>
      <c r="G11" s="269">
        <f>SUM(E11:F11)</f>
        <v>6.207596580834608E-3</v>
      </c>
      <c r="H11" s="533">
        <v>0</v>
      </c>
      <c r="I11" s="353"/>
      <c r="J11" s="38"/>
      <c r="K11" s="362"/>
      <c r="L11" s="35"/>
      <c r="M11" s="204"/>
      <c r="N11" s="35"/>
      <c r="O11" s="35"/>
    </row>
    <row r="12" spans="1:15" ht="11.4">
      <c r="A12" s="193">
        <f t="shared" si="0"/>
        <v>8</v>
      </c>
      <c r="B12" s="206" t="s">
        <v>115</v>
      </c>
      <c r="C12" s="261">
        <f>'Pg 4 STD OS &amp; Comm Fees'!C12</f>
        <v>0</v>
      </c>
      <c r="D12" s="261" t="e">
        <f>G12*C12</f>
        <v>#REF!</v>
      </c>
      <c r="E12" s="269" t="str">
        <f>'Pg 4 STD OS &amp; Comm Fees'!E12</f>
        <v>NA</v>
      </c>
      <c r="F12" s="269">
        <v>0</v>
      </c>
      <c r="G12" s="269" t="e">
        <f>(D11+D13+D14)/(C11+C13+C14)</f>
        <v>#REF!</v>
      </c>
      <c r="H12" s="533">
        <v>0</v>
      </c>
      <c r="I12" s="353"/>
      <c r="J12" s="38"/>
      <c r="K12" s="362"/>
      <c r="L12" s="35"/>
      <c r="M12" s="204"/>
      <c r="N12" s="35"/>
      <c r="O12" s="35"/>
    </row>
    <row r="13" spans="1:15" ht="11.4">
      <c r="A13" s="193">
        <f t="shared" si="0"/>
        <v>9</v>
      </c>
      <c r="B13" s="206" t="s">
        <v>244</v>
      </c>
      <c r="C13" s="261" t="e">
        <f>'Pg 4 STD OS &amp; Comm Fees'!#REF!</f>
        <v>#REF!</v>
      </c>
      <c r="D13" s="261" t="e">
        <f>G13*C13</f>
        <v>#REF!</v>
      </c>
      <c r="E13" s="269" t="e">
        <f>'Pg 4 STD OS &amp; Comm Fees'!#REF!</f>
        <v>#REF!</v>
      </c>
      <c r="F13" s="269">
        <f>$C$38</f>
        <v>-3.2500000000000003E-3</v>
      </c>
      <c r="G13" s="269" t="e">
        <f>SUM(E13:F13)</f>
        <v>#REF!</v>
      </c>
      <c r="H13" s="211" t="e">
        <f>J23</f>
        <v>#REF!</v>
      </c>
      <c r="I13" s="353"/>
      <c r="J13" s="38"/>
      <c r="K13" s="362"/>
      <c r="L13" s="35"/>
      <c r="M13" s="204"/>
      <c r="N13" s="35"/>
      <c r="O13" s="35"/>
    </row>
    <row r="14" spans="1:15" ht="11.4">
      <c r="A14" s="193">
        <f t="shared" si="0"/>
        <v>10</v>
      </c>
      <c r="B14" s="206" t="s">
        <v>244</v>
      </c>
      <c r="C14" s="261" t="e">
        <f>'Pg 4 STD OS &amp; Comm Fees'!#REF!</f>
        <v>#REF!</v>
      </c>
      <c r="D14" s="261" t="e">
        <f>G14*C14</f>
        <v>#REF!</v>
      </c>
      <c r="E14" s="269" t="e">
        <f>'Pg 4 STD OS &amp; Comm Fees'!#REF!</f>
        <v>#REF!</v>
      </c>
      <c r="F14" s="269">
        <f>$C$38</f>
        <v>-3.2500000000000003E-3</v>
      </c>
      <c r="G14" s="269" t="e">
        <f>SUM(E14:F14)</f>
        <v>#REF!</v>
      </c>
      <c r="H14" s="211">
        <f>J24</f>
        <v>253472.22222200001</v>
      </c>
      <c r="I14" s="353"/>
      <c r="J14" s="38"/>
      <c r="K14" s="362"/>
      <c r="L14" s="35"/>
      <c r="M14" s="204"/>
      <c r="N14" s="35"/>
      <c r="O14" s="35"/>
    </row>
    <row r="15" spans="1:15" ht="11.4">
      <c r="A15" s="193">
        <f t="shared" si="0"/>
        <v>11</v>
      </c>
      <c r="B15" s="206" t="s">
        <v>159</v>
      </c>
      <c r="C15" s="261"/>
      <c r="D15" s="261"/>
      <c r="E15" s="269"/>
      <c r="F15" s="269"/>
      <c r="G15" s="269"/>
      <c r="H15" s="211">
        <f>J30</f>
        <v>25504.262965277772</v>
      </c>
      <c r="I15" s="353"/>
      <c r="J15" s="38"/>
      <c r="K15" s="362"/>
      <c r="L15" s="35"/>
      <c r="M15" s="204"/>
      <c r="N15" s="35"/>
      <c r="O15" s="35"/>
    </row>
    <row r="16" spans="1:15" ht="12">
      <c r="A16" s="193">
        <f t="shared" si="0"/>
        <v>12</v>
      </c>
      <c r="B16" s="338" t="s">
        <v>163</v>
      </c>
      <c r="C16" s="534" t="e">
        <f>SUM(C11:C15)</f>
        <v>#REF!</v>
      </c>
      <c r="D16" s="536" t="e">
        <f>SUM(D11:D15)</f>
        <v>#REF!</v>
      </c>
      <c r="E16" s="535">
        <v>1.1564749125603244E-2</v>
      </c>
      <c r="F16" s="269"/>
      <c r="G16" s="535" t="e">
        <f>D16/C16</f>
        <v>#REF!</v>
      </c>
      <c r="H16" s="536" t="e">
        <f>SUM(H11:H15)</f>
        <v>#REF!</v>
      </c>
      <c r="I16" s="38"/>
      <c r="J16" s="38"/>
      <c r="K16" s="362"/>
      <c r="L16" s="35"/>
      <c r="M16" s="35"/>
      <c r="N16" s="35"/>
      <c r="O16" s="35"/>
    </row>
    <row r="17" spans="1:15" ht="11.4">
      <c r="A17" s="193">
        <f t="shared" si="0"/>
        <v>13</v>
      </c>
      <c r="B17" s="206"/>
      <c r="C17" s="208"/>
      <c r="D17" s="209"/>
      <c r="E17" s="207"/>
      <c r="F17" s="208"/>
      <c r="G17" s="38"/>
      <c r="H17" s="38"/>
      <c r="I17" s="38"/>
      <c r="J17" s="38"/>
      <c r="K17" s="362"/>
      <c r="L17" s="35"/>
      <c r="M17" s="35"/>
      <c r="N17" s="35"/>
      <c r="O17" s="35"/>
    </row>
    <row r="18" spans="1:15" ht="12" thickBot="1">
      <c r="A18" s="193">
        <f t="shared" si="0"/>
        <v>14</v>
      </c>
      <c r="B18" s="355"/>
      <c r="C18" s="210"/>
      <c r="D18" s="210"/>
      <c r="E18" s="210"/>
      <c r="F18" s="210"/>
      <c r="G18" s="363"/>
      <c r="H18" s="363"/>
      <c r="I18" s="363"/>
      <c r="J18" s="363"/>
      <c r="K18" s="364"/>
      <c r="L18" s="38"/>
      <c r="M18" s="35"/>
      <c r="N18" s="35"/>
      <c r="O18" s="35"/>
    </row>
    <row r="19" spans="1:15" ht="12">
      <c r="A19" s="193">
        <f t="shared" si="0"/>
        <v>15</v>
      </c>
      <c r="B19" s="597" t="s">
        <v>97</v>
      </c>
      <c r="C19" s="598"/>
      <c r="D19" s="151"/>
      <c r="E19" s="151"/>
      <c r="F19" s="151"/>
      <c r="G19" s="151"/>
      <c r="H19" s="185"/>
      <c r="I19" s="185"/>
      <c r="J19" s="185"/>
      <c r="K19" s="148"/>
      <c r="L19" s="38" t="s">
        <v>2</v>
      </c>
      <c r="M19" s="35"/>
      <c r="N19" s="35"/>
      <c r="O19" s="35"/>
    </row>
    <row r="20" spans="1:15" ht="12">
      <c r="A20" s="193">
        <f t="shared" si="0"/>
        <v>16</v>
      </c>
      <c r="B20" s="595" t="s">
        <v>106</v>
      </c>
      <c r="C20" s="596"/>
      <c r="D20" s="38"/>
      <c r="E20" s="38"/>
      <c r="F20" s="38"/>
      <c r="G20" s="241" t="s">
        <v>156</v>
      </c>
      <c r="H20" s="241" t="s">
        <v>156</v>
      </c>
      <c r="I20" s="42"/>
      <c r="J20" s="42"/>
      <c r="K20" s="153"/>
      <c r="L20" s="38"/>
      <c r="M20" s="35"/>
      <c r="N20" s="35"/>
      <c r="O20" s="35"/>
    </row>
    <row r="21" spans="1:15" ht="12">
      <c r="A21" s="193">
        <f t="shared" si="0"/>
        <v>17</v>
      </c>
      <c r="B21" s="186"/>
      <c r="C21" s="184"/>
      <c r="D21" s="38"/>
      <c r="E21" s="38"/>
      <c r="F21" s="38"/>
      <c r="G21" s="220" t="s">
        <v>154</v>
      </c>
      <c r="H21" s="220" t="s">
        <v>155</v>
      </c>
      <c r="I21" s="42"/>
      <c r="J21" s="42"/>
      <c r="K21" s="153"/>
      <c r="L21" s="38"/>
      <c r="M21" s="35"/>
      <c r="N21" s="35"/>
      <c r="O21" s="35"/>
    </row>
    <row r="22" spans="1:15" ht="11.4">
      <c r="A22" s="193">
        <f t="shared" si="0"/>
        <v>18</v>
      </c>
      <c r="B22" s="537" t="s">
        <v>245</v>
      </c>
      <c r="C22" s="39" t="s">
        <v>48</v>
      </c>
      <c r="D22" s="39" t="s">
        <v>49</v>
      </c>
      <c r="E22" s="40" t="s">
        <v>51</v>
      </c>
      <c r="F22" s="40" t="s">
        <v>131</v>
      </c>
      <c r="G22" s="40" t="s">
        <v>153</v>
      </c>
      <c r="H22" s="40" t="s">
        <v>131</v>
      </c>
      <c r="I22" s="40" t="s">
        <v>60</v>
      </c>
      <c r="J22" s="40" t="s">
        <v>61</v>
      </c>
      <c r="K22" s="187"/>
      <c r="L22" s="38"/>
      <c r="M22" s="35"/>
      <c r="N22" s="35"/>
      <c r="O22" s="35"/>
    </row>
    <row r="23" spans="1:15" ht="11.4">
      <c r="A23" s="193">
        <f t="shared" si="0"/>
        <v>19</v>
      </c>
      <c r="B23" s="206" t="s">
        <v>246</v>
      </c>
      <c r="C23" s="538">
        <v>40178</v>
      </c>
      <c r="D23" s="538">
        <v>40543</v>
      </c>
      <c r="E23" s="354">
        <f>D23-C23</f>
        <v>365</v>
      </c>
      <c r="F23" s="539">
        <v>500000000</v>
      </c>
      <c r="G23" s="261" t="e">
        <f>(C13+C14)/2</f>
        <v>#REF!</v>
      </c>
      <c r="H23" s="261" t="e">
        <f>F23-G23</f>
        <v>#REF!</v>
      </c>
      <c r="I23" s="269">
        <v>1.25E-3</v>
      </c>
      <c r="J23" s="211" t="e">
        <f>ROUND(H23*I23*E23/360,6)</f>
        <v>#REF!</v>
      </c>
      <c r="K23" s="153"/>
      <c r="L23" s="38"/>
      <c r="M23" s="35"/>
      <c r="N23" s="35"/>
      <c r="O23" s="35"/>
    </row>
    <row r="24" spans="1:15" ht="11.4">
      <c r="A24" s="193">
        <f t="shared" si="0"/>
        <v>20</v>
      </c>
      <c r="B24" s="206" t="s">
        <v>247</v>
      </c>
      <c r="C24" s="538">
        <v>40178</v>
      </c>
      <c r="D24" s="538">
        <v>40543</v>
      </c>
      <c r="E24" s="354">
        <f>D24-C24</f>
        <v>365</v>
      </c>
      <c r="F24" s="539">
        <v>200000000</v>
      </c>
      <c r="G24" s="261" t="e">
        <f>(C13+C14)/2</f>
        <v>#REF!</v>
      </c>
      <c r="H24" s="570" t="s">
        <v>259</v>
      </c>
      <c r="I24" s="269">
        <v>1.25E-3</v>
      </c>
      <c r="J24" s="211">
        <f>ROUND(F24*I24*E24/360,6)</f>
        <v>253472.22222200001</v>
      </c>
      <c r="K24" s="153"/>
      <c r="L24" s="38"/>
      <c r="M24" s="35"/>
      <c r="N24" s="35"/>
      <c r="O24" s="35"/>
    </row>
    <row r="25" spans="1:15" ht="11.4">
      <c r="A25" s="193">
        <f t="shared" si="0"/>
        <v>21</v>
      </c>
      <c r="B25" s="265" t="s">
        <v>130</v>
      </c>
      <c r="C25" s="41"/>
      <c r="D25" s="278"/>
      <c r="E25" s="354"/>
      <c r="F25" s="540"/>
      <c r="I25" s="278"/>
      <c r="J25" s="541" t="e">
        <f>SUM(J23:J24)</f>
        <v>#REF!</v>
      </c>
      <c r="K25" s="188"/>
      <c r="L25" s="38"/>
      <c r="M25" s="35"/>
      <c r="N25" s="35"/>
      <c r="O25" s="35"/>
    </row>
    <row r="26" spans="1:15" ht="11.4">
      <c r="A26" s="193">
        <f t="shared" si="0"/>
        <v>22</v>
      </c>
      <c r="B26" s="244"/>
      <c r="C26" s="41"/>
      <c r="D26" s="278"/>
      <c r="E26" s="542"/>
      <c r="F26" s="40"/>
      <c r="G26" s="278"/>
      <c r="H26" s="543"/>
      <c r="I26" s="543"/>
      <c r="J26" s="543"/>
      <c r="K26" s="188"/>
      <c r="L26" s="38"/>
      <c r="M26" s="35"/>
      <c r="N26" s="35"/>
      <c r="O26" s="35"/>
    </row>
    <row r="27" spans="1:15" ht="12">
      <c r="A27" s="193">
        <f t="shared" si="0"/>
        <v>23</v>
      </c>
      <c r="B27" s="264" t="s">
        <v>132</v>
      </c>
      <c r="C27" s="282"/>
      <c r="F27" s="40" t="s">
        <v>178</v>
      </c>
      <c r="G27" s="40" t="s">
        <v>51</v>
      </c>
      <c r="H27" s="40" t="s">
        <v>160</v>
      </c>
      <c r="I27" s="278"/>
      <c r="J27" s="281"/>
      <c r="K27" s="188"/>
      <c r="L27" s="38"/>
      <c r="M27" s="35"/>
      <c r="N27" s="35"/>
      <c r="O27" s="35"/>
    </row>
    <row r="28" spans="1:15" ht="11.4">
      <c r="A28" s="193">
        <f t="shared" si="0"/>
        <v>24</v>
      </c>
      <c r="B28" s="265" t="s">
        <v>161</v>
      </c>
      <c r="C28" s="283"/>
      <c r="F28" s="413" t="s">
        <v>182</v>
      </c>
      <c r="G28" s="354">
        <v>365</v>
      </c>
      <c r="H28" s="261">
        <f>'Pg 4 STD OS &amp; Comm Fees'!H27</f>
        <v>3869983</v>
      </c>
      <c r="I28" s="544">
        <v>6.4999999999999997E-3</v>
      </c>
      <c r="J28" s="261">
        <f>(I28*H28)*(G28/360)</f>
        <v>25504.262965277772</v>
      </c>
      <c r="K28" s="188"/>
      <c r="L28" s="38"/>
      <c r="M28" s="35"/>
      <c r="N28" s="35"/>
      <c r="O28" s="35"/>
    </row>
    <row r="29" spans="1:15" ht="12.75" customHeight="1">
      <c r="A29" s="193">
        <f t="shared" si="0"/>
        <v>25</v>
      </c>
      <c r="B29" s="265" t="s">
        <v>180</v>
      </c>
      <c r="C29" s="283"/>
      <c r="F29" s="413" t="s">
        <v>181</v>
      </c>
      <c r="G29" s="354">
        <v>365</v>
      </c>
      <c r="H29" s="261">
        <f>'Pg 4 STD OS &amp; Comm Fees'!H28</f>
        <v>0</v>
      </c>
      <c r="I29" s="544">
        <v>6.4999999999999997E-3</v>
      </c>
      <c r="J29" s="261">
        <f>(I29*H29)*(G29/360)</f>
        <v>0</v>
      </c>
      <c r="K29" s="153"/>
      <c r="L29" s="38"/>
      <c r="M29" s="35"/>
      <c r="N29" s="35"/>
      <c r="O29" s="35"/>
    </row>
    <row r="30" spans="1:15" ht="12.75" customHeight="1" thickBot="1">
      <c r="A30" s="193">
        <f t="shared" si="0"/>
        <v>26</v>
      </c>
      <c r="B30" s="337" t="s">
        <v>162</v>
      </c>
      <c r="C30" s="283"/>
      <c r="D30" s="283"/>
      <c r="E30" s="376"/>
      <c r="F30" s="377"/>
      <c r="G30" s="354"/>
      <c r="H30" s="42"/>
      <c r="I30" s="42"/>
      <c r="J30" s="378">
        <f>SUM(J28:J29)</f>
        <v>25504.262965277772</v>
      </c>
      <c r="K30" s="153"/>
      <c r="L30" s="38"/>
      <c r="M30" s="35"/>
      <c r="N30" s="35"/>
      <c r="O30" s="35"/>
    </row>
    <row r="31" spans="1:15" ht="12.75" customHeight="1" thickTop="1">
      <c r="A31" s="193">
        <f t="shared" si="0"/>
        <v>27</v>
      </c>
      <c r="B31" s="265"/>
      <c r="C31" s="161"/>
      <c r="D31" s="161"/>
      <c r="E31" s="161"/>
      <c r="F31" s="329"/>
      <c r="G31" s="330"/>
      <c r="H31" s="42"/>
      <c r="I31" s="42"/>
      <c r="J31" s="42"/>
      <c r="K31" s="153"/>
      <c r="L31" s="38"/>
      <c r="M31" s="35"/>
      <c r="N31" s="35"/>
      <c r="O31" s="35"/>
    </row>
    <row r="32" spans="1:15" ht="12">
      <c r="A32" s="193">
        <f t="shared" si="0"/>
        <v>28</v>
      </c>
      <c r="B32" s="186"/>
      <c r="C32" s="184"/>
      <c r="D32" s="184"/>
      <c r="E32" s="89"/>
      <c r="F32" s="89"/>
      <c r="G32" s="89"/>
      <c r="H32" s="149"/>
      <c r="I32" s="149"/>
      <c r="J32" s="149"/>
      <c r="K32" s="153"/>
    </row>
    <row r="33" spans="1:11" ht="12.6" thickBot="1">
      <c r="A33" s="193">
        <f t="shared" si="0"/>
        <v>29</v>
      </c>
      <c r="B33" s="127" t="s">
        <v>83</v>
      </c>
      <c r="C33" s="190"/>
      <c r="D33" s="190"/>
      <c r="E33" s="154"/>
      <c r="F33" s="154"/>
      <c r="G33" s="154"/>
      <c r="H33" s="191"/>
      <c r="I33" s="191"/>
      <c r="J33" s="191"/>
      <c r="K33" s="189"/>
    </row>
    <row r="34" spans="1:11" ht="12">
      <c r="A34" s="193">
        <f t="shared" si="0"/>
        <v>30</v>
      </c>
      <c r="B34" s="545" t="s">
        <v>248</v>
      </c>
      <c r="C34" s="151"/>
      <c r="D34" s="151"/>
      <c r="E34" s="151"/>
      <c r="F34" s="151"/>
      <c r="G34" s="151"/>
      <c r="H34" s="151"/>
      <c r="I34" s="151"/>
      <c r="J34" s="151"/>
      <c r="K34" s="361"/>
    </row>
    <row r="35" spans="1:11" ht="11.4">
      <c r="A35" s="193">
        <f t="shared" si="0"/>
        <v>31</v>
      </c>
      <c r="B35" s="546"/>
      <c r="C35" s="89"/>
      <c r="D35" s="89"/>
      <c r="E35" s="89"/>
      <c r="F35" s="89"/>
      <c r="G35" s="89"/>
      <c r="H35" s="89"/>
      <c r="I35" s="89"/>
      <c r="J35" s="89"/>
      <c r="K35" s="153"/>
    </row>
    <row r="36" spans="1:11" ht="11.4">
      <c r="A36" s="193">
        <f t="shared" si="0"/>
        <v>32</v>
      </c>
      <c r="B36" s="546" t="s">
        <v>249</v>
      </c>
      <c r="C36" s="547">
        <v>5.2500000000000003E-3</v>
      </c>
      <c r="D36" s="89"/>
      <c r="E36" s="89"/>
      <c r="F36" s="89"/>
      <c r="G36" s="89"/>
      <c r="H36" s="89"/>
      <c r="I36" s="89"/>
      <c r="J36" s="89"/>
      <c r="K36" s="153"/>
    </row>
    <row r="37" spans="1:11" ht="11.4">
      <c r="A37" s="193">
        <f t="shared" si="0"/>
        <v>33</v>
      </c>
      <c r="B37" s="546" t="s">
        <v>250</v>
      </c>
      <c r="C37" s="547">
        <v>8.5000000000000006E-3</v>
      </c>
      <c r="D37" s="89"/>
      <c r="E37" s="89"/>
      <c r="F37" s="89"/>
      <c r="G37" s="89"/>
      <c r="H37" s="89"/>
      <c r="I37" s="89"/>
      <c r="J37" s="89"/>
      <c r="K37" s="153"/>
    </row>
    <row r="38" spans="1:11" ht="12">
      <c r="A38" s="193">
        <f t="shared" si="0"/>
        <v>34</v>
      </c>
      <c r="B38" s="548" t="s">
        <v>251</v>
      </c>
      <c r="C38" s="549">
        <f>C36-C37</f>
        <v>-3.2500000000000003E-3</v>
      </c>
      <c r="D38" s="38" t="s">
        <v>253</v>
      </c>
      <c r="E38" s="89"/>
      <c r="F38" s="89"/>
      <c r="G38" s="89"/>
      <c r="H38" s="89"/>
      <c r="I38" s="89"/>
      <c r="J38" s="89"/>
      <c r="K38" s="153"/>
    </row>
    <row r="39" spans="1:11">
      <c r="A39" s="193">
        <f t="shared" si="0"/>
        <v>35</v>
      </c>
      <c r="B39" s="152"/>
      <c r="C39" s="89"/>
      <c r="D39" s="89"/>
      <c r="E39" s="89"/>
      <c r="F39" s="89"/>
      <c r="G39" s="89"/>
      <c r="H39" s="89"/>
      <c r="I39" s="89"/>
      <c r="J39" s="89"/>
      <c r="K39" s="153"/>
    </row>
    <row r="40" spans="1:11" ht="10.8" thickBot="1">
      <c r="A40" s="193">
        <f t="shared" si="0"/>
        <v>36</v>
      </c>
      <c r="B40" s="550"/>
      <c r="C40" s="154"/>
      <c r="D40" s="154"/>
      <c r="E40" s="154"/>
      <c r="F40" s="154"/>
      <c r="G40" s="154"/>
      <c r="H40" s="154"/>
      <c r="I40" s="154"/>
      <c r="J40" s="154"/>
      <c r="K40" s="189"/>
    </row>
    <row r="41" spans="1:11">
      <c r="A41" s="193"/>
    </row>
  </sheetData>
  <mergeCells count="2">
    <mergeCell ref="B20:C20"/>
    <mergeCell ref="B19:C19"/>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0.199999999999999"/>
  <cols>
    <col min="1" max="1" width="4.85546875" customWidth="1"/>
    <col min="2" max="2" width="44.140625" customWidth="1"/>
    <col min="3" max="3" width="16.7109375" customWidth="1"/>
    <col min="4" max="4" width="16.85546875" customWidth="1"/>
    <col min="5" max="5" width="15.7109375" customWidth="1"/>
    <col min="6" max="7" width="12" style="126" customWidth="1"/>
  </cols>
  <sheetData>
    <row r="1" spans="1:8" ht="20.399999999999999">
      <c r="B1" s="36" t="s">
        <v>46</v>
      </c>
      <c r="C1" s="531" t="s">
        <v>237</v>
      </c>
    </row>
    <row r="2" spans="1:8" ht="16.5" customHeight="1">
      <c r="A2" s="89"/>
      <c r="B2" s="128" t="s">
        <v>105</v>
      </c>
    </row>
    <row r="3" spans="1:8" ht="15" customHeight="1">
      <c r="A3" s="89"/>
      <c r="B3" s="326">
        <f>'Pg 1 CofCap'!B5</f>
        <v>42551</v>
      </c>
    </row>
    <row r="4" spans="1:8">
      <c r="A4" s="551"/>
      <c r="B4" s="552"/>
    </row>
    <row r="5" spans="1:8">
      <c r="A5" s="129" t="s">
        <v>5</v>
      </c>
      <c r="B5" s="129" t="s">
        <v>27</v>
      </c>
      <c r="C5" s="129" t="s">
        <v>52</v>
      </c>
      <c r="D5" s="129" t="s">
        <v>64</v>
      </c>
      <c r="E5" s="129" t="s">
        <v>65</v>
      </c>
    </row>
    <row r="6" spans="1:8" ht="11.25" customHeight="1">
      <c r="B6" s="553"/>
      <c r="C6" s="553"/>
      <c r="D6" s="553"/>
      <c r="E6" s="553"/>
    </row>
    <row r="7" spans="1:8" ht="11.25" customHeight="1">
      <c r="A7" s="193"/>
      <c r="B7" s="163"/>
      <c r="C7" s="554" t="s">
        <v>254</v>
      </c>
      <c r="D7" s="554" t="s">
        <v>254</v>
      </c>
    </row>
    <row r="8" spans="1:8" ht="11.25" customHeight="1">
      <c r="A8" s="193">
        <v>1</v>
      </c>
      <c r="B8" s="163" t="s">
        <v>9</v>
      </c>
      <c r="C8" s="555" t="s">
        <v>255</v>
      </c>
      <c r="D8" s="556" t="s">
        <v>256</v>
      </c>
    </row>
    <row r="9" spans="1:8" ht="11.25" customHeight="1">
      <c r="A9" s="193">
        <f t="shared" ref="A9:A25" si="0">A8+1</f>
        <v>2</v>
      </c>
      <c r="B9" s="163"/>
      <c r="C9" s="555" t="s">
        <v>257</v>
      </c>
      <c r="D9" s="556" t="s">
        <v>258</v>
      </c>
      <c r="E9" s="557" t="s">
        <v>168</v>
      </c>
    </row>
    <row r="10" spans="1:8" ht="11.25" customHeight="1">
      <c r="A10" s="193">
        <f t="shared" si="0"/>
        <v>3</v>
      </c>
      <c r="B10" s="558" t="s">
        <v>148</v>
      </c>
      <c r="C10" s="559">
        <v>18100400</v>
      </c>
      <c r="D10" s="559">
        <v>18100583</v>
      </c>
      <c r="E10" s="559" t="s">
        <v>169</v>
      </c>
    </row>
    <row r="11" spans="1:8" ht="11.25" customHeight="1">
      <c r="A11" s="193">
        <f t="shared" si="0"/>
        <v>4</v>
      </c>
      <c r="B11" s="558"/>
      <c r="C11" s="560"/>
      <c r="D11" s="161"/>
    </row>
    <row r="12" spans="1:8">
      <c r="A12" s="193">
        <f t="shared" si="0"/>
        <v>5</v>
      </c>
      <c r="B12" s="561">
        <v>40209</v>
      </c>
      <c r="C12" s="300">
        <v>-5627.69</v>
      </c>
      <c r="D12" s="300">
        <v>-18843.900000000001</v>
      </c>
      <c r="E12" s="562"/>
    </row>
    <row r="13" spans="1:8">
      <c r="A13" s="193">
        <f t="shared" si="0"/>
        <v>6</v>
      </c>
      <c r="B13" s="561">
        <v>40237</v>
      </c>
      <c r="C13" s="300">
        <v>-5627.69</v>
      </c>
      <c r="D13" s="300">
        <v>-18843.900000000001</v>
      </c>
      <c r="E13" s="562"/>
    </row>
    <row r="14" spans="1:8">
      <c r="A14" s="193">
        <f t="shared" si="0"/>
        <v>7</v>
      </c>
      <c r="B14" s="561">
        <v>40268</v>
      </c>
      <c r="C14" s="300">
        <v>-5627.69</v>
      </c>
      <c r="D14" s="300">
        <v>-18843.900000000001</v>
      </c>
      <c r="E14" s="562"/>
    </row>
    <row r="15" spans="1:8">
      <c r="A15" s="193">
        <f t="shared" si="0"/>
        <v>8</v>
      </c>
      <c r="B15" s="561">
        <v>40298</v>
      </c>
      <c r="C15" s="300">
        <v>-5627.69</v>
      </c>
      <c r="D15" s="300">
        <v>-18843.900000000001</v>
      </c>
      <c r="E15" s="562"/>
    </row>
    <row r="16" spans="1:8">
      <c r="A16" s="193">
        <f t="shared" si="0"/>
        <v>9</v>
      </c>
      <c r="B16" s="561">
        <v>40329</v>
      </c>
      <c r="C16" s="300">
        <v>-5627.69</v>
      </c>
      <c r="D16" s="300">
        <v>-18843.900000000001</v>
      </c>
      <c r="E16" s="562"/>
      <c r="H16" s="339"/>
    </row>
    <row r="17" spans="1:5">
      <c r="A17" s="193">
        <f t="shared" si="0"/>
        <v>10</v>
      </c>
      <c r="B17" s="561">
        <v>40359</v>
      </c>
      <c r="C17" s="300">
        <v>-5627.69</v>
      </c>
      <c r="D17" s="300">
        <v>-18843.900000000001</v>
      </c>
      <c r="E17" s="562"/>
    </row>
    <row r="18" spans="1:5">
      <c r="A18" s="193">
        <f t="shared" si="0"/>
        <v>11</v>
      </c>
      <c r="B18" s="561">
        <v>40390</v>
      </c>
      <c r="C18" s="300">
        <v>-5627.69</v>
      </c>
      <c r="D18" s="300">
        <v>-18843.900000000001</v>
      </c>
      <c r="E18" s="562"/>
    </row>
    <row r="19" spans="1:5">
      <c r="A19" s="193">
        <f t="shared" si="0"/>
        <v>12</v>
      </c>
      <c r="B19" s="561">
        <v>40421</v>
      </c>
      <c r="C19" s="300">
        <v>-5627.69</v>
      </c>
      <c r="D19" s="300">
        <v>-18843.900000000001</v>
      </c>
      <c r="E19" s="562"/>
    </row>
    <row r="20" spans="1:5">
      <c r="A20" s="193">
        <f t="shared" si="0"/>
        <v>13</v>
      </c>
      <c r="B20" s="561">
        <v>40451</v>
      </c>
      <c r="C20" s="300">
        <v>-5627.69</v>
      </c>
      <c r="D20" s="300">
        <v>-18843.900000000001</v>
      </c>
      <c r="E20" s="562"/>
    </row>
    <row r="21" spans="1:5">
      <c r="A21" s="193">
        <f t="shared" si="0"/>
        <v>14</v>
      </c>
      <c r="B21" s="561">
        <v>40482</v>
      </c>
      <c r="C21" s="300">
        <v>-5627.69</v>
      </c>
      <c r="D21" s="300">
        <v>-18843.900000000001</v>
      </c>
      <c r="E21" s="562"/>
    </row>
    <row r="22" spans="1:5">
      <c r="A22" s="193">
        <f t="shared" si="0"/>
        <v>15</v>
      </c>
      <c r="B22" s="561">
        <v>40512</v>
      </c>
      <c r="C22" s="300">
        <v>-5627.69</v>
      </c>
      <c r="D22" s="300">
        <v>-18843.900000000001</v>
      </c>
      <c r="E22" s="562"/>
    </row>
    <row r="23" spans="1:5">
      <c r="A23" s="193">
        <f t="shared" si="0"/>
        <v>16</v>
      </c>
      <c r="B23" s="561">
        <v>40543</v>
      </c>
      <c r="C23" s="300">
        <v>-5627.69</v>
      </c>
      <c r="D23" s="300">
        <v>-18843.900000000001</v>
      </c>
      <c r="E23" s="562"/>
    </row>
    <row r="24" spans="1:5" ht="10.8" thickBot="1">
      <c r="A24" s="193">
        <f t="shared" si="0"/>
        <v>17</v>
      </c>
      <c r="B24" s="561"/>
      <c r="C24" s="563"/>
      <c r="D24" s="563"/>
      <c r="E24" s="564"/>
    </row>
    <row r="25" spans="1:5" ht="10.8" thickBot="1">
      <c r="A25" s="193">
        <f t="shared" si="0"/>
        <v>18</v>
      </c>
      <c r="B25" s="565" t="s">
        <v>174</v>
      </c>
      <c r="C25" s="566">
        <f>SUM(C12:C24)</f>
        <v>-67532.280000000013</v>
      </c>
      <c r="D25" s="566">
        <f>SUM(D12:D24)</f>
        <v>-226126.79999999996</v>
      </c>
      <c r="E25" s="567">
        <f>SUM(C25:D25)</f>
        <v>-293659.07999999996</v>
      </c>
    </row>
    <row r="26" spans="1:5">
      <c r="A26" s="193"/>
      <c r="B26" s="278"/>
      <c r="C26" s="568"/>
      <c r="D26" s="568"/>
      <c r="E26" s="564"/>
    </row>
    <row r="27" spans="1:5">
      <c r="A27" s="193"/>
      <c r="B27" s="224"/>
    </row>
    <row r="28" spans="1:5">
      <c r="A28" s="193"/>
      <c r="C28" s="126"/>
    </row>
    <row r="29" spans="1:5">
      <c r="A29" s="193"/>
      <c r="C29" s="126"/>
      <c r="D29" s="126"/>
    </row>
    <row r="30" spans="1:5">
      <c r="A30" s="193"/>
      <c r="B30" s="161"/>
    </row>
    <row r="31" spans="1:5">
      <c r="A31" s="193"/>
    </row>
    <row r="32" spans="1:5">
      <c r="A32" s="193"/>
    </row>
    <row r="33" spans="1:2">
      <c r="A33" s="193"/>
      <c r="B33" s="222"/>
    </row>
    <row r="34" spans="1:2">
      <c r="A34" s="193"/>
    </row>
    <row r="35" spans="1:2">
      <c r="A35" s="193"/>
    </row>
    <row r="36" spans="1:2">
      <c r="A36" s="193"/>
    </row>
    <row r="37" spans="1:2">
      <c r="A37" s="193"/>
    </row>
    <row r="38" spans="1:2">
      <c r="A38" s="193"/>
      <c r="B38" s="161"/>
    </row>
    <row r="39" spans="1:2">
      <c r="A39" s="193"/>
    </row>
    <row r="40" spans="1:2">
      <c r="A40" s="193"/>
    </row>
    <row r="41" spans="1:2">
      <c r="A41" s="193"/>
      <c r="B41" s="224"/>
    </row>
    <row r="42" spans="1:2">
      <c r="A42" s="193"/>
    </row>
    <row r="43" spans="1:2">
      <c r="A43" s="193"/>
    </row>
    <row r="44" spans="1:2">
      <c r="A44" s="193"/>
    </row>
    <row r="45" spans="1:2">
      <c r="A45" s="193"/>
    </row>
    <row r="46" spans="1:2">
      <c r="A46" s="193"/>
    </row>
    <row r="47" spans="1:2">
      <c r="A47" s="193"/>
    </row>
    <row r="48" spans="1:2">
      <c r="A48" s="193"/>
      <c r="B48" s="162"/>
    </row>
    <row r="49" spans="1:2">
      <c r="A49" s="193"/>
      <c r="B49" s="162"/>
    </row>
    <row r="50" spans="1:2">
      <c r="A50" s="193"/>
      <c r="B50" s="224"/>
    </row>
  </sheetData>
  <phoneticPr fontId="24"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28515625" defaultRowHeight="13.2" outlineLevelRow="1"/>
  <cols>
    <col min="1" max="1" width="2.85546875" style="418" customWidth="1"/>
    <col min="2" max="2" width="40.7109375" style="418" customWidth="1"/>
    <col min="3" max="3" width="18.28515625" style="418" customWidth="1"/>
    <col min="4" max="4" width="10.7109375" style="418" customWidth="1"/>
    <col min="5" max="5" width="18.28515625" style="479" customWidth="1"/>
    <col min="6" max="6" width="10.140625" style="418" customWidth="1"/>
    <col min="7" max="7" width="11.28515625" style="418" customWidth="1"/>
    <col min="8" max="16384" width="13.28515625" style="418"/>
  </cols>
  <sheetData>
    <row r="1" spans="1:28" ht="15.6">
      <c r="A1" s="415" t="s">
        <v>4</v>
      </c>
      <c r="B1" s="416"/>
      <c r="C1" s="416"/>
      <c r="D1" s="416"/>
      <c r="E1" s="416"/>
      <c r="F1" s="416"/>
      <c r="G1" s="416"/>
      <c r="H1" s="417"/>
      <c r="I1" s="417"/>
      <c r="J1" s="417"/>
      <c r="K1" s="417"/>
      <c r="L1" s="417"/>
      <c r="M1" s="417"/>
    </row>
    <row r="2" spans="1:28" ht="15.6">
      <c r="A2" s="419" t="s">
        <v>183</v>
      </c>
      <c r="B2" s="420"/>
      <c r="C2" s="421"/>
      <c r="D2" s="420"/>
      <c r="E2" s="420"/>
      <c r="F2" s="420"/>
      <c r="G2" s="420"/>
      <c r="AB2" s="422" t="s">
        <v>184</v>
      </c>
    </row>
    <row r="3" spans="1:28">
      <c r="A3" s="423">
        <v>42004</v>
      </c>
      <c r="B3" s="423"/>
      <c r="C3" s="423"/>
      <c r="D3" s="423"/>
      <c r="E3" s="424"/>
      <c r="F3" s="424"/>
      <c r="G3" s="424"/>
    </row>
    <row r="4" spans="1:28" ht="15.6">
      <c r="A4" s="425"/>
      <c r="B4" s="426"/>
      <c r="C4" s="427"/>
      <c r="D4" s="426"/>
      <c r="E4" s="428"/>
      <c r="F4" s="426"/>
      <c r="G4" s="426"/>
    </row>
    <row r="5" spans="1:28">
      <c r="A5" s="425"/>
      <c r="B5" s="426"/>
      <c r="C5" s="426"/>
      <c r="D5" s="426"/>
      <c r="E5" s="428"/>
      <c r="F5" s="426"/>
      <c r="G5" s="426"/>
    </row>
    <row r="6" spans="1:28">
      <c r="A6" s="131"/>
      <c r="B6" s="426"/>
      <c r="C6" s="426"/>
      <c r="D6" s="426"/>
      <c r="E6" s="428"/>
      <c r="F6" s="426"/>
      <c r="G6" s="426"/>
    </row>
    <row r="7" spans="1:28">
      <c r="A7" s="131"/>
      <c r="B7" s="105" t="s">
        <v>2</v>
      </c>
      <c r="C7" s="112"/>
      <c r="D7" s="112"/>
      <c r="E7" s="429"/>
      <c r="F7" s="112"/>
      <c r="G7" s="105"/>
      <c r="H7" s="105"/>
      <c r="I7" s="105"/>
    </row>
    <row r="8" spans="1:28">
      <c r="A8" s="131"/>
      <c r="B8" s="112"/>
      <c r="C8" s="108"/>
      <c r="D8" s="112"/>
      <c r="E8" s="429"/>
      <c r="F8" s="112"/>
      <c r="G8" s="430" t="s">
        <v>185</v>
      </c>
      <c r="H8" s="105"/>
      <c r="I8" s="105"/>
    </row>
    <row r="9" spans="1:28">
      <c r="A9" s="131"/>
      <c r="B9" s="108" t="s">
        <v>186</v>
      </c>
      <c r="C9" s="108" t="s">
        <v>187</v>
      </c>
      <c r="D9" s="430" t="s">
        <v>188</v>
      </c>
      <c r="E9" s="430" t="s">
        <v>189</v>
      </c>
      <c r="F9" s="430" t="s">
        <v>190</v>
      </c>
      <c r="G9" s="430" t="s">
        <v>191</v>
      </c>
      <c r="H9" s="105"/>
      <c r="I9" s="105"/>
    </row>
    <row r="10" spans="1:28">
      <c r="A10" s="131"/>
      <c r="B10" s="110"/>
      <c r="C10" s="110"/>
      <c r="D10" s="110"/>
      <c r="E10" s="431"/>
      <c r="F10" s="110"/>
      <c r="G10" s="110"/>
      <c r="H10" s="105"/>
      <c r="I10" s="105"/>
    </row>
    <row r="11" spans="1:28">
      <c r="A11" s="131"/>
      <c r="B11" s="108"/>
      <c r="C11" s="110"/>
      <c r="D11" s="110"/>
      <c r="E11" s="431"/>
      <c r="F11" s="110"/>
      <c r="G11" s="110"/>
      <c r="H11" s="105"/>
      <c r="I11" s="105"/>
    </row>
    <row r="12" spans="1:28">
      <c r="A12" s="131"/>
      <c r="B12" s="432" t="s">
        <v>192</v>
      </c>
      <c r="C12" s="433">
        <f>'Pg 3 STD Cost Rate'!C22</f>
        <v>37676196.729999997</v>
      </c>
      <c r="D12" s="434">
        <f>ROUND(C12/C$27,4)</f>
        <v>5.1999999999999998E-3</v>
      </c>
      <c r="E12" s="435">
        <f>'Pg 3 STD Cost Rate'!E22</f>
        <v>2563982.2704996667</v>
      </c>
      <c r="F12" s="436">
        <f>ROUND(E12/C12,4)</f>
        <v>6.8099999999999994E-2</v>
      </c>
      <c r="G12" s="437">
        <f>ROUND(+D12*F12,4)</f>
        <v>4.0000000000000002E-4</v>
      </c>
      <c r="H12" s="105"/>
      <c r="I12" s="105"/>
    </row>
    <row r="13" spans="1:28">
      <c r="A13" s="131"/>
      <c r="B13" s="432"/>
      <c r="C13" s="433"/>
      <c r="D13" s="434"/>
      <c r="E13" s="435"/>
      <c r="F13" s="436"/>
      <c r="G13" s="437"/>
      <c r="H13" s="105"/>
      <c r="I13" s="105"/>
    </row>
    <row r="14" spans="1:28" hidden="1" outlineLevel="1">
      <c r="A14" s="131"/>
      <c r="B14" s="438" t="s">
        <v>193</v>
      </c>
      <c r="C14" s="439">
        <f>'Pg 6 LTD Cost '!V30</f>
        <v>3773860000</v>
      </c>
      <c r="D14" s="440">
        <f>ROUND(C14/C$27,4)</f>
        <v>0.51680000000000004</v>
      </c>
      <c r="E14" s="441">
        <f>'Pg 6 LTD Cost '!Y30</f>
        <v>205811473.24000001</v>
      </c>
      <c r="F14" s="442">
        <f>ROUND(E14/C14,4)</f>
        <v>5.45E-2</v>
      </c>
      <c r="G14" s="443">
        <f>ROUND(+D14*F14,4)</f>
        <v>2.8199999999999999E-2</v>
      </c>
      <c r="H14" s="105"/>
      <c r="I14" s="105"/>
    </row>
    <row r="15" spans="1:28" hidden="1" outlineLevel="1">
      <c r="A15" s="131"/>
      <c r="B15" s="438" t="s">
        <v>194</v>
      </c>
      <c r="C15" s="439"/>
      <c r="D15" s="440"/>
      <c r="E15" s="441"/>
      <c r="F15" s="442"/>
      <c r="G15" s="443"/>
      <c r="H15" s="105"/>
      <c r="I15" s="105"/>
    </row>
    <row r="16" spans="1:28" hidden="1" outlineLevel="1">
      <c r="A16" s="131"/>
      <c r="B16" s="438" t="s">
        <v>195</v>
      </c>
      <c r="C16" s="439"/>
      <c r="D16" s="440"/>
      <c r="E16" s="441"/>
      <c r="F16" s="442"/>
      <c r="G16" s="443"/>
      <c r="H16" s="105"/>
      <c r="I16" s="105"/>
    </row>
    <row r="17" spans="1:9" hidden="1" outlineLevel="1">
      <c r="A17" s="131"/>
      <c r="B17" s="438" t="s">
        <v>196</v>
      </c>
      <c r="C17" s="444"/>
      <c r="D17" s="440">
        <f>ROUND(C17/C$27,4)</f>
        <v>0</v>
      </c>
      <c r="E17" s="445"/>
      <c r="F17" s="442"/>
      <c r="G17" s="443">
        <f>ROUND(+D17*F17,4)</f>
        <v>0</v>
      </c>
      <c r="H17" s="105"/>
      <c r="I17" s="105"/>
    </row>
    <row r="18" spans="1:9" hidden="1" outlineLevel="1">
      <c r="A18" s="131"/>
      <c r="B18" s="446"/>
      <c r="C18" s="433"/>
      <c r="D18" s="434" t="s">
        <v>2</v>
      </c>
      <c r="E18" s="435"/>
      <c r="F18" s="436"/>
      <c r="G18" s="437"/>
      <c r="H18" s="105"/>
      <c r="I18" s="105"/>
    </row>
    <row r="19" spans="1:9" collapsed="1">
      <c r="A19" s="131"/>
      <c r="B19" s="447" t="s">
        <v>197</v>
      </c>
      <c r="C19" s="433">
        <f>SUM(C14:C18)</f>
        <v>3773860000</v>
      </c>
      <c r="D19" s="434">
        <f>ROUND(C19/C27,4)</f>
        <v>0.51680000000000004</v>
      </c>
      <c r="E19" s="433">
        <f>SUM(E14:E18)</f>
        <v>205811473.24000001</v>
      </c>
      <c r="F19" s="448">
        <f>ROUND(E19/C19,4)</f>
        <v>5.45E-2</v>
      </c>
      <c r="G19" s="437">
        <f>ROUND(+D19*F19,4)</f>
        <v>2.8199999999999999E-2</v>
      </c>
      <c r="H19" s="105"/>
      <c r="I19" s="105"/>
    </row>
    <row r="20" spans="1:9">
      <c r="A20" s="131"/>
      <c r="B20" s="110"/>
      <c r="C20" s="449"/>
      <c r="D20" s="449"/>
      <c r="E20" s="435"/>
      <c r="F20" s="449"/>
      <c r="G20" s="449"/>
      <c r="H20" s="105"/>
      <c r="I20" s="105"/>
    </row>
    <row r="21" spans="1:9">
      <c r="A21" s="131"/>
      <c r="B21" s="111" t="s">
        <v>198</v>
      </c>
      <c r="C21" s="450">
        <f>C19+C12</f>
        <v>3811536196.73</v>
      </c>
      <c r="D21" s="451">
        <f>ROUND(C21/$C$27,4)</f>
        <v>0.52190000000000003</v>
      </c>
      <c r="E21" s="452">
        <f>E19+E12</f>
        <v>208375455.51049969</v>
      </c>
      <c r="F21" s="453">
        <f>ROUND(E21/C21,4)</f>
        <v>5.4699999999999999E-2</v>
      </c>
      <c r="G21" s="454">
        <f>ROUND(+D21*F21,4)</f>
        <v>2.8500000000000001E-2</v>
      </c>
      <c r="H21" s="105"/>
      <c r="I21" s="105"/>
    </row>
    <row r="22" spans="1:9">
      <c r="A22" s="131"/>
      <c r="B22" s="112"/>
      <c r="C22" s="455"/>
      <c r="D22" s="434"/>
      <c r="E22" s="435"/>
      <c r="F22" s="455"/>
      <c r="G22" s="455"/>
      <c r="H22" s="105"/>
      <c r="I22" s="105"/>
    </row>
    <row r="23" spans="1:9">
      <c r="A23" s="131"/>
      <c r="B23" s="111" t="s">
        <v>199</v>
      </c>
      <c r="C23" s="456">
        <v>0</v>
      </c>
      <c r="D23" s="434">
        <f>ROUND(C23/$C$27,4)</f>
        <v>0</v>
      </c>
      <c r="E23" s="457">
        <v>0</v>
      </c>
      <c r="F23" s="484">
        <v>0</v>
      </c>
      <c r="G23" s="437">
        <f>ROUND(+D23*F23,4)</f>
        <v>0</v>
      </c>
      <c r="H23" s="105"/>
      <c r="I23" s="105"/>
    </row>
    <row r="24" spans="1:9">
      <c r="A24" s="131"/>
      <c r="B24" s="112"/>
      <c r="C24" s="433"/>
      <c r="D24" s="434"/>
      <c r="E24" s="435"/>
      <c r="F24" s="455"/>
      <c r="G24" s="455"/>
      <c r="H24" s="105"/>
      <c r="I24" s="105"/>
    </row>
    <row r="25" spans="1:9">
      <c r="A25" s="131"/>
      <c r="B25" s="111" t="s">
        <v>205</v>
      </c>
      <c r="C25" s="450">
        <f>'Pg 2 CapStructure'!O34-'Pg 2 CapStructure'!O38</f>
        <v>3491326817</v>
      </c>
      <c r="D25" s="451">
        <f>ROUND(C25/$C$27,4)</f>
        <v>0.47810000000000002</v>
      </c>
      <c r="E25" s="458"/>
      <c r="F25" s="459">
        <f>'Pg 1 CofCap'!E18</f>
        <v>9.8000000000000004E-2</v>
      </c>
      <c r="G25" s="454">
        <f>ROUND(+D25*F25,4)</f>
        <v>4.6899999999999997E-2</v>
      </c>
      <c r="H25" s="105"/>
      <c r="I25" s="105"/>
    </row>
    <row r="26" spans="1:9">
      <c r="A26" s="131"/>
      <c r="B26" s="112"/>
      <c r="C26" s="460"/>
      <c r="D26" s="461"/>
      <c r="E26" s="435"/>
      <c r="F26" s="455"/>
      <c r="G26" s="460"/>
      <c r="H26" s="105"/>
      <c r="I26" s="105"/>
    </row>
    <row r="27" spans="1:9">
      <c r="A27" s="131"/>
      <c r="B27" s="111" t="s">
        <v>168</v>
      </c>
      <c r="C27" s="462">
        <f>SUM(C21:C25)</f>
        <v>7302863013.7299995</v>
      </c>
      <c r="D27" s="463">
        <f>SUM(D21:D25)</f>
        <v>1</v>
      </c>
      <c r="E27" s="464"/>
      <c r="F27" s="465"/>
      <c r="G27" s="466">
        <f>SUM(G21:G25)</f>
        <v>7.5399999999999995E-2</v>
      </c>
      <c r="H27" s="105"/>
      <c r="I27" s="105"/>
    </row>
    <row r="28" spans="1:9">
      <c r="A28" s="131"/>
      <c r="B28" s="105"/>
      <c r="C28" s="455"/>
      <c r="D28" s="455"/>
      <c r="E28" s="467"/>
      <c r="F28" s="455"/>
      <c r="G28" s="455"/>
      <c r="H28" s="105"/>
      <c r="I28" s="105"/>
    </row>
    <row r="29" spans="1:9">
      <c r="A29" s="131"/>
      <c r="B29" s="105"/>
      <c r="C29" s="455"/>
      <c r="D29" s="455"/>
      <c r="E29" s="467"/>
      <c r="F29" s="455" t="s">
        <v>2</v>
      </c>
      <c r="G29" s="455"/>
      <c r="H29" s="105"/>
      <c r="I29" s="105"/>
    </row>
    <row r="30" spans="1:9">
      <c r="A30" s="131"/>
      <c r="B30" s="105"/>
      <c r="C30" s="468"/>
      <c r="D30" s="105"/>
      <c r="E30" s="469"/>
      <c r="F30" s="105"/>
      <c r="G30" s="105"/>
      <c r="H30" s="105"/>
      <c r="I30" s="105"/>
    </row>
    <row r="31" spans="1:9">
      <c r="A31" s="131"/>
      <c r="B31" s="470" t="s">
        <v>200</v>
      </c>
      <c r="C31" s="426"/>
      <c r="D31" s="426"/>
      <c r="E31" s="428"/>
      <c r="F31" s="426"/>
      <c r="G31" s="426"/>
    </row>
    <row r="32" spans="1:9">
      <c r="A32" s="131"/>
      <c r="B32" s="471" t="s">
        <v>201</v>
      </c>
      <c r="C32" s="426"/>
      <c r="D32" s="426"/>
      <c r="E32" s="428"/>
      <c r="F32" s="426"/>
      <c r="G32" s="426"/>
    </row>
    <row r="33" spans="1:7">
      <c r="A33" s="131"/>
      <c r="B33" s="472" t="s">
        <v>204</v>
      </c>
      <c r="C33" s="426"/>
      <c r="D33" s="426"/>
      <c r="E33" s="428"/>
      <c r="F33" s="426"/>
      <c r="G33" s="426"/>
    </row>
    <row r="34" spans="1:7">
      <c r="A34" s="473"/>
      <c r="B34" s="470" t="s">
        <v>206</v>
      </c>
      <c r="C34" s="426"/>
      <c r="D34" s="426"/>
      <c r="E34" s="428"/>
      <c r="F34" s="426"/>
      <c r="G34" s="426"/>
    </row>
    <row r="35" spans="1:7">
      <c r="A35" s="473"/>
      <c r="B35" s="426"/>
      <c r="C35" s="426"/>
      <c r="D35" s="426"/>
      <c r="E35" s="428"/>
      <c r="F35" s="426"/>
      <c r="G35" s="426"/>
    </row>
    <row r="36" spans="1:7">
      <c r="A36" s="425"/>
      <c r="B36" s="426"/>
      <c r="C36" s="426"/>
      <c r="D36" s="426"/>
      <c r="E36" s="428"/>
      <c r="F36" s="426"/>
      <c r="G36" s="426"/>
    </row>
    <row r="41" spans="1:7">
      <c r="C41" s="474"/>
      <c r="D41" s="475"/>
      <c r="E41" s="476"/>
    </row>
    <row r="42" spans="1:7">
      <c r="D42" s="475"/>
      <c r="E42" s="476"/>
    </row>
    <row r="43" spans="1:7">
      <c r="C43" s="474"/>
      <c r="D43" s="475"/>
      <c r="E43" s="476"/>
    </row>
    <row r="44" spans="1:7">
      <c r="C44" s="474"/>
      <c r="D44" s="475"/>
      <c r="E44" s="476"/>
    </row>
    <row r="45" spans="1:7">
      <c r="C45" s="474"/>
      <c r="D45" s="475"/>
      <c r="E45" s="476"/>
    </row>
    <row r="46" spans="1:7">
      <c r="C46" s="474"/>
      <c r="D46" s="475"/>
      <c r="E46" s="476"/>
    </row>
    <row r="47" spans="1:7">
      <c r="D47" s="475"/>
      <c r="E47" s="476"/>
    </row>
    <row r="48" spans="1:7">
      <c r="C48" s="474"/>
      <c r="D48" s="475"/>
      <c r="E48" s="476"/>
    </row>
    <row r="49" spans="4:5">
      <c r="D49" s="477"/>
      <c r="E49" s="478"/>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 xsi:nil="true"/>
    <IsHighlyConfidential xmlns="dc463f71-b30c-4ab2-9473-d307f9d35888">false</IsHighlyConfidential>
    <OpenedDate xmlns="dc463f71-b30c-4ab2-9473-d307f9d35888">2017-01-13T08:00:00+00:00</OpenedDate>
    <IndustryCode xmlns="dc463f71-b30c-4ab2-9473-d307f9d35888">140</IndustryCode>
    <CaseCompanyNames xmlns="dc463f71-b30c-4ab2-9473-d307f9d35888">Puget Sound Energy</CaseCompanyNames>
    <IsConfidential xmlns="dc463f71-b30c-4ab2-9473-d307f9d35888">false</IsConfidential>
    <DelegatedOrder xmlns="dc463f71-b30c-4ab2-9473-d307f9d35888">false</DelegatedOrder>
    <Date1 xmlns="dc463f71-b30c-4ab2-9473-d307f9d35888">2017-08-24T07:00:00+00:00</Date1>
    <AgendaOrder xmlns="dc463f71-b30c-4ab2-9473-d307f9d35888">false</AgendaOrder>
    <CaseStatus xmlns="dc463f71-b30c-4ab2-9473-d307f9d35888">Closed</CaseStatus>
    <DocumentSetType xmlns="dc463f71-b30c-4ab2-9473-d307f9d35888">Document</DocumentSetType>
    <Prefix xmlns="dc463f71-b30c-4ab2-9473-d307f9d35888">UE</Prefix>
    <Nickname xmlns="http://schemas.microsoft.com/sharepoint/v3" xsi:nil="true"/>
    <DocketNumber xmlns="dc463f71-b30c-4ab2-9473-d307f9d35888">170033</DocketNumber>
    <Visibility xmlns="dc463f71-b30c-4ab2-9473-d307f9d35888" xsi:nil="true"/>
    <CaseType xmlns="dc463f71-b30c-4ab2-9473-d307f9d35888">Tariff Revision</CaseType>
    <SignificantOrder xmlns="dc463f71-b30c-4ab2-9473-d307f9d35888">false</SignificantOrder>
  </documentManagement>
</p:properties>
</file>

<file path=customXml/itemProps1.xml><?xml version="1.0" encoding="utf-8"?>
<ds:datastoreItem xmlns:ds="http://schemas.openxmlformats.org/officeDocument/2006/customXml" ds:itemID="{74976B3C-3166-4AF0-B58E-A42DC698CCA7}"/>
</file>

<file path=customXml/itemProps2.xml><?xml version="1.0" encoding="utf-8"?>
<ds:datastoreItem xmlns:ds="http://schemas.openxmlformats.org/officeDocument/2006/customXml" ds:itemID="{D94BF28D-9C6F-4C46-86D8-011742707EBE}"/>
</file>

<file path=customXml/itemProps3.xml><?xml version="1.0" encoding="utf-8"?>
<ds:datastoreItem xmlns:ds="http://schemas.openxmlformats.org/officeDocument/2006/customXml" ds:itemID="{BAD9A6F2-C00C-443F-85CB-CAF82A44F3EB}"/>
</file>

<file path=customXml/itemProps4.xml><?xml version="1.0" encoding="utf-8"?>
<ds:datastoreItem xmlns:ds="http://schemas.openxmlformats.org/officeDocument/2006/customXml" ds:itemID="{33091B46-A6F1-4D66-8D93-315F71DA2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Comparison</vt:lpstr>
      <vt:lpstr>Pg 1 CofCap</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Neal Edward Pedersen</cp:lastModifiedBy>
  <cp:lastPrinted>2016-07-15T21:23:54Z</cp:lastPrinted>
  <dcterms:created xsi:type="dcterms:W3CDTF">2001-12-28T16:42:36Z</dcterms:created>
  <dcterms:modified xsi:type="dcterms:W3CDTF">2016-10-16T17:16:48Z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