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2.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G:\Dept\Rates\WA Rate Case 2019 UG-190210\Compliance\"/>
    </mc:Choice>
  </mc:AlternateContent>
  <xr:revisionPtr revIDLastSave="0" documentId="13_ncr:1_{D555DD14-6678-41EE-8538-E955958AE9D8}" xr6:coauthVersionLast="44" xr6:coauthVersionMax="44" xr10:uidLastSave="{00000000-0000-0000-0000-000000000000}"/>
  <bookViews>
    <workbookView xWindow="-120" yWindow="-120" windowWidth="29040" windowHeight="15840" xr2:uid="{00000000-000D-0000-FFFF-FFFF00000000}"/>
  </bookViews>
  <sheets>
    <sheet name="2019 Rate Calculation" sheetId="6" r:id="rId1"/>
    <sheet name="Query Saved As Values" sheetId="2" r:id="rId2"/>
    <sheet name="WO 256583 01-2019" sheetId="1" r:id="rId3"/>
    <sheet name="WO 252854 01-2019" sheetId="3" r:id="rId4"/>
    <sheet name="09-19 WO 265881" sheetId="4" r:id="rId5"/>
    <sheet name="09-19 WO 265880" sheetId="5" r:id="rId6"/>
  </sheets>
  <externalReferences>
    <externalReference r:id="rId7"/>
    <externalReference r:id="rId8"/>
  </externalReferences>
  <definedNames>
    <definedName name="_xlnm.Print_Area" localSheetId="1">'Query Saved As Values'!$A$1:$AC$93</definedName>
    <definedName name="_xlnm.Print_Titles" localSheetId="1">'Query Saved As Values'!$1:$1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54" i="6" l="1"/>
  <c r="L54" i="6"/>
  <c r="K54" i="6"/>
  <c r="J54" i="6"/>
  <c r="I54" i="6"/>
  <c r="H54" i="6"/>
  <c r="M32" i="6"/>
  <c r="I32" i="6"/>
  <c r="F31" i="6"/>
  <c r="L32" i="6" s="1"/>
  <c r="H20" i="6"/>
  <c r="F20" i="6"/>
  <c r="H18" i="6"/>
  <c r="F18" i="6"/>
  <c r="H17" i="6"/>
  <c r="F17" i="6"/>
  <c r="H15" i="6"/>
  <c r="F15" i="6"/>
  <c r="H14" i="6"/>
  <c r="F14" i="6"/>
  <c r="H13" i="6"/>
  <c r="F13" i="6"/>
  <c r="H12" i="6"/>
  <c r="F12" i="6"/>
  <c r="H11" i="6"/>
  <c r="F11" i="6"/>
  <c r="H9" i="6"/>
  <c r="F9" i="6"/>
  <c r="H8" i="6"/>
  <c r="H26" i="6" s="1"/>
  <c r="F8" i="6"/>
  <c r="H7" i="6"/>
  <c r="F7" i="6"/>
  <c r="F26" i="6" s="1"/>
  <c r="F35" i="6" l="1"/>
  <c r="K32" i="6"/>
  <c r="J32" i="6"/>
  <c r="H32" i="6"/>
  <c r="F32" i="6" s="1"/>
  <c r="V45" i="2"/>
  <c r="V46" i="2"/>
  <c r="F37" i="6" l="1"/>
  <c r="F39" i="6"/>
  <c r="F40" i="6" s="1"/>
  <c r="F41" i="6" s="1"/>
  <c r="F87" i="5"/>
  <c r="F85" i="5"/>
  <c r="F6" i="5"/>
  <c r="F68" i="4"/>
  <c r="F69" i="4" s="1"/>
  <c r="H37" i="6" l="1"/>
  <c r="F38" i="6"/>
  <c r="F44" i="6" s="1"/>
  <c r="F88" i="5"/>
  <c r="K69" i="2"/>
  <c r="L69" i="2"/>
  <c r="M69" i="2"/>
  <c r="N69" i="2"/>
  <c r="O69" i="2"/>
  <c r="P69" i="2"/>
  <c r="Q69" i="2"/>
  <c r="R69" i="2"/>
  <c r="S69" i="2"/>
  <c r="V67" i="2"/>
  <c r="AC67" i="2" s="1"/>
  <c r="V68" i="2"/>
  <c r="AC68" i="2" s="1"/>
  <c r="T69" i="2"/>
  <c r="V50" i="2"/>
  <c r="AC50" i="2" s="1"/>
  <c r="V51" i="2"/>
  <c r="AC51" i="2" s="1"/>
  <c r="K47" i="2"/>
  <c r="L47" i="2"/>
  <c r="M47" i="2"/>
  <c r="N47" i="2"/>
  <c r="O47" i="2"/>
  <c r="P47" i="2"/>
  <c r="Q47" i="2"/>
  <c r="R47" i="2"/>
  <c r="S47" i="2"/>
  <c r="T47" i="2"/>
  <c r="F47" i="6" l="1"/>
  <c r="H43" i="6"/>
  <c r="H42" i="6"/>
  <c r="H47" i="6"/>
  <c r="F25" i="1"/>
  <c r="F34" i="3"/>
  <c r="F48" i="6" l="1"/>
  <c r="F50" i="6" s="1"/>
  <c r="F53" i="6" s="1"/>
  <c r="Z92" i="2"/>
  <c r="Y92" i="2"/>
  <c r="AC11" i="2"/>
  <c r="AC10" i="2"/>
  <c r="AC9" i="2"/>
  <c r="L58" i="6" l="1"/>
  <c r="L62" i="6" s="1"/>
  <c r="H58" i="6"/>
  <c r="H62" i="6" s="1"/>
  <c r="I58" i="6"/>
  <c r="I62" i="6" s="1"/>
  <c r="K58" i="6"/>
  <c r="K62" i="6" s="1"/>
  <c r="F56" i="6"/>
  <c r="H65" i="6" s="1"/>
  <c r="J58" i="6"/>
  <c r="J62" i="6" s="1"/>
  <c r="M58" i="6"/>
  <c r="M62" i="6" s="1"/>
  <c r="V90" i="2"/>
  <c r="AC90" i="2" s="1"/>
  <c r="V88" i="2"/>
  <c r="AC88" i="2" s="1"/>
  <c r="V85" i="2"/>
  <c r="AC85" i="2" s="1"/>
  <c r="V84" i="2"/>
  <c r="AC84" i="2" s="1"/>
  <c r="V83" i="2"/>
  <c r="AC83" i="2" s="1"/>
  <c r="V82" i="2"/>
  <c r="AC82" i="2" s="1"/>
  <c r="V81" i="2"/>
  <c r="AC81" i="2" s="1"/>
  <c r="V80" i="2"/>
  <c r="AC80" i="2" s="1"/>
  <c r="V79" i="2"/>
  <c r="AC79" i="2" s="1"/>
  <c r="V78" i="2"/>
  <c r="AC78" i="2" s="1"/>
  <c r="V77" i="2"/>
  <c r="AC77" i="2" s="1"/>
  <c r="V76" i="2"/>
  <c r="AC76" i="2" s="1"/>
  <c r="V75" i="2"/>
  <c r="AC75" i="2" s="1"/>
  <c r="V74" i="2"/>
  <c r="AC74" i="2" s="1"/>
  <c r="V73" i="2"/>
  <c r="AC73" i="2" s="1"/>
  <c r="V72" i="2"/>
  <c r="AC72" i="2" s="1"/>
  <c r="V71" i="2"/>
  <c r="V66" i="2"/>
  <c r="AC66" i="2" s="1"/>
  <c r="V65" i="2"/>
  <c r="AC65" i="2" s="1"/>
  <c r="V64" i="2"/>
  <c r="AC64" i="2" s="1"/>
  <c r="V63" i="2"/>
  <c r="AC63" i="2" s="1"/>
  <c r="V62" i="2"/>
  <c r="AC62" i="2" s="1"/>
  <c r="V61" i="2"/>
  <c r="AC61" i="2" s="1"/>
  <c r="V60" i="2"/>
  <c r="V69" i="2" s="1"/>
  <c r="V56" i="2"/>
  <c r="AC56" i="2" s="1"/>
  <c r="V55" i="2"/>
  <c r="AC55" i="2" s="1"/>
  <c r="V54" i="2"/>
  <c r="AC54" i="2" s="1"/>
  <c r="V53" i="2"/>
  <c r="AC53" i="2" s="1"/>
  <c r="V52" i="2"/>
  <c r="AC52" i="2" s="1"/>
  <c r="V49" i="2"/>
  <c r="AC49" i="2" s="1"/>
  <c r="V44" i="2"/>
  <c r="AC44" i="2" s="1"/>
  <c r="V43" i="2"/>
  <c r="AC43" i="2" s="1"/>
  <c r="V42" i="2"/>
  <c r="AC42" i="2" s="1"/>
  <c r="V41" i="2"/>
  <c r="AC41" i="2" s="1"/>
  <c r="V40" i="2"/>
  <c r="AC40" i="2" s="1"/>
  <c r="V39" i="2"/>
  <c r="AC39" i="2" s="1"/>
  <c r="V38" i="2"/>
  <c r="AC38" i="2" s="1"/>
  <c r="V37" i="2"/>
  <c r="AC37" i="2" s="1"/>
  <c r="V36" i="2"/>
  <c r="AC36" i="2" s="1"/>
  <c r="V35" i="2"/>
  <c r="AC35" i="2" s="1"/>
  <c r="V34" i="2"/>
  <c r="AC34" i="2" s="1"/>
  <c r="V33" i="2"/>
  <c r="AC33" i="2" s="1"/>
  <c r="V32" i="2"/>
  <c r="AC32" i="2" s="1"/>
  <c r="V31" i="2"/>
  <c r="AC31" i="2" s="1"/>
  <c r="V30" i="2"/>
  <c r="AC30" i="2" s="1"/>
  <c r="V29" i="2"/>
  <c r="AC29" i="2" s="1"/>
  <c r="V28" i="2"/>
  <c r="AC28" i="2" s="1"/>
  <c r="V27" i="2"/>
  <c r="AC27" i="2" s="1"/>
  <c r="V26" i="2"/>
  <c r="V25" i="2"/>
  <c r="V22" i="2"/>
  <c r="AC22" i="2" s="1"/>
  <c r="V21" i="2"/>
  <c r="V19" i="2"/>
  <c r="AC19" i="2" s="1"/>
  <c r="V17" i="2"/>
  <c r="AC17" i="2" s="1"/>
  <c r="V15" i="2"/>
  <c r="AC15" i="2" s="1"/>
  <c r="V13" i="2"/>
  <c r="AC13" i="2" s="1"/>
  <c r="AC57" i="2" l="1"/>
  <c r="AC25" i="2"/>
  <c r="V47" i="2"/>
  <c r="V23" i="2"/>
  <c r="AC21" i="2"/>
  <c r="AC23" i="2" s="1"/>
  <c r="V57" i="2"/>
  <c r="AC60" i="2"/>
  <c r="AC69" i="2" s="1"/>
  <c r="AC26" i="2"/>
  <c r="V86" i="2"/>
  <c r="AC71" i="2"/>
  <c r="AC86" i="2" s="1"/>
  <c r="I90" i="2"/>
  <c r="I88" i="2"/>
  <c r="T86" i="2"/>
  <c r="S86" i="2"/>
  <c r="R86" i="2"/>
  <c r="Q86" i="2"/>
  <c r="P86" i="2"/>
  <c r="O86" i="2"/>
  <c r="N86" i="2"/>
  <c r="M86" i="2"/>
  <c r="L86" i="2"/>
  <c r="K86" i="2"/>
  <c r="I85" i="2"/>
  <c r="I84" i="2"/>
  <c r="I83" i="2"/>
  <c r="I82" i="2"/>
  <c r="I81" i="2"/>
  <c r="I80" i="2"/>
  <c r="I79" i="2"/>
  <c r="I78" i="2"/>
  <c r="I77" i="2"/>
  <c r="I76" i="2"/>
  <c r="I75" i="2"/>
  <c r="I74" i="2"/>
  <c r="I73" i="2"/>
  <c r="I72" i="2"/>
  <c r="I71" i="2"/>
  <c r="I66" i="2"/>
  <c r="I65" i="2"/>
  <c r="I64" i="2"/>
  <c r="I63" i="2"/>
  <c r="I62" i="2"/>
  <c r="I61" i="2"/>
  <c r="I60" i="2"/>
  <c r="T57" i="2"/>
  <c r="S57" i="2"/>
  <c r="R57" i="2"/>
  <c r="Q57" i="2"/>
  <c r="P57" i="2"/>
  <c r="O57" i="2"/>
  <c r="N57" i="2"/>
  <c r="M57" i="2"/>
  <c r="L57" i="2"/>
  <c r="K57" i="2"/>
  <c r="I56" i="2"/>
  <c r="I55" i="2"/>
  <c r="I54" i="2"/>
  <c r="I53" i="2"/>
  <c r="I52" i="2"/>
  <c r="I49" i="2"/>
  <c r="I44" i="2"/>
  <c r="I43" i="2"/>
  <c r="I42" i="2"/>
  <c r="I41" i="2"/>
  <c r="I40" i="2"/>
  <c r="I39" i="2"/>
  <c r="I38" i="2"/>
  <c r="I37" i="2"/>
  <c r="I36" i="2"/>
  <c r="I35" i="2"/>
  <c r="I34" i="2"/>
  <c r="I33" i="2"/>
  <c r="I32" i="2"/>
  <c r="I31" i="2"/>
  <c r="I30" i="2"/>
  <c r="I29" i="2"/>
  <c r="I28" i="2"/>
  <c r="I27" i="2"/>
  <c r="I26" i="2"/>
  <c r="I25" i="2"/>
  <c r="T23" i="2"/>
  <c r="S23" i="2"/>
  <c r="R23" i="2"/>
  <c r="Q23" i="2"/>
  <c r="P23" i="2"/>
  <c r="O23" i="2"/>
  <c r="N23" i="2"/>
  <c r="M23" i="2"/>
  <c r="L23" i="2"/>
  <c r="K23" i="2"/>
  <c r="I22" i="2"/>
  <c r="I21" i="2"/>
  <c r="I19" i="2"/>
  <c r="I17" i="2"/>
  <c r="I15" i="2"/>
  <c r="I13" i="2"/>
  <c r="AC47" i="2" l="1"/>
  <c r="AC92" i="2" s="1"/>
  <c r="AC98" i="2" s="1"/>
  <c r="V92" i="2"/>
  <c r="N92" i="2"/>
  <c r="R92" i="2"/>
  <c r="L92" i="2"/>
  <c r="P92" i="2"/>
  <c r="T92" i="2"/>
  <c r="K92" i="2"/>
  <c r="O92" i="2"/>
  <c r="S92" i="2"/>
  <c r="M92" i="2"/>
  <c r="Q92" i="2"/>
  <c r="T93" i="2" l="1"/>
  <c r="N93" i="2"/>
  <c r="AA92" i="2"/>
  <c r="W92" i="2"/>
  <c r="V93"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Scott Wanner, CNGC</author>
  </authors>
  <commentList>
    <comment ref="F3" authorId="0" shapeId="0" xr:uid="{00000000-0006-0000-0100-000001000000}">
      <text>
        <r>
          <rPr>
            <b/>
            <sz val="9"/>
            <color indexed="81"/>
            <rFont val="Tahoma"/>
            <family val="2"/>
          </rPr>
          <t xml:space="preserve">Scott Wanner, CNGC
</t>
        </r>
        <r>
          <rPr>
            <sz val="9"/>
            <color indexed="81"/>
            <rFont val="Tahoma"/>
            <family val="2"/>
          </rPr>
          <t>Reversal of December accrual estimate.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Scott Wanner, CNGC</author>
  </authors>
  <commentList>
    <comment ref="F8" authorId="0" shapeId="0" xr:uid="{00000000-0006-0000-0200-000001000000}">
      <text>
        <r>
          <rPr>
            <b/>
            <sz val="9"/>
            <color indexed="81"/>
            <rFont val="Tahoma"/>
            <family val="2"/>
          </rPr>
          <t xml:space="preserve">Scott Wanner, CNGC
</t>
        </r>
        <r>
          <rPr>
            <sz val="9"/>
            <color indexed="81"/>
            <rFont val="Tahoma"/>
            <family val="2"/>
          </rPr>
          <t>Reversal of December accrual estimate.</t>
        </r>
      </text>
    </comment>
  </commentList>
</comments>
</file>

<file path=xl/sharedStrings.xml><?xml version="1.0" encoding="utf-8"?>
<sst xmlns="http://schemas.openxmlformats.org/spreadsheetml/2006/main" count="1780" uniqueCount="475">
  <si>
    <t>Description</t>
  </si>
  <si>
    <t>Document Number</t>
  </si>
  <si>
    <t>Do Ty</t>
  </si>
  <si>
    <t>Units</t>
  </si>
  <si>
    <t>Rate</t>
  </si>
  <si>
    <t>Amount</t>
  </si>
  <si>
    <t>G/L Date</t>
  </si>
  <si>
    <t>Account Number</t>
  </si>
  <si>
    <t>Batch Number</t>
  </si>
  <si>
    <t>Batch Date</t>
  </si>
  <si>
    <t>User ID</t>
  </si>
  <si>
    <t>Part Number</t>
  </si>
  <si>
    <t>Part Number Description</t>
  </si>
  <si>
    <t>LT</t>
  </si>
  <si>
    <t>Sub- ledger</t>
  </si>
  <si>
    <t>Journal Entry</t>
  </si>
  <si>
    <t xml:space="preserve"> </t>
  </si>
  <si>
    <t>JE</t>
  </si>
  <si>
    <t xml:space="preserve">          47.0200</t>
  </si>
  <si>
    <t>CONWELLK</t>
  </si>
  <si>
    <t>AA</t>
  </si>
  <si>
    <t>00256583</t>
  </si>
  <si>
    <t>AP ACCRUAL</t>
  </si>
  <si>
    <t>Total:Journal Entry</t>
  </si>
  <si>
    <t>MICHELS CORPORATION</t>
  </si>
  <si>
    <t>13TH AND K STREET</t>
  </si>
  <si>
    <t>PV</t>
  </si>
  <si>
    <t>LOESCHV</t>
  </si>
  <si>
    <t>JOB 182028</t>
  </si>
  <si>
    <t>Total:MICHELS CORPORATION</t>
  </si>
  <si>
    <t>Total for Work Order</t>
  </si>
  <si>
    <t>Configuration</t>
  </si>
  <si>
    <t>JDE 1 - MDUAS401</t>
  </si>
  <si>
    <t>Ledger Type</t>
  </si>
  <si>
    <t>Year</t>
  </si>
  <si>
    <t>Format</t>
  </si>
  <si>
    <t>PER</t>
  </si>
  <si>
    <t>Period</t>
  </si>
  <si>
    <t>Currency</t>
  </si>
  <si>
    <t>***</t>
  </si>
  <si>
    <t>Company</t>
  </si>
  <si>
    <t>Business Unit</t>
  </si>
  <si>
    <t>Object</t>
  </si>
  <si>
    <t>Subsidiary</t>
  </si>
  <si>
    <t>Subledger Type</t>
  </si>
  <si>
    <t>Subledger</t>
  </si>
  <si>
    <t>Funding Project No.</t>
  </si>
  <si>
    <t>Funding Project Description</t>
  </si>
  <si>
    <t>Work Order</t>
  </si>
  <si>
    <t>Work Order Description</t>
  </si>
  <si>
    <t>00047</t>
  </si>
  <si>
    <t>47</t>
  </si>
  <si>
    <t>0001.0998</t>
  </si>
  <si>
    <t>*</t>
  </si>
  <si>
    <t>W</t>
  </si>
  <si>
    <t>00266858</t>
  </si>
  <si>
    <t>FP-316034</t>
  </si>
  <si>
    <t xml:space="preserve">C/M; 4" HP; OTHELL0; 9,801' </t>
  </si>
  <si>
    <t>MAOP; 8" HP; OTHE; 11,500' W LEE RD</t>
  </si>
  <si>
    <t>00219107</t>
  </si>
  <si>
    <t>FP-307212</t>
  </si>
  <si>
    <t>CRM KELSO GRADE ST BRIDGE RELOCATE</t>
  </si>
  <si>
    <t>Grade Street Bridge Removal</t>
  </si>
  <si>
    <t>00265881</t>
  </si>
  <si>
    <t>FP-316569</t>
  </si>
  <si>
    <t>C/M RPL; 12" STL HP, LONG/KELSO PH3</t>
  </si>
  <si>
    <t>MAOP; 12" HP; LONG; 4,700' PHASE 3</t>
  </si>
  <si>
    <t>00268493</t>
  </si>
  <si>
    <t>FP-317219</t>
  </si>
  <si>
    <t>CRM RP; 8" BRIDGE XING, WALLA WALLA</t>
  </si>
  <si>
    <t>RP; 8" ST; WALL; 500'</t>
  </si>
  <si>
    <t>00266121</t>
  </si>
  <si>
    <t>FP-316579</t>
  </si>
  <si>
    <t>C/M; 2,6,8" HP; ANACORTES; PH2</t>
  </si>
  <si>
    <t>MAOP; 8" HP, 2" IP; ANACORTES; PH 2</t>
  </si>
  <si>
    <t>00266178</t>
  </si>
  <si>
    <t>FP-317529</t>
  </si>
  <si>
    <t>C/M; 2,6,8" HP; ANACORTES; PH2 SERV</t>
  </si>
  <si>
    <t>MAOP; 1" PE SRV LINES; ANAC; PH 2</t>
  </si>
  <si>
    <t>Total Anacortes MAOP</t>
  </si>
  <si>
    <t>00193978</t>
  </si>
  <si>
    <t>FP-200687</t>
  </si>
  <si>
    <t>CRM ANACORTES PIPE REPLACEMENT</t>
  </si>
  <si>
    <t>RPL ANACORTES PHASE 2 6" PE MN</t>
  </si>
  <si>
    <t>00212775</t>
  </si>
  <si>
    <t>RE/REPLACE 3/4" STL SL ANACORT</t>
  </si>
  <si>
    <t>00215109</t>
  </si>
  <si>
    <t>00215113</t>
  </si>
  <si>
    <t>RE/REPLACE 1" STL SL ANACORTES</t>
  </si>
  <si>
    <t>00224186</t>
  </si>
  <si>
    <t>RP-6" HP STL Anacortes Phase 3</t>
  </si>
  <si>
    <t>00224188</t>
  </si>
  <si>
    <t>RP 2" PE Main Anacortes Phase</t>
  </si>
  <si>
    <t>00224189</t>
  </si>
  <si>
    <t>RP-2" PE Anacortes Phase 3 S 3</t>
  </si>
  <si>
    <t>00224190</t>
  </si>
  <si>
    <t>RP 2" PE Anacortes Phase 3 S4</t>
  </si>
  <si>
    <t>00224191</t>
  </si>
  <si>
    <t>00224192</t>
  </si>
  <si>
    <t>00233395</t>
  </si>
  <si>
    <t>RP; 2" PE Anacortes Phase 4 Se</t>
  </si>
  <si>
    <t>00240427</t>
  </si>
  <si>
    <t>Anacortes Phase 5-2" PE-Main I</t>
  </si>
  <si>
    <t>00243991</t>
  </si>
  <si>
    <t>Anacortes Phase 5 - Services</t>
  </si>
  <si>
    <t>00251088</t>
  </si>
  <si>
    <t>Cancelled</t>
  </si>
  <si>
    <t>00252847</t>
  </si>
  <si>
    <t>FP-316687</t>
  </si>
  <si>
    <t>CRM ANAC PIPE RPL PH 5, 2 &amp; 3, MAIN</t>
  </si>
  <si>
    <t>CRM; 2" PE; ANAC; 4,055'; Phase 5</t>
  </si>
  <si>
    <t>00252849</t>
  </si>
  <si>
    <t>FP-316689</t>
  </si>
  <si>
    <t>CRM ANAC PIPE RPL PH 5, 2 &amp; 3, SL</t>
  </si>
  <si>
    <t>CRM; 5/8" PE; ANAC; Serv.; Phase 5</t>
  </si>
  <si>
    <t>FP-316690</t>
  </si>
  <si>
    <t>CRM ANAC PIPE RPL PH 6 MAIN</t>
  </si>
  <si>
    <t>CRM Anacortes Pipe Repl. Phase 6</t>
  </si>
  <si>
    <t>00252854</t>
  </si>
  <si>
    <t>FP-316691</t>
  </si>
  <si>
    <t>CRM ANAC PIPE RPL PH 6, SL</t>
  </si>
  <si>
    <t>CRM; 5/8" PE; ANAC; Serv.; Phase 6</t>
  </si>
  <si>
    <t>00265747</t>
  </si>
  <si>
    <t>FP-317514</t>
  </si>
  <si>
    <t>CRM;RP; 2" ST; ANACOR; 6,579' P7 S1</t>
  </si>
  <si>
    <t>RP; 2" ST; ANACORTES; 6,579' PH 7 S</t>
  </si>
  <si>
    <t>00266060</t>
  </si>
  <si>
    <t>FP-317524</t>
  </si>
  <si>
    <t xml:space="preserve">CRM; RP; 3/4" SL; ANACORTES; P7 S1 </t>
  </si>
  <si>
    <t xml:space="preserve">RP; 3/4" SL; ANACORTES; PH 7 SEC 1 </t>
  </si>
  <si>
    <t>Total Anacortes CRM Pipe Replacement</t>
  </si>
  <si>
    <t>00199775</t>
  </si>
  <si>
    <t>FP-300363</t>
  </si>
  <si>
    <t>CRM SHELTON PIPE REPLACEMENT</t>
  </si>
  <si>
    <t>RPL; 2:PE MAIN, SHELTON</t>
  </si>
  <si>
    <t>00254851</t>
  </si>
  <si>
    <t>FP-316766</t>
  </si>
  <si>
    <t>CRM; 4" PE; SHEL; 6,000' PHASE 2</t>
  </si>
  <si>
    <t>CRM; 4" PE; SHEL; 6,000' PH 2 SEC 1</t>
  </si>
  <si>
    <t>00254863</t>
  </si>
  <si>
    <t>FP-316767</t>
  </si>
  <si>
    <t>CRM; 2" PE; SHEL; 6,000' PHASE 2</t>
  </si>
  <si>
    <t>CRM; 2" PE; SHEL; 6,000' PH 2 SEC 2</t>
  </si>
  <si>
    <t>00254868</t>
  </si>
  <si>
    <t>FP-316768</t>
  </si>
  <si>
    <t>CRM; SL PE; SHELTON PHASE 2</t>
  </si>
  <si>
    <t>00266054</t>
  </si>
  <si>
    <t>FP-317519</t>
  </si>
  <si>
    <t>CRM; RP; 2" ST; SHELT; 7,034' P3 S1</t>
  </si>
  <si>
    <t>RP; 2" ST; SHELTON; 7,034' PH 3 SEC</t>
  </si>
  <si>
    <t>00266102</t>
  </si>
  <si>
    <t>FP-317528</t>
  </si>
  <si>
    <t xml:space="preserve">CRM; RP; 3/4" SL; SHELTON; P3 S1 </t>
  </si>
  <si>
    <t>RP; 3/4" SL; SHELTON; PH 3 SEC 1 SE</t>
  </si>
  <si>
    <t>Total Shelton CRM Pipe Replacement</t>
  </si>
  <si>
    <t>N/A</t>
  </si>
  <si>
    <t>FP-302594</t>
  </si>
  <si>
    <t>CRM KELSO PIPE REPLACEMENT</t>
  </si>
  <si>
    <t>00255347</t>
  </si>
  <si>
    <t>FP-316775</t>
  </si>
  <si>
    <t>CRM; 4" PE; KELS; 3,500' KBS PART A</t>
  </si>
  <si>
    <t>00255351</t>
  </si>
  <si>
    <t>FP-316777</t>
  </si>
  <si>
    <t xml:space="preserve">CRM; 2" PE; KELS; 12,000' KBS PART </t>
  </si>
  <si>
    <t>00255352</t>
  </si>
  <si>
    <t>FP-316778</t>
  </si>
  <si>
    <t>CRM; 1/2" SL; KELS; KBS SERVICES</t>
  </si>
  <si>
    <t>00255349</t>
  </si>
  <si>
    <t>FP-316787</t>
  </si>
  <si>
    <t>CRM; 2" PE; KELS; 20,500' KBS PT B</t>
  </si>
  <si>
    <t>00265880</t>
  </si>
  <si>
    <t>FP-317518</t>
  </si>
  <si>
    <t>CRM; RP; 2" ST; KELSO; 6,501' P2 S1</t>
  </si>
  <si>
    <t>RP; 2" ST; KELSO; 6,501' PH 2 SEC 2</t>
  </si>
  <si>
    <t>00266099</t>
  </si>
  <si>
    <t>FP-317527</t>
  </si>
  <si>
    <t>CRM; RP; 3/4" SL; KELSO; P2 S1 SERV</t>
  </si>
  <si>
    <t>RP; 3/4" SL; KELSO; PH 2 SEC 1 SERV</t>
  </si>
  <si>
    <t>Total Kelso CRM Pipe Replacement</t>
  </si>
  <si>
    <t>00193977</t>
  </si>
  <si>
    <t>FP-200686</t>
  </si>
  <si>
    <t>CRM LONGIVEW PIPE REPLACMENT</t>
  </si>
  <si>
    <t>RPL LONGVIEW PHASE 2</t>
  </si>
  <si>
    <t>00213338</t>
  </si>
  <si>
    <t>Longview Bare Steel Phase III</t>
  </si>
  <si>
    <t>00221030</t>
  </si>
  <si>
    <t>Longview Bare Steel Ph IV Part</t>
  </si>
  <si>
    <t>00221031</t>
  </si>
  <si>
    <t>00221032</t>
  </si>
  <si>
    <t>Longview Bare Steel Part IV Pa</t>
  </si>
  <si>
    <t>00222041</t>
  </si>
  <si>
    <t>00229825</t>
  </si>
  <si>
    <t>Longview Bare Steel Ph V Part</t>
  </si>
  <si>
    <t>00229826</t>
  </si>
  <si>
    <t>00229827</t>
  </si>
  <si>
    <t>00229835</t>
  </si>
  <si>
    <t>00240962</t>
  </si>
  <si>
    <t>Longview Bare Steel Ph VI Part</t>
  </si>
  <si>
    <t>00265750</t>
  </si>
  <si>
    <t>FP-317516</t>
  </si>
  <si>
    <t>CRM; RP; 2" ST; LONGV; 3,959' P8 S1</t>
  </si>
  <si>
    <t>RP; 2" ST; LONGVIEW; 3,959' PH 8 SE</t>
  </si>
  <si>
    <t>00267771</t>
  </si>
  <si>
    <t>FP-317596</t>
  </si>
  <si>
    <t>CRM,RP; 3/4" SL; LONG; P8 S 1 SERV</t>
  </si>
  <si>
    <t>CRM, RP; 3/4" SL; LONGVIEW; P8 S1 S</t>
  </si>
  <si>
    <t>00268408</t>
  </si>
  <si>
    <t>FP-317612</t>
  </si>
  <si>
    <t>CRM, RP; 2" ST; LONGV; 2,745' P8 S2</t>
  </si>
  <si>
    <t>00268411</t>
  </si>
  <si>
    <t>FP-317614</t>
  </si>
  <si>
    <t>CRM, RP; 3/4" SL; LONGV; P8 S2 SERV</t>
  </si>
  <si>
    <t>Total Longivew CRM Pipe Replacement</t>
  </si>
  <si>
    <t>00264306</t>
  </si>
  <si>
    <t>FP-317474</t>
  </si>
  <si>
    <t>CRM; RP; 2" ST; LYND; 1,160'</t>
  </si>
  <si>
    <t>RPL 2" STL MN; LYNDEN 1160'</t>
  </si>
  <si>
    <t>00263036</t>
  </si>
  <si>
    <t>FP-317428</t>
  </si>
  <si>
    <t>CRM; 2" STL; BELL; 1900'</t>
  </si>
  <si>
    <t>CRM; 2" STL; BELL; 1900' JUT</t>
  </si>
  <si>
    <t>Total:JNR PAVING, INC.</t>
  </si>
  <si>
    <t>POST</t>
  </si>
  <si>
    <t>1811 Commercial Anacortes</t>
  </si>
  <si>
    <t>1911 Commercial Anacortes</t>
  </si>
  <si>
    <t>2009 Commercial Anacortes</t>
  </si>
  <si>
    <t>JNR PAVING, INC.</t>
  </si>
  <si>
    <t>Total:Power Plan Journal Interface</t>
  </si>
  <si>
    <t>HAUFFJ</t>
  </si>
  <si>
    <t xml:space="preserve">          47.0999</t>
  </si>
  <si>
    <t>CR</t>
  </si>
  <si>
    <t>Non-unitization</t>
  </si>
  <si>
    <t xml:space="preserve">          47.0991</t>
  </si>
  <si>
    <t>CR Allocations</t>
  </si>
  <si>
    <t xml:space="preserve">          47.0992</t>
  </si>
  <si>
    <t>Power Plan Journal Interface</t>
  </si>
  <si>
    <r>
      <t xml:space="preserve">See document </t>
    </r>
    <r>
      <rPr>
        <b/>
        <sz val="11"/>
        <color rgb="FFFF0000"/>
        <rFont val="Calibri"/>
        <family val="2"/>
        <scheme val="minor"/>
      </rPr>
      <t>WO's 252854 &amp; 256583 01-2019 Reversal of 12-18 AP Accrual.pdf</t>
    </r>
  </si>
  <si>
    <r>
      <t xml:space="preserve">See document </t>
    </r>
    <r>
      <rPr>
        <b/>
        <sz val="11"/>
        <color rgb="FFFF0000"/>
        <rFont val="Calibri"/>
        <family val="2"/>
        <scheme val="minor"/>
      </rPr>
      <t>WO 256583 01-2019 AP Accrual Documentation.pdf</t>
    </r>
  </si>
  <si>
    <t>Total Actuals</t>
  </si>
  <si>
    <t>Total Estimates</t>
  </si>
  <si>
    <t>October, 2018</t>
  </si>
  <si>
    <t>Reverse UG-180512</t>
  </si>
  <si>
    <t>October Estimate</t>
  </si>
  <si>
    <t>FP-316037</t>
  </si>
  <si>
    <t>MAOP; 6,8" HP; MOSES LAKE; 16,495'</t>
  </si>
  <si>
    <t>00248251</t>
  </si>
  <si>
    <t>FP-314964</t>
  </si>
  <si>
    <t>00240631</t>
  </si>
  <si>
    <t>RPL 8" MARCH POINT LINE 11C1144-1</t>
  </si>
  <si>
    <t>FP-302663</t>
  </si>
  <si>
    <t>CRM BELLINGHAM BRIDGE CROSSINGS RMV</t>
  </si>
  <si>
    <t>00226370</t>
  </si>
  <si>
    <t>CONST REG STA R-172 IN BELLING</t>
  </si>
  <si>
    <t>Total Thru October</t>
  </si>
  <si>
    <t>January, 2019</t>
  </si>
  <si>
    <t xml:space="preserve"> October 31, 2019</t>
  </si>
  <si>
    <t>Thru</t>
  </si>
  <si>
    <t>Actual thru</t>
  </si>
  <si>
    <t>True-up</t>
  </si>
  <si>
    <t>Shaded Information is designated as confidential per WAC 480-07-160</t>
  </si>
  <si>
    <t>Estimate</t>
  </si>
  <si>
    <t>00269672</t>
  </si>
  <si>
    <t>00269678</t>
  </si>
  <si>
    <t>FP-318321</t>
  </si>
  <si>
    <t>FP-318325</t>
  </si>
  <si>
    <t>CRM, RP; 2" ST; ANACORTES; 2,057' P</t>
  </si>
  <si>
    <t>CRM, RP; 3/4" SL; ANACORT; PH 7 S 2</t>
  </si>
  <si>
    <t>00242068</t>
  </si>
  <si>
    <t>00242069</t>
  </si>
  <si>
    <t>CMR SHELTON PIPE REPLACEMENT</t>
  </si>
  <si>
    <t xml:space="preserve">RP; Shelton Bare Steel MN </t>
  </si>
  <si>
    <t xml:space="preserve">RP; Shelton Bare Steel SL </t>
  </si>
  <si>
    <t>00272440</t>
  </si>
  <si>
    <t>00272445</t>
  </si>
  <si>
    <t>FP-319198</t>
  </si>
  <si>
    <t xml:space="preserve">CRM, RP; 2" ST; KELSO; 4,140' PH 2 </t>
  </si>
  <si>
    <t>FP-319199</t>
  </si>
  <si>
    <t>August plus Oct</t>
  </si>
  <si>
    <t>Credit Card Clearing Entry</t>
  </si>
  <si>
    <t>Lunch-arlington-longview repl</t>
  </si>
  <si>
    <t>CE</t>
  </si>
  <si>
    <t xml:space="preserve">          47.0521</t>
  </si>
  <si>
    <t>RYANC</t>
  </si>
  <si>
    <t>Hotel-longview-replacement</t>
  </si>
  <si>
    <t xml:space="preserve">          47.0500</t>
  </si>
  <si>
    <t>Hotel-Hotel-longview-replacem</t>
  </si>
  <si>
    <t>Dinner-longview-replacement</t>
  </si>
  <si>
    <t>Coffee-longview-replacement</t>
  </si>
  <si>
    <t>Hotel-Kelso-longview replace</t>
  </si>
  <si>
    <t>Hotel-kelso-Longview</t>
  </si>
  <si>
    <t>Lunch-shelton-replacement</t>
  </si>
  <si>
    <t>Dinner-shelton-replacement</t>
  </si>
  <si>
    <t>12" replacement drawings</t>
  </si>
  <si>
    <t xml:space="preserve">          47.0600</t>
  </si>
  <si>
    <t>Dinner-Kalama-OUt town work</t>
  </si>
  <si>
    <t>Lunch-Arlington-out town proj</t>
  </si>
  <si>
    <t>Dinner-kalama-out town proj</t>
  </si>
  <si>
    <t>Hotel-Kalama-capital proj</t>
  </si>
  <si>
    <t>Lunch-Naches- Longview</t>
  </si>
  <si>
    <t>Total:Credit Card Clearing Entry</t>
  </si>
  <si>
    <t>AFUDC</t>
  </si>
  <si>
    <t xml:space="preserve">          47.0995</t>
  </si>
  <si>
    <t>Inventory Issue</t>
  </si>
  <si>
    <t>PFBE-805X52</t>
  </si>
  <si>
    <t>II</t>
  </si>
  <si>
    <t xml:space="preserve">          47.0300</t>
  </si>
  <si>
    <t>PFBE-810X52</t>
  </si>
  <si>
    <t>Total:Inventory Issue</t>
  </si>
  <si>
    <t>USETAXPCARDS0919</t>
  </si>
  <si>
    <t>Michels</t>
  </si>
  <si>
    <t>A/P Accrual</t>
  </si>
  <si>
    <t>MACKAY &amp; SPOSITO, INC</t>
  </si>
  <si>
    <t>JOB 17157</t>
  </si>
  <si>
    <t>Total:MACKAY &amp; SPOSITO, INC</t>
  </si>
  <si>
    <t>MT VIEW LOCATING SERVICES LLC</t>
  </si>
  <si>
    <t>JOB 265881</t>
  </si>
  <si>
    <t>HELLMANC</t>
  </si>
  <si>
    <t>Total:MT VIEW LOCATING SERVICES LLC</t>
  </si>
  <si>
    <t>Payroll Labor Distribution</t>
  </si>
  <si>
    <t>T2</t>
  </si>
  <si>
    <t xml:space="preserve">          47.0110</t>
  </si>
  <si>
    <t>LAKODUKS</t>
  </si>
  <si>
    <t xml:space="preserve">          47.0120</t>
  </si>
  <si>
    <t>HAALANDA</t>
  </si>
  <si>
    <t>Total:Payroll Labor Distribution</t>
  </si>
  <si>
    <t>Actual Burden Journal Entries</t>
  </si>
  <si>
    <t>T3</t>
  </si>
  <si>
    <t xml:space="preserve">          47.0192</t>
  </si>
  <si>
    <t xml:space="preserve">          47.0193</t>
  </si>
  <si>
    <t xml:space="preserve">          47.0194</t>
  </si>
  <si>
    <t xml:space="preserve">          47.0197</t>
  </si>
  <si>
    <t xml:space="preserve">          47.0198</t>
  </si>
  <si>
    <t xml:space="preserve">          47.0191</t>
  </si>
  <si>
    <t xml:space="preserve">          47.0199</t>
  </si>
  <si>
    <t xml:space="preserve">          47.0131</t>
  </si>
  <si>
    <t>Total:Actual Burden Journal Entries</t>
  </si>
  <si>
    <t>Auto/Work Eq. Time Entry</t>
  </si>
  <si>
    <t>2121</t>
  </si>
  <si>
    <t>TE</t>
  </si>
  <si>
    <t xml:space="preserve">          47.0400</t>
  </si>
  <si>
    <t>Total:Auto/Work Eq. Time Entry</t>
  </si>
  <si>
    <t>September Costs From Query</t>
  </si>
  <si>
    <t>Variance</t>
  </si>
  <si>
    <t>A/P Accrual of Michels invoice.  Auto-reversed on 10/1/19. [See also WO 265881 Michels AP Accrual Documentation 09-19.pdf]</t>
  </si>
  <si>
    <t>PFBE-551X52</t>
  </si>
  <si>
    <t>PFBE-352</t>
  </si>
  <si>
    <t>PPE-355</t>
  </si>
  <si>
    <t>PPE-560</t>
  </si>
  <si>
    <t>H-118</t>
  </si>
  <si>
    <t>H-795</t>
  </si>
  <si>
    <t>EL-555</t>
  </si>
  <si>
    <t>EL-360</t>
  </si>
  <si>
    <t>SP-358</t>
  </si>
  <si>
    <t>H-109</t>
  </si>
  <si>
    <t>CA-351</t>
  </si>
  <si>
    <t>PEL-360</t>
  </si>
  <si>
    <t>PTE-360</t>
  </si>
  <si>
    <t>PCA-320</t>
  </si>
  <si>
    <t>PCP-360</t>
  </si>
  <si>
    <t>CA-551</t>
  </si>
  <si>
    <t>PRE-560</t>
  </si>
  <si>
    <t>PTE-595</t>
  </si>
  <si>
    <t>H-110</t>
  </si>
  <si>
    <t>PEL-560</t>
  </si>
  <si>
    <t>PCA-550</t>
  </si>
  <si>
    <t>NP-210</t>
  </si>
  <si>
    <t>SP-554</t>
  </si>
  <si>
    <t>SP-356</t>
  </si>
  <si>
    <t>PFBE-350</t>
  </si>
  <si>
    <t>H-621</t>
  </si>
  <si>
    <t>H-626</t>
  </si>
  <si>
    <t>H-627</t>
  </si>
  <si>
    <t>H-628</t>
  </si>
  <si>
    <t>PTE-555</t>
  </si>
  <si>
    <t>PCP-570</t>
  </si>
  <si>
    <t>NP-355</t>
  </si>
  <si>
    <t>Michels AP Accrual</t>
  </si>
  <si>
    <t>KELSO PHASE 2 SEC 1</t>
  </si>
  <si>
    <t>OV</t>
  </si>
  <si>
    <t>SNYDER GAS CONSULTING LLC</t>
  </si>
  <si>
    <t>KELSO PHASE2</t>
  </si>
  <si>
    <t>Total:SNYDER GAS CONSULTING LLC</t>
  </si>
  <si>
    <t>WENINGEL</t>
  </si>
  <si>
    <t>No transactions =&gt; $300k</t>
  </si>
  <si>
    <t>Omitted from above.  Capitalization clearing entry.</t>
  </si>
  <si>
    <t>September Acutal</t>
  </si>
  <si>
    <t>CRM; 6,8" HP; MOSES LAKE; 16,495'</t>
  </si>
  <si>
    <t>CRM RPL 8" MARCH POINT - 11C1144-1</t>
  </si>
  <si>
    <t>Cascade Natural Gas Corp.</t>
  </si>
  <si>
    <t>Replacement Projects 1-1-19 to 10-31-19</t>
  </si>
  <si>
    <t>Actual costs thru</t>
  </si>
  <si>
    <t>September with</t>
  </si>
  <si>
    <t>Estimtimated Cost</t>
  </si>
  <si>
    <t>Project</t>
  </si>
  <si>
    <t>Location</t>
  </si>
  <si>
    <t>thru October</t>
  </si>
  <si>
    <t>Actual Cost</t>
  </si>
  <si>
    <t>TYPE OF PIPE TO BE REPLACED</t>
  </si>
  <si>
    <t>x</t>
  </si>
  <si>
    <t>CRM RPL  ANACORTES BARE STEEL</t>
  </si>
  <si>
    <t>MT. VERNON</t>
  </si>
  <si>
    <t>BARE STEEL/PRE-CNG PIPE - IDENTIFIED HIGH (RED) RISK IN DIMP</t>
  </si>
  <si>
    <t>CRM RPL LONGVIEW BARE STEEL</t>
  </si>
  <si>
    <t>LONGVIEW</t>
  </si>
  <si>
    <t>CRM RPL; 12" STL HP, LONG/KELSO PH3</t>
  </si>
  <si>
    <t>PRE-CNG PIPE - HIGH (RED) IN DIMP</t>
  </si>
  <si>
    <t>CRM SHELTON REPLACEMENT</t>
  </si>
  <si>
    <t>ABERDEEN</t>
  </si>
  <si>
    <t>PRE-CNG PIPE - IDENTIFIED HIGH (RED) RISK IN DIMP</t>
  </si>
  <si>
    <t>CRM RP 2" LYNDEN</t>
  </si>
  <si>
    <t>BELLINGHAM</t>
  </si>
  <si>
    <t>PRE-CNG STEEL PIPE</t>
  </si>
  <si>
    <t>EXPOSED PIPE SUSCEPTIBLE TO CORROSION RISK - MODERATE (ORANGE)</t>
  </si>
  <si>
    <t>PRE-CODE TRANSMISSION MAIN, HISTORY OF CORROSION</t>
  </si>
  <si>
    <t>CRM 6,8" HP; MOSES LAKE; 16,495'</t>
  </si>
  <si>
    <t>WENATCHEE</t>
  </si>
  <si>
    <t>PRE-CNG PIPE</t>
  </si>
  <si>
    <t>ANACORTES CRM PHASE 2</t>
  </si>
  <si>
    <t>MT VERNON</t>
  </si>
  <si>
    <t>HIGH-MODERATE RISK IN DIMP</t>
  </si>
  <si>
    <t>CRM KELSO REPLACEMENT</t>
  </si>
  <si>
    <t>BARE STEEL/PRE-CNG PIPE IDENTIFIED HIGH (RED) RISK IN DIMP</t>
  </si>
  <si>
    <t>CRM 2" STL BELLINGHAM</t>
  </si>
  <si>
    <t>BELLIGHAM</t>
  </si>
  <si>
    <t>EARLY VINTAGE STEEL PIPE PRE-1970</t>
  </si>
  <si>
    <t>CRM RPL HP OTHELLO</t>
  </si>
  <si>
    <t>CRM RP 8" BRIDGE CROSSING WALLA WALLA</t>
  </si>
  <si>
    <t>WALLA WALLA</t>
  </si>
  <si>
    <t>EARLY VINTAGE STEEL PIPE (FISH)</t>
  </si>
  <si>
    <t>Note:  Three projects shown on lines 4, 10, and 13 have costs attributable to the project but will nt be in service by November 1.  They are excluded from recovery in this year's mechanism.</t>
  </si>
  <si>
    <t>Total Estimated Replacement Cost</t>
  </si>
  <si>
    <t>Schedule</t>
  </si>
  <si>
    <t>503</t>
  </si>
  <si>
    <t>505</t>
  </si>
  <si>
    <t>570</t>
  </si>
  <si>
    <t>Rate Base Allocation from UG-170929 Company COS</t>
  </si>
  <si>
    <t>Percentage</t>
  </si>
  <si>
    <t>Total Investment</t>
  </si>
  <si>
    <t>Ln 20</t>
  </si>
  <si>
    <t>Depreciation Expense  -  Rate 2.58%</t>
  </si>
  <si>
    <t>Ln 40* 2.58%</t>
  </si>
  <si>
    <t xml:space="preserve">   Accumulated Depr. (Avg)</t>
  </si>
  <si>
    <t>Ln 41 / 2</t>
  </si>
  <si>
    <t>Accum Tax depreciation</t>
  </si>
  <si>
    <t>Ln 40 *3.75%</t>
  </si>
  <si>
    <t>Deferred Tax</t>
  </si>
  <si>
    <t>(Ln 43 - Ln 41) * .21</t>
  </si>
  <si>
    <t xml:space="preserve">   Accum Def Tax (Avg)</t>
  </si>
  <si>
    <t>Ln 44 / 2</t>
  </si>
  <si>
    <t>FIT</t>
  </si>
  <si>
    <t>Ln 41* .21</t>
  </si>
  <si>
    <t>Interest Coordination Adj (Rate Base x Weighted Cost of Debt (2.70045%) x 21% FIT)</t>
  </si>
  <si>
    <t>Rate Base</t>
  </si>
  <si>
    <t>Ln 20 - Ln 42 - Ln 45</t>
  </si>
  <si>
    <t>Authorized ROR from UG-170929</t>
  </si>
  <si>
    <t>NOI</t>
  </si>
  <si>
    <t>((Ln 48 * Ln 49)  and  (Ln 41 - Ln 46-Ln 47)</t>
  </si>
  <si>
    <t>Total NOI</t>
  </si>
  <si>
    <t>Sum Ln 50</t>
  </si>
  <si>
    <t>Conversion Factor in UG-170929</t>
  </si>
  <si>
    <t>Revenue Requirement (Current Year Investment)</t>
  </si>
  <si>
    <t>Ln 51 / Ln 52</t>
  </si>
  <si>
    <t>2018 and 2017 Current Revenue Requirement</t>
  </si>
  <si>
    <t>Total Revenue Requirement</t>
  </si>
  <si>
    <t>Ln 53</t>
  </si>
  <si>
    <t>Less UG-180512 Revenue Requirement</t>
  </si>
  <si>
    <t>Increase in Revenue Requirement</t>
  </si>
  <si>
    <t>Allocation Rev Req to Schedules</t>
  </si>
  <si>
    <t>Ln 54 * Ln 39</t>
  </si>
  <si>
    <t>Weather Normalized 2018 Volumes (From UG-190210, Current General Rate Case)</t>
  </si>
  <si>
    <t>Rate Charge</t>
  </si>
  <si>
    <t>Ln 55 / Ln 56</t>
  </si>
  <si>
    <t>2018 Commission Basis Total Revenue</t>
  </si>
  <si>
    <t>Percentage Increase in Revenue</t>
  </si>
  <si>
    <t>Ln 54 / Ln 58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</si>
</sst>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41" formatCode="_(* #,##0_);_(* \(#,##0\);_(* &quot;-&quot;_);_(@_)"/>
    <numFmt numFmtId="44" formatCode="_(&quot;$&quot;* #,##0.00_);_(&quot;$&quot;* \(#,##0.00\);_(&quot;$&quot;* &quot;-&quot;??_);_(@_)"/>
    <numFmt numFmtId="43" formatCode="_(* #,##0.00_);_(* \(#,##0.00\);_(* &quot;-&quot;??_);_(@_)"/>
    <numFmt numFmtId="164" formatCode="mm/dd/yyyy;@"/>
    <numFmt numFmtId="165" formatCode="[$-409]d\-mmm\-yy;@"/>
    <numFmt numFmtId="166" formatCode="&quot;$&quot;#,##0"/>
    <numFmt numFmtId="167" formatCode="&quot;$&quot;#,##0.00000"/>
  </numFmts>
  <fonts count="10"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9"/>
      <color indexed="81"/>
      <name val="Tahoma"/>
      <family val="2"/>
    </font>
    <font>
      <sz val="9"/>
      <color indexed="81"/>
      <name val="Tahoma"/>
      <family val="2"/>
    </font>
    <font>
      <b/>
      <sz val="11"/>
      <color rgb="FFFF0000"/>
      <name val="Calibri"/>
      <family val="2"/>
      <scheme val="minor"/>
    </font>
    <font>
      <b/>
      <sz val="10"/>
      <name val="Arial"/>
    </font>
    <font>
      <b/>
      <sz val="10"/>
      <name val="Arial"/>
      <family val="2"/>
    </font>
    <font>
      <b/>
      <sz val="14"/>
      <color theme="1"/>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rgb="FF92D050"/>
        <bgColor indexed="64"/>
      </patternFill>
    </fill>
    <fill>
      <patternFill patternType="solid">
        <fgColor theme="4" tint="0.59999389629810485"/>
        <bgColor indexed="64"/>
      </patternFill>
    </fill>
    <fill>
      <patternFill patternType="solid">
        <fgColor theme="0"/>
        <bgColor indexed="64"/>
      </patternFill>
    </fill>
  </fills>
  <borders count="1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top style="thick">
        <color auto="1"/>
      </top>
      <bottom/>
      <diagonal/>
    </border>
    <border>
      <left style="thin">
        <color auto="1"/>
      </left>
      <right style="thin">
        <color auto="1"/>
      </right>
      <top style="thin">
        <color auto="1"/>
      </top>
      <bottom style="double">
        <color auto="1"/>
      </bottom>
      <diagonal/>
    </border>
  </borders>
  <cellStyleXfs count="7">
    <xf numFmtId="0" fontId="0" fillId="0" borderId="0"/>
    <xf numFmtId="43" fontId="1"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4" fontId="1" fillId="0" borderId="0" applyFont="0" applyFill="0" applyBorder="0" applyAlignment="0" applyProtection="0"/>
    <xf numFmtId="9" fontId="1" fillId="0" borderId="0" applyFont="0" applyFill="0" applyBorder="0" applyAlignment="0" applyProtection="0"/>
  </cellStyleXfs>
  <cellXfs count="136">
    <xf numFmtId="0" fontId="0" fillId="0" borderId="0" xfId="0"/>
    <xf numFmtId="0" fontId="2" fillId="0" borderId="0" xfId="0" applyFont="1"/>
    <xf numFmtId="49" fontId="0" fillId="0" borderId="0" xfId="0" applyNumberFormat="1"/>
    <xf numFmtId="14" fontId="0" fillId="0" borderId="0" xfId="0" applyNumberFormat="1"/>
    <xf numFmtId="0" fontId="0" fillId="0" borderId="0" xfId="0" applyFill="1"/>
    <xf numFmtId="0" fontId="0" fillId="0" borderId="0" xfId="0" applyAlignment="1">
      <alignment horizontal="center"/>
    </xf>
    <xf numFmtId="0" fontId="0" fillId="0" borderId="0" xfId="0" applyNumberFormat="1" applyAlignment="1">
      <alignment horizontal="center"/>
    </xf>
    <xf numFmtId="0" fontId="0" fillId="0" borderId="0" xfId="0" applyAlignment="1">
      <alignment horizontal="right"/>
    </xf>
    <xf numFmtId="49" fontId="0" fillId="0" borderId="0" xfId="0" applyNumberFormat="1" applyAlignment="1">
      <alignment horizontal="center"/>
    </xf>
    <xf numFmtId="39" fontId="0" fillId="0" borderId="0" xfId="0" applyNumberFormat="1"/>
    <xf numFmtId="43" fontId="0" fillId="0" borderId="0" xfId="1" applyFont="1"/>
    <xf numFmtId="43" fontId="2" fillId="0" borderId="0" xfId="1" applyFont="1"/>
    <xf numFmtId="49" fontId="0" fillId="0" borderId="0" xfId="1" applyNumberFormat="1" applyFont="1"/>
    <xf numFmtId="4" fontId="0" fillId="0" borderId="0" xfId="0" applyNumberFormat="1"/>
    <xf numFmtId="0" fontId="6" fillId="0" borderId="0" xfId="0" applyFont="1"/>
    <xf numFmtId="0" fontId="6" fillId="0" borderId="0" xfId="0" applyFont="1" applyAlignment="1">
      <alignment horizontal="center"/>
    </xf>
    <xf numFmtId="0" fontId="0" fillId="2" borderId="0" xfId="0" applyFill="1"/>
    <xf numFmtId="0" fontId="0" fillId="2" borderId="0" xfId="0" applyFill="1" applyAlignment="1">
      <alignment horizontal="center"/>
    </xf>
    <xf numFmtId="0" fontId="0" fillId="2" borderId="0" xfId="0" applyNumberFormat="1" applyFill="1" applyAlignment="1">
      <alignment horizontal="center"/>
    </xf>
    <xf numFmtId="0" fontId="0" fillId="2" borderId="0" xfId="0" applyFill="1" applyAlignment="1">
      <alignment horizontal="right"/>
    </xf>
    <xf numFmtId="17" fontId="2" fillId="2" borderId="0" xfId="0" applyNumberFormat="1" applyFont="1" applyFill="1" applyAlignment="1">
      <alignment horizontal="center"/>
    </xf>
    <xf numFmtId="0" fontId="2" fillId="2" borderId="0" xfId="0" applyFont="1" applyFill="1" applyAlignment="1">
      <alignment horizontal="center"/>
    </xf>
    <xf numFmtId="15" fontId="0" fillId="2" borderId="0" xfId="0" applyNumberFormat="1" applyFill="1" applyAlignment="1">
      <alignment horizontal="center"/>
    </xf>
    <xf numFmtId="0" fontId="0" fillId="2" borderId="1" xfId="0" applyFill="1" applyBorder="1"/>
    <xf numFmtId="0" fontId="0" fillId="2" borderId="2" xfId="0" applyFill="1" applyBorder="1"/>
    <xf numFmtId="49" fontId="0" fillId="2" borderId="2" xfId="0" applyNumberFormat="1" applyFill="1" applyBorder="1" applyAlignment="1">
      <alignment horizontal="center"/>
    </xf>
    <xf numFmtId="49" fontId="0" fillId="2" borderId="0" xfId="0" applyNumberFormat="1" applyFill="1" applyBorder="1" applyAlignment="1">
      <alignment horizontal="center"/>
    </xf>
    <xf numFmtId="0" fontId="0" fillId="2" borderId="0" xfId="0" applyFill="1" applyBorder="1"/>
    <xf numFmtId="0" fontId="2" fillId="2" borderId="0" xfId="0" applyFont="1" applyFill="1" applyBorder="1" applyAlignment="1">
      <alignment horizontal="center"/>
    </xf>
    <xf numFmtId="39" fontId="0" fillId="2" borderId="0" xfId="0" applyNumberFormat="1" applyFill="1"/>
    <xf numFmtId="0" fontId="0" fillId="2" borderId="5" xfId="0" applyFill="1" applyBorder="1"/>
    <xf numFmtId="0" fontId="0" fillId="2" borderId="6" xfId="0" applyFill="1" applyBorder="1"/>
    <xf numFmtId="49" fontId="0" fillId="2" borderId="6" xfId="0" applyNumberFormat="1" applyFill="1" applyBorder="1" applyAlignment="1">
      <alignment horizontal="center"/>
    </xf>
    <xf numFmtId="49" fontId="0" fillId="2" borderId="0" xfId="0" applyNumberFormat="1" applyFill="1"/>
    <xf numFmtId="49" fontId="0" fillId="2" borderId="0" xfId="0" applyNumberFormat="1" applyFill="1" applyAlignment="1">
      <alignment horizontal="center"/>
    </xf>
    <xf numFmtId="0" fontId="0" fillId="2" borderId="1" xfId="0" applyFill="1" applyBorder="1" applyAlignment="1">
      <alignment horizontal="center"/>
    </xf>
    <xf numFmtId="0" fontId="0" fillId="2" borderId="2" xfId="0" applyNumberFormat="1" applyFill="1" applyBorder="1" applyAlignment="1">
      <alignment horizontal="center"/>
    </xf>
    <xf numFmtId="49" fontId="0" fillId="2" borderId="3" xfId="0" applyNumberFormat="1" applyFill="1" applyBorder="1"/>
    <xf numFmtId="39" fontId="0" fillId="2" borderId="9" xfId="0" applyNumberFormat="1" applyFill="1" applyBorder="1"/>
    <xf numFmtId="43" fontId="0" fillId="2" borderId="9" xfId="1" applyFont="1" applyFill="1" applyBorder="1"/>
    <xf numFmtId="39" fontId="0" fillId="2" borderId="2" xfId="0" applyNumberFormat="1" applyFill="1" applyBorder="1"/>
    <xf numFmtId="39" fontId="0" fillId="2" borderId="0" xfId="0" applyNumberFormat="1" applyFill="1" applyBorder="1"/>
    <xf numFmtId="4" fontId="0" fillId="2" borderId="0" xfId="0" applyNumberFormat="1" applyFill="1"/>
    <xf numFmtId="49" fontId="0" fillId="2" borderId="4" xfId="0" applyNumberFormat="1" applyFill="1" applyBorder="1"/>
    <xf numFmtId="43" fontId="0" fillId="2" borderId="2" xfId="1" applyFont="1" applyFill="1" applyBorder="1"/>
    <xf numFmtId="0" fontId="0" fillId="2" borderId="4" xfId="0" applyFill="1" applyBorder="1"/>
    <xf numFmtId="0" fontId="0" fillId="2" borderId="5" xfId="0" applyFill="1" applyBorder="1" applyAlignment="1">
      <alignment horizontal="center"/>
    </xf>
    <xf numFmtId="0" fontId="0" fillId="2" borderId="6" xfId="0" applyNumberFormat="1" applyFill="1" applyBorder="1" applyAlignment="1">
      <alignment horizontal="center"/>
    </xf>
    <xf numFmtId="0" fontId="0" fillId="2" borderId="7" xfId="0" applyFill="1" applyBorder="1"/>
    <xf numFmtId="39" fontId="0" fillId="2" borderId="6" xfId="0" applyNumberFormat="1" applyFill="1" applyBorder="1"/>
    <xf numFmtId="43" fontId="0" fillId="2" borderId="6" xfId="1" applyFont="1" applyFill="1" applyBorder="1"/>
    <xf numFmtId="0" fontId="0" fillId="2" borderId="8" xfId="0" applyFill="1" applyBorder="1" applyAlignment="1">
      <alignment horizontal="center"/>
    </xf>
    <xf numFmtId="0" fontId="0" fillId="2" borderId="9" xfId="0" applyFill="1" applyBorder="1"/>
    <xf numFmtId="0" fontId="0" fillId="2" borderId="9" xfId="0" applyNumberFormat="1" applyFill="1" applyBorder="1" applyAlignment="1">
      <alignment horizontal="center"/>
    </xf>
    <xf numFmtId="0" fontId="0" fillId="2" borderId="10" xfId="0" applyFill="1" applyBorder="1"/>
    <xf numFmtId="0" fontId="0" fillId="2" borderId="0" xfId="0" applyFill="1" applyBorder="1" applyAlignment="1">
      <alignment horizontal="center"/>
    </xf>
    <xf numFmtId="0" fontId="0" fillId="2" borderId="0" xfId="0" applyNumberFormat="1" applyFill="1" applyBorder="1" applyAlignment="1">
      <alignment horizontal="center"/>
    </xf>
    <xf numFmtId="0" fontId="2" fillId="2" borderId="4" xfId="0" applyFont="1" applyFill="1" applyBorder="1" applyAlignment="1">
      <alignment horizontal="right"/>
    </xf>
    <xf numFmtId="39" fontId="0" fillId="2" borderId="5" xfId="0" applyNumberFormat="1" applyFill="1" applyBorder="1"/>
    <xf numFmtId="0" fontId="0" fillId="2" borderId="11" xfId="0" applyFill="1" applyBorder="1" applyAlignment="1">
      <alignment horizontal="center"/>
    </xf>
    <xf numFmtId="39" fontId="0" fillId="2" borderId="11" xfId="0" applyNumberFormat="1" applyFill="1" applyBorder="1"/>
    <xf numFmtId="43" fontId="0" fillId="2" borderId="0" xfId="1" applyFont="1" applyFill="1" applyBorder="1"/>
    <xf numFmtId="49" fontId="0" fillId="2" borderId="4" xfId="0" applyNumberFormat="1" applyFill="1" applyBorder="1" applyAlignment="1">
      <alignment horizontal="center"/>
    </xf>
    <xf numFmtId="39" fontId="0" fillId="2" borderId="8" xfId="0" applyNumberFormat="1" applyFill="1" applyBorder="1"/>
    <xf numFmtId="0" fontId="6" fillId="2" borderId="0" xfId="0" applyFont="1" applyFill="1"/>
    <xf numFmtId="0" fontId="0" fillId="2" borderId="7" xfId="0" applyFill="1" applyBorder="1" applyAlignment="1">
      <alignment horizontal="center"/>
    </xf>
    <xf numFmtId="0" fontId="0" fillId="2" borderId="3" xfId="0" applyFill="1" applyBorder="1"/>
    <xf numFmtId="39" fontId="0" fillId="2" borderId="1" xfId="0" applyNumberFormat="1" applyFill="1" applyBorder="1"/>
    <xf numFmtId="39" fontId="2" fillId="2" borderId="0" xfId="0" applyNumberFormat="1" applyFont="1" applyFill="1" applyAlignment="1">
      <alignment horizontal="right"/>
    </xf>
    <xf numFmtId="0" fontId="2" fillId="2" borderId="0" xfId="0" applyFont="1" applyFill="1" applyAlignment="1">
      <alignment horizontal="right"/>
    </xf>
    <xf numFmtId="43" fontId="0" fillId="3" borderId="0" xfId="1" applyFont="1" applyFill="1"/>
    <xf numFmtId="43" fontId="0" fillId="3" borderId="12" xfId="1" applyFont="1" applyFill="1" applyBorder="1"/>
    <xf numFmtId="39" fontId="0" fillId="3" borderId="11" xfId="0" applyNumberFormat="1" applyFill="1" applyBorder="1"/>
    <xf numFmtId="43" fontId="0" fillId="3" borderId="0" xfId="1" applyNumberFormat="1" applyFont="1" applyFill="1"/>
    <xf numFmtId="0" fontId="2" fillId="2" borderId="0" xfId="0" applyFont="1" applyFill="1" applyBorder="1" applyAlignment="1"/>
    <xf numFmtId="0" fontId="0" fillId="2" borderId="9" xfId="0" applyFill="1" applyBorder="1" applyAlignment="1">
      <alignment horizontal="center"/>
    </xf>
    <xf numFmtId="49" fontId="7" fillId="0" borderId="0" xfId="0" applyNumberFormat="1" applyFont="1" applyFill="1" applyBorder="1" applyAlignment="1" applyProtection="1"/>
    <xf numFmtId="43" fontId="7" fillId="0" borderId="0" xfId="1" applyFont="1" applyFill="1" applyBorder="1" applyAlignment="1" applyProtection="1"/>
    <xf numFmtId="49" fontId="0" fillId="0" borderId="0" xfId="0" applyNumberFormat="1" applyFont="1" applyFill="1" applyBorder="1" applyAlignment="1" applyProtection="1"/>
    <xf numFmtId="164" fontId="0" fillId="0" borderId="0" xfId="0" applyNumberFormat="1" applyFont="1" applyFill="1" applyBorder="1" applyAlignment="1" applyProtection="1"/>
    <xf numFmtId="43" fontId="0" fillId="4" borderId="0" xfId="1" applyFont="1" applyFill="1"/>
    <xf numFmtId="43" fontId="2" fillId="0" borderId="0" xfId="1" applyFont="1" applyAlignment="1">
      <alignment horizontal="right"/>
    </xf>
    <xf numFmtId="43" fontId="0" fillId="0" borderId="13" xfId="1" applyFont="1" applyBorder="1"/>
    <xf numFmtId="49" fontId="2" fillId="0" borderId="0" xfId="0" applyNumberFormat="1" applyFont="1" applyFill="1" applyBorder="1" applyAlignment="1" applyProtection="1"/>
    <xf numFmtId="49" fontId="8" fillId="0" borderId="0" xfId="0" applyNumberFormat="1" applyFont="1" applyFill="1" applyBorder="1" applyAlignment="1" applyProtection="1"/>
    <xf numFmtId="43" fontId="8" fillId="0" borderId="0" xfId="1" applyFont="1" applyFill="1" applyBorder="1" applyAlignment="1" applyProtection="1"/>
    <xf numFmtId="0" fontId="0" fillId="3" borderId="0" xfId="0" applyFill="1"/>
    <xf numFmtId="39" fontId="0" fillId="3" borderId="0" xfId="0" applyNumberFormat="1" applyFill="1"/>
    <xf numFmtId="39" fontId="0" fillId="3" borderId="0" xfId="0" applyNumberFormat="1" applyFill="1" applyBorder="1"/>
    <xf numFmtId="0" fontId="9" fillId="0" borderId="0" xfId="0" applyFont="1"/>
    <xf numFmtId="0" fontId="2" fillId="0" borderId="0" xfId="0" applyFont="1" applyAlignment="1">
      <alignment horizontal="center"/>
    </xf>
    <xf numFmtId="43" fontId="2" fillId="0" borderId="0" xfId="1" applyFont="1" applyAlignment="1">
      <alignment horizontal="center"/>
    </xf>
    <xf numFmtId="165" fontId="2" fillId="0" borderId="0" xfId="1" applyNumberFormat="1" applyFont="1" applyAlignment="1">
      <alignment horizontal="center"/>
    </xf>
    <xf numFmtId="0" fontId="0" fillId="0" borderId="0" xfId="0" applyAlignment="1">
      <alignment vertical="center"/>
    </xf>
    <xf numFmtId="0" fontId="0" fillId="0" borderId="0" xfId="0" applyAlignment="1">
      <alignment horizontal="center" vertical="center"/>
    </xf>
    <xf numFmtId="44" fontId="0" fillId="0" borderId="0" xfId="5" applyFont="1" applyAlignment="1">
      <alignment vertical="center"/>
    </xf>
    <xf numFmtId="43" fontId="0" fillId="5" borderId="0" xfId="5" applyNumberFormat="1" applyFont="1" applyFill="1" applyAlignment="1">
      <alignment vertical="center"/>
    </xf>
    <xf numFmtId="0" fontId="0" fillId="5" borderId="0" xfId="0" applyFill="1"/>
    <xf numFmtId="43" fontId="0" fillId="5" borderId="0" xfId="0" applyNumberFormat="1" applyFill="1"/>
    <xf numFmtId="166" fontId="0" fillId="0" borderId="0" xfId="1" applyNumberFormat="1" applyFont="1"/>
    <xf numFmtId="0" fontId="2" fillId="0" borderId="0" xfId="0" applyFont="1" applyAlignment="1">
      <alignment vertical="center"/>
    </xf>
    <xf numFmtId="0" fontId="2" fillId="0" borderId="0" xfId="0" applyFont="1" applyAlignment="1">
      <alignment horizontal="center" vertical="center"/>
    </xf>
    <xf numFmtId="43" fontId="2" fillId="5" borderId="0" xfId="5" applyNumberFormat="1" applyFont="1" applyFill="1" applyAlignment="1">
      <alignment vertical="center"/>
    </xf>
    <xf numFmtId="43" fontId="2" fillId="5" borderId="0" xfId="0" applyNumberFormat="1" applyFont="1" applyFill="1"/>
    <xf numFmtId="44" fontId="1" fillId="0" borderId="0" xfId="5" applyAlignment="1">
      <alignment vertical="center"/>
    </xf>
    <xf numFmtId="43" fontId="1" fillId="0" borderId="0" xfId="5" applyNumberFormat="1" applyAlignment="1">
      <alignment vertical="center"/>
    </xf>
    <xf numFmtId="43" fontId="0" fillId="0" borderId="0" xfId="0" applyNumberFormat="1"/>
    <xf numFmtId="166" fontId="2" fillId="0" borderId="0" xfId="1" applyNumberFormat="1" applyFont="1"/>
    <xf numFmtId="44" fontId="2" fillId="0" borderId="0" xfId="5" applyFont="1" applyAlignment="1">
      <alignment vertical="center"/>
    </xf>
    <xf numFmtId="43" fontId="2" fillId="0" borderId="0" xfId="5" applyNumberFormat="1" applyFont="1" applyAlignment="1">
      <alignment vertical="center"/>
    </xf>
    <xf numFmtId="43" fontId="2" fillId="0" borderId="0" xfId="0" applyNumberFormat="1" applyFont="1"/>
    <xf numFmtId="43" fontId="0" fillId="0" borderId="0" xfId="5" applyNumberFormat="1" applyFont="1" applyAlignment="1">
      <alignment vertical="center"/>
    </xf>
    <xf numFmtId="39" fontId="2" fillId="0" borderId="0" xfId="5" applyNumberFormat="1" applyFont="1" applyAlignment="1">
      <alignment vertical="center"/>
    </xf>
    <xf numFmtId="39" fontId="2" fillId="0" borderId="0" xfId="0" applyNumberFormat="1" applyFont="1"/>
    <xf numFmtId="39" fontId="1" fillId="0" borderId="0" xfId="5" applyNumberFormat="1" applyAlignment="1">
      <alignment vertical="center"/>
    </xf>
    <xf numFmtId="39" fontId="0" fillId="0" borderId="0" xfId="5" applyNumberFormat="1" applyFont="1" applyAlignment="1">
      <alignment vertical="center"/>
    </xf>
    <xf numFmtId="39" fontId="2" fillId="0" borderId="0" xfId="0" applyNumberFormat="1" applyFont="1" applyAlignment="1">
      <alignment vertical="center"/>
    </xf>
    <xf numFmtId="39" fontId="0" fillId="0" borderId="0" xfId="0" applyNumberFormat="1" applyAlignment="1">
      <alignment vertical="center"/>
    </xf>
    <xf numFmtId="39" fontId="0" fillId="0" borderId="0" xfId="1" applyNumberFormat="1" applyFont="1"/>
    <xf numFmtId="166" fontId="0" fillId="0" borderId="14" xfId="1" applyNumberFormat="1" applyFont="1" applyBorder="1"/>
    <xf numFmtId="43" fontId="0" fillId="0" borderId="14" xfId="1" applyFont="1" applyBorder="1"/>
    <xf numFmtId="5" fontId="0" fillId="0" borderId="14" xfId="1" applyNumberFormat="1" applyFont="1" applyBorder="1"/>
    <xf numFmtId="43" fontId="9" fillId="0" borderId="0" xfId="1" applyFont="1" applyAlignment="1">
      <alignment horizontal="right"/>
    </xf>
    <xf numFmtId="49" fontId="9" fillId="0" borderId="0" xfId="1" applyNumberFormat="1" applyFont="1" applyAlignment="1">
      <alignment horizontal="right"/>
    </xf>
    <xf numFmtId="41" fontId="9" fillId="0" borderId="0" xfId="1" applyNumberFormat="1" applyFont="1"/>
    <xf numFmtId="43" fontId="0" fillId="0" borderId="0" xfId="1" applyFont="1" applyAlignment="1">
      <alignment horizontal="left"/>
    </xf>
    <xf numFmtId="10" fontId="0" fillId="0" borderId="0" xfId="6" applyNumberFormat="1" applyFont="1"/>
    <xf numFmtId="37" fontId="0" fillId="0" borderId="0" xfId="0" applyNumberFormat="1"/>
    <xf numFmtId="3" fontId="0" fillId="0" borderId="0" xfId="0" applyNumberFormat="1"/>
    <xf numFmtId="1" fontId="0" fillId="0" borderId="0" xfId="0" applyNumberFormat="1"/>
    <xf numFmtId="10" fontId="0" fillId="0" borderId="0" xfId="0" applyNumberFormat="1"/>
    <xf numFmtId="166" fontId="0" fillId="0" borderId="0" xfId="0" applyNumberFormat="1"/>
    <xf numFmtId="166" fontId="2" fillId="0" borderId="0" xfId="0" applyNumberFormat="1" applyFont="1"/>
    <xf numFmtId="166" fontId="2" fillId="3" borderId="0" xfId="0" applyNumberFormat="1" applyFont="1" applyFill="1"/>
    <xf numFmtId="166" fontId="2" fillId="0" borderId="15" xfId="0" applyNumberFormat="1" applyFont="1" applyBorder="1"/>
    <xf numFmtId="167" fontId="0" fillId="0" borderId="0" xfId="0" applyNumberFormat="1"/>
  </cellXfs>
  <cellStyles count="7">
    <cellStyle name="Comma" xfId="1" builtinId="3"/>
    <cellStyle name="Comma 2" xfId="2" xr:uid="{00000000-0005-0000-0000-000001000000}"/>
    <cellStyle name="Currency" xfId="5" builtinId="4"/>
    <cellStyle name="Normal" xfId="0" builtinId="0"/>
    <cellStyle name="Normal 2" xfId="3" xr:uid="{00000000-0005-0000-0000-000003000000}"/>
    <cellStyle name="Normal 3" xfId="4" xr:uid="{00000000-0005-0000-0000-000004000000}"/>
    <cellStyle name="Percent"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71</xdr:row>
      <xdr:rowOff>0</xdr:rowOff>
    </xdr:from>
    <xdr:to>
      <xdr:col>8</xdr:col>
      <xdr:colOff>160944</xdr:colOff>
      <xdr:row>85</xdr:row>
      <xdr:rowOff>104429</xdr:rowOff>
    </xdr:to>
    <xdr:pic>
      <xdr:nvPicPr>
        <xdr:cNvPr id="2" name="Picture 1">
          <a:extLst>
            <a:ext uri="{FF2B5EF4-FFF2-40B4-BE49-F238E27FC236}">
              <a16:creationId xmlns:a16="http://schemas.microsoft.com/office/drawing/2014/main" id="{5DA28426-65CE-448D-9DEB-246E55ED9A96}"/>
            </a:ext>
          </a:extLst>
        </xdr:cNvPr>
        <xdr:cNvPicPr>
          <a:picLocks noChangeAspect="1"/>
        </xdr:cNvPicPr>
      </xdr:nvPicPr>
      <xdr:blipFill>
        <a:blip xmlns:r="http://schemas.openxmlformats.org/officeDocument/2006/relationships" r:embed="rId1"/>
        <a:stretch>
          <a:fillRect/>
        </a:stretch>
      </xdr:blipFill>
      <xdr:spPr>
        <a:xfrm>
          <a:off x="0" y="13525500"/>
          <a:ext cx="7847619" cy="2771429"/>
        </a:xfrm>
        <a:prstGeom prst="rect">
          <a:avLst/>
        </a:prstGeom>
      </xdr:spPr>
    </xdr:pic>
    <xdr:clientData/>
  </xdr:twoCellAnchor>
  <xdr:twoCellAnchor editAs="oneCell">
    <xdr:from>
      <xdr:col>0</xdr:col>
      <xdr:colOff>0</xdr:colOff>
      <xdr:row>86</xdr:row>
      <xdr:rowOff>0</xdr:rowOff>
    </xdr:from>
    <xdr:to>
      <xdr:col>9</xdr:col>
      <xdr:colOff>341780</xdr:colOff>
      <xdr:row>117</xdr:row>
      <xdr:rowOff>161167</xdr:rowOff>
    </xdr:to>
    <xdr:pic>
      <xdr:nvPicPr>
        <xdr:cNvPr id="3" name="Picture 2">
          <a:extLst>
            <a:ext uri="{FF2B5EF4-FFF2-40B4-BE49-F238E27FC236}">
              <a16:creationId xmlns:a16="http://schemas.microsoft.com/office/drawing/2014/main" id="{9A04E79B-FFF3-4650-BA8F-205673F86138}"/>
            </a:ext>
          </a:extLst>
        </xdr:cNvPr>
        <xdr:cNvPicPr>
          <a:picLocks noChangeAspect="1"/>
        </xdr:cNvPicPr>
      </xdr:nvPicPr>
      <xdr:blipFill>
        <a:blip xmlns:r="http://schemas.openxmlformats.org/officeDocument/2006/relationships" r:embed="rId2"/>
        <a:stretch>
          <a:fillRect/>
        </a:stretch>
      </xdr:blipFill>
      <xdr:spPr>
        <a:xfrm>
          <a:off x="0" y="16383000"/>
          <a:ext cx="8961905" cy="606666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ryalice.rosales\AppData\Local\Microsoft\Windows\INetCache\Content.Outlook\6EOFQL0D\CRM%202019%20-%20Updated%20Tracking%20List%20as%20of%2010-07%20-%20300k%20Detai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ept/Rates/Pipeline%20Replacement%20Plan%20-%20Washington/2019/10-15-19%20Final%20Filing/UG-190455%20CRM%20Actual%20Forecast%20through%2008-31-19,%20%2009.30.19%20(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ry Saved As Values"/>
      <sheetName val="09-19 WO 265881"/>
      <sheetName val="09-19 WO 265880"/>
    </sheetNames>
    <sheetDataSet>
      <sheetData sheetId="0">
        <row r="13">
          <cell r="S13">
            <v>958954.36</v>
          </cell>
        </row>
        <row r="60">
          <cell r="S60">
            <v>419239.08</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ry Saved As Values"/>
      <sheetName val="WO 256583 01-2019"/>
      <sheetName val="WO 252854 01-2019"/>
      <sheetName val="09-19 WO 265881"/>
      <sheetName val="09-19 WO 265880"/>
    </sheetNames>
    <sheetDataSet>
      <sheetData sheetId="0">
        <row r="9">
          <cell r="AA9">
            <v>-887271.33000000007</v>
          </cell>
        </row>
        <row r="10">
          <cell r="AA10">
            <v>-173286.04999999993</v>
          </cell>
        </row>
        <row r="11">
          <cell r="AA11">
            <v>-7627.7099999999991</v>
          </cell>
        </row>
        <row r="15">
          <cell r="AA15">
            <v>29307.18</v>
          </cell>
        </row>
        <row r="17">
          <cell r="AA17">
            <v>1398302.78</v>
          </cell>
        </row>
        <row r="19">
          <cell r="AA19">
            <v>58647.520000000004</v>
          </cell>
        </row>
        <row r="47">
          <cell r="AA47">
            <v>668459.22999999986</v>
          </cell>
        </row>
        <row r="69">
          <cell r="AA69">
            <v>809875.1799999997</v>
          </cell>
        </row>
        <row r="86">
          <cell r="AA86">
            <v>882199.47</v>
          </cell>
        </row>
        <row r="88">
          <cell r="AA88">
            <v>60438.53</v>
          </cell>
        </row>
        <row r="90">
          <cell r="AA90">
            <v>60289.4</v>
          </cell>
        </row>
      </sheetData>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AC7D9F-B53D-4F04-90B7-B4BEF6A12D19}">
  <sheetPr>
    <pageSetUpPr fitToPage="1"/>
  </sheetPr>
  <dimension ref="A1:P73"/>
  <sheetViews>
    <sheetView tabSelected="1" zoomScaleNormal="100" workbookViewId="0">
      <selection activeCell="F15" sqref="F15"/>
    </sheetView>
  </sheetViews>
  <sheetFormatPr defaultRowHeight="15" x14ac:dyDescent="0.25"/>
  <cols>
    <col min="1" max="1" width="3" bestFit="1" customWidth="1"/>
    <col min="2" max="2" width="2.7109375" customWidth="1"/>
    <col min="3" max="3" width="75.42578125" bestFit="1" customWidth="1"/>
    <col min="4" max="4" width="14" bestFit="1" customWidth="1"/>
    <col min="5" max="5" width="41.7109375" customWidth="1"/>
    <col min="6" max="6" width="18.85546875" bestFit="1" customWidth="1"/>
    <col min="8" max="8" width="18.7109375" bestFit="1" customWidth="1"/>
    <col min="9" max="9" width="12.42578125" customWidth="1"/>
    <col min="10" max="10" width="12.140625" customWidth="1"/>
    <col min="11" max="12" width="12" customWidth="1"/>
    <col min="13" max="13" width="13.42578125" bestFit="1" customWidth="1"/>
    <col min="14" max="14" width="11.7109375" bestFit="1" customWidth="1"/>
    <col min="16" max="16" width="11.7109375" bestFit="1" customWidth="1"/>
  </cols>
  <sheetData>
    <row r="1" spans="1:16" ht="18.75" x14ac:dyDescent="0.3">
      <c r="C1" s="89" t="s">
        <v>388</v>
      </c>
    </row>
    <row r="2" spans="1:16" x14ac:dyDescent="0.25">
      <c r="C2" t="s">
        <v>389</v>
      </c>
      <c r="F2" s="90" t="s">
        <v>390</v>
      </c>
    </row>
    <row r="3" spans="1:16" x14ac:dyDescent="0.25">
      <c r="F3" s="91" t="s">
        <v>391</v>
      </c>
    </row>
    <row r="4" spans="1:16" x14ac:dyDescent="0.25">
      <c r="C4" s="10"/>
      <c r="D4" s="10"/>
      <c r="E4" s="10"/>
      <c r="F4" s="91" t="s">
        <v>392</v>
      </c>
      <c r="G4" s="10"/>
      <c r="H4" s="92">
        <v>43738</v>
      </c>
      <c r="I4" s="10"/>
      <c r="J4" s="10"/>
      <c r="K4" s="10"/>
      <c r="L4" s="10"/>
      <c r="M4" s="10"/>
      <c r="N4" s="10"/>
      <c r="O4" s="10"/>
    </row>
    <row r="5" spans="1:16" x14ac:dyDescent="0.25">
      <c r="C5" s="91" t="s">
        <v>393</v>
      </c>
      <c r="D5" s="91" t="s">
        <v>394</v>
      </c>
      <c r="E5" s="10"/>
      <c r="F5" s="91" t="s">
        <v>395</v>
      </c>
      <c r="G5" s="10"/>
      <c r="H5" s="11" t="s">
        <v>396</v>
      </c>
      <c r="I5" s="10"/>
      <c r="J5" s="11" t="s">
        <v>397</v>
      </c>
      <c r="K5" s="10"/>
      <c r="L5" s="10"/>
      <c r="M5" s="10"/>
      <c r="N5" s="11"/>
      <c r="O5" s="10"/>
    </row>
    <row r="6" spans="1:16" x14ac:dyDescent="0.25">
      <c r="C6" s="91"/>
      <c r="D6" s="91"/>
      <c r="E6" s="10"/>
      <c r="F6" s="11"/>
      <c r="G6" s="10"/>
      <c r="H6" s="11"/>
      <c r="I6" s="10"/>
      <c r="J6" s="10"/>
      <c r="K6" s="10"/>
      <c r="L6" s="10"/>
      <c r="M6" s="10"/>
      <c r="N6" s="10"/>
      <c r="O6" s="10"/>
    </row>
    <row r="7" spans="1:16" x14ac:dyDescent="0.25">
      <c r="A7">
        <v>1</v>
      </c>
      <c r="B7" t="s">
        <v>398</v>
      </c>
      <c r="C7" s="93" t="s">
        <v>399</v>
      </c>
      <c r="D7" s="94" t="s">
        <v>400</v>
      </c>
      <c r="E7" s="95"/>
      <c r="F7" s="96">
        <f>+'Query Saved As Values'!$AC$47</f>
        <v>1272510.96</v>
      </c>
      <c r="G7" s="97"/>
      <c r="H7" s="98">
        <f>+'[2]Query Saved As Values'!$AA$47</f>
        <v>668459.22999999986</v>
      </c>
      <c r="I7" s="93" t="s">
        <v>401</v>
      </c>
      <c r="L7" s="99"/>
      <c r="M7" s="93"/>
      <c r="N7" s="13"/>
      <c r="O7" s="13"/>
      <c r="P7" s="13"/>
    </row>
    <row r="8" spans="1:16" x14ac:dyDescent="0.25">
      <c r="A8">
        <v>2</v>
      </c>
      <c r="B8" t="s">
        <v>398</v>
      </c>
      <c r="C8" s="93" t="s">
        <v>402</v>
      </c>
      <c r="D8" s="94" t="s">
        <v>403</v>
      </c>
      <c r="E8" s="95"/>
      <c r="F8" s="96">
        <f>+'Query Saved As Values'!$AC$86</f>
        <v>1317983.47</v>
      </c>
      <c r="G8" s="97"/>
      <c r="H8" s="98">
        <f>+'[2]Query Saved As Values'!$AA$86</f>
        <v>882199.47</v>
      </c>
      <c r="I8" s="93" t="s">
        <v>401</v>
      </c>
      <c r="L8" s="99"/>
      <c r="M8" s="93"/>
      <c r="N8" s="13"/>
      <c r="O8" s="13"/>
      <c r="P8" s="13"/>
    </row>
    <row r="9" spans="1:16" x14ac:dyDescent="0.25">
      <c r="A9">
        <v>3</v>
      </c>
      <c r="B9" t="s">
        <v>398</v>
      </c>
      <c r="C9" s="100" t="s">
        <v>404</v>
      </c>
      <c r="D9" s="101" t="s">
        <v>403</v>
      </c>
      <c r="E9" s="95"/>
      <c r="F9" s="102">
        <f>+'Query Saved As Values'!$AC$17</f>
        <v>2742222.49</v>
      </c>
      <c r="G9" s="97"/>
      <c r="H9" s="103">
        <f>+'[2]Query Saved As Values'!$AA$17</f>
        <v>1398302.78</v>
      </c>
      <c r="I9" s="100" t="s">
        <v>405</v>
      </c>
      <c r="L9" s="99"/>
      <c r="M9" s="93"/>
      <c r="N9" s="13"/>
      <c r="O9" s="13"/>
      <c r="P9" s="13"/>
    </row>
    <row r="10" spans="1:16" x14ac:dyDescent="0.25">
      <c r="A10">
        <v>4</v>
      </c>
      <c r="B10" t="s">
        <v>398</v>
      </c>
      <c r="C10" s="93" t="s">
        <v>406</v>
      </c>
      <c r="D10" s="94" t="s">
        <v>407</v>
      </c>
      <c r="E10" s="95"/>
      <c r="F10" s="96"/>
      <c r="G10" s="97"/>
      <c r="H10" s="98"/>
      <c r="I10" s="93" t="s">
        <v>408</v>
      </c>
      <c r="L10" s="99"/>
      <c r="M10" s="93"/>
      <c r="N10" s="13"/>
      <c r="O10" s="13"/>
      <c r="P10" s="13"/>
    </row>
    <row r="11" spans="1:16" x14ac:dyDescent="0.25">
      <c r="A11" s="1">
        <v>5</v>
      </c>
      <c r="B11" s="1" t="s">
        <v>398</v>
      </c>
      <c r="C11" s="93" t="s">
        <v>409</v>
      </c>
      <c r="D11" s="94" t="s">
        <v>410</v>
      </c>
      <c r="E11" s="104"/>
      <c r="F11" s="105">
        <f>+'Query Saved As Values'!$AC$88</f>
        <v>60438.53</v>
      </c>
      <c r="H11" s="106">
        <f>+'[2]Query Saved As Values'!$AA$88</f>
        <v>60438.53</v>
      </c>
      <c r="I11" s="93" t="s">
        <v>411</v>
      </c>
      <c r="L11" s="107"/>
      <c r="M11" s="93"/>
      <c r="N11" s="13"/>
      <c r="O11" s="13"/>
      <c r="P11" s="13"/>
    </row>
    <row r="12" spans="1:16" x14ac:dyDescent="0.25">
      <c r="A12" s="1">
        <v>6</v>
      </c>
      <c r="B12" s="1" t="s">
        <v>398</v>
      </c>
      <c r="C12" s="100" t="s">
        <v>250</v>
      </c>
      <c r="D12" s="101" t="s">
        <v>410</v>
      </c>
      <c r="E12" s="108"/>
      <c r="F12" s="109">
        <f>+'Query Saved As Values'!$AC$11</f>
        <v>0</v>
      </c>
      <c r="G12" s="1"/>
      <c r="H12" s="110">
        <f>+'[2]Query Saved As Values'!$AA$11</f>
        <v>-7627.7099999999991</v>
      </c>
      <c r="I12" s="100" t="s">
        <v>408</v>
      </c>
      <c r="J12" s="1"/>
      <c r="K12" s="1"/>
      <c r="L12" s="107"/>
      <c r="M12" s="93"/>
      <c r="N12" s="13"/>
      <c r="O12" s="13"/>
      <c r="P12" s="13"/>
    </row>
    <row r="13" spans="1:16" x14ac:dyDescent="0.25">
      <c r="A13">
        <v>7</v>
      </c>
      <c r="B13" t="s">
        <v>398</v>
      </c>
      <c r="C13" s="93" t="s">
        <v>61</v>
      </c>
      <c r="D13" s="94" t="s">
        <v>403</v>
      </c>
      <c r="E13" s="95"/>
      <c r="F13" s="111">
        <f>+'Query Saved As Values'!$AC$15</f>
        <v>315382.90999999997</v>
      </c>
      <c r="H13" s="106">
        <f>+'[2]Query Saved As Values'!$AA$15</f>
        <v>29307.18</v>
      </c>
      <c r="I13" s="93" t="s">
        <v>412</v>
      </c>
      <c r="L13" s="99"/>
      <c r="M13" s="93"/>
      <c r="N13" s="13"/>
      <c r="O13" s="13"/>
      <c r="P13" s="13"/>
    </row>
    <row r="14" spans="1:16" x14ac:dyDescent="0.25">
      <c r="A14">
        <v>8</v>
      </c>
      <c r="B14" t="s">
        <v>398</v>
      </c>
      <c r="C14" s="100" t="s">
        <v>387</v>
      </c>
      <c r="D14" s="101" t="s">
        <v>400</v>
      </c>
      <c r="E14" s="95"/>
      <c r="F14" s="109">
        <f>+'Query Saved As Values'!$AC$10</f>
        <v>0</v>
      </c>
      <c r="H14" s="110">
        <f>+'[2]Query Saved As Values'!$AA$10</f>
        <v>-173286.04999999993</v>
      </c>
      <c r="I14" s="100" t="s">
        <v>413</v>
      </c>
      <c r="L14" s="99"/>
      <c r="M14" s="93"/>
      <c r="N14" s="13"/>
      <c r="O14" s="13"/>
      <c r="P14" s="13"/>
    </row>
    <row r="15" spans="1:16" x14ac:dyDescent="0.25">
      <c r="A15">
        <v>9</v>
      </c>
      <c r="B15" t="s">
        <v>398</v>
      </c>
      <c r="C15" s="100" t="s">
        <v>414</v>
      </c>
      <c r="D15" s="101" t="s">
        <v>415</v>
      </c>
      <c r="E15" s="95"/>
      <c r="F15" s="109">
        <f>+'Query Saved As Values'!$AC$9</f>
        <v>0</v>
      </c>
      <c r="G15" s="1"/>
      <c r="H15" s="110">
        <f>+'[2]Query Saved As Values'!$AA$9</f>
        <v>-887271.33000000007</v>
      </c>
      <c r="I15" s="100" t="s">
        <v>416</v>
      </c>
      <c r="L15" s="99"/>
      <c r="M15" s="93"/>
      <c r="N15" s="13"/>
      <c r="O15" s="13"/>
      <c r="P15" s="13"/>
    </row>
    <row r="16" spans="1:16" x14ac:dyDescent="0.25">
      <c r="A16">
        <v>10</v>
      </c>
      <c r="B16" t="s">
        <v>398</v>
      </c>
      <c r="C16" s="100" t="s">
        <v>417</v>
      </c>
      <c r="D16" s="101" t="s">
        <v>418</v>
      </c>
      <c r="E16" s="95"/>
      <c r="F16" s="109"/>
      <c r="G16" s="1"/>
      <c r="H16" s="110"/>
      <c r="I16" s="100" t="s">
        <v>419</v>
      </c>
      <c r="L16" s="99"/>
      <c r="M16" s="93"/>
      <c r="N16" s="13"/>
      <c r="O16" s="13"/>
      <c r="P16" s="13"/>
    </row>
    <row r="17" spans="1:16" x14ac:dyDescent="0.25">
      <c r="A17">
        <v>11</v>
      </c>
      <c r="B17" t="s">
        <v>398</v>
      </c>
      <c r="C17" s="93" t="s">
        <v>420</v>
      </c>
      <c r="D17" s="94" t="s">
        <v>403</v>
      </c>
      <c r="E17" s="95"/>
      <c r="F17" s="111">
        <f>+'Query Saved As Values'!$AC$69</f>
        <v>1697159.99</v>
      </c>
      <c r="H17" s="106">
        <f>+'[2]Query Saved As Values'!$AA$69</f>
        <v>809875.1799999997</v>
      </c>
      <c r="I17" s="93" t="s">
        <v>421</v>
      </c>
      <c r="L17" s="99"/>
      <c r="M17" s="93"/>
      <c r="N17" s="13"/>
      <c r="O17" s="13"/>
      <c r="P17" s="13"/>
    </row>
    <row r="18" spans="1:16" x14ac:dyDescent="0.25">
      <c r="A18">
        <v>12</v>
      </c>
      <c r="B18" t="s">
        <v>398</v>
      </c>
      <c r="C18" s="93" t="s">
        <v>422</v>
      </c>
      <c r="D18" s="94" t="s">
        <v>423</v>
      </c>
      <c r="E18" s="95"/>
      <c r="F18" s="111">
        <f>+'Query Saved As Values'!$AC$90</f>
        <v>279770.44</v>
      </c>
      <c r="H18" s="106">
        <f>+'[2]Query Saved As Values'!$AA$90</f>
        <v>60289.4</v>
      </c>
      <c r="I18" s="93" t="s">
        <v>424</v>
      </c>
      <c r="L18" s="99"/>
      <c r="M18" s="93"/>
      <c r="N18" s="13"/>
      <c r="O18" s="13"/>
      <c r="P18" s="13"/>
    </row>
    <row r="19" spans="1:16" x14ac:dyDescent="0.25">
      <c r="A19">
        <v>13</v>
      </c>
      <c r="B19" t="s">
        <v>398</v>
      </c>
      <c r="C19" s="100" t="s">
        <v>425</v>
      </c>
      <c r="D19" s="101" t="s">
        <v>415</v>
      </c>
      <c r="E19" s="108"/>
      <c r="F19" s="112"/>
      <c r="G19" s="113"/>
      <c r="H19" s="113"/>
      <c r="I19" s="100" t="s">
        <v>424</v>
      </c>
      <c r="J19" s="1"/>
      <c r="K19" s="1"/>
      <c r="L19" s="107"/>
      <c r="M19" s="93"/>
    </row>
    <row r="20" spans="1:16" x14ac:dyDescent="0.25">
      <c r="A20">
        <v>14</v>
      </c>
      <c r="B20" t="s">
        <v>398</v>
      </c>
      <c r="C20" s="93" t="s">
        <v>426</v>
      </c>
      <c r="D20" s="94" t="s">
        <v>427</v>
      </c>
      <c r="E20" s="108"/>
      <c r="F20" s="114">
        <f>+'Query Saved As Values'!$AC$19</f>
        <v>196263.52000000002</v>
      </c>
      <c r="G20" s="113"/>
      <c r="H20" s="9">
        <f>+'[2]Query Saved As Values'!$AA$19</f>
        <v>58647.520000000004</v>
      </c>
      <c r="I20" s="93" t="s">
        <v>428</v>
      </c>
      <c r="J20" s="1"/>
      <c r="K20" s="1"/>
      <c r="L20" s="107"/>
      <c r="M20" s="93"/>
    </row>
    <row r="21" spans="1:16" x14ac:dyDescent="0.25">
      <c r="A21">
        <v>15</v>
      </c>
      <c r="C21" s="93"/>
      <c r="D21" s="94"/>
      <c r="E21" s="108"/>
      <c r="F21" s="114"/>
      <c r="G21" s="113"/>
      <c r="H21" s="9"/>
      <c r="I21" s="100"/>
      <c r="J21" s="1"/>
      <c r="K21" s="1"/>
      <c r="L21" s="107"/>
      <c r="M21" s="93"/>
    </row>
    <row r="22" spans="1:16" x14ac:dyDescent="0.25">
      <c r="A22">
        <v>16</v>
      </c>
      <c r="C22" s="93"/>
      <c r="D22" s="94"/>
      <c r="E22" s="108"/>
      <c r="F22" s="114"/>
      <c r="G22" s="113"/>
      <c r="H22" s="9"/>
      <c r="I22" s="100"/>
      <c r="J22" s="1"/>
      <c r="K22" s="1"/>
      <c r="L22" s="107"/>
      <c r="M22" s="93"/>
    </row>
    <row r="23" spans="1:16" x14ac:dyDescent="0.25">
      <c r="A23">
        <v>17</v>
      </c>
      <c r="C23" s="93" t="s">
        <v>429</v>
      </c>
      <c r="D23" s="94"/>
      <c r="E23" s="108"/>
      <c r="F23" s="114"/>
      <c r="G23" s="113"/>
      <c r="H23" s="9"/>
      <c r="I23" s="100"/>
      <c r="J23" s="1"/>
      <c r="K23" s="1"/>
      <c r="L23" s="107"/>
      <c r="M23" s="93"/>
    </row>
    <row r="24" spans="1:16" x14ac:dyDescent="0.25">
      <c r="A24">
        <v>18</v>
      </c>
      <c r="C24" s="93"/>
      <c r="D24" s="94"/>
      <c r="E24" s="95"/>
      <c r="F24" s="115"/>
      <c r="G24" s="9"/>
      <c r="H24" s="9"/>
      <c r="I24" s="93"/>
      <c r="L24" s="99"/>
      <c r="M24" s="93"/>
    </row>
    <row r="25" spans="1:16" ht="15.75" thickBot="1" x14ac:dyDescent="0.3">
      <c r="A25">
        <v>19</v>
      </c>
      <c r="C25" s="93"/>
      <c r="D25" s="94"/>
      <c r="E25" s="108"/>
      <c r="F25" s="116"/>
      <c r="G25" s="117"/>
      <c r="H25" s="118"/>
      <c r="I25" s="10"/>
      <c r="J25" s="10"/>
      <c r="K25" s="10"/>
      <c r="L25" s="10"/>
      <c r="M25" s="10"/>
      <c r="N25" s="10"/>
      <c r="O25" s="10"/>
    </row>
    <row r="26" spans="1:16" ht="15.75" thickTop="1" x14ac:dyDescent="0.25">
      <c r="A26">
        <v>20</v>
      </c>
      <c r="C26" s="10" t="s">
        <v>430</v>
      </c>
      <c r="D26" s="10"/>
      <c r="E26" s="10"/>
      <c r="F26" s="119">
        <f>SUM(F7:F25)</f>
        <v>7881732.3100000005</v>
      </c>
      <c r="G26" s="120"/>
      <c r="H26" s="121">
        <f>SUM(H7:H25)</f>
        <v>2899334.1999999993</v>
      </c>
      <c r="I26" s="99"/>
      <c r="J26" s="10"/>
      <c r="K26" s="10"/>
      <c r="L26" s="10"/>
      <c r="M26" s="10"/>
      <c r="N26" s="10"/>
      <c r="O26" s="10"/>
    </row>
    <row r="27" spans="1:16" x14ac:dyDescent="0.25">
      <c r="C27" s="10"/>
      <c r="D27" s="10"/>
      <c r="E27" s="10"/>
      <c r="F27" s="99"/>
      <c r="G27" s="10"/>
      <c r="H27" s="99"/>
      <c r="I27" s="10"/>
      <c r="J27" s="10"/>
      <c r="K27" s="10"/>
      <c r="L27" s="10"/>
      <c r="M27" s="10"/>
      <c r="N27" s="10"/>
      <c r="O27" s="10"/>
    </row>
    <row r="28" spans="1:16" ht="18.75" x14ac:dyDescent="0.3">
      <c r="C28" s="10"/>
      <c r="D28" s="10"/>
      <c r="E28" s="10"/>
      <c r="F28" s="10"/>
      <c r="G28" s="10"/>
      <c r="H28" s="122" t="s">
        <v>431</v>
      </c>
      <c r="I28" s="122" t="s">
        <v>431</v>
      </c>
      <c r="J28" s="122" t="s">
        <v>431</v>
      </c>
      <c r="K28" s="122" t="s">
        <v>431</v>
      </c>
      <c r="L28" s="122" t="s">
        <v>431</v>
      </c>
      <c r="M28" s="122" t="s">
        <v>431</v>
      </c>
      <c r="N28" s="122"/>
      <c r="O28" s="122"/>
    </row>
    <row r="29" spans="1:16" ht="18.75" x14ac:dyDescent="0.3">
      <c r="C29" s="10"/>
      <c r="D29" s="10"/>
      <c r="E29" s="10"/>
      <c r="F29" s="10"/>
      <c r="G29" s="10"/>
      <c r="H29" s="123" t="s">
        <v>432</v>
      </c>
      <c r="I29" s="124">
        <v>504</v>
      </c>
      <c r="J29" s="123" t="s">
        <v>433</v>
      </c>
      <c r="K29" s="124">
        <v>511</v>
      </c>
      <c r="L29" s="123" t="s">
        <v>434</v>
      </c>
      <c r="M29" s="124">
        <v>663</v>
      </c>
      <c r="N29" s="124"/>
      <c r="O29" s="124"/>
    </row>
    <row r="30" spans="1:16" x14ac:dyDescent="0.25">
      <c r="C30" s="10"/>
      <c r="D30" s="10"/>
      <c r="E30" s="10"/>
      <c r="F30" s="10"/>
      <c r="G30" s="10"/>
      <c r="H30" s="10" t="s">
        <v>16</v>
      </c>
      <c r="I30" s="10"/>
      <c r="J30" s="10"/>
      <c r="K30" s="10"/>
      <c r="L30" s="10"/>
      <c r="M30" s="10"/>
      <c r="N30" s="10"/>
      <c r="O30" s="10"/>
    </row>
    <row r="31" spans="1:16" x14ac:dyDescent="0.25">
      <c r="A31">
        <v>38</v>
      </c>
      <c r="C31" s="125" t="s">
        <v>435</v>
      </c>
      <c r="D31" s="125"/>
      <c r="E31" s="10"/>
      <c r="F31" s="99">
        <f>SUM(H31:Q31)</f>
        <v>279938461</v>
      </c>
      <c r="G31" s="99"/>
      <c r="H31" s="99">
        <v>139245995</v>
      </c>
      <c r="I31" s="99">
        <v>64103014</v>
      </c>
      <c r="J31" s="99">
        <v>7030783</v>
      </c>
      <c r="K31" s="99">
        <v>5473765</v>
      </c>
      <c r="L31" s="99">
        <v>806645</v>
      </c>
      <c r="M31" s="99">
        <v>63278259</v>
      </c>
      <c r="N31" s="99"/>
      <c r="O31" s="99"/>
    </row>
    <row r="32" spans="1:16" x14ac:dyDescent="0.25">
      <c r="A32">
        <v>39</v>
      </c>
      <c r="C32" t="s">
        <v>436</v>
      </c>
      <c r="F32" s="126">
        <f>SUM(H32:Q32)</f>
        <v>1</v>
      </c>
      <c r="H32" s="126">
        <f t="shared" ref="H32:M32" si="0">+H31/$F$31</f>
        <v>0.49741644825288939</v>
      </c>
      <c r="I32" s="126">
        <f t="shared" si="0"/>
        <v>0.22898966355323358</v>
      </c>
      <c r="J32" s="126">
        <f t="shared" si="0"/>
        <v>2.5115459215159435E-2</v>
      </c>
      <c r="K32" s="126">
        <f t="shared" si="0"/>
        <v>1.9553458215232526E-2</v>
      </c>
      <c r="L32" s="126">
        <f t="shared" si="0"/>
        <v>2.8815083040697291E-3</v>
      </c>
      <c r="M32" s="126">
        <f t="shared" si="0"/>
        <v>0.22604346245941531</v>
      </c>
      <c r="N32" s="126"/>
      <c r="O32" s="126"/>
    </row>
    <row r="35" spans="1:8" x14ac:dyDescent="0.25">
      <c r="A35">
        <v>40</v>
      </c>
      <c r="C35" t="s">
        <v>437</v>
      </c>
      <c r="E35" t="s">
        <v>438</v>
      </c>
      <c r="F35" s="127">
        <f>+F26</f>
        <v>7881732.3100000005</v>
      </c>
    </row>
    <row r="37" spans="1:8" x14ac:dyDescent="0.25">
      <c r="A37">
        <v>41</v>
      </c>
      <c r="C37" t="s">
        <v>439</v>
      </c>
      <c r="E37" t="s">
        <v>440</v>
      </c>
      <c r="F37" s="128">
        <f>+F35*0.0258</f>
        <v>203348.69359800001</v>
      </c>
      <c r="G37" s="128"/>
      <c r="H37" s="128">
        <f>+F37</f>
        <v>203348.69359800001</v>
      </c>
    </row>
    <row r="38" spans="1:8" x14ac:dyDescent="0.25">
      <c r="A38">
        <v>42</v>
      </c>
      <c r="C38" t="s">
        <v>441</v>
      </c>
      <c r="E38" t="s">
        <v>442</v>
      </c>
      <c r="F38" s="128">
        <f>+F37/2</f>
        <v>101674.34679900001</v>
      </c>
      <c r="G38" s="128"/>
      <c r="H38" s="128"/>
    </row>
    <row r="39" spans="1:8" x14ac:dyDescent="0.25">
      <c r="A39">
        <v>43</v>
      </c>
      <c r="C39" t="s">
        <v>443</v>
      </c>
      <c r="E39" t="s">
        <v>444</v>
      </c>
      <c r="F39" s="128">
        <f>+F35*0.0375</f>
        <v>295564.961625</v>
      </c>
      <c r="G39" s="128"/>
      <c r="H39" s="128"/>
    </row>
    <row r="40" spans="1:8" x14ac:dyDescent="0.25">
      <c r="A40">
        <v>44</v>
      </c>
      <c r="C40" t="s">
        <v>445</v>
      </c>
      <c r="E40" t="s">
        <v>446</v>
      </c>
      <c r="F40" s="128">
        <f>(+F39-F37)*0.21</f>
        <v>19365.416285669995</v>
      </c>
      <c r="G40" s="128"/>
      <c r="H40" s="128"/>
    </row>
    <row r="41" spans="1:8" x14ac:dyDescent="0.25">
      <c r="A41">
        <v>45</v>
      </c>
      <c r="C41" t="s">
        <v>447</v>
      </c>
      <c r="E41" t="s">
        <v>448</v>
      </c>
      <c r="F41" s="128">
        <f>+F40/2</f>
        <v>9682.7081428349975</v>
      </c>
      <c r="G41" s="128"/>
      <c r="H41" s="128"/>
    </row>
    <row r="42" spans="1:8" x14ac:dyDescent="0.25">
      <c r="A42">
        <v>46</v>
      </c>
      <c r="C42" t="s">
        <v>449</v>
      </c>
      <c r="E42" t="s">
        <v>450</v>
      </c>
      <c r="F42" s="128"/>
      <c r="G42" s="128"/>
      <c r="H42" s="128">
        <f>+H37*0.21</f>
        <v>42703.225655579998</v>
      </c>
    </row>
    <row r="43" spans="1:8" x14ac:dyDescent="0.25">
      <c r="A43" s="129">
        <v>47</v>
      </c>
      <c r="B43" s="129"/>
      <c r="C43" t="s">
        <v>451</v>
      </c>
      <c r="F43" s="128"/>
      <c r="G43" s="128"/>
      <c r="H43" s="128">
        <f>+F44*0.0270045*0.21</f>
        <v>44065.370700795829</v>
      </c>
    </row>
    <row r="44" spans="1:8" x14ac:dyDescent="0.25">
      <c r="A44">
        <v>48</v>
      </c>
      <c r="C44" t="s">
        <v>452</v>
      </c>
      <c r="E44" t="s">
        <v>453</v>
      </c>
      <c r="F44" s="128">
        <f>+F26-F41-F38</f>
        <v>7770375.2550581656</v>
      </c>
      <c r="G44" s="128"/>
      <c r="H44" s="128"/>
    </row>
    <row r="45" spans="1:8" x14ac:dyDescent="0.25">
      <c r="A45">
        <v>49</v>
      </c>
      <c r="C45" t="s">
        <v>454</v>
      </c>
      <c r="F45" s="130">
        <v>7.3099999999999998E-2</v>
      </c>
    </row>
    <row r="47" spans="1:8" x14ac:dyDescent="0.25">
      <c r="A47">
        <v>50</v>
      </c>
      <c r="C47" t="s">
        <v>455</v>
      </c>
      <c r="E47" t="s">
        <v>456</v>
      </c>
      <c r="F47" s="131">
        <f>+F44*F45</f>
        <v>568014.43114475184</v>
      </c>
      <c r="G47" s="131"/>
      <c r="H47" s="131">
        <f>+H37-H42-H43</f>
        <v>116580.09724162419</v>
      </c>
    </row>
    <row r="48" spans="1:8" x14ac:dyDescent="0.25">
      <c r="A48">
        <v>51</v>
      </c>
      <c r="C48" t="s">
        <v>457</v>
      </c>
      <c r="E48" t="s">
        <v>458</v>
      </c>
      <c r="F48" s="131">
        <f>+F47+H47</f>
        <v>684594.52838637598</v>
      </c>
      <c r="G48" s="131"/>
      <c r="H48" s="131"/>
    </row>
    <row r="49" spans="1:16" x14ac:dyDescent="0.25">
      <c r="A49">
        <v>52</v>
      </c>
      <c r="C49" t="s">
        <v>459</v>
      </c>
      <c r="F49">
        <v>0.75499000000000005</v>
      </c>
    </row>
    <row r="50" spans="1:16" x14ac:dyDescent="0.25">
      <c r="A50">
        <v>53</v>
      </c>
      <c r="C50" t="s">
        <v>460</v>
      </c>
      <c r="E50" t="s">
        <v>461</v>
      </c>
      <c r="F50" s="132">
        <f>+F48/F49</f>
        <v>906759.72977970028</v>
      </c>
      <c r="H50" s="132"/>
      <c r="I50" s="131"/>
      <c r="J50" s="131"/>
      <c r="K50" s="131"/>
      <c r="L50" s="131"/>
      <c r="M50" s="131"/>
      <c r="N50" s="131"/>
      <c r="O50" s="131"/>
    </row>
    <row r="51" spans="1:16" x14ac:dyDescent="0.25">
      <c r="C51" t="s">
        <v>462</v>
      </c>
      <c r="F51" s="133"/>
      <c r="H51" s="132"/>
      <c r="I51" s="131"/>
      <c r="J51" s="131"/>
      <c r="K51" s="131"/>
      <c r="L51" s="131"/>
      <c r="M51" s="131"/>
      <c r="N51" s="131"/>
      <c r="O51" s="131"/>
    </row>
    <row r="52" spans="1:16" x14ac:dyDescent="0.25">
      <c r="H52" s="132"/>
      <c r="I52" s="131"/>
      <c r="J52" s="131"/>
      <c r="K52" s="131"/>
      <c r="L52" s="131"/>
      <c r="M52" s="131"/>
      <c r="N52" s="131"/>
      <c r="O52" s="131"/>
    </row>
    <row r="53" spans="1:16" ht="15.75" thickBot="1" x14ac:dyDescent="0.3">
      <c r="A53">
        <v>54</v>
      </c>
      <c r="C53" t="s">
        <v>463</v>
      </c>
      <c r="E53" t="s">
        <v>464</v>
      </c>
      <c r="F53" s="134">
        <f>+F50+F51</f>
        <v>906759.72977970028</v>
      </c>
      <c r="H53" s="132"/>
      <c r="I53" s="131"/>
      <c r="J53" s="131"/>
      <c r="K53" s="131"/>
      <c r="L53" s="131"/>
      <c r="M53" s="131"/>
      <c r="N53" s="131"/>
      <c r="O53" s="131"/>
    </row>
    <row r="54" spans="1:16" ht="15.75" thickTop="1" x14ac:dyDescent="0.25">
      <c r="C54" t="s">
        <v>465</v>
      </c>
      <c r="F54" s="133"/>
      <c r="H54" s="131">
        <f>0.01341*$H$59</f>
        <v>1744450.3232100001</v>
      </c>
      <c r="I54" s="131">
        <f>0.00909*I59</f>
        <v>834936.76161000005</v>
      </c>
      <c r="J54" s="131">
        <f>0.00684*J59</f>
        <v>82044.432000000001</v>
      </c>
      <c r="K54" s="131">
        <f>0.00473*K59</f>
        <v>66483.210309999995</v>
      </c>
      <c r="L54" s="131">
        <f>0.0034*L59</f>
        <v>7484.9946</v>
      </c>
      <c r="M54" s="131">
        <f>0.00171*M59</f>
        <v>904436.23508999997</v>
      </c>
      <c r="N54" s="131"/>
      <c r="O54" s="131"/>
      <c r="P54" s="131"/>
    </row>
    <row r="55" spans="1:16" x14ac:dyDescent="0.25">
      <c r="F55" s="132"/>
      <c r="H55" s="132"/>
      <c r="I55" s="131"/>
      <c r="J55" s="131"/>
      <c r="K55" s="131"/>
      <c r="L55" s="131"/>
      <c r="M55" s="131"/>
      <c r="N55" s="131"/>
      <c r="O55" s="131"/>
    </row>
    <row r="56" spans="1:16" x14ac:dyDescent="0.25">
      <c r="C56" t="s">
        <v>466</v>
      </c>
      <c r="F56" s="132">
        <f>+F53-F54</f>
        <v>906759.72977970028</v>
      </c>
      <c r="H56" s="132"/>
      <c r="I56" s="131"/>
      <c r="J56" s="131"/>
      <c r="K56" s="131"/>
      <c r="L56" s="131"/>
      <c r="M56" s="131"/>
      <c r="N56" s="131"/>
      <c r="O56" s="131"/>
    </row>
    <row r="57" spans="1:16" x14ac:dyDescent="0.25">
      <c r="H57" s="131"/>
      <c r="I57" s="131"/>
      <c r="J57" s="131"/>
      <c r="K57" s="131"/>
      <c r="L57" s="131"/>
      <c r="M57" s="131"/>
      <c r="N57" s="131"/>
      <c r="O57" s="131"/>
    </row>
    <row r="58" spans="1:16" x14ac:dyDescent="0.25">
      <c r="A58">
        <v>55</v>
      </c>
      <c r="C58" t="s">
        <v>467</v>
      </c>
      <c r="E58" t="s">
        <v>468</v>
      </c>
      <c r="H58" s="131">
        <f t="shared" ref="H58:M58" si="1">+$F$53*H32</f>
        <v>451037.20420576824</v>
      </c>
      <c r="I58" s="131">
        <f t="shared" si="1"/>
        <v>207638.60544587456</v>
      </c>
      <c r="J58" s="131">
        <f t="shared" si="1"/>
        <v>22773.687011231053</v>
      </c>
      <c r="K58" s="131">
        <f t="shared" si="1"/>
        <v>17730.288487502905</v>
      </c>
      <c r="L58" s="131">
        <f t="shared" si="1"/>
        <v>2612.83569115623</v>
      </c>
      <c r="M58" s="131">
        <f t="shared" si="1"/>
        <v>204967.10893816725</v>
      </c>
      <c r="N58" s="131"/>
      <c r="O58" s="131"/>
    </row>
    <row r="59" spans="1:16" x14ac:dyDescent="0.25">
      <c r="A59">
        <v>56</v>
      </c>
      <c r="C59" t="s">
        <v>469</v>
      </c>
      <c r="F59" s="128"/>
      <c r="H59" s="128">
        <v>130085781</v>
      </c>
      <c r="I59" s="128">
        <v>91852229</v>
      </c>
      <c r="J59" s="128">
        <v>11994800</v>
      </c>
      <c r="K59" s="128">
        <v>14055647</v>
      </c>
      <c r="L59" s="128">
        <v>2201469</v>
      </c>
      <c r="M59" s="128">
        <v>528910079</v>
      </c>
      <c r="N59" s="128"/>
      <c r="O59" s="128"/>
    </row>
    <row r="60" spans="1:16" x14ac:dyDescent="0.25">
      <c r="H60" s="128"/>
      <c r="I60" s="128"/>
      <c r="J60" s="128"/>
      <c r="K60" s="128"/>
      <c r="L60" s="128"/>
      <c r="M60" s="128"/>
      <c r="N60" s="128"/>
      <c r="O60" s="128"/>
    </row>
    <row r="61" spans="1:16" x14ac:dyDescent="0.25">
      <c r="H61" s="128"/>
      <c r="I61" s="128"/>
      <c r="J61" s="128"/>
      <c r="K61" s="128"/>
      <c r="L61" s="128"/>
      <c r="M61" s="128"/>
      <c r="N61" s="128"/>
      <c r="O61" s="128"/>
    </row>
    <row r="62" spans="1:16" x14ac:dyDescent="0.25">
      <c r="A62">
        <v>57</v>
      </c>
      <c r="C62" t="s">
        <v>470</v>
      </c>
      <c r="E62" t="s">
        <v>471</v>
      </c>
      <c r="H62" s="135">
        <f>+H58/H59</f>
        <v>3.4672290909778082E-3</v>
      </c>
      <c r="I62" s="135">
        <f>+I58/I59</f>
        <v>2.2605723095285423E-3</v>
      </c>
      <c r="J62" s="135">
        <f>+J58/J59</f>
        <v>1.8986299905985138E-3</v>
      </c>
      <c r="K62" s="135">
        <f t="shared" ref="K62:M62" si="2">+K58/K59</f>
        <v>1.26143524289582E-3</v>
      </c>
      <c r="L62" s="135">
        <f t="shared" si="2"/>
        <v>1.1868600880395E-3</v>
      </c>
      <c r="M62" s="135">
        <f t="shared" si="2"/>
        <v>3.8752732662174748E-4</v>
      </c>
      <c r="N62" s="135"/>
      <c r="O62" s="135"/>
    </row>
    <row r="64" spans="1:16" x14ac:dyDescent="0.25">
      <c r="A64">
        <v>58</v>
      </c>
      <c r="C64" t="s">
        <v>472</v>
      </c>
      <c r="H64" s="131">
        <v>224484640</v>
      </c>
    </row>
    <row r="65" spans="1:13" x14ac:dyDescent="0.25">
      <c r="A65">
        <v>59</v>
      </c>
      <c r="C65" t="s">
        <v>473</v>
      </c>
      <c r="E65" t="s">
        <v>474</v>
      </c>
      <c r="H65" s="130">
        <f>(+F56)/H64</f>
        <v>4.0392952042496103E-3</v>
      </c>
    </row>
    <row r="66" spans="1:13" x14ac:dyDescent="0.25">
      <c r="H66" s="126"/>
    </row>
    <row r="67" spans="1:13" x14ac:dyDescent="0.25">
      <c r="H67" s="126"/>
    </row>
    <row r="72" spans="1:13" x14ac:dyDescent="0.25">
      <c r="H72" s="128"/>
      <c r="I72" s="128"/>
      <c r="J72" s="128"/>
      <c r="K72" s="128"/>
      <c r="L72" s="128"/>
      <c r="M72" s="128"/>
    </row>
    <row r="73" spans="1:13" x14ac:dyDescent="0.25">
      <c r="H73" s="128"/>
      <c r="I73" s="128"/>
      <c r="J73" s="128"/>
      <c r="K73" s="128"/>
      <c r="L73" s="128"/>
      <c r="M73" s="128"/>
    </row>
  </sheetData>
  <pageMargins left="0.7" right="0.7" top="0.75" bottom="0.75" header="0.3" footer="0.3"/>
  <pageSetup scale="4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8"/>
  <sheetViews>
    <sheetView view="pageBreakPreview" zoomScale="60" zoomScaleNormal="100" workbookViewId="0">
      <pane xSplit="10" ySplit="8" topLeftCell="N9" activePane="bottomRight" state="frozen"/>
      <selection activeCell="G1" sqref="G1"/>
      <selection pane="topRight" activeCell="K1" sqref="K1"/>
      <selection pane="bottomLeft" activeCell="G8" sqref="G8"/>
      <selection pane="bottomRight" activeCell="AC98" sqref="AC98"/>
    </sheetView>
  </sheetViews>
  <sheetFormatPr defaultRowHeight="15" outlineLevelCol="1" x14ac:dyDescent="0.25"/>
  <cols>
    <col min="1" max="1" width="9.28515625" hidden="1" customWidth="1" outlineLevel="1"/>
    <col min="2" max="2" width="12.85546875" hidden="1" customWidth="1" outlineLevel="1"/>
    <col min="3" max="3" width="9.5703125" hidden="1" customWidth="1" outlineLevel="1"/>
    <col min="4" max="4" width="10.140625" hidden="1" customWidth="1" outlineLevel="1"/>
    <col min="5" max="5" width="14.85546875" hidden="1" customWidth="1" outlineLevel="1"/>
    <col min="6" max="6" width="10" style="5" hidden="1" customWidth="1" outlineLevel="1"/>
    <col min="7" max="7" width="18.7109375" style="5" bestFit="1" customWidth="1" collapsed="1"/>
    <col min="8" max="8" width="36.85546875" bestFit="1" customWidth="1"/>
    <col min="9" max="9" width="11.28515625" style="6" bestFit="1" customWidth="1"/>
    <col min="10" max="10" width="33.5703125" bestFit="1" customWidth="1"/>
    <col min="11" max="14" width="16.7109375" bestFit="1" customWidth="1"/>
    <col min="15" max="15" width="20.42578125" bestFit="1" customWidth="1"/>
    <col min="16" max="16" width="12.85546875" customWidth="1"/>
    <col min="17" max="17" width="20.28515625" customWidth="1"/>
    <col min="18" max="20" width="16.7109375" bestFit="1" customWidth="1"/>
    <col min="21" max="21" width="5.42578125" customWidth="1"/>
    <col min="22" max="22" width="16.7109375" bestFit="1" customWidth="1"/>
    <col min="23" max="23" width="17.42578125" customWidth="1"/>
    <col min="24" max="24" width="5.140625" customWidth="1"/>
    <col min="25" max="25" width="18.7109375" bestFit="1" customWidth="1"/>
    <col min="26" max="26" width="18.42578125" bestFit="1" customWidth="1"/>
    <col min="27" max="27" width="18.42578125" customWidth="1"/>
    <col min="28" max="28" width="5.85546875" customWidth="1"/>
    <col min="29" max="29" width="17.7109375" bestFit="1" customWidth="1"/>
  </cols>
  <sheetData>
    <row r="1" spans="1:32" x14ac:dyDescent="0.25">
      <c r="D1" s="14" t="s">
        <v>259</v>
      </c>
      <c r="E1" s="14"/>
      <c r="F1" s="15"/>
      <c r="G1" s="15"/>
      <c r="H1" s="14"/>
      <c r="Q1" s="14" t="s">
        <v>259</v>
      </c>
      <c r="R1" s="14"/>
      <c r="S1" s="15"/>
      <c r="T1" s="15"/>
      <c r="U1" s="14"/>
    </row>
    <row r="2" spans="1:32" x14ac:dyDescent="0.25">
      <c r="A2" s="4"/>
      <c r="J2" s="7" t="s">
        <v>31</v>
      </c>
      <c r="K2" s="5" t="s">
        <v>32</v>
      </c>
      <c r="L2" s="5" t="s">
        <v>32</v>
      </c>
      <c r="M2" s="5" t="s">
        <v>32</v>
      </c>
      <c r="N2" s="5" t="s">
        <v>32</v>
      </c>
      <c r="O2" s="5" t="s">
        <v>32</v>
      </c>
      <c r="P2" s="5" t="s">
        <v>32</v>
      </c>
      <c r="Q2" s="5" t="s">
        <v>32</v>
      </c>
      <c r="R2" s="5" t="s">
        <v>32</v>
      </c>
      <c r="S2" s="5" t="s">
        <v>32</v>
      </c>
      <c r="T2" s="5" t="s">
        <v>32</v>
      </c>
      <c r="V2" s="5"/>
      <c r="W2" s="5"/>
    </row>
    <row r="3" spans="1:32" x14ac:dyDescent="0.25">
      <c r="J3" s="7" t="s">
        <v>33</v>
      </c>
      <c r="K3" s="5" t="s">
        <v>20</v>
      </c>
      <c r="L3" s="5" t="s">
        <v>20</v>
      </c>
      <c r="M3" s="5" t="s">
        <v>20</v>
      </c>
      <c r="N3" s="5" t="s">
        <v>20</v>
      </c>
      <c r="O3" s="5" t="s">
        <v>20</v>
      </c>
      <c r="P3" s="5" t="s">
        <v>20</v>
      </c>
      <c r="Q3" s="5" t="s">
        <v>20</v>
      </c>
      <c r="R3" s="5" t="s">
        <v>20</v>
      </c>
      <c r="S3" s="5" t="s">
        <v>20</v>
      </c>
      <c r="T3" s="5" t="s">
        <v>20</v>
      </c>
      <c r="V3" s="5"/>
      <c r="W3" s="5"/>
    </row>
    <row r="4" spans="1:32" x14ac:dyDescent="0.25">
      <c r="J4" s="7" t="s">
        <v>34</v>
      </c>
      <c r="K4" s="5">
        <v>2019</v>
      </c>
      <c r="L4" s="5">
        <v>2019</v>
      </c>
      <c r="M4" s="5">
        <v>2019</v>
      </c>
      <c r="N4" s="5">
        <v>2019</v>
      </c>
      <c r="O4" s="5">
        <v>2019</v>
      </c>
      <c r="P4" s="5">
        <v>2019</v>
      </c>
      <c r="Q4" s="5">
        <v>2019</v>
      </c>
      <c r="R4" s="5">
        <v>2019</v>
      </c>
      <c r="S4" s="5">
        <v>2019</v>
      </c>
      <c r="T4" s="5">
        <v>2019</v>
      </c>
      <c r="V4" s="5"/>
      <c r="W4" s="5"/>
    </row>
    <row r="5" spans="1:32" x14ac:dyDescent="0.25">
      <c r="J5" s="7" t="s">
        <v>35</v>
      </c>
      <c r="K5" s="5" t="s">
        <v>36</v>
      </c>
      <c r="L5" s="5" t="s">
        <v>36</v>
      </c>
      <c r="M5" s="5" t="s">
        <v>36</v>
      </c>
      <c r="N5" s="5" t="s">
        <v>36</v>
      </c>
      <c r="O5" s="5" t="s">
        <v>36</v>
      </c>
      <c r="P5" s="5" t="s">
        <v>36</v>
      </c>
      <c r="Q5" s="5" t="s">
        <v>36</v>
      </c>
      <c r="R5" s="5" t="s">
        <v>36</v>
      </c>
      <c r="S5" s="5" t="s">
        <v>36</v>
      </c>
      <c r="T5" s="5" t="s">
        <v>36</v>
      </c>
      <c r="V5" s="5"/>
      <c r="W5" s="5"/>
    </row>
    <row r="6" spans="1:32" s="16" customFormat="1" x14ac:dyDescent="0.25">
      <c r="F6" s="17"/>
      <c r="G6" s="17"/>
      <c r="I6" s="18"/>
      <c r="J6" s="19" t="s">
        <v>37</v>
      </c>
      <c r="K6" s="17">
        <v>1</v>
      </c>
      <c r="L6" s="17">
        <v>2</v>
      </c>
      <c r="M6" s="17">
        <v>3</v>
      </c>
      <c r="N6" s="17">
        <v>4</v>
      </c>
      <c r="O6" s="17">
        <v>5</v>
      </c>
      <c r="P6" s="17">
        <v>6</v>
      </c>
      <c r="Q6" s="17">
        <v>7</v>
      </c>
      <c r="R6" s="17">
        <v>8</v>
      </c>
      <c r="S6" s="17">
        <v>9</v>
      </c>
      <c r="T6" s="17">
        <v>10</v>
      </c>
      <c r="V6" s="17" t="s">
        <v>254</v>
      </c>
      <c r="W6" s="17" t="s">
        <v>256</v>
      </c>
      <c r="Y6" s="20" t="s">
        <v>240</v>
      </c>
      <c r="Z6" s="21" t="s">
        <v>241</v>
      </c>
      <c r="AA6" s="21" t="s">
        <v>257</v>
      </c>
      <c r="AC6" s="16" t="s">
        <v>253</v>
      </c>
    </row>
    <row r="7" spans="1:32" s="16" customFormat="1" x14ac:dyDescent="0.25">
      <c r="F7" s="17"/>
      <c r="G7" s="17"/>
      <c r="I7" s="18"/>
      <c r="J7" s="19" t="s">
        <v>38</v>
      </c>
      <c r="K7" s="17" t="s">
        <v>39</v>
      </c>
      <c r="L7" s="17" t="s">
        <v>39</v>
      </c>
      <c r="M7" s="17" t="s">
        <v>39</v>
      </c>
      <c r="N7" s="17" t="s">
        <v>39</v>
      </c>
      <c r="O7" s="17" t="s">
        <v>39</v>
      </c>
      <c r="P7" s="17" t="s">
        <v>39</v>
      </c>
      <c r="Q7" s="17" t="s">
        <v>39</v>
      </c>
      <c r="R7" s="17" t="s">
        <v>39</v>
      </c>
      <c r="S7" s="17" t="s">
        <v>39</v>
      </c>
      <c r="T7" s="17" t="s">
        <v>39</v>
      </c>
      <c r="V7" s="17" t="s">
        <v>256</v>
      </c>
      <c r="W7" s="17" t="s">
        <v>385</v>
      </c>
      <c r="Y7" s="21" t="s">
        <v>238</v>
      </c>
      <c r="Z7" s="21" t="s">
        <v>242</v>
      </c>
      <c r="AA7" s="21" t="s">
        <v>277</v>
      </c>
    </row>
    <row r="8" spans="1:32" s="16" customFormat="1" ht="15.75" thickBot="1" x14ac:dyDescent="0.3">
      <c r="A8" s="16" t="s">
        <v>40</v>
      </c>
      <c r="B8" s="16" t="s">
        <v>41</v>
      </c>
      <c r="C8" s="16" t="s">
        <v>42</v>
      </c>
      <c r="D8" s="16" t="s">
        <v>43</v>
      </c>
      <c r="E8" s="16" t="s">
        <v>44</v>
      </c>
      <c r="F8" s="17" t="s">
        <v>45</v>
      </c>
      <c r="G8" s="17" t="s">
        <v>46</v>
      </c>
      <c r="H8" s="16" t="s">
        <v>47</v>
      </c>
      <c r="I8" s="18" t="s">
        <v>48</v>
      </c>
      <c r="J8" s="16" t="s">
        <v>49</v>
      </c>
      <c r="P8" s="74"/>
      <c r="Q8" s="74"/>
      <c r="R8" s="74"/>
      <c r="S8" s="74"/>
      <c r="T8" s="74" t="s">
        <v>260</v>
      </c>
      <c r="V8" s="22" t="s">
        <v>255</v>
      </c>
      <c r="AA8" s="21" t="s">
        <v>258</v>
      </c>
    </row>
    <row r="9" spans="1:32" s="16" customFormat="1" ht="15.75" thickBot="1" x14ac:dyDescent="0.3">
      <c r="F9" s="17"/>
      <c r="G9" s="23" t="s">
        <v>243</v>
      </c>
      <c r="H9" s="24" t="s">
        <v>386</v>
      </c>
      <c r="I9" s="25" t="s">
        <v>245</v>
      </c>
      <c r="J9" s="24" t="s">
        <v>244</v>
      </c>
      <c r="K9" s="26"/>
      <c r="L9" s="27"/>
      <c r="M9" s="27"/>
      <c r="N9" s="27"/>
      <c r="O9" s="28"/>
      <c r="P9" s="28"/>
      <c r="Q9" s="28"/>
      <c r="R9" s="28"/>
      <c r="S9" s="28"/>
      <c r="T9" s="28"/>
      <c r="V9" s="16">
        <v>0</v>
      </c>
      <c r="W9" s="86"/>
      <c r="X9" s="86"/>
      <c r="Y9" s="87"/>
      <c r="Z9" s="87"/>
      <c r="AA9" s="87"/>
      <c r="AB9" s="29"/>
      <c r="AC9" s="29">
        <f t="shared" ref="AC9:AC11" si="0">+V9+Y9+Z9</f>
        <v>0</v>
      </c>
      <c r="AD9" s="29"/>
      <c r="AE9" s="29"/>
    </row>
    <row r="10" spans="1:32" s="16" customFormat="1" ht="15.75" thickBot="1" x14ac:dyDescent="0.3">
      <c r="F10" s="17"/>
      <c r="G10" s="23" t="s">
        <v>246</v>
      </c>
      <c r="H10" s="24" t="s">
        <v>387</v>
      </c>
      <c r="I10" s="25" t="s">
        <v>247</v>
      </c>
      <c r="J10" s="24" t="s">
        <v>248</v>
      </c>
      <c r="K10" s="26"/>
      <c r="L10" s="27"/>
      <c r="M10" s="27"/>
      <c r="N10" s="27"/>
      <c r="O10" s="28"/>
      <c r="P10" s="28"/>
      <c r="Q10" s="28"/>
      <c r="R10" s="28"/>
      <c r="S10" s="28"/>
      <c r="T10" s="28"/>
      <c r="V10" s="16">
        <v>0</v>
      </c>
      <c r="W10" s="86"/>
      <c r="X10" s="86"/>
      <c r="Y10" s="87"/>
      <c r="Z10" s="87"/>
      <c r="AA10" s="87"/>
      <c r="AB10" s="29"/>
      <c r="AC10" s="29">
        <f t="shared" si="0"/>
        <v>0</v>
      </c>
      <c r="AD10" s="29"/>
      <c r="AE10" s="29"/>
    </row>
    <row r="11" spans="1:32" s="16" customFormat="1" x14ac:dyDescent="0.25">
      <c r="F11" s="17"/>
      <c r="G11" s="30" t="s">
        <v>249</v>
      </c>
      <c r="H11" s="31" t="s">
        <v>250</v>
      </c>
      <c r="I11" s="32" t="s">
        <v>251</v>
      </c>
      <c r="J11" s="31" t="s">
        <v>252</v>
      </c>
      <c r="K11" s="26"/>
      <c r="L11" s="27"/>
      <c r="M11" s="27"/>
      <c r="N11" s="27"/>
      <c r="O11" s="28"/>
      <c r="P11" s="28"/>
      <c r="Q11" s="28"/>
      <c r="R11" s="28"/>
      <c r="S11" s="28"/>
      <c r="T11" s="28"/>
      <c r="V11" s="16">
        <v>0</v>
      </c>
      <c r="W11" s="86"/>
      <c r="X11" s="86"/>
      <c r="Y11" s="87"/>
      <c r="Z11" s="87"/>
      <c r="AA11" s="87"/>
      <c r="AB11" s="29"/>
      <c r="AC11" s="29">
        <f t="shared" si="0"/>
        <v>0</v>
      </c>
      <c r="AD11" s="29"/>
      <c r="AE11" s="29"/>
    </row>
    <row r="12" spans="1:32" s="16" customFormat="1" ht="15.75" thickBot="1" x14ac:dyDescent="0.3">
      <c r="F12" s="17"/>
      <c r="G12" s="17"/>
      <c r="I12" s="18"/>
      <c r="K12" s="27"/>
      <c r="L12" s="27"/>
      <c r="M12" s="27"/>
      <c r="N12" s="27"/>
      <c r="O12" s="28"/>
      <c r="P12" s="28"/>
      <c r="Q12" s="28"/>
      <c r="R12" s="28"/>
      <c r="S12" s="28"/>
      <c r="T12" s="28"/>
      <c r="W12" s="86"/>
      <c r="X12" s="86"/>
      <c r="Y12" s="87"/>
      <c r="Z12" s="87"/>
      <c r="AA12" s="87"/>
      <c r="AB12" s="29"/>
      <c r="AD12" s="29"/>
      <c r="AE12" s="29"/>
    </row>
    <row r="13" spans="1:32" s="16" customFormat="1" ht="15.75" thickBot="1" x14ac:dyDescent="0.3">
      <c r="A13" s="33" t="s">
        <v>50</v>
      </c>
      <c r="B13" s="33" t="s">
        <v>51</v>
      </c>
      <c r="C13" s="33" t="s">
        <v>52</v>
      </c>
      <c r="D13" s="33" t="s">
        <v>53</v>
      </c>
      <c r="E13" s="33" t="s">
        <v>54</v>
      </c>
      <c r="F13" s="34" t="s">
        <v>55</v>
      </c>
      <c r="G13" s="35" t="s">
        <v>56</v>
      </c>
      <c r="H13" s="24" t="s">
        <v>57</v>
      </c>
      <c r="I13" s="36" t="str">
        <f>F13</f>
        <v>00266858</v>
      </c>
      <c r="J13" s="37" t="s">
        <v>58</v>
      </c>
      <c r="K13" s="38">
        <v>0</v>
      </c>
      <c r="L13" s="38">
        <v>0</v>
      </c>
      <c r="M13" s="38">
        <v>0</v>
      </c>
      <c r="N13" s="38">
        <v>229.29</v>
      </c>
      <c r="O13" s="39">
        <v>34423.040000000001</v>
      </c>
      <c r="P13" s="39">
        <v>15263.12</v>
      </c>
      <c r="Q13" s="39">
        <v>26019.64</v>
      </c>
      <c r="R13" s="39">
        <v>224.03</v>
      </c>
      <c r="S13" s="39">
        <v>18337.77</v>
      </c>
      <c r="T13" s="39">
        <v>25899.99</v>
      </c>
      <c r="V13" s="40">
        <f>SUM(J13:U13)</f>
        <v>120396.88</v>
      </c>
      <c r="W13" s="88"/>
      <c r="X13" s="86"/>
      <c r="Y13" s="87"/>
      <c r="Z13" s="87"/>
      <c r="AA13" s="87"/>
      <c r="AB13" s="29"/>
      <c r="AC13" s="40">
        <f>+V13+Y13+Z13</f>
        <v>120396.88</v>
      </c>
      <c r="AD13" s="29"/>
      <c r="AE13" s="29"/>
      <c r="AF13" s="42"/>
    </row>
    <row r="14" spans="1:32" s="16" customFormat="1" ht="15.75" thickBot="1" x14ac:dyDescent="0.3">
      <c r="A14" s="33"/>
      <c r="B14" s="33"/>
      <c r="C14" s="33"/>
      <c r="D14" s="33"/>
      <c r="E14" s="33"/>
      <c r="F14" s="34"/>
      <c r="G14" s="34"/>
      <c r="H14" s="33"/>
      <c r="I14" s="18"/>
      <c r="J14" s="43"/>
      <c r="K14" s="29"/>
      <c r="L14" s="29"/>
      <c r="M14" s="29"/>
      <c r="N14" s="29"/>
      <c r="V14" s="29"/>
      <c r="W14" s="88"/>
      <c r="X14" s="86"/>
      <c r="Y14" s="87"/>
      <c r="Z14" s="87"/>
      <c r="AA14" s="87"/>
      <c r="AB14" s="29"/>
      <c r="AC14" s="29"/>
      <c r="AD14" s="29"/>
      <c r="AE14" s="29"/>
      <c r="AF14" s="42"/>
    </row>
    <row r="15" spans="1:32" s="16" customFormat="1" ht="15.75" thickBot="1" x14ac:dyDescent="0.3">
      <c r="A15" s="33" t="s">
        <v>50</v>
      </c>
      <c r="B15" s="33" t="s">
        <v>51</v>
      </c>
      <c r="C15" s="33" t="s">
        <v>52</v>
      </c>
      <c r="D15" s="33" t="s">
        <v>53</v>
      </c>
      <c r="E15" s="33" t="s">
        <v>54</v>
      </c>
      <c r="F15" s="34" t="s">
        <v>59</v>
      </c>
      <c r="G15" s="35" t="s">
        <v>60</v>
      </c>
      <c r="H15" s="24" t="s">
        <v>61</v>
      </c>
      <c r="I15" s="36" t="str">
        <f t="shared" ref="I15:I56" si="1">F15</f>
        <v>00219107</v>
      </c>
      <c r="J15" s="37" t="s">
        <v>62</v>
      </c>
      <c r="K15" s="40">
        <v>483.51</v>
      </c>
      <c r="L15" s="40">
        <v>483.51</v>
      </c>
      <c r="M15" s="40">
        <v>483.51</v>
      </c>
      <c r="N15" s="40">
        <v>927.88</v>
      </c>
      <c r="O15" s="44">
        <v>378.32</v>
      </c>
      <c r="P15" s="44">
        <v>11640.03</v>
      </c>
      <c r="Q15" s="44">
        <v>371.51</v>
      </c>
      <c r="R15" s="44">
        <v>1775.46</v>
      </c>
      <c r="S15" s="44">
        <v>12139.18</v>
      </c>
      <c r="T15" s="44">
        <v>286700</v>
      </c>
      <c r="V15" s="40">
        <f>SUM(J15:U15)</f>
        <v>315382.90999999997</v>
      </c>
      <c r="W15" s="88"/>
      <c r="X15" s="86"/>
      <c r="Y15" s="87"/>
      <c r="Z15" s="87"/>
      <c r="AA15" s="87"/>
      <c r="AB15" s="29"/>
      <c r="AC15" s="40">
        <f>+V15+Y15+Z15</f>
        <v>315382.90999999997</v>
      </c>
      <c r="AD15" s="29"/>
      <c r="AE15" s="29"/>
      <c r="AF15" s="42"/>
    </row>
    <row r="16" spans="1:32" s="16" customFormat="1" ht="15.75" thickBot="1" x14ac:dyDescent="0.3">
      <c r="A16" s="33"/>
      <c r="B16" s="33"/>
      <c r="C16" s="33"/>
      <c r="D16" s="33"/>
      <c r="E16" s="33"/>
      <c r="F16" s="34"/>
      <c r="G16" s="17"/>
      <c r="I16" s="18"/>
      <c r="J16" s="45"/>
      <c r="K16" s="29"/>
      <c r="L16" s="29"/>
      <c r="M16" s="29"/>
      <c r="N16" s="29"/>
      <c r="V16" s="29"/>
      <c r="W16" s="88"/>
      <c r="X16" s="86"/>
      <c r="Y16" s="87"/>
      <c r="Z16" s="87"/>
      <c r="AA16" s="87"/>
      <c r="AB16" s="29"/>
      <c r="AC16" s="29"/>
      <c r="AD16" s="29"/>
      <c r="AE16" s="29"/>
      <c r="AF16" s="42"/>
    </row>
    <row r="17" spans="1:32" s="16" customFormat="1" ht="15.75" thickBot="1" x14ac:dyDescent="0.3">
      <c r="A17" s="33" t="s">
        <v>50</v>
      </c>
      <c r="B17" s="33" t="s">
        <v>51</v>
      </c>
      <c r="C17" s="33" t="s">
        <v>52</v>
      </c>
      <c r="D17" s="33" t="s">
        <v>53</v>
      </c>
      <c r="E17" s="33" t="s">
        <v>54</v>
      </c>
      <c r="F17" s="34" t="s">
        <v>63</v>
      </c>
      <c r="G17" s="35" t="s">
        <v>64</v>
      </c>
      <c r="H17" s="24" t="s">
        <v>65</v>
      </c>
      <c r="I17" s="36" t="str">
        <f t="shared" si="1"/>
        <v>00265881</v>
      </c>
      <c r="J17" s="37" t="s">
        <v>66</v>
      </c>
      <c r="K17" s="40">
        <v>0</v>
      </c>
      <c r="L17" s="40">
        <v>0</v>
      </c>
      <c r="M17" s="40">
        <v>0</v>
      </c>
      <c r="N17" s="40">
        <v>78062.16</v>
      </c>
      <c r="O17" s="44">
        <v>10983.79</v>
      </c>
      <c r="P17" s="44">
        <v>12835</v>
      </c>
      <c r="Q17" s="44">
        <v>6927.35</v>
      </c>
      <c r="R17" s="44">
        <v>1371.08</v>
      </c>
      <c r="S17" s="44">
        <v>958954.36</v>
      </c>
      <c r="T17" s="44">
        <v>1673088.75</v>
      </c>
      <c r="V17" s="40">
        <f>SUM(J17:U17)</f>
        <v>2742222.49</v>
      </c>
      <c r="W17" s="88"/>
      <c r="X17" s="86"/>
      <c r="Y17" s="87"/>
      <c r="Z17" s="87"/>
      <c r="AA17" s="87"/>
      <c r="AB17" s="29"/>
      <c r="AC17" s="40">
        <f>+V17+Y17+Z17</f>
        <v>2742222.49</v>
      </c>
      <c r="AD17" s="29"/>
      <c r="AE17" s="29"/>
      <c r="AF17" s="42"/>
    </row>
    <row r="18" spans="1:32" s="16" customFormat="1" ht="15.75" thickBot="1" x14ac:dyDescent="0.3">
      <c r="A18" s="33"/>
      <c r="B18" s="33"/>
      <c r="C18" s="33"/>
      <c r="D18" s="33"/>
      <c r="E18" s="33"/>
      <c r="F18" s="34"/>
      <c r="G18" s="17"/>
      <c r="I18" s="18"/>
      <c r="J18" s="45"/>
      <c r="K18" s="29"/>
      <c r="L18" s="29"/>
      <c r="M18" s="29"/>
      <c r="N18" s="29"/>
      <c r="V18" s="29"/>
      <c r="W18" s="88"/>
      <c r="X18" s="86"/>
      <c r="Y18" s="87"/>
      <c r="Z18" s="87"/>
      <c r="AA18" s="87"/>
      <c r="AB18" s="29"/>
      <c r="AC18" s="29"/>
      <c r="AD18" s="29"/>
      <c r="AE18" s="29"/>
      <c r="AF18" s="42"/>
    </row>
    <row r="19" spans="1:32" s="16" customFormat="1" ht="15.75" thickBot="1" x14ac:dyDescent="0.3">
      <c r="A19" s="33" t="s">
        <v>50</v>
      </c>
      <c r="B19" s="33" t="s">
        <v>51</v>
      </c>
      <c r="C19" s="33" t="s">
        <v>52</v>
      </c>
      <c r="D19" s="33" t="s">
        <v>53</v>
      </c>
      <c r="E19" s="33" t="s">
        <v>54</v>
      </c>
      <c r="F19" s="34" t="s">
        <v>67</v>
      </c>
      <c r="G19" s="35" t="s">
        <v>68</v>
      </c>
      <c r="H19" s="24" t="s">
        <v>69</v>
      </c>
      <c r="I19" s="36" t="str">
        <f t="shared" si="1"/>
        <v>00268493</v>
      </c>
      <c r="J19" s="37" t="s">
        <v>70</v>
      </c>
      <c r="K19" s="40">
        <v>0</v>
      </c>
      <c r="L19" s="40">
        <v>0</v>
      </c>
      <c r="M19" s="40">
        <v>0</v>
      </c>
      <c r="N19" s="40">
        <v>0</v>
      </c>
      <c r="O19" s="44">
        <v>0</v>
      </c>
      <c r="P19" s="44">
        <v>8837.1299999999992</v>
      </c>
      <c r="Q19" s="44">
        <v>2072.2800000000002</v>
      </c>
      <c r="R19" s="44">
        <v>24781.8</v>
      </c>
      <c r="S19" s="44">
        <v>22956.31</v>
      </c>
      <c r="T19" s="44">
        <v>137616</v>
      </c>
      <c r="V19" s="40">
        <f>SUM(J19:U19)</f>
        <v>196263.52000000002</v>
      </c>
      <c r="W19" s="88"/>
      <c r="X19" s="86"/>
      <c r="Y19" s="87"/>
      <c r="Z19" s="87"/>
      <c r="AA19" s="87"/>
      <c r="AB19" s="29"/>
      <c r="AC19" s="40">
        <f>+V19+Y19+Z19</f>
        <v>196263.52000000002</v>
      </c>
      <c r="AD19" s="29"/>
      <c r="AE19" s="29"/>
      <c r="AF19" s="42"/>
    </row>
    <row r="20" spans="1:32" s="16" customFormat="1" ht="15.75" thickBot="1" x14ac:dyDescent="0.3">
      <c r="A20" s="33"/>
      <c r="B20" s="33"/>
      <c r="C20" s="33"/>
      <c r="D20" s="33"/>
      <c r="E20" s="33"/>
      <c r="F20" s="34"/>
      <c r="G20" s="17"/>
      <c r="I20" s="18"/>
      <c r="J20" s="45"/>
      <c r="K20" s="29"/>
      <c r="L20" s="29"/>
      <c r="M20" s="29"/>
      <c r="N20" s="29"/>
      <c r="V20" s="29"/>
      <c r="W20" s="88"/>
      <c r="X20" s="86"/>
      <c r="Y20" s="87"/>
      <c r="Z20" s="87"/>
      <c r="AA20" s="87"/>
      <c r="AB20" s="29"/>
      <c r="AC20" s="29"/>
      <c r="AD20" s="29"/>
      <c r="AE20" s="29"/>
      <c r="AF20" s="42"/>
    </row>
    <row r="21" spans="1:32" s="16" customFormat="1" x14ac:dyDescent="0.25">
      <c r="A21" s="33" t="s">
        <v>50</v>
      </c>
      <c r="B21" s="33" t="s">
        <v>51</v>
      </c>
      <c r="C21" s="33" t="s">
        <v>52</v>
      </c>
      <c r="D21" s="33" t="s">
        <v>53</v>
      </c>
      <c r="E21" s="33" t="s">
        <v>54</v>
      </c>
      <c r="F21" s="34" t="s">
        <v>71</v>
      </c>
      <c r="G21" s="46" t="s">
        <v>72</v>
      </c>
      <c r="H21" s="31" t="s">
        <v>73</v>
      </c>
      <c r="I21" s="47" t="str">
        <f t="shared" si="1"/>
        <v>00266121</v>
      </c>
      <c r="J21" s="48" t="s">
        <v>74</v>
      </c>
      <c r="K21" s="49">
        <v>0</v>
      </c>
      <c r="L21" s="49">
        <v>0</v>
      </c>
      <c r="M21" s="49">
        <v>27087.09</v>
      </c>
      <c r="N21" s="49">
        <v>3413.67</v>
      </c>
      <c r="O21" s="50">
        <v>10230.25</v>
      </c>
      <c r="P21" s="50">
        <v>1485.8</v>
      </c>
      <c r="Q21" s="50">
        <v>1336.24</v>
      </c>
      <c r="R21" s="50">
        <v>114132.8</v>
      </c>
      <c r="S21" s="50">
        <v>28773.86</v>
      </c>
      <c r="T21" s="50">
        <v>345347.08</v>
      </c>
      <c r="V21" s="49">
        <f>SUM(J21:U21)</f>
        <v>531806.79</v>
      </c>
      <c r="W21" s="88"/>
      <c r="X21" s="86"/>
      <c r="Y21" s="87"/>
      <c r="Z21" s="87"/>
      <c r="AA21" s="87"/>
      <c r="AB21" s="29"/>
      <c r="AC21" s="49">
        <f>+V21+Y21+Z21</f>
        <v>531806.79</v>
      </c>
      <c r="AD21" s="29"/>
      <c r="AE21" s="29"/>
      <c r="AF21" s="42"/>
    </row>
    <row r="22" spans="1:32" s="16" customFormat="1" ht="15.75" thickBot="1" x14ac:dyDescent="0.3">
      <c r="A22" s="33" t="s">
        <v>50</v>
      </c>
      <c r="B22" s="33" t="s">
        <v>51</v>
      </c>
      <c r="C22" s="33" t="s">
        <v>52</v>
      </c>
      <c r="D22" s="33" t="s">
        <v>53</v>
      </c>
      <c r="E22" s="33" t="s">
        <v>54</v>
      </c>
      <c r="F22" s="34" t="s">
        <v>75</v>
      </c>
      <c r="G22" s="51" t="s">
        <v>76</v>
      </c>
      <c r="H22" s="52" t="s">
        <v>77</v>
      </c>
      <c r="I22" s="53" t="str">
        <f t="shared" si="1"/>
        <v>00266178</v>
      </c>
      <c r="J22" s="54" t="s">
        <v>78</v>
      </c>
      <c r="K22" s="38">
        <v>0</v>
      </c>
      <c r="L22" s="38">
        <v>0</v>
      </c>
      <c r="M22" s="38">
        <v>0</v>
      </c>
      <c r="N22" s="38">
        <v>267.77</v>
      </c>
      <c r="O22" s="39">
        <v>0.86</v>
      </c>
      <c r="P22" s="39">
        <v>0.87</v>
      </c>
      <c r="Q22" s="39">
        <v>0.76</v>
      </c>
      <c r="R22" s="39">
        <v>13314.42</v>
      </c>
      <c r="S22" s="39">
        <v>37.29</v>
      </c>
      <c r="T22" s="39">
        <v>87224.04</v>
      </c>
      <c r="V22" s="38">
        <f>SUM(J22:U22)</f>
        <v>100846.01</v>
      </c>
      <c r="W22" s="88"/>
      <c r="X22" s="86"/>
      <c r="Y22" s="87"/>
      <c r="Z22" s="87"/>
      <c r="AA22" s="87"/>
      <c r="AB22" s="29"/>
      <c r="AC22" s="38">
        <f>+V22+Y22+Z22</f>
        <v>100846.01</v>
      </c>
      <c r="AD22" s="29"/>
      <c r="AE22" s="29"/>
      <c r="AF22" s="42"/>
    </row>
    <row r="23" spans="1:32" s="16" customFormat="1" x14ac:dyDescent="0.25">
      <c r="A23" s="33"/>
      <c r="B23" s="33"/>
      <c r="C23" s="33"/>
      <c r="D23" s="33"/>
      <c r="E23" s="33"/>
      <c r="F23" s="34"/>
      <c r="G23" s="55"/>
      <c r="H23" s="27"/>
      <c r="I23" s="56"/>
      <c r="J23" s="57" t="s">
        <v>79</v>
      </c>
      <c r="K23" s="41">
        <f>SUM(K21:K22)</f>
        <v>0</v>
      </c>
      <c r="L23" s="41">
        <f t="shared" ref="L23:V23" si="2">SUM(L21:L22)</f>
        <v>0</v>
      </c>
      <c r="M23" s="41">
        <f t="shared" si="2"/>
        <v>27087.09</v>
      </c>
      <c r="N23" s="41">
        <f t="shared" si="2"/>
        <v>3681.44</v>
      </c>
      <c r="O23" s="41">
        <f t="shared" si="2"/>
        <v>10231.11</v>
      </c>
      <c r="P23" s="41">
        <f t="shared" si="2"/>
        <v>1486.6699999999998</v>
      </c>
      <c r="Q23" s="41">
        <f t="shared" si="2"/>
        <v>1337</v>
      </c>
      <c r="R23" s="41">
        <f t="shared" si="2"/>
        <v>127447.22</v>
      </c>
      <c r="S23" s="41">
        <f t="shared" si="2"/>
        <v>28811.15</v>
      </c>
      <c r="T23" s="41">
        <f t="shared" si="2"/>
        <v>432571.12</v>
      </c>
      <c r="V23" s="41">
        <f t="shared" si="2"/>
        <v>632652.80000000005</v>
      </c>
      <c r="W23" s="88"/>
      <c r="X23" s="86"/>
      <c r="Y23" s="87"/>
      <c r="Z23" s="87"/>
      <c r="AA23" s="87"/>
      <c r="AB23" s="29"/>
      <c r="AC23" s="41">
        <f>+AC21+AC22</f>
        <v>632652.80000000005</v>
      </c>
      <c r="AD23" s="29"/>
      <c r="AE23" s="29"/>
      <c r="AF23" s="42"/>
    </row>
    <row r="24" spans="1:32" s="16" customFormat="1" ht="15.75" thickBot="1" x14ac:dyDescent="0.3">
      <c r="A24" s="33"/>
      <c r="B24" s="33"/>
      <c r="C24" s="33"/>
      <c r="D24" s="33"/>
      <c r="E24" s="33"/>
      <c r="F24" s="34"/>
      <c r="G24" s="17"/>
      <c r="I24" s="18"/>
      <c r="J24" s="45"/>
      <c r="K24" s="29"/>
      <c r="L24" s="29"/>
      <c r="M24" s="29"/>
      <c r="N24" s="29"/>
      <c r="V24" s="29"/>
      <c r="W24" s="88"/>
      <c r="X24" s="86"/>
      <c r="Y24" s="87"/>
      <c r="Z24" s="87"/>
      <c r="AA24" s="87"/>
      <c r="AB24" s="29"/>
      <c r="AC24" s="29"/>
      <c r="AD24" s="29"/>
      <c r="AE24" s="29"/>
      <c r="AF24" s="42"/>
    </row>
    <row r="25" spans="1:32" s="16" customFormat="1" x14ac:dyDescent="0.25">
      <c r="A25" s="33" t="s">
        <v>50</v>
      </c>
      <c r="B25" s="33" t="s">
        <v>51</v>
      </c>
      <c r="C25" s="33" t="s">
        <v>52</v>
      </c>
      <c r="D25" s="33" t="s">
        <v>53</v>
      </c>
      <c r="E25" s="33" t="s">
        <v>54</v>
      </c>
      <c r="F25" s="34" t="s">
        <v>80</v>
      </c>
      <c r="G25" s="46" t="s">
        <v>81</v>
      </c>
      <c r="H25" s="31" t="s">
        <v>82</v>
      </c>
      <c r="I25" s="47" t="str">
        <f t="shared" ref="I25:I44" si="3">F25</f>
        <v>00193978</v>
      </c>
      <c r="J25" s="48" t="s">
        <v>83</v>
      </c>
      <c r="K25" s="58">
        <v>0</v>
      </c>
      <c r="L25" s="49">
        <v>0</v>
      </c>
      <c r="M25" s="49">
        <v>0</v>
      </c>
      <c r="N25" s="49">
        <v>0</v>
      </c>
      <c r="O25" s="50">
        <v>0</v>
      </c>
      <c r="P25" s="50">
        <v>0</v>
      </c>
      <c r="Q25" s="50">
        <v>0</v>
      </c>
      <c r="R25" s="50">
        <v>0</v>
      </c>
      <c r="S25" s="50">
        <v>0</v>
      </c>
      <c r="T25" s="50">
        <v>0</v>
      </c>
      <c r="V25" s="49">
        <f t="shared" ref="V25:V46" si="4">SUM(J25:U25)</f>
        <v>0</v>
      </c>
      <c r="W25" s="88"/>
      <c r="X25" s="86"/>
      <c r="Y25" s="87"/>
      <c r="Z25" s="87"/>
      <c r="AA25" s="87"/>
      <c r="AB25" s="29"/>
      <c r="AC25" s="49">
        <f>+V25+Y25+Z25</f>
        <v>0</v>
      </c>
      <c r="AD25" s="29"/>
      <c r="AE25" s="29"/>
      <c r="AF25" s="42"/>
    </row>
    <row r="26" spans="1:32" s="16" customFormat="1" x14ac:dyDescent="0.25">
      <c r="A26" s="33" t="s">
        <v>50</v>
      </c>
      <c r="B26" s="33" t="s">
        <v>51</v>
      </c>
      <c r="C26" s="33" t="s">
        <v>52</v>
      </c>
      <c r="D26" s="33" t="s">
        <v>53</v>
      </c>
      <c r="E26" s="33" t="s">
        <v>54</v>
      </c>
      <c r="F26" s="34" t="s">
        <v>84</v>
      </c>
      <c r="G26" s="59" t="s">
        <v>81</v>
      </c>
      <c r="H26" s="27" t="s">
        <v>82</v>
      </c>
      <c r="I26" s="56" t="str">
        <f t="shared" si="3"/>
        <v>00212775</v>
      </c>
      <c r="J26" s="45" t="s">
        <v>85</v>
      </c>
      <c r="K26" s="60">
        <v>0</v>
      </c>
      <c r="L26" s="41">
        <v>0</v>
      </c>
      <c r="M26" s="41">
        <v>0</v>
      </c>
      <c r="N26" s="41">
        <v>0</v>
      </c>
      <c r="O26" s="61">
        <v>0</v>
      </c>
      <c r="P26" s="61">
        <v>0</v>
      </c>
      <c r="Q26" s="61">
        <v>0</v>
      </c>
      <c r="R26" s="61">
        <v>0</v>
      </c>
      <c r="S26" s="61">
        <v>0</v>
      </c>
      <c r="T26" s="61">
        <v>0</v>
      </c>
      <c r="V26" s="41">
        <f t="shared" si="4"/>
        <v>0</v>
      </c>
      <c r="W26" s="88"/>
      <c r="X26" s="86"/>
      <c r="Y26" s="87"/>
      <c r="Z26" s="87"/>
      <c r="AA26" s="87"/>
      <c r="AB26" s="29"/>
      <c r="AC26" s="41">
        <f>+V26+Y26+Z26</f>
        <v>0</v>
      </c>
      <c r="AD26" s="29"/>
      <c r="AE26" s="29"/>
      <c r="AF26" s="42"/>
    </row>
    <row r="27" spans="1:32" s="16" customFormat="1" x14ac:dyDescent="0.25">
      <c r="A27" s="33" t="s">
        <v>50</v>
      </c>
      <c r="B27" s="33" t="s">
        <v>51</v>
      </c>
      <c r="C27" s="33" t="s">
        <v>52</v>
      </c>
      <c r="D27" s="33" t="s">
        <v>53</v>
      </c>
      <c r="E27" s="33" t="s">
        <v>54</v>
      </c>
      <c r="F27" s="34" t="s">
        <v>86</v>
      </c>
      <c r="G27" s="59" t="s">
        <v>81</v>
      </c>
      <c r="H27" s="27" t="s">
        <v>82</v>
      </c>
      <c r="I27" s="56" t="str">
        <f t="shared" si="3"/>
        <v>00215109</v>
      </c>
      <c r="J27" s="45" t="s">
        <v>85</v>
      </c>
      <c r="K27" s="60">
        <v>0</v>
      </c>
      <c r="L27" s="41">
        <v>0</v>
      </c>
      <c r="M27" s="41">
        <v>0</v>
      </c>
      <c r="N27" s="41">
        <v>0</v>
      </c>
      <c r="O27" s="61">
        <v>0</v>
      </c>
      <c r="P27" s="61">
        <v>0</v>
      </c>
      <c r="Q27" s="61">
        <v>0</v>
      </c>
      <c r="R27" s="61">
        <v>0</v>
      </c>
      <c r="S27" s="61">
        <v>0</v>
      </c>
      <c r="T27" s="61">
        <v>0</v>
      </c>
      <c r="V27" s="41">
        <f t="shared" si="4"/>
        <v>0</v>
      </c>
      <c r="W27" s="88"/>
      <c r="X27" s="86"/>
      <c r="Y27" s="87"/>
      <c r="Z27" s="87"/>
      <c r="AA27" s="87"/>
      <c r="AB27" s="29"/>
      <c r="AC27" s="41">
        <f t="shared" ref="AC27:AC43" si="5">+V27+Y27+Z27</f>
        <v>0</v>
      </c>
      <c r="AD27" s="29"/>
      <c r="AE27" s="29"/>
      <c r="AF27" s="42"/>
    </row>
    <row r="28" spans="1:32" s="16" customFormat="1" x14ac:dyDescent="0.25">
      <c r="A28" s="33" t="s">
        <v>50</v>
      </c>
      <c r="B28" s="33" t="s">
        <v>51</v>
      </c>
      <c r="C28" s="33" t="s">
        <v>52</v>
      </c>
      <c r="D28" s="33" t="s">
        <v>53</v>
      </c>
      <c r="E28" s="33" t="s">
        <v>54</v>
      </c>
      <c r="F28" s="34" t="s">
        <v>87</v>
      </c>
      <c r="G28" s="59" t="s">
        <v>81</v>
      </c>
      <c r="H28" s="27" t="s">
        <v>82</v>
      </c>
      <c r="I28" s="56" t="str">
        <f t="shared" si="3"/>
        <v>00215113</v>
      </c>
      <c r="J28" s="45" t="s">
        <v>88</v>
      </c>
      <c r="K28" s="60">
        <v>0</v>
      </c>
      <c r="L28" s="41">
        <v>0</v>
      </c>
      <c r="M28" s="41">
        <v>0</v>
      </c>
      <c r="N28" s="41">
        <v>0</v>
      </c>
      <c r="O28" s="61">
        <v>0</v>
      </c>
      <c r="P28" s="61">
        <v>0</v>
      </c>
      <c r="Q28" s="61">
        <v>0</v>
      </c>
      <c r="R28" s="61">
        <v>0</v>
      </c>
      <c r="S28" s="61">
        <v>0</v>
      </c>
      <c r="T28" s="61">
        <v>0</v>
      </c>
      <c r="V28" s="41">
        <f t="shared" si="4"/>
        <v>0</v>
      </c>
      <c r="W28" s="88"/>
      <c r="X28" s="86"/>
      <c r="Y28" s="87"/>
      <c r="Z28" s="87"/>
      <c r="AA28" s="87"/>
      <c r="AB28" s="29"/>
      <c r="AC28" s="41">
        <f t="shared" si="5"/>
        <v>0</v>
      </c>
      <c r="AD28" s="29"/>
      <c r="AE28" s="29"/>
      <c r="AF28" s="42"/>
    </row>
    <row r="29" spans="1:32" s="16" customFormat="1" x14ac:dyDescent="0.25">
      <c r="A29" s="33" t="s">
        <v>50</v>
      </c>
      <c r="B29" s="33" t="s">
        <v>51</v>
      </c>
      <c r="C29" s="33" t="s">
        <v>52</v>
      </c>
      <c r="D29" s="33" t="s">
        <v>53</v>
      </c>
      <c r="E29" s="33" t="s">
        <v>54</v>
      </c>
      <c r="F29" s="34" t="s">
        <v>89</v>
      </c>
      <c r="G29" s="59" t="s">
        <v>81</v>
      </c>
      <c r="H29" s="27" t="s">
        <v>82</v>
      </c>
      <c r="I29" s="56" t="str">
        <f t="shared" si="3"/>
        <v>00224186</v>
      </c>
      <c r="J29" s="45" t="s">
        <v>90</v>
      </c>
      <c r="K29" s="60">
        <v>0</v>
      </c>
      <c r="L29" s="41">
        <v>0</v>
      </c>
      <c r="M29" s="41">
        <v>0</v>
      </c>
      <c r="N29" s="41">
        <v>0</v>
      </c>
      <c r="O29" s="61">
        <v>0</v>
      </c>
      <c r="P29" s="61">
        <v>0</v>
      </c>
      <c r="Q29" s="61">
        <v>0</v>
      </c>
      <c r="R29" s="61">
        <v>0</v>
      </c>
      <c r="S29" s="61">
        <v>0</v>
      </c>
      <c r="T29" s="61">
        <v>0</v>
      </c>
      <c r="V29" s="41">
        <f t="shared" si="4"/>
        <v>0</v>
      </c>
      <c r="W29" s="88"/>
      <c r="X29" s="86"/>
      <c r="Y29" s="87"/>
      <c r="Z29" s="87"/>
      <c r="AA29" s="87"/>
      <c r="AB29" s="29"/>
      <c r="AC29" s="41">
        <f t="shared" si="5"/>
        <v>0</v>
      </c>
      <c r="AD29" s="29"/>
      <c r="AE29" s="29"/>
      <c r="AF29" s="42"/>
    </row>
    <row r="30" spans="1:32" s="16" customFormat="1" x14ac:dyDescent="0.25">
      <c r="A30" s="33" t="s">
        <v>50</v>
      </c>
      <c r="B30" s="33" t="s">
        <v>51</v>
      </c>
      <c r="C30" s="33" t="s">
        <v>52</v>
      </c>
      <c r="D30" s="33" t="s">
        <v>53</v>
      </c>
      <c r="E30" s="33" t="s">
        <v>54</v>
      </c>
      <c r="F30" s="34" t="s">
        <v>91</v>
      </c>
      <c r="G30" s="59" t="s">
        <v>81</v>
      </c>
      <c r="H30" s="27" t="s">
        <v>82</v>
      </c>
      <c r="I30" s="56" t="str">
        <f t="shared" si="3"/>
        <v>00224188</v>
      </c>
      <c r="J30" s="45" t="s">
        <v>92</v>
      </c>
      <c r="K30" s="60">
        <v>0</v>
      </c>
      <c r="L30" s="41">
        <v>0</v>
      </c>
      <c r="M30" s="41">
        <v>0</v>
      </c>
      <c r="N30" s="41">
        <v>0</v>
      </c>
      <c r="O30" s="61">
        <v>0</v>
      </c>
      <c r="P30" s="61">
        <v>0</v>
      </c>
      <c r="Q30" s="61">
        <v>0</v>
      </c>
      <c r="R30" s="61">
        <v>0</v>
      </c>
      <c r="S30" s="61">
        <v>0</v>
      </c>
      <c r="T30" s="61">
        <v>0</v>
      </c>
      <c r="V30" s="41">
        <f t="shared" si="4"/>
        <v>0</v>
      </c>
      <c r="W30" s="88"/>
      <c r="X30" s="86"/>
      <c r="Y30" s="87"/>
      <c r="Z30" s="87"/>
      <c r="AA30" s="87"/>
      <c r="AB30" s="29"/>
      <c r="AC30" s="41">
        <f t="shared" si="5"/>
        <v>0</v>
      </c>
      <c r="AD30" s="29"/>
      <c r="AE30" s="29"/>
      <c r="AF30" s="42"/>
    </row>
    <row r="31" spans="1:32" s="16" customFormat="1" x14ac:dyDescent="0.25">
      <c r="A31" s="33" t="s">
        <v>50</v>
      </c>
      <c r="B31" s="33" t="s">
        <v>51</v>
      </c>
      <c r="C31" s="33" t="s">
        <v>52</v>
      </c>
      <c r="D31" s="33" t="s">
        <v>53</v>
      </c>
      <c r="E31" s="33" t="s">
        <v>54</v>
      </c>
      <c r="F31" s="34" t="s">
        <v>93</v>
      </c>
      <c r="G31" s="59" t="s">
        <v>81</v>
      </c>
      <c r="H31" s="27" t="s">
        <v>82</v>
      </c>
      <c r="I31" s="56" t="str">
        <f t="shared" si="3"/>
        <v>00224189</v>
      </c>
      <c r="J31" s="45" t="s">
        <v>94</v>
      </c>
      <c r="K31" s="60">
        <v>0</v>
      </c>
      <c r="L31" s="41">
        <v>0</v>
      </c>
      <c r="M31" s="41">
        <v>0</v>
      </c>
      <c r="N31" s="41">
        <v>0</v>
      </c>
      <c r="O31" s="61">
        <v>0</v>
      </c>
      <c r="P31" s="61">
        <v>0</v>
      </c>
      <c r="Q31" s="61">
        <v>0</v>
      </c>
      <c r="R31" s="61">
        <v>0</v>
      </c>
      <c r="S31" s="61">
        <v>0</v>
      </c>
      <c r="T31" s="61">
        <v>0</v>
      </c>
      <c r="V31" s="41">
        <f t="shared" si="4"/>
        <v>0</v>
      </c>
      <c r="W31" s="88"/>
      <c r="X31" s="86"/>
      <c r="Y31" s="87"/>
      <c r="Z31" s="87"/>
      <c r="AA31" s="87"/>
      <c r="AB31" s="29"/>
      <c r="AC31" s="41">
        <f t="shared" si="5"/>
        <v>0</v>
      </c>
      <c r="AD31" s="29"/>
      <c r="AE31" s="29"/>
      <c r="AF31" s="42"/>
    </row>
    <row r="32" spans="1:32" s="16" customFormat="1" x14ac:dyDescent="0.25">
      <c r="A32" s="33" t="s">
        <v>50</v>
      </c>
      <c r="B32" s="33" t="s">
        <v>51</v>
      </c>
      <c r="C32" s="33" t="s">
        <v>52</v>
      </c>
      <c r="D32" s="33" t="s">
        <v>53</v>
      </c>
      <c r="E32" s="33" t="s">
        <v>54</v>
      </c>
      <c r="F32" s="34" t="s">
        <v>95</v>
      </c>
      <c r="G32" s="59" t="s">
        <v>81</v>
      </c>
      <c r="H32" s="27" t="s">
        <v>82</v>
      </c>
      <c r="I32" s="56" t="str">
        <f t="shared" si="3"/>
        <v>00224190</v>
      </c>
      <c r="J32" s="45" t="s">
        <v>96</v>
      </c>
      <c r="K32" s="60">
        <v>0</v>
      </c>
      <c r="L32" s="41">
        <v>0</v>
      </c>
      <c r="M32" s="41">
        <v>0</v>
      </c>
      <c r="N32" s="41">
        <v>0</v>
      </c>
      <c r="O32" s="61">
        <v>0</v>
      </c>
      <c r="P32" s="61">
        <v>0</v>
      </c>
      <c r="Q32" s="61">
        <v>0</v>
      </c>
      <c r="R32" s="61">
        <v>0</v>
      </c>
      <c r="S32" s="61">
        <v>0</v>
      </c>
      <c r="T32" s="61">
        <v>0</v>
      </c>
      <c r="V32" s="41">
        <f t="shared" si="4"/>
        <v>0</v>
      </c>
      <c r="W32" s="88"/>
      <c r="X32" s="86"/>
      <c r="Y32" s="87"/>
      <c r="Z32" s="87"/>
      <c r="AA32" s="87"/>
      <c r="AB32" s="29"/>
      <c r="AC32" s="41">
        <f t="shared" si="5"/>
        <v>0</v>
      </c>
      <c r="AD32" s="29"/>
      <c r="AE32" s="29"/>
      <c r="AF32" s="42"/>
    </row>
    <row r="33" spans="1:32" s="16" customFormat="1" x14ac:dyDescent="0.25">
      <c r="A33" s="33" t="s">
        <v>50</v>
      </c>
      <c r="B33" s="33" t="s">
        <v>51</v>
      </c>
      <c r="C33" s="33" t="s">
        <v>52</v>
      </c>
      <c r="D33" s="33" t="s">
        <v>53</v>
      </c>
      <c r="E33" s="33" t="s">
        <v>54</v>
      </c>
      <c r="F33" s="34" t="s">
        <v>97</v>
      </c>
      <c r="G33" s="59" t="s">
        <v>81</v>
      </c>
      <c r="H33" s="27" t="s">
        <v>82</v>
      </c>
      <c r="I33" s="56" t="str">
        <f t="shared" si="3"/>
        <v>00224191</v>
      </c>
      <c r="J33" s="45" t="s">
        <v>92</v>
      </c>
      <c r="K33" s="60">
        <v>0</v>
      </c>
      <c r="L33" s="41">
        <v>0</v>
      </c>
      <c r="M33" s="41">
        <v>0</v>
      </c>
      <c r="N33" s="41">
        <v>0</v>
      </c>
      <c r="O33" s="61">
        <v>0</v>
      </c>
      <c r="P33" s="61">
        <v>0</v>
      </c>
      <c r="Q33" s="61">
        <v>0</v>
      </c>
      <c r="R33" s="61">
        <v>0</v>
      </c>
      <c r="S33" s="61">
        <v>0</v>
      </c>
      <c r="T33" s="61">
        <v>0</v>
      </c>
      <c r="V33" s="41">
        <f t="shared" si="4"/>
        <v>0</v>
      </c>
      <c r="W33" s="88"/>
      <c r="X33" s="86"/>
      <c r="Y33" s="87"/>
      <c r="Z33" s="87"/>
      <c r="AA33" s="87"/>
      <c r="AB33" s="29"/>
      <c r="AC33" s="41">
        <f t="shared" si="5"/>
        <v>0</v>
      </c>
      <c r="AD33" s="29"/>
      <c r="AE33" s="29"/>
      <c r="AF33" s="42"/>
    </row>
    <row r="34" spans="1:32" s="16" customFormat="1" x14ac:dyDescent="0.25">
      <c r="A34" s="33" t="s">
        <v>50</v>
      </c>
      <c r="B34" s="33" t="s">
        <v>51</v>
      </c>
      <c r="C34" s="33" t="s">
        <v>52</v>
      </c>
      <c r="D34" s="33" t="s">
        <v>53</v>
      </c>
      <c r="E34" s="33" t="s">
        <v>54</v>
      </c>
      <c r="F34" s="34" t="s">
        <v>98</v>
      </c>
      <c r="G34" s="59" t="s">
        <v>81</v>
      </c>
      <c r="H34" s="27" t="s">
        <v>82</v>
      </c>
      <c r="I34" s="56" t="str">
        <f t="shared" si="3"/>
        <v>00224192</v>
      </c>
      <c r="J34" s="45" t="s">
        <v>92</v>
      </c>
      <c r="K34" s="60">
        <v>0</v>
      </c>
      <c r="L34" s="41">
        <v>0</v>
      </c>
      <c r="M34" s="41">
        <v>0</v>
      </c>
      <c r="N34" s="41">
        <v>0</v>
      </c>
      <c r="O34" s="61">
        <v>0</v>
      </c>
      <c r="P34" s="61">
        <v>0</v>
      </c>
      <c r="Q34" s="61">
        <v>0</v>
      </c>
      <c r="R34" s="61">
        <v>0</v>
      </c>
      <c r="S34" s="61">
        <v>0</v>
      </c>
      <c r="T34" s="61">
        <v>0</v>
      </c>
      <c r="V34" s="41">
        <f t="shared" si="4"/>
        <v>0</v>
      </c>
      <c r="W34" s="88"/>
      <c r="X34" s="86"/>
      <c r="Y34" s="87"/>
      <c r="Z34" s="87"/>
      <c r="AA34" s="87"/>
      <c r="AB34" s="29"/>
      <c r="AC34" s="41">
        <f t="shared" si="5"/>
        <v>0</v>
      </c>
      <c r="AD34" s="29"/>
      <c r="AE34" s="29"/>
      <c r="AF34" s="42"/>
    </row>
    <row r="35" spans="1:32" s="16" customFormat="1" x14ac:dyDescent="0.25">
      <c r="A35" s="33" t="s">
        <v>50</v>
      </c>
      <c r="B35" s="33" t="s">
        <v>51</v>
      </c>
      <c r="C35" s="33" t="s">
        <v>52</v>
      </c>
      <c r="D35" s="33" t="s">
        <v>53</v>
      </c>
      <c r="E35" s="33" t="s">
        <v>54</v>
      </c>
      <c r="F35" s="34" t="s">
        <v>99</v>
      </c>
      <c r="G35" s="59" t="s">
        <v>81</v>
      </c>
      <c r="H35" s="27" t="s">
        <v>82</v>
      </c>
      <c r="I35" s="56" t="str">
        <f t="shared" si="3"/>
        <v>00233395</v>
      </c>
      <c r="J35" s="45" t="s">
        <v>100</v>
      </c>
      <c r="K35" s="60">
        <v>0</v>
      </c>
      <c r="L35" s="41">
        <v>0</v>
      </c>
      <c r="M35" s="41">
        <v>0</v>
      </c>
      <c r="N35" s="41">
        <v>0</v>
      </c>
      <c r="O35" s="61">
        <v>0</v>
      </c>
      <c r="P35" s="61">
        <v>0</v>
      </c>
      <c r="Q35" s="61">
        <v>0</v>
      </c>
      <c r="R35" s="61">
        <v>0</v>
      </c>
      <c r="S35" s="61">
        <v>0</v>
      </c>
      <c r="T35" s="61">
        <v>0</v>
      </c>
      <c r="V35" s="41">
        <f t="shared" si="4"/>
        <v>0</v>
      </c>
      <c r="W35" s="88"/>
      <c r="X35" s="86"/>
      <c r="Y35" s="87"/>
      <c r="Z35" s="87"/>
      <c r="AA35" s="87"/>
      <c r="AB35" s="29"/>
      <c r="AC35" s="41">
        <f t="shared" si="5"/>
        <v>0</v>
      </c>
      <c r="AD35" s="29"/>
      <c r="AE35" s="29"/>
      <c r="AF35" s="42"/>
    </row>
    <row r="36" spans="1:32" s="16" customFormat="1" x14ac:dyDescent="0.25">
      <c r="A36" s="33" t="s">
        <v>50</v>
      </c>
      <c r="B36" s="33" t="s">
        <v>51</v>
      </c>
      <c r="C36" s="33" t="s">
        <v>52</v>
      </c>
      <c r="D36" s="33" t="s">
        <v>53</v>
      </c>
      <c r="E36" s="33" t="s">
        <v>54</v>
      </c>
      <c r="F36" s="34" t="s">
        <v>101</v>
      </c>
      <c r="G36" s="59" t="s">
        <v>81</v>
      </c>
      <c r="H36" s="27" t="s">
        <v>82</v>
      </c>
      <c r="I36" s="56" t="str">
        <f t="shared" si="3"/>
        <v>00240427</v>
      </c>
      <c r="J36" s="45" t="s">
        <v>102</v>
      </c>
      <c r="K36" s="60">
        <v>0</v>
      </c>
      <c r="L36" s="41">
        <v>0</v>
      </c>
      <c r="M36" s="41">
        <v>0</v>
      </c>
      <c r="N36" s="41">
        <v>0</v>
      </c>
      <c r="O36" s="61">
        <v>0</v>
      </c>
      <c r="P36" s="61">
        <v>0</v>
      </c>
      <c r="Q36" s="61">
        <v>0</v>
      </c>
      <c r="R36" s="61">
        <v>0</v>
      </c>
      <c r="S36" s="61">
        <v>0</v>
      </c>
      <c r="T36" s="61">
        <v>0</v>
      </c>
      <c r="V36" s="41">
        <f t="shared" si="4"/>
        <v>0</v>
      </c>
      <c r="W36" s="88"/>
      <c r="X36" s="86"/>
      <c r="Y36" s="87"/>
      <c r="Z36" s="87"/>
      <c r="AA36" s="87"/>
      <c r="AB36" s="29"/>
      <c r="AC36" s="41">
        <f t="shared" si="5"/>
        <v>0</v>
      </c>
      <c r="AD36" s="29"/>
      <c r="AE36" s="29"/>
      <c r="AF36" s="42"/>
    </row>
    <row r="37" spans="1:32" s="16" customFormat="1" x14ac:dyDescent="0.25">
      <c r="A37" s="33" t="s">
        <v>50</v>
      </c>
      <c r="B37" s="33" t="s">
        <v>51</v>
      </c>
      <c r="C37" s="33" t="s">
        <v>52</v>
      </c>
      <c r="D37" s="33" t="s">
        <v>53</v>
      </c>
      <c r="E37" s="33" t="s">
        <v>54</v>
      </c>
      <c r="F37" s="34" t="s">
        <v>103</v>
      </c>
      <c r="G37" s="59" t="s">
        <v>81</v>
      </c>
      <c r="H37" s="27" t="s">
        <v>82</v>
      </c>
      <c r="I37" s="56" t="str">
        <f t="shared" si="3"/>
        <v>00243991</v>
      </c>
      <c r="J37" s="45" t="s">
        <v>104</v>
      </c>
      <c r="K37" s="60">
        <v>0</v>
      </c>
      <c r="L37" s="41">
        <v>0</v>
      </c>
      <c r="M37" s="41">
        <v>0</v>
      </c>
      <c r="N37" s="41">
        <v>0</v>
      </c>
      <c r="O37" s="61">
        <v>0</v>
      </c>
      <c r="P37" s="61">
        <v>0</v>
      </c>
      <c r="Q37" s="61">
        <v>0</v>
      </c>
      <c r="R37" s="61">
        <v>0</v>
      </c>
      <c r="S37" s="61">
        <v>0</v>
      </c>
      <c r="T37" s="61">
        <v>0</v>
      </c>
      <c r="V37" s="41">
        <f t="shared" si="4"/>
        <v>0</v>
      </c>
      <c r="W37" s="88"/>
      <c r="X37" s="86"/>
      <c r="Y37" s="87"/>
      <c r="Z37" s="87"/>
      <c r="AA37" s="87"/>
      <c r="AB37" s="29"/>
      <c r="AC37" s="41">
        <f t="shared" si="5"/>
        <v>0</v>
      </c>
      <c r="AD37" s="29"/>
      <c r="AE37" s="29"/>
      <c r="AF37" s="42"/>
    </row>
    <row r="38" spans="1:32" s="16" customFormat="1" x14ac:dyDescent="0.25">
      <c r="A38" s="33" t="s">
        <v>50</v>
      </c>
      <c r="B38" s="33" t="s">
        <v>51</v>
      </c>
      <c r="C38" s="33" t="s">
        <v>52</v>
      </c>
      <c r="D38" s="33" t="s">
        <v>53</v>
      </c>
      <c r="E38" s="33" t="s">
        <v>54</v>
      </c>
      <c r="F38" s="34" t="s">
        <v>105</v>
      </c>
      <c r="G38" s="59" t="s">
        <v>81</v>
      </c>
      <c r="H38" s="27" t="s">
        <v>82</v>
      </c>
      <c r="I38" s="56" t="str">
        <f t="shared" si="3"/>
        <v>00251088</v>
      </c>
      <c r="J38" s="45" t="s">
        <v>106</v>
      </c>
      <c r="K38" s="60">
        <v>-65.61</v>
      </c>
      <c r="L38" s="41">
        <v>0</v>
      </c>
      <c r="M38" s="41">
        <v>65.61</v>
      </c>
      <c r="N38" s="41">
        <v>0</v>
      </c>
      <c r="O38" s="61">
        <v>0</v>
      </c>
      <c r="P38" s="61">
        <v>0</v>
      </c>
      <c r="Q38" s="61">
        <v>0</v>
      </c>
      <c r="R38" s="61">
        <v>0</v>
      </c>
      <c r="S38" s="61">
        <v>0</v>
      </c>
      <c r="T38" s="61">
        <v>0</v>
      </c>
      <c r="V38" s="41">
        <f t="shared" si="4"/>
        <v>0</v>
      </c>
      <c r="W38" s="88"/>
      <c r="X38" s="86"/>
      <c r="Y38" s="87"/>
      <c r="Z38" s="87"/>
      <c r="AA38" s="87"/>
      <c r="AB38" s="29"/>
      <c r="AC38" s="41">
        <f t="shared" si="5"/>
        <v>0</v>
      </c>
      <c r="AD38" s="29"/>
      <c r="AE38" s="29"/>
      <c r="AF38" s="42"/>
    </row>
    <row r="39" spans="1:32" s="16" customFormat="1" x14ac:dyDescent="0.25">
      <c r="A39" s="33" t="s">
        <v>50</v>
      </c>
      <c r="B39" s="33" t="s">
        <v>51</v>
      </c>
      <c r="C39" s="33" t="s">
        <v>52</v>
      </c>
      <c r="D39" s="33" t="s">
        <v>53</v>
      </c>
      <c r="E39" s="33" t="s">
        <v>54</v>
      </c>
      <c r="F39" s="26" t="s">
        <v>107</v>
      </c>
      <c r="G39" s="59" t="s">
        <v>108</v>
      </c>
      <c r="H39" s="27" t="s">
        <v>109</v>
      </c>
      <c r="I39" s="56" t="str">
        <f t="shared" si="3"/>
        <v>00252847</v>
      </c>
      <c r="J39" s="45" t="s">
        <v>110</v>
      </c>
      <c r="K39" s="60">
        <v>0</v>
      </c>
      <c r="L39" s="41">
        <v>0</v>
      </c>
      <c r="M39" s="41">
        <v>0</v>
      </c>
      <c r="N39" s="41">
        <v>0</v>
      </c>
      <c r="O39" s="61">
        <v>0</v>
      </c>
      <c r="P39" s="61">
        <v>0</v>
      </c>
      <c r="Q39" s="61">
        <v>0</v>
      </c>
      <c r="R39" s="61">
        <v>0</v>
      </c>
      <c r="S39" s="61">
        <v>0</v>
      </c>
      <c r="T39" s="61">
        <v>0</v>
      </c>
      <c r="V39" s="41">
        <f t="shared" si="4"/>
        <v>0</v>
      </c>
      <c r="W39" s="88"/>
      <c r="X39" s="86"/>
      <c r="Y39" s="87"/>
      <c r="Z39" s="87"/>
      <c r="AA39" s="87"/>
      <c r="AB39" s="29"/>
      <c r="AC39" s="41">
        <f t="shared" si="5"/>
        <v>0</v>
      </c>
      <c r="AD39" s="29"/>
      <c r="AE39" s="29"/>
      <c r="AF39" s="42"/>
    </row>
    <row r="40" spans="1:32" s="16" customFormat="1" x14ac:dyDescent="0.25">
      <c r="A40" s="33" t="s">
        <v>50</v>
      </c>
      <c r="B40" s="33" t="s">
        <v>51</v>
      </c>
      <c r="C40" s="33" t="s">
        <v>52</v>
      </c>
      <c r="D40" s="33" t="s">
        <v>53</v>
      </c>
      <c r="E40" s="33" t="s">
        <v>54</v>
      </c>
      <c r="F40" s="26" t="s">
        <v>111</v>
      </c>
      <c r="G40" s="59" t="s">
        <v>112</v>
      </c>
      <c r="H40" s="27" t="s">
        <v>113</v>
      </c>
      <c r="I40" s="56" t="str">
        <f t="shared" si="3"/>
        <v>00252849</v>
      </c>
      <c r="J40" s="45" t="s">
        <v>114</v>
      </c>
      <c r="K40" s="60">
        <v>0</v>
      </c>
      <c r="L40" s="41">
        <v>0</v>
      </c>
      <c r="M40" s="41">
        <v>611.89</v>
      </c>
      <c r="N40" s="41">
        <v>0</v>
      </c>
      <c r="O40" s="61">
        <v>0</v>
      </c>
      <c r="P40" s="61">
        <v>0</v>
      </c>
      <c r="Q40" s="61">
        <v>0</v>
      </c>
      <c r="R40" s="61">
        <v>0</v>
      </c>
      <c r="S40" s="61">
        <v>0</v>
      </c>
      <c r="T40" s="61">
        <v>0</v>
      </c>
      <c r="V40" s="41">
        <f t="shared" si="4"/>
        <v>611.89</v>
      </c>
      <c r="W40" s="88"/>
      <c r="X40" s="86"/>
      <c r="Y40" s="87"/>
      <c r="Z40" s="87"/>
      <c r="AA40" s="87"/>
      <c r="AB40" s="29"/>
      <c r="AC40" s="41">
        <f t="shared" si="5"/>
        <v>611.89</v>
      </c>
      <c r="AD40" s="29"/>
      <c r="AE40" s="29"/>
      <c r="AF40" s="42"/>
    </row>
    <row r="41" spans="1:32" s="16" customFormat="1" x14ac:dyDescent="0.25">
      <c r="A41" s="33" t="s">
        <v>50</v>
      </c>
      <c r="B41" s="33" t="s">
        <v>51</v>
      </c>
      <c r="C41" s="33" t="s">
        <v>52</v>
      </c>
      <c r="D41" s="33" t="s">
        <v>53</v>
      </c>
      <c r="E41" s="33" t="s">
        <v>54</v>
      </c>
      <c r="F41" s="26" t="s">
        <v>21</v>
      </c>
      <c r="G41" s="59" t="s">
        <v>115</v>
      </c>
      <c r="H41" s="27" t="s">
        <v>116</v>
      </c>
      <c r="I41" s="56" t="str">
        <f t="shared" si="3"/>
        <v>00256583</v>
      </c>
      <c r="J41" s="62" t="s">
        <v>117</v>
      </c>
      <c r="K41" s="72">
        <v>-465644.5</v>
      </c>
      <c r="L41" s="41">
        <v>-24898.26</v>
      </c>
      <c r="M41" s="41">
        <v>4686.87</v>
      </c>
      <c r="N41" s="41">
        <v>705.25</v>
      </c>
      <c r="O41" s="61">
        <v>2079.52</v>
      </c>
      <c r="P41" s="61">
        <v>0</v>
      </c>
      <c r="Q41" s="61">
        <v>0</v>
      </c>
      <c r="R41" s="61">
        <v>0</v>
      </c>
      <c r="S41" s="61">
        <v>0</v>
      </c>
      <c r="T41" s="61">
        <v>0</v>
      </c>
      <c r="V41" s="41">
        <f t="shared" si="4"/>
        <v>-483071.12</v>
      </c>
      <c r="W41" s="88"/>
      <c r="X41" s="86"/>
      <c r="Y41" s="87"/>
      <c r="Z41" s="87"/>
      <c r="AA41" s="87"/>
      <c r="AB41" s="29"/>
      <c r="AC41" s="41">
        <f t="shared" si="5"/>
        <v>-483071.12</v>
      </c>
      <c r="AD41" s="29"/>
      <c r="AE41" s="29"/>
      <c r="AF41" s="42"/>
    </row>
    <row r="42" spans="1:32" s="16" customFormat="1" x14ac:dyDescent="0.25">
      <c r="A42" s="33" t="s">
        <v>50</v>
      </c>
      <c r="B42" s="33" t="s">
        <v>51</v>
      </c>
      <c r="C42" s="33" t="s">
        <v>52</v>
      </c>
      <c r="D42" s="33" t="s">
        <v>53</v>
      </c>
      <c r="E42" s="33" t="s">
        <v>54</v>
      </c>
      <c r="F42" s="26" t="s">
        <v>118</v>
      </c>
      <c r="G42" s="59" t="s">
        <v>119</v>
      </c>
      <c r="H42" s="27" t="s">
        <v>120</v>
      </c>
      <c r="I42" s="56" t="str">
        <f t="shared" si="3"/>
        <v>00252854</v>
      </c>
      <c r="J42" s="62" t="s">
        <v>121</v>
      </c>
      <c r="K42" s="72">
        <v>205745.62</v>
      </c>
      <c r="L42" s="41">
        <v>-42148.11</v>
      </c>
      <c r="M42" s="41">
        <v>0</v>
      </c>
      <c r="N42" s="41">
        <v>3068.48</v>
      </c>
      <c r="O42" s="61">
        <v>208.62</v>
      </c>
      <c r="P42" s="61">
        <v>0</v>
      </c>
      <c r="Q42" s="61">
        <v>0</v>
      </c>
      <c r="R42" s="61">
        <v>0</v>
      </c>
      <c r="S42" s="61">
        <v>0</v>
      </c>
      <c r="T42" s="61">
        <v>0</v>
      </c>
      <c r="V42" s="41">
        <f t="shared" si="4"/>
        <v>166874.61000000002</v>
      </c>
      <c r="W42" s="88"/>
      <c r="X42" s="86"/>
      <c r="Y42" s="87"/>
      <c r="Z42" s="87"/>
      <c r="AA42" s="87"/>
      <c r="AB42" s="29"/>
      <c r="AC42" s="41">
        <f t="shared" si="5"/>
        <v>166874.61000000002</v>
      </c>
      <c r="AD42" s="29"/>
      <c r="AE42" s="29"/>
      <c r="AF42" s="42"/>
    </row>
    <row r="43" spans="1:32" s="16" customFormat="1" x14ac:dyDescent="0.25">
      <c r="A43" s="33" t="s">
        <v>50</v>
      </c>
      <c r="B43" s="33" t="s">
        <v>51</v>
      </c>
      <c r="C43" s="33" t="s">
        <v>52</v>
      </c>
      <c r="D43" s="33" t="s">
        <v>53</v>
      </c>
      <c r="E43" s="33" t="s">
        <v>54</v>
      </c>
      <c r="F43" s="26" t="s">
        <v>122</v>
      </c>
      <c r="G43" s="59" t="s">
        <v>123</v>
      </c>
      <c r="H43" s="27" t="s">
        <v>124</v>
      </c>
      <c r="I43" s="56" t="str">
        <f t="shared" si="3"/>
        <v>00265747</v>
      </c>
      <c r="J43" s="45" t="s">
        <v>125</v>
      </c>
      <c r="K43" s="60">
        <v>0</v>
      </c>
      <c r="L43" s="41">
        <v>0</v>
      </c>
      <c r="M43" s="41">
        <v>2376.98</v>
      </c>
      <c r="N43" s="41">
        <v>33557.42</v>
      </c>
      <c r="O43" s="61">
        <v>3491.98</v>
      </c>
      <c r="P43" s="61">
        <v>16161.22</v>
      </c>
      <c r="Q43" s="61">
        <v>249553.02</v>
      </c>
      <c r="R43" s="61">
        <v>733285.59</v>
      </c>
      <c r="S43" s="61">
        <v>57611.89</v>
      </c>
      <c r="T43" s="61">
        <v>4209.2700000000004</v>
      </c>
      <c r="V43" s="41">
        <f t="shared" si="4"/>
        <v>1100247.3699999999</v>
      </c>
      <c r="W43" s="88"/>
      <c r="X43" s="86"/>
      <c r="Y43" s="87"/>
      <c r="Z43" s="87"/>
      <c r="AA43" s="87"/>
      <c r="AB43" s="29"/>
      <c r="AC43" s="41">
        <f t="shared" si="5"/>
        <v>1100247.3699999999</v>
      </c>
      <c r="AD43" s="29"/>
      <c r="AE43" s="29"/>
      <c r="AF43" s="42"/>
    </row>
    <row r="44" spans="1:32" s="16" customFormat="1" x14ac:dyDescent="0.25">
      <c r="A44" s="33" t="s">
        <v>50</v>
      </c>
      <c r="B44" s="33" t="s">
        <v>51</v>
      </c>
      <c r="C44" s="33" t="s">
        <v>52</v>
      </c>
      <c r="D44" s="33" t="s">
        <v>53</v>
      </c>
      <c r="E44" s="33" t="s">
        <v>54</v>
      </c>
      <c r="F44" s="34" t="s">
        <v>126</v>
      </c>
      <c r="G44" s="55" t="s">
        <v>127</v>
      </c>
      <c r="H44" s="27" t="s">
        <v>128</v>
      </c>
      <c r="I44" s="56" t="str">
        <f t="shared" si="3"/>
        <v>00266060</v>
      </c>
      <c r="J44" s="27" t="s">
        <v>129</v>
      </c>
      <c r="K44" s="41">
        <v>0</v>
      </c>
      <c r="L44" s="41">
        <v>0</v>
      </c>
      <c r="M44" s="41">
        <v>0</v>
      </c>
      <c r="N44" s="41">
        <v>0</v>
      </c>
      <c r="O44" s="61">
        <v>0</v>
      </c>
      <c r="P44" s="61">
        <v>0</v>
      </c>
      <c r="Q44" s="61">
        <v>51059.33</v>
      </c>
      <c r="R44" s="61">
        <v>129413.45</v>
      </c>
      <c r="S44" s="61">
        <v>-3524.57</v>
      </c>
      <c r="T44" s="61">
        <v>310900</v>
      </c>
      <c r="U44" s="27"/>
      <c r="V44" s="41">
        <f t="shared" si="4"/>
        <v>487848.20999999996</v>
      </c>
      <c r="W44" s="88"/>
      <c r="X44" s="86"/>
      <c r="Y44" s="87"/>
      <c r="Z44" s="87"/>
      <c r="AA44" s="87"/>
      <c r="AB44" s="29"/>
      <c r="AC44" s="41">
        <f>+V44+Y44+Z44</f>
        <v>487848.20999999996</v>
      </c>
      <c r="AD44" s="29"/>
      <c r="AE44" s="29"/>
      <c r="AF44" s="42"/>
    </row>
    <row r="45" spans="1:32" s="16" customFormat="1" x14ac:dyDescent="0.25">
      <c r="A45" s="33"/>
      <c r="B45" s="33"/>
      <c r="C45" s="33"/>
      <c r="D45" s="33"/>
      <c r="E45" s="33"/>
      <c r="F45" s="34" t="s">
        <v>261</v>
      </c>
      <c r="G45" s="55" t="s">
        <v>263</v>
      </c>
      <c r="H45" s="27" t="s">
        <v>265</v>
      </c>
      <c r="I45" s="56" t="s">
        <v>261</v>
      </c>
      <c r="J45" s="27" t="s">
        <v>265</v>
      </c>
      <c r="K45" s="41"/>
      <c r="L45" s="41"/>
      <c r="M45" s="41"/>
      <c r="N45" s="41"/>
      <c r="O45" s="61"/>
      <c r="P45" s="61"/>
      <c r="Q45" s="61">
        <v>56.4</v>
      </c>
      <c r="R45" s="61">
        <v>0.15</v>
      </c>
      <c r="S45" s="61">
        <v>0.15</v>
      </c>
      <c r="T45" s="61">
        <v>344720.66000000003</v>
      </c>
      <c r="U45" s="27"/>
      <c r="V45" s="41">
        <f t="shared" si="4"/>
        <v>344777.36000000004</v>
      </c>
      <c r="W45" s="88"/>
      <c r="X45" s="86"/>
      <c r="Y45" s="87"/>
      <c r="Z45" s="87"/>
      <c r="AA45" s="87"/>
      <c r="AB45" s="29"/>
      <c r="AC45" s="41">
        <v>0</v>
      </c>
      <c r="AD45" s="29"/>
      <c r="AE45" s="29"/>
      <c r="AF45" s="42"/>
    </row>
    <row r="46" spans="1:32" s="16" customFormat="1" ht="15.75" thickBot="1" x14ac:dyDescent="0.3">
      <c r="A46" s="33"/>
      <c r="B46" s="33"/>
      <c r="C46" s="33"/>
      <c r="D46" s="33"/>
      <c r="E46" s="33"/>
      <c r="F46" s="34" t="s">
        <v>262</v>
      </c>
      <c r="G46" s="75" t="s">
        <v>264</v>
      </c>
      <c r="H46" s="52" t="s">
        <v>266</v>
      </c>
      <c r="I46" s="53" t="s">
        <v>262</v>
      </c>
      <c r="J46" s="54" t="s">
        <v>266</v>
      </c>
      <c r="K46" s="38"/>
      <c r="L46" s="38"/>
      <c r="M46" s="38"/>
      <c r="N46" s="38"/>
      <c r="O46" s="39"/>
      <c r="P46" s="39"/>
      <c r="Q46" s="39">
        <v>0</v>
      </c>
      <c r="R46" s="39">
        <v>0</v>
      </c>
      <c r="S46" s="39"/>
      <c r="T46" s="39">
        <v>28670</v>
      </c>
      <c r="U46" s="52"/>
      <c r="V46" s="38">
        <f t="shared" si="4"/>
        <v>28670</v>
      </c>
      <c r="W46" s="88"/>
      <c r="X46" s="86"/>
      <c r="Y46" s="87"/>
      <c r="Z46" s="87"/>
      <c r="AA46" s="87"/>
      <c r="AB46" s="29"/>
      <c r="AC46" s="38">
        <v>0</v>
      </c>
      <c r="AD46" s="29"/>
      <c r="AE46" s="29"/>
      <c r="AF46" s="42"/>
    </row>
    <row r="47" spans="1:32" s="16" customFormat="1" x14ac:dyDescent="0.25">
      <c r="A47" s="33"/>
      <c r="B47" s="33"/>
      <c r="C47" s="33"/>
      <c r="D47" s="33"/>
      <c r="E47" s="33"/>
      <c r="F47" s="34"/>
      <c r="G47" s="55"/>
      <c r="H47" s="27"/>
      <c r="I47" s="56"/>
      <c r="J47" s="57" t="s">
        <v>130</v>
      </c>
      <c r="K47" s="29">
        <f t="shared" ref="K47:S47" si="6">SUM(K25:K46)</f>
        <v>-259964.49</v>
      </c>
      <c r="L47" s="29">
        <f t="shared" si="6"/>
        <v>-67046.37</v>
      </c>
      <c r="M47" s="29">
        <f t="shared" si="6"/>
        <v>7741.35</v>
      </c>
      <c r="N47" s="29">
        <f t="shared" si="6"/>
        <v>37331.15</v>
      </c>
      <c r="O47" s="29">
        <f t="shared" si="6"/>
        <v>5780.12</v>
      </c>
      <c r="P47" s="29">
        <f t="shared" si="6"/>
        <v>16161.22</v>
      </c>
      <c r="Q47" s="29">
        <f t="shared" si="6"/>
        <v>300668.75</v>
      </c>
      <c r="R47" s="29">
        <f t="shared" si="6"/>
        <v>862699.19</v>
      </c>
      <c r="S47" s="29">
        <f t="shared" si="6"/>
        <v>54087.47</v>
      </c>
      <c r="T47" s="29">
        <f>SUM(T25:T46)</f>
        <v>688499.93</v>
      </c>
      <c r="V47" s="29">
        <f>SUM(V25:V46)</f>
        <v>1645958.32</v>
      </c>
      <c r="W47" s="88"/>
      <c r="X47" s="86"/>
      <c r="Y47" s="87"/>
      <c r="Z47" s="87"/>
      <c r="AA47" s="87"/>
      <c r="AB47" s="29"/>
      <c r="AC47" s="29">
        <f>SUM(AC25:AC46)</f>
        <v>1272510.96</v>
      </c>
      <c r="AD47" s="29"/>
      <c r="AE47" s="29"/>
      <c r="AF47" s="42"/>
    </row>
    <row r="48" spans="1:32" s="16" customFormat="1" ht="15.75" thickBot="1" x14ac:dyDescent="0.3">
      <c r="A48" s="33"/>
      <c r="B48" s="33"/>
      <c r="C48" s="33"/>
      <c r="D48" s="33"/>
      <c r="E48" s="33"/>
      <c r="F48" s="34"/>
      <c r="G48" s="17"/>
      <c r="I48" s="18"/>
      <c r="J48" s="45"/>
      <c r="K48" s="29"/>
      <c r="L48" s="29"/>
      <c r="M48" s="29"/>
      <c r="N48" s="29"/>
      <c r="V48" s="29"/>
      <c r="W48" s="87"/>
      <c r="X48" s="86"/>
      <c r="Y48" s="87"/>
      <c r="Z48" s="87"/>
      <c r="AA48" s="87"/>
      <c r="AB48" s="29"/>
      <c r="AC48" s="29"/>
      <c r="AD48" s="29"/>
      <c r="AE48" s="29"/>
      <c r="AF48" s="42"/>
    </row>
    <row r="49" spans="1:32" s="16" customFormat="1" x14ac:dyDescent="0.25">
      <c r="A49" s="33" t="s">
        <v>50</v>
      </c>
      <c r="B49" s="33" t="s">
        <v>51</v>
      </c>
      <c r="C49" s="33" t="s">
        <v>52</v>
      </c>
      <c r="D49" s="33" t="s">
        <v>53</v>
      </c>
      <c r="E49" s="33" t="s">
        <v>54</v>
      </c>
      <c r="F49" s="34" t="s">
        <v>131</v>
      </c>
      <c r="G49" s="46" t="s">
        <v>132</v>
      </c>
      <c r="H49" s="31" t="s">
        <v>133</v>
      </c>
      <c r="I49" s="47" t="str">
        <f t="shared" si="1"/>
        <v>00199775</v>
      </c>
      <c r="J49" s="48" t="s">
        <v>134</v>
      </c>
      <c r="K49" s="58">
        <v>0</v>
      </c>
      <c r="L49" s="49">
        <v>0</v>
      </c>
      <c r="M49" s="49">
        <v>0</v>
      </c>
      <c r="N49" s="49">
        <v>0</v>
      </c>
      <c r="O49" s="50">
        <v>-39982.06</v>
      </c>
      <c r="P49" s="50">
        <v>0</v>
      </c>
      <c r="Q49" s="50">
        <v>0</v>
      </c>
      <c r="R49" s="50">
        <v>0</v>
      </c>
      <c r="S49" s="50">
        <v>0</v>
      </c>
      <c r="T49" s="50">
        <v>0</v>
      </c>
      <c r="V49" s="49">
        <f t="shared" ref="V49:V56" si="7">SUM(J49:U49)</f>
        <v>-39982.06</v>
      </c>
      <c r="W49" s="88"/>
      <c r="X49" s="86"/>
      <c r="Y49" s="87"/>
      <c r="Z49" s="87"/>
      <c r="AA49" s="87"/>
      <c r="AB49" s="29"/>
      <c r="AC49" s="49">
        <f t="shared" ref="AC49:AC56" si="8">+V49+Y49+Z49</f>
        <v>-39982.06</v>
      </c>
      <c r="AD49" s="29"/>
      <c r="AE49" s="29"/>
      <c r="AF49" s="42"/>
    </row>
    <row r="50" spans="1:32" s="16" customFormat="1" x14ac:dyDescent="0.25">
      <c r="A50" s="33"/>
      <c r="B50" s="33"/>
      <c r="C50" s="33"/>
      <c r="D50" s="33"/>
      <c r="E50" s="33"/>
      <c r="F50" s="34" t="s">
        <v>267</v>
      </c>
      <c r="G50" s="59" t="s">
        <v>132</v>
      </c>
      <c r="H50" s="27" t="s">
        <v>269</v>
      </c>
      <c r="I50" s="56" t="s">
        <v>267</v>
      </c>
      <c r="J50" s="45" t="s">
        <v>270</v>
      </c>
      <c r="K50" s="60"/>
      <c r="L50" s="41"/>
      <c r="M50" s="41"/>
      <c r="N50" s="41"/>
      <c r="O50" s="61">
        <v>8312.08</v>
      </c>
      <c r="P50" s="61"/>
      <c r="Q50" s="61"/>
      <c r="R50" s="61"/>
      <c r="S50" s="61"/>
      <c r="T50" s="61"/>
      <c r="V50" s="41">
        <f t="shared" si="7"/>
        <v>8312.08</v>
      </c>
      <c r="W50" s="88"/>
      <c r="X50" s="86"/>
      <c r="Y50" s="87"/>
      <c r="Z50" s="87"/>
      <c r="AA50" s="87"/>
      <c r="AB50" s="29"/>
      <c r="AC50" s="41">
        <f t="shared" si="8"/>
        <v>8312.08</v>
      </c>
      <c r="AD50" s="29"/>
      <c r="AE50" s="29"/>
      <c r="AF50" s="42"/>
    </row>
    <row r="51" spans="1:32" s="16" customFormat="1" x14ac:dyDescent="0.25">
      <c r="A51" s="33"/>
      <c r="B51" s="33"/>
      <c r="C51" s="33"/>
      <c r="D51" s="33"/>
      <c r="E51" s="33"/>
      <c r="F51" s="34" t="s">
        <v>268</v>
      </c>
      <c r="G51" s="59" t="s">
        <v>132</v>
      </c>
      <c r="H51" s="27" t="s">
        <v>269</v>
      </c>
      <c r="I51" s="56" t="s">
        <v>268</v>
      </c>
      <c r="J51" s="45" t="s">
        <v>271</v>
      </c>
      <c r="K51" s="60"/>
      <c r="L51" s="41"/>
      <c r="M51" s="41"/>
      <c r="N51" s="41"/>
      <c r="O51" s="61"/>
      <c r="P51" s="61"/>
      <c r="Q51" s="61"/>
      <c r="R51" s="61">
        <v>2590.77</v>
      </c>
      <c r="S51" s="61"/>
      <c r="T51" s="61"/>
      <c r="V51" s="41">
        <f t="shared" si="7"/>
        <v>2590.77</v>
      </c>
      <c r="W51" s="88"/>
      <c r="X51" s="86"/>
      <c r="Y51" s="87"/>
      <c r="Z51" s="87"/>
      <c r="AA51" s="87"/>
      <c r="AB51" s="29"/>
      <c r="AC51" s="41">
        <f t="shared" si="8"/>
        <v>2590.77</v>
      </c>
      <c r="AD51" s="29"/>
      <c r="AE51" s="29"/>
      <c r="AF51" s="42"/>
    </row>
    <row r="52" spans="1:32" s="16" customFormat="1" x14ac:dyDescent="0.25">
      <c r="A52" s="33" t="s">
        <v>50</v>
      </c>
      <c r="B52" s="33" t="s">
        <v>51</v>
      </c>
      <c r="C52" s="33" t="s">
        <v>52</v>
      </c>
      <c r="D52" s="33" t="s">
        <v>53</v>
      </c>
      <c r="E52" s="33" t="s">
        <v>54</v>
      </c>
      <c r="F52" s="34" t="s">
        <v>135</v>
      </c>
      <c r="G52" s="59" t="s">
        <v>136</v>
      </c>
      <c r="H52" s="27" t="s">
        <v>137</v>
      </c>
      <c r="I52" s="56" t="str">
        <f t="shared" si="1"/>
        <v>00254851</v>
      </c>
      <c r="J52" s="45" t="s">
        <v>138</v>
      </c>
      <c r="K52" s="60">
        <v>0</v>
      </c>
      <c r="L52" s="41">
        <v>0</v>
      </c>
      <c r="M52" s="41">
        <v>0</v>
      </c>
      <c r="N52" s="41">
        <v>67.48</v>
      </c>
      <c r="O52" s="61">
        <v>0</v>
      </c>
      <c r="P52" s="61">
        <v>0</v>
      </c>
      <c r="Q52" s="61">
        <v>0</v>
      </c>
      <c r="R52" s="61">
        <v>3207.5</v>
      </c>
      <c r="S52" s="61">
        <v>0</v>
      </c>
      <c r="T52" s="61">
        <v>0</v>
      </c>
      <c r="V52" s="41">
        <f t="shared" si="7"/>
        <v>3274.98</v>
      </c>
      <c r="W52" s="88"/>
      <c r="X52" s="86"/>
      <c r="Y52" s="87"/>
      <c r="Z52" s="87"/>
      <c r="AA52" s="87"/>
      <c r="AB52" s="29"/>
      <c r="AC52" s="41">
        <f t="shared" si="8"/>
        <v>3274.98</v>
      </c>
      <c r="AD52" s="29"/>
      <c r="AE52" s="29"/>
      <c r="AF52" s="42"/>
    </row>
    <row r="53" spans="1:32" s="16" customFormat="1" x14ac:dyDescent="0.25">
      <c r="A53" s="33" t="s">
        <v>50</v>
      </c>
      <c r="B53" s="33" t="s">
        <v>51</v>
      </c>
      <c r="C53" s="33" t="s">
        <v>52</v>
      </c>
      <c r="D53" s="33" t="s">
        <v>53</v>
      </c>
      <c r="E53" s="33" t="s">
        <v>54</v>
      </c>
      <c r="F53" s="34" t="s">
        <v>139</v>
      </c>
      <c r="G53" s="59" t="s">
        <v>140</v>
      </c>
      <c r="H53" s="27" t="s">
        <v>141</v>
      </c>
      <c r="I53" s="56" t="str">
        <f t="shared" si="1"/>
        <v>00254863</v>
      </c>
      <c r="J53" s="45" t="s">
        <v>142</v>
      </c>
      <c r="K53" s="60">
        <v>63942.59</v>
      </c>
      <c r="L53" s="41">
        <v>0</v>
      </c>
      <c r="M53" s="41">
        <v>438.1</v>
      </c>
      <c r="N53" s="41">
        <v>240.53</v>
      </c>
      <c r="O53" s="61">
        <v>68183.320000000007</v>
      </c>
      <c r="P53" s="61">
        <v>0</v>
      </c>
      <c r="Q53" s="61">
        <v>0</v>
      </c>
      <c r="R53" s="61">
        <v>0</v>
      </c>
      <c r="S53" s="61">
        <v>2472.75</v>
      </c>
      <c r="T53" s="61">
        <v>0</v>
      </c>
      <c r="V53" s="41">
        <f t="shared" si="7"/>
        <v>135277.29</v>
      </c>
      <c r="W53" s="88"/>
      <c r="X53" s="86"/>
      <c r="Y53" s="87"/>
      <c r="Z53" s="87"/>
      <c r="AA53" s="87"/>
      <c r="AB53" s="29"/>
      <c r="AC53" s="41">
        <f t="shared" si="8"/>
        <v>135277.29</v>
      </c>
      <c r="AD53" s="29"/>
      <c r="AE53" s="29"/>
      <c r="AF53" s="42"/>
    </row>
    <row r="54" spans="1:32" s="16" customFormat="1" x14ac:dyDescent="0.25">
      <c r="A54" s="33" t="s">
        <v>50</v>
      </c>
      <c r="B54" s="33" t="s">
        <v>51</v>
      </c>
      <c r="C54" s="33" t="s">
        <v>52</v>
      </c>
      <c r="D54" s="33" t="s">
        <v>53</v>
      </c>
      <c r="E54" s="33" t="s">
        <v>54</v>
      </c>
      <c r="F54" s="34" t="s">
        <v>143</v>
      </c>
      <c r="G54" s="59" t="s">
        <v>144</v>
      </c>
      <c r="H54" s="27" t="s">
        <v>145</v>
      </c>
      <c r="I54" s="56" t="str">
        <f t="shared" si="1"/>
        <v>00254868</v>
      </c>
      <c r="J54" s="45" t="s">
        <v>145</v>
      </c>
      <c r="K54" s="60">
        <v>3084.83</v>
      </c>
      <c r="L54" s="41">
        <v>3650.77</v>
      </c>
      <c r="M54" s="41">
        <v>0</v>
      </c>
      <c r="N54" s="41">
        <v>0</v>
      </c>
      <c r="O54" s="61">
        <v>0</v>
      </c>
      <c r="P54" s="61">
        <v>0</v>
      </c>
      <c r="Q54" s="61">
        <v>0</v>
      </c>
      <c r="R54" s="61">
        <v>0</v>
      </c>
      <c r="S54" s="61">
        <v>0</v>
      </c>
      <c r="T54" s="61">
        <v>0</v>
      </c>
      <c r="V54" s="41">
        <f t="shared" si="7"/>
        <v>6735.6</v>
      </c>
      <c r="W54" s="88"/>
      <c r="X54" s="86"/>
      <c r="Y54" s="87"/>
      <c r="Z54" s="87"/>
      <c r="AA54" s="87"/>
      <c r="AB54" s="29"/>
      <c r="AC54" s="41">
        <f t="shared" si="8"/>
        <v>6735.6</v>
      </c>
      <c r="AD54" s="29"/>
      <c r="AE54" s="29"/>
      <c r="AF54" s="42"/>
    </row>
    <row r="55" spans="1:32" s="16" customFormat="1" x14ac:dyDescent="0.25">
      <c r="A55" s="33" t="s">
        <v>50</v>
      </c>
      <c r="B55" s="33" t="s">
        <v>51</v>
      </c>
      <c r="C55" s="33" t="s">
        <v>52</v>
      </c>
      <c r="D55" s="33" t="s">
        <v>53</v>
      </c>
      <c r="E55" s="33" t="s">
        <v>54</v>
      </c>
      <c r="F55" s="34" t="s">
        <v>146</v>
      </c>
      <c r="G55" s="59" t="s">
        <v>147</v>
      </c>
      <c r="H55" s="27" t="s">
        <v>148</v>
      </c>
      <c r="I55" s="56" t="str">
        <f>F55</f>
        <v>00266054</v>
      </c>
      <c r="J55" s="45" t="s">
        <v>149</v>
      </c>
      <c r="K55" s="60">
        <v>0</v>
      </c>
      <c r="L55" s="41">
        <v>0</v>
      </c>
      <c r="M55" s="41">
        <v>2301.21</v>
      </c>
      <c r="N55" s="41">
        <v>65134.87</v>
      </c>
      <c r="O55" s="61">
        <v>2461.0300000000002</v>
      </c>
      <c r="P55" s="61">
        <v>17457.84</v>
      </c>
      <c r="Q55" s="61">
        <v>21603.93</v>
      </c>
      <c r="R55" s="61">
        <v>3919.84</v>
      </c>
      <c r="S55" s="61">
        <v>7260.7</v>
      </c>
      <c r="T55" s="61">
        <v>281357.63</v>
      </c>
      <c r="V55" s="41">
        <f t="shared" si="7"/>
        <v>401497.05</v>
      </c>
      <c r="W55" s="88"/>
      <c r="X55" s="86"/>
      <c r="Y55" s="87"/>
      <c r="Z55" s="87"/>
      <c r="AA55" s="87"/>
      <c r="AB55" s="29"/>
      <c r="AC55" s="41">
        <f t="shared" si="8"/>
        <v>401497.05</v>
      </c>
      <c r="AD55" s="29"/>
      <c r="AE55" s="29"/>
      <c r="AF55" s="42"/>
    </row>
    <row r="56" spans="1:32" s="16" customFormat="1" ht="15.75" thickBot="1" x14ac:dyDescent="0.3">
      <c r="A56" s="33" t="s">
        <v>50</v>
      </c>
      <c r="B56" s="33" t="s">
        <v>51</v>
      </c>
      <c r="C56" s="33" t="s">
        <v>52</v>
      </c>
      <c r="D56" s="33" t="s">
        <v>53</v>
      </c>
      <c r="E56" s="33" t="s">
        <v>54</v>
      </c>
      <c r="F56" s="34" t="s">
        <v>150</v>
      </c>
      <c r="G56" s="51" t="s">
        <v>151</v>
      </c>
      <c r="H56" s="52" t="s">
        <v>152</v>
      </c>
      <c r="I56" s="53" t="str">
        <f t="shared" si="1"/>
        <v>00266102</v>
      </c>
      <c r="J56" s="54" t="s">
        <v>153</v>
      </c>
      <c r="K56" s="63">
        <v>0</v>
      </c>
      <c r="L56" s="38">
        <v>0</v>
      </c>
      <c r="M56" s="38">
        <v>0</v>
      </c>
      <c r="N56" s="38">
        <v>0</v>
      </c>
      <c r="O56" s="39">
        <v>0</v>
      </c>
      <c r="P56" s="39">
        <v>0</v>
      </c>
      <c r="Q56" s="39">
        <v>0</v>
      </c>
      <c r="R56" s="39">
        <v>0</v>
      </c>
      <c r="S56" s="39">
        <v>0</v>
      </c>
      <c r="T56" s="39">
        <v>0</v>
      </c>
      <c r="V56" s="38">
        <f t="shared" si="7"/>
        <v>0</v>
      </c>
      <c r="W56" s="88"/>
      <c r="X56" s="86"/>
      <c r="Y56" s="87"/>
      <c r="Z56" s="87"/>
      <c r="AA56" s="87"/>
      <c r="AB56" s="29"/>
      <c r="AC56" s="38">
        <f t="shared" si="8"/>
        <v>0</v>
      </c>
      <c r="AD56" s="29"/>
      <c r="AE56" s="29"/>
      <c r="AF56" s="42"/>
    </row>
    <row r="57" spans="1:32" s="16" customFormat="1" x14ac:dyDescent="0.25">
      <c r="A57" s="33"/>
      <c r="B57" s="33"/>
      <c r="C57" s="33"/>
      <c r="D57" s="33"/>
      <c r="E57" s="33"/>
      <c r="F57" s="34"/>
      <c r="G57" s="17"/>
      <c r="I57" s="18"/>
      <c r="J57" s="57" t="s">
        <v>154</v>
      </c>
      <c r="K57" s="29">
        <f>SUM(K49:K56)</f>
        <v>67027.42</v>
      </c>
      <c r="L57" s="29">
        <f t="shared" ref="L57:T57" si="9">SUM(L49:L56)</f>
        <v>3650.77</v>
      </c>
      <c r="M57" s="29">
        <f t="shared" si="9"/>
        <v>2739.31</v>
      </c>
      <c r="N57" s="29">
        <f t="shared" si="9"/>
        <v>65442.880000000005</v>
      </c>
      <c r="O57" s="29">
        <f t="shared" si="9"/>
        <v>38974.37000000001</v>
      </c>
      <c r="P57" s="29">
        <f t="shared" si="9"/>
        <v>17457.84</v>
      </c>
      <c r="Q57" s="29">
        <f t="shared" si="9"/>
        <v>21603.93</v>
      </c>
      <c r="R57" s="29">
        <f t="shared" si="9"/>
        <v>9718.11</v>
      </c>
      <c r="S57" s="29">
        <f t="shared" si="9"/>
        <v>9733.4500000000007</v>
      </c>
      <c r="T57" s="29">
        <f t="shared" si="9"/>
        <v>281357.63</v>
      </c>
      <c r="V57" s="29">
        <f>SUM(V49:V56)</f>
        <v>517705.71</v>
      </c>
      <c r="W57" s="88"/>
      <c r="X57" s="86"/>
      <c r="Y57" s="87"/>
      <c r="Z57" s="87"/>
      <c r="AA57" s="87"/>
      <c r="AB57" s="29"/>
      <c r="AC57" s="29">
        <f>SUM(AC49:AC56)</f>
        <v>517705.71</v>
      </c>
      <c r="AD57" s="29"/>
      <c r="AE57" s="29"/>
      <c r="AF57" s="42"/>
    </row>
    <row r="58" spans="1:32" s="16" customFormat="1" x14ac:dyDescent="0.25">
      <c r="A58" s="33"/>
      <c r="B58" s="33"/>
      <c r="C58" s="33"/>
      <c r="D58" s="33"/>
      <c r="E58" s="33"/>
      <c r="F58" s="34"/>
      <c r="G58" s="17"/>
      <c r="I58" s="18"/>
      <c r="J58" s="45"/>
      <c r="K58" s="29"/>
      <c r="L58" s="29"/>
      <c r="M58" s="29"/>
      <c r="N58" s="29"/>
      <c r="V58" s="29"/>
      <c r="W58" s="87"/>
      <c r="X58" s="86"/>
      <c r="Y58" s="87"/>
      <c r="Z58" s="87"/>
      <c r="AA58" s="87"/>
      <c r="AB58" s="29"/>
      <c r="AC58" s="29"/>
      <c r="AD58" s="29"/>
      <c r="AE58" s="29"/>
      <c r="AF58" s="42"/>
    </row>
    <row r="59" spans="1:32" s="16" customFormat="1" ht="15.75" thickBot="1" x14ac:dyDescent="0.3">
      <c r="A59" s="33"/>
      <c r="B59" s="33"/>
      <c r="C59" s="33"/>
      <c r="D59" s="64" t="s">
        <v>259</v>
      </c>
      <c r="E59" s="33"/>
      <c r="F59" s="34"/>
      <c r="G59" s="17"/>
      <c r="I59" s="18"/>
      <c r="J59" s="45"/>
      <c r="K59" s="29"/>
      <c r="L59" s="29"/>
      <c r="M59" s="29"/>
      <c r="N59" s="29"/>
      <c r="Q59" s="64" t="s">
        <v>259</v>
      </c>
      <c r="V59" s="29"/>
      <c r="W59" s="87"/>
      <c r="X59" s="86"/>
      <c r="Y59" s="87"/>
      <c r="Z59" s="87"/>
      <c r="AA59" s="87"/>
      <c r="AB59" s="29"/>
      <c r="AC59" s="29"/>
      <c r="AD59" s="29"/>
      <c r="AE59" s="29"/>
      <c r="AF59" s="42"/>
    </row>
    <row r="60" spans="1:32" s="16" customFormat="1" x14ac:dyDescent="0.25">
      <c r="A60" s="33" t="s">
        <v>50</v>
      </c>
      <c r="B60" s="33" t="s">
        <v>51</v>
      </c>
      <c r="C60" s="33" t="s">
        <v>52</v>
      </c>
      <c r="D60" s="33" t="s">
        <v>53</v>
      </c>
      <c r="E60" s="33" t="s">
        <v>54</v>
      </c>
      <c r="F60" s="34" t="s">
        <v>155</v>
      </c>
      <c r="G60" s="46" t="s">
        <v>156</v>
      </c>
      <c r="H60" s="31" t="s">
        <v>157</v>
      </c>
      <c r="I60" s="47" t="str">
        <f t="shared" ref="I60:I66" si="10">F60</f>
        <v>N/A</v>
      </c>
      <c r="J60" s="65" t="s">
        <v>155</v>
      </c>
      <c r="K60" s="58">
        <v>0</v>
      </c>
      <c r="L60" s="49">
        <v>0</v>
      </c>
      <c r="M60" s="49">
        <v>0</v>
      </c>
      <c r="N60" s="49">
        <v>0</v>
      </c>
      <c r="O60" s="50">
        <v>0</v>
      </c>
      <c r="P60" s="50">
        <v>0</v>
      </c>
      <c r="Q60" s="50">
        <v>0</v>
      </c>
      <c r="R60" s="50">
        <v>0</v>
      </c>
      <c r="S60" s="50">
        <v>0</v>
      </c>
      <c r="T60" s="50">
        <v>0</v>
      </c>
      <c r="V60" s="49">
        <f t="shared" ref="V60:V68" si="11">SUM(J60:U60)</f>
        <v>0</v>
      </c>
      <c r="W60" s="88"/>
      <c r="X60" s="86"/>
      <c r="Y60" s="87"/>
      <c r="Z60" s="87"/>
      <c r="AA60" s="87"/>
      <c r="AB60" s="29"/>
      <c r="AC60" s="49">
        <f t="shared" ref="AC60:AC68" si="12">+V60+Y60+Z60</f>
        <v>0</v>
      </c>
      <c r="AD60" s="29"/>
      <c r="AE60" s="29"/>
      <c r="AF60" s="42"/>
    </row>
    <row r="61" spans="1:32" s="16" customFormat="1" x14ac:dyDescent="0.25">
      <c r="A61" s="33" t="s">
        <v>50</v>
      </c>
      <c r="B61" s="33" t="s">
        <v>51</v>
      </c>
      <c r="C61" s="33" t="s">
        <v>52</v>
      </c>
      <c r="D61" s="33" t="s">
        <v>53</v>
      </c>
      <c r="E61" s="33" t="s">
        <v>54</v>
      </c>
      <c r="F61" s="34" t="s">
        <v>158</v>
      </c>
      <c r="G61" s="59" t="s">
        <v>159</v>
      </c>
      <c r="H61" s="27" t="s">
        <v>160</v>
      </c>
      <c r="I61" s="56" t="str">
        <f t="shared" si="10"/>
        <v>00255347</v>
      </c>
      <c r="J61" s="45" t="s">
        <v>160</v>
      </c>
      <c r="K61" s="60">
        <v>0</v>
      </c>
      <c r="L61" s="41">
        <v>0</v>
      </c>
      <c r="M61" s="41">
        <v>0</v>
      </c>
      <c r="N61" s="41">
        <v>0</v>
      </c>
      <c r="O61" s="61">
        <v>0</v>
      </c>
      <c r="P61" s="61">
        <v>0</v>
      </c>
      <c r="Q61" s="61">
        <v>0</v>
      </c>
      <c r="R61" s="61">
        <v>0</v>
      </c>
      <c r="S61" s="61">
        <v>0</v>
      </c>
      <c r="T61" s="61">
        <v>0</v>
      </c>
      <c r="V61" s="41">
        <f t="shared" si="11"/>
        <v>0</v>
      </c>
      <c r="W61" s="88"/>
      <c r="X61" s="86"/>
      <c r="Y61" s="87"/>
      <c r="Z61" s="87"/>
      <c r="AA61" s="87"/>
      <c r="AB61" s="29"/>
      <c r="AC61" s="41">
        <f t="shared" si="12"/>
        <v>0</v>
      </c>
      <c r="AD61" s="29"/>
      <c r="AE61" s="29"/>
      <c r="AF61" s="42"/>
    </row>
    <row r="62" spans="1:32" s="16" customFormat="1" x14ac:dyDescent="0.25">
      <c r="A62" s="33" t="s">
        <v>50</v>
      </c>
      <c r="B62" s="33" t="s">
        <v>51</v>
      </c>
      <c r="C62" s="33" t="s">
        <v>52</v>
      </c>
      <c r="D62" s="33" t="s">
        <v>53</v>
      </c>
      <c r="E62" s="33" t="s">
        <v>54</v>
      </c>
      <c r="F62" s="34" t="s">
        <v>161</v>
      </c>
      <c r="G62" s="59" t="s">
        <v>162</v>
      </c>
      <c r="H62" s="27" t="s">
        <v>163</v>
      </c>
      <c r="I62" s="56" t="str">
        <f t="shared" si="10"/>
        <v>00255351</v>
      </c>
      <c r="J62" s="45" t="s">
        <v>163</v>
      </c>
      <c r="K62" s="60">
        <v>2947.95</v>
      </c>
      <c r="L62" s="41">
        <v>0</v>
      </c>
      <c r="M62" s="41">
        <v>0</v>
      </c>
      <c r="N62" s="41">
        <v>32.81</v>
      </c>
      <c r="O62" s="61">
        <v>0</v>
      </c>
      <c r="P62" s="61">
        <v>9684.9599999999991</v>
      </c>
      <c r="Q62" s="61">
        <v>0</v>
      </c>
      <c r="R62" s="61">
        <v>0</v>
      </c>
      <c r="S62" s="61">
        <v>0</v>
      </c>
      <c r="T62" s="61">
        <v>0</v>
      </c>
      <c r="V62" s="41">
        <f t="shared" si="11"/>
        <v>12665.72</v>
      </c>
      <c r="W62" s="88"/>
      <c r="X62" s="86"/>
      <c r="Y62" s="87"/>
      <c r="Z62" s="87"/>
      <c r="AA62" s="87"/>
      <c r="AB62" s="29"/>
      <c r="AC62" s="41">
        <f t="shared" si="12"/>
        <v>12665.72</v>
      </c>
      <c r="AD62" s="29"/>
      <c r="AE62" s="29"/>
      <c r="AF62" s="42"/>
    </row>
    <row r="63" spans="1:32" s="16" customFormat="1" x14ac:dyDescent="0.25">
      <c r="A63" s="33" t="s">
        <v>50</v>
      </c>
      <c r="B63" s="33" t="s">
        <v>51</v>
      </c>
      <c r="C63" s="33" t="s">
        <v>52</v>
      </c>
      <c r="D63" s="33" t="s">
        <v>53</v>
      </c>
      <c r="E63" s="33" t="s">
        <v>54</v>
      </c>
      <c r="F63" s="34" t="s">
        <v>164</v>
      </c>
      <c r="G63" s="59" t="s">
        <v>165</v>
      </c>
      <c r="H63" s="27" t="s">
        <v>166</v>
      </c>
      <c r="I63" s="56" t="str">
        <f t="shared" si="10"/>
        <v>00255352</v>
      </c>
      <c r="J63" s="45" t="s">
        <v>166</v>
      </c>
      <c r="K63" s="60">
        <v>799.87</v>
      </c>
      <c r="L63" s="41">
        <v>0</v>
      </c>
      <c r="M63" s="41">
        <v>0</v>
      </c>
      <c r="N63" s="41">
        <v>0</v>
      </c>
      <c r="O63" s="61">
        <v>0</v>
      </c>
      <c r="P63" s="61">
        <v>0</v>
      </c>
      <c r="Q63" s="61">
        <v>0</v>
      </c>
      <c r="R63" s="61">
        <v>0</v>
      </c>
      <c r="S63" s="61">
        <v>0</v>
      </c>
      <c r="T63" s="61">
        <v>0</v>
      </c>
      <c r="V63" s="41">
        <f t="shared" si="11"/>
        <v>799.87</v>
      </c>
      <c r="W63" s="88"/>
      <c r="X63" s="86"/>
      <c r="Y63" s="87"/>
      <c r="Z63" s="87"/>
      <c r="AA63" s="87"/>
      <c r="AB63" s="29"/>
      <c r="AC63" s="41">
        <f t="shared" si="12"/>
        <v>799.87</v>
      </c>
      <c r="AD63" s="29"/>
      <c r="AE63" s="29"/>
      <c r="AF63" s="42"/>
    </row>
    <row r="64" spans="1:32" s="16" customFormat="1" x14ac:dyDescent="0.25">
      <c r="A64" s="33" t="s">
        <v>50</v>
      </c>
      <c r="B64" s="33" t="s">
        <v>51</v>
      </c>
      <c r="C64" s="33" t="s">
        <v>52</v>
      </c>
      <c r="D64" s="33" t="s">
        <v>53</v>
      </c>
      <c r="E64" s="33" t="s">
        <v>54</v>
      </c>
      <c r="F64" s="34" t="s">
        <v>167</v>
      </c>
      <c r="G64" s="59" t="s">
        <v>168</v>
      </c>
      <c r="H64" s="27" t="s">
        <v>169</v>
      </c>
      <c r="I64" s="56" t="str">
        <f t="shared" si="10"/>
        <v>00255349</v>
      </c>
      <c r="J64" s="45" t="s">
        <v>169</v>
      </c>
      <c r="K64" s="60">
        <v>16329.33</v>
      </c>
      <c r="L64" s="41">
        <v>3052.82</v>
      </c>
      <c r="M64" s="41">
        <v>0</v>
      </c>
      <c r="N64" s="41">
        <v>0</v>
      </c>
      <c r="O64" s="61">
        <v>0</v>
      </c>
      <c r="P64" s="61">
        <v>0</v>
      </c>
      <c r="Q64" s="61">
        <v>0</v>
      </c>
      <c r="R64" s="61">
        <v>0</v>
      </c>
      <c r="S64" s="61">
        <v>0</v>
      </c>
      <c r="T64" s="61">
        <v>0</v>
      </c>
      <c r="V64" s="41">
        <f t="shared" si="11"/>
        <v>19382.150000000001</v>
      </c>
      <c r="W64" s="88"/>
      <c r="X64" s="86"/>
      <c r="Y64" s="87"/>
      <c r="Z64" s="87"/>
      <c r="AA64" s="87"/>
      <c r="AB64" s="29"/>
      <c r="AC64" s="41">
        <f t="shared" si="12"/>
        <v>19382.150000000001</v>
      </c>
      <c r="AD64" s="29"/>
      <c r="AE64" s="29"/>
      <c r="AF64" s="42"/>
    </row>
    <row r="65" spans="1:32" s="16" customFormat="1" x14ac:dyDescent="0.25">
      <c r="A65" s="33" t="s">
        <v>50</v>
      </c>
      <c r="B65" s="33" t="s">
        <v>51</v>
      </c>
      <c r="C65" s="33" t="s">
        <v>52</v>
      </c>
      <c r="D65" s="33" t="s">
        <v>53</v>
      </c>
      <c r="E65" s="33" t="s">
        <v>54</v>
      </c>
      <c r="F65" s="34" t="s">
        <v>170</v>
      </c>
      <c r="G65" s="59" t="s">
        <v>171</v>
      </c>
      <c r="H65" s="27" t="s">
        <v>172</v>
      </c>
      <c r="I65" s="56" t="str">
        <f t="shared" si="10"/>
        <v>00265880</v>
      </c>
      <c r="J65" s="45" t="s">
        <v>173</v>
      </c>
      <c r="K65" s="60">
        <v>0</v>
      </c>
      <c r="L65" s="41">
        <v>0</v>
      </c>
      <c r="M65" s="41">
        <v>3173.19</v>
      </c>
      <c r="N65" s="41">
        <v>47357.39</v>
      </c>
      <c r="O65" s="61">
        <v>7352.9</v>
      </c>
      <c r="P65" s="61">
        <v>51610.57</v>
      </c>
      <c r="Q65" s="61">
        <v>81317.98</v>
      </c>
      <c r="R65" s="61">
        <v>416657.79</v>
      </c>
      <c r="S65" s="61">
        <v>419239.08</v>
      </c>
      <c r="T65" s="61">
        <v>3341.49</v>
      </c>
      <c r="V65" s="41">
        <f t="shared" si="11"/>
        <v>1030050.3899999999</v>
      </c>
      <c r="W65" s="88"/>
      <c r="X65" s="86"/>
      <c r="Y65" s="87"/>
      <c r="Z65" s="87"/>
      <c r="AA65" s="87"/>
      <c r="AB65" s="29"/>
      <c r="AC65" s="41">
        <f t="shared" si="12"/>
        <v>1030050.3899999999</v>
      </c>
      <c r="AD65" s="29"/>
      <c r="AE65" s="29"/>
      <c r="AF65" s="42"/>
    </row>
    <row r="66" spans="1:32" s="16" customFormat="1" x14ac:dyDescent="0.25">
      <c r="A66" s="33" t="s">
        <v>50</v>
      </c>
      <c r="B66" s="33" t="s">
        <v>51</v>
      </c>
      <c r="C66" s="33" t="s">
        <v>52</v>
      </c>
      <c r="D66" s="33" t="s">
        <v>53</v>
      </c>
      <c r="E66" s="33" t="s">
        <v>54</v>
      </c>
      <c r="F66" s="34" t="s">
        <v>174</v>
      </c>
      <c r="G66" s="59" t="s">
        <v>175</v>
      </c>
      <c r="H66" s="27" t="s">
        <v>176</v>
      </c>
      <c r="I66" s="56" t="str">
        <f t="shared" si="10"/>
        <v>00266099</v>
      </c>
      <c r="J66" s="27" t="s">
        <v>177</v>
      </c>
      <c r="K66" s="41">
        <v>0</v>
      </c>
      <c r="L66" s="41">
        <v>0</v>
      </c>
      <c r="M66" s="41">
        <v>0</v>
      </c>
      <c r="N66" s="41">
        <v>0</v>
      </c>
      <c r="O66" s="61">
        <v>0</v>
      </c>
      <c r="P66" s="61">
        <v>10961.2</v>
      </c>
      <c r="Q66" s="61">
        <v>318033.64</v>
      </c>
      <c r="R66" s="61">
        <v>-105557.96</v>
      </c>
      <c r="S66" s="61">
        <v>-22166.45</v>
      </c>
      <c r="T66" s="61">
        <v>562.1</v>
      </c>
      <c r="U66" s="27"/>
      <c r="V66" s="41">
        <f t="shared" si="11"/>
        <v>201832.53</v>
      </c>
      <c r="W66" s="88"/>
      <c r="X66" s="86"/>
      <c r="Y66" s="87"/>
      <c r="Z66" s="87"/>
      <c r="AA66" s="87"/>
      <c r="AB66" s="29"/>
      <c r="AC66" s="41">
        <f t="shared" si="12"/>
        <v>201832.53</v>
      </c>
      <c r="AD66" s="29"/>
      <c r="AE66" s="29"/>
      <c r="AF66" s="42"/>
    </row>
    <row r="67" spans="1:32" s="16" customFormat="1" x14ac:dyDescent="0.25">
      <c r="A67" s="33"/>
      <c r="B67" s="33"/>
      <c r="C67" s="33"/>
      <c r="D67" s="33"/>
      <c r="E67" s="33"/>
      <c r="F67" s="34" t="s">
        <v>272</v>
      </c>
      <c r="G67" s="59" t="s">
        <v>274</v>
      </c>
      <c r="H67" s="27" t="s">
        <v>275</v>
      </c>
      <c r="I67" s="56" t="s">
        <v>272</v>
      </c>
      <c r="J67" s="45" t="s">
        <v>275</v>
      </c>
      <c r="K67" s="41"/>
      <c r="L67" s="41"/>
      <c r="M67" s="41"/>
      <c r="N67" s="41"/>
      <c r="O67" s="61"/>
      <c r="P67" s="61"/>
      <c r="Q67" s="61"/>
      <c r="R67" s="61"/>
      <c r="S67" s="61">
        <v>16080.55</v>
      </c>
      <c r="T67" s="61">
        <v>278349.02</v>
      </c>
      <c r="V67" s="41">
        <f t="shared" si="11"/>
        <v>294429.57</v>
      </c>
      <c r="W67" s="88"/>
      <c r="X67" s="86"/>
      <c r="Y67" s="87"/>
      <c r="Z67" s="87"/>
      <c r="AA67" s="87"/>
      <c r="AB67" s="29"/>
      <c r="AC67" s="41">
        <f t="shared" si="12"/>
        <v>294429.57</v>
      </c>
      <c r="AD67" s="29"/>
      <c r="AE67" s="29"/>
      <c r="AF67" s="42"/>
    </row>
    <row r="68" spans="1:32" s="16" customFormat="1" ht="15.75" thickBot="1" x14ac:dyDescent="0.3">
      <c r="A68" s="33"/>
      <c r="B68" s="33"/>
      <c r="C68" s="33"/>
      <c r="D68" s="33"/>
      <c r="E68" s="33"/>
      <c r="F68" s="34" t="s">
        <v>273</v>
      </c>
      <c r="G68" s="51" t="s">
        <v>276</v>
      </c>
      <c r="H68" s="52" t="s">
        <v>176</v>
      </c>
      <c r="I68" s="53" t="s">
        <v>273</v>
      </c>
      <c r="J68" s="54" t="s">
        <v>177</v>
      </c>
      <c r="K68" s="38"/>
      <c r="L68" s="38"/>
      <c r="M68" s="38"/>
      <c r="N68" s="38"/>
      <c r="O68" s="39"/>
      <c r="P68" s="39"/>
      <c r="Q68" s="39"/>
      <c r="R68" s="39"/>
      <c r="S68" s="39">
        <v>26760.16</v>
      </c>
      <c r="T68" s="39">
        <v>111239.6</v>
      </c>
      <c r="U68" s="52"/>
      <c r="V68" s="38">
        <f t="shared" si="11"/>
        <v>137999.76</v>
      </c>
      <c r="W68" s="88"/>
      <c r="X68" s="86"/>
      <c r="Y68" s="87"/>
      <c r="Z68" s="87"/>
      <c r="AA68" s="87"/>
      <c r="AB68" s="29"/>
      <c r="AC68" s="41">
        <f t="shared" si="12"/>
        <v>137999.76</v>
      </c>
      <c r="AD68" s="29"/>
      <c r="AE68" s="29"/>
      <c r="AF68" s="42"/>
    </row>
    <row r="69" spans="1:32" s="16" customFormat="1" x14ac:dyDescent="0.25">
      <c r="A69" s="33"/>
      <c r="B69" s="33"/>
      <c r="C69" s="33"/>
      <c r="D69" s="33"/>
      <c r="E69" s="33"/>
      <c r="F69" s="34"/>
      <c r="G69" s="55"/>
      <c r="H69" s="27"/>
      <c r="I69" s="56"/>
      <c r="J69" s="57" t="s">
        <v>178</v>
      </c>
      <c r="K69" s="29">
        <f t="shared" ref="K69:S69" si="13">SUM(K60:K68)</f>
        <v>20077.150000000001</v>
      </c>
      <c r="L69" s="29">
        <f t="shared" si="13"/>
        <v>3052.82</v>
      </c>
      <c r="M69" s="29">
        <f t="shared" si="13"/>
        <v>3173.19</v>
      </c>
      <c r="N69" s="29">
        <f t="shared" si="13"/>
        <v>47390.2</v>
      </c>
      <c r="O69" s="29">
        <f t="shared" si="13"/>
        <v>7352.9</v>
      </c>
      <c r="P69" s="29">
        <f t="shared" si="13"/>
        <v>72256.73</v>
      </c>
      <c r="Q69" s="29">
        <f t="shared" si="13"/>
        <v>399351.62</v>
      </c>
      <c r="R69" s="29">
        <f t="shared" si="13"/>
        <v>311099.82999999996</v>
      </c>
      <c r="S69" s="29">
        <f t="shared" si="13"/>
        <v>439913.33999999997</v>
      </c>
      <c r="T69" s="29">
        <f>SUM(T60:T68)</f>
        <v>393492.21000000008</v>
      </c>
      <c r="V69" s="29">
        <f>SUM(V60:V68)</f>
        <v>1697159.99</v>
      </c>
      <c r="W69" s="88"/>
      <c r="X69" s="86"/>
      <c r="Y69" s="87"/>
      <c r="Z69" s="87"/>
      <c r="AA69" s="87"/>
      <c r="AB69" s="29"/>
      <c r="AC69" s="49">
        <f>SUM(AC60:AC68)</f>
        <v>1697159.99</v>
      </c>
      <c r="AD69" s="29"/>
      <c r="AE69" s="29"/>
      <c r="AF69" s="42"/>
    </row>
    <row r="70" spans="1:32" s="16" customFormat="1" ht="15.75" thickBot="1" x14ac:dyDescent="0.3">
      <c r="A70" s="33"/>
      <c r="B70" s="33"/>
      <c r="C70" s="33"/>
      <c r="D70" s="33"/>
      <c r="E70" s="33"/>
      <c r="F70" s="34"/>
      <c r="G70" s="17"/>
      <c r="I70" s="18"/>
      <c r="J70" s="45"/>
      <c r="K70" s="29"/>
      <c r="L70" s="29"/>
      <c r="M70" s="29"/>
      <c r="N70" s="29"/>
      <c r="V70" s="29"/>
      <c r="W70" s="87"/>
      <c r="X70" s="86"/>
      <c r="Y70" s="87"/>
      <c r="Z70" s="87"/>
      <c r="AA70" s="87"/>
      <c r="AB70" s="29"/>
      <c r="AC70" s="29"/>
      <c r="AD70" s="29"/>
      <c r="AE70" s="29"/>
      <c r="AF70" s="42"/>
    </row>
    <row r="71" spans="1:32" s="16" customFormat="1" x14ac:dyDescent="0.25">
      <c r="A71" s="33" t="s">
        <v>50</v>
      </c>
      <c r="B71" s="33" t="s">
        <v>51</v>
      </c>
      <c r="C71" s="33" t="s">
        <v>52</v>
      </c>
      <c r="D71" s="33" t="s">
        <v>53</v>
      </c>
      <c r="E71" s="33" t="s">
        <v>54</v>
      </c>
      <c r="F71" s="34" t="s">
        <v>179</v>
      </c>
      <c r="G71" s="46" t="s">
        <v>180</v>
      </c>
      <c r="H71" s="31" t="s">
        <v>181</v>
      </c>
      <c r="I71" s="47" t="str">
        <f t="shared" ref="I71:I81" si="14">F71</f>
        <v>00193977</v>
      </c>
      <c r="J71" s="48" t="s">
        <v>182</v>
      </c>
      <c r="K71" s="58">
        <v>0</v>
      </c>
      <c r="L71" s="49">
        <v>0</v>
      </c>
      <c r="M71" s="49">
        <v>0</v>
      </c>
      <c r="N71" s="49">
        <v>0</v>
      </c>
      <c r="O71" s="50">
        <v>0</v>
      </c>
      <c r="P71" s="50">
        <v>0</v>
      </c>
      <c r="Q71" s="50">
        <v>0</v>
      </c>
      <c r="R71" s="50">
        <v>0</v>
      </c>
      <c r="S71" s="50">
        <v>0</v>
      </c>
      <c r="T71" s="50">
        <v>0</v>
      </c>
      <c r="V71" s="49">
        <f t="shared" ref="V71:V85" si="15">SUM(J71:U71)</f>
        <v>0</v>
      </c>
      <c r="W71" s="88"/>
      <c r="X71" s="86"/>
      <c r="Y71" s="87"/>
      <c r="Z71" s="87"/>
      <c r="AA71" s="87"/>
      <c r="AB71" s="29"/>
      <c r="AC71" s="49">
        <f>+V71+Y71+Z71</f>
        <v>0</v>
      </c>
      <c r="AD71" s="29"/>
      <c r="AE71" s="29"/>
      <c r="AF71" s="42"/>
    </row>
    <row r="72" spans="1:32" s="16" customFormat="1" x14ac:dyDescent="0.25">
      <c r="A72" s="33" t="s">
        <v>50</v>
      </c>
      <c r="B72" s="33" t="s">
        <v>51</v>
      </c>
      <c r="C72" s="33" t="s">
        <v>52</v>
      </c>
      <c r="D72" s="33" t="s">
        <v>53</v>
      </c>
      <c r="E72" s="33" t="s">
        <v>54</v>
      </c>
      <c r="F72" s="34" t="s">
        <v>183</v>
      </c>
      <c r="G72" s="59" t="s">
        <v>180</v>
      </c>
      <c r="H72" s="27" t="s">
        <v>181</v>
      </c>
      <c r="I72" s="56" t="str">
        <f t="shared" si="14"/>
        <v>00213338</v>
      </c>
      <c r="J72" s="45" t="s">
        <v>184</v>
      </c>
      <c r="K72" s="60">
        <v>0</v>
      </c>
      <c r="L72" s="41">
        <v>0</v>
      </c>
      <c r="M72" s="41">
        <v>0</v>
      </c>
      <c r="N72" s="41">
        <v>0</v>
      </c>
      <c r="O72" s="61">
        <v>0</v>
      </c>
      <c r="P72" s="61">
        <v>0</v>
      </c>
      <c r="Q72" s="61">
        <v>0</v>
      </c>
      <c r="R72" s="61">
        <v>0</v>
      </c>
      <c r="S72" s="61">
        <v>0</v>
      </c>
      <c r="T72" s="61">
        <v>0</v>
      </c>
      <c r="V72" s="41">
        <f t="shared" si="15"/>
        <v>0</v>
      </c>
      <c r="W72" s="88"/>
      <c r="X72" s="86"/>
      <c r="Y72" s="87"/>
      <c r="Z72" s="87"/>
      <c r="AA72" s="87"/>
      <c r="AB72" s="29"/>
      <c r="AC72" s="41">
        <f>+V72+Y72+Z72</f>
        <v>0</v>
      </c>
      <c r="AD72" s="29"/>
      <c r="AE72" s="29"/>
      <c r="AF72" s="42"/>
    </row>
    <row r="73" spans="1:32" s="16" customFormat="1" x14ac:dyDescent="0.25">
      <c r="A73" s="33" t="s">
        <v>50</v>
      </c>
      <c r="B73" s="33" t="s">
        <v>51</v>
      </c>
      <c r="C73" s="33" t="s">
        <v>52</v>
      </c>
      <c r="D73" s="33" t="s">
        <v>53</v>
      </c>
      <c r="E73" s="33" t="s">
        <v>54</v>
      </c>
      <c r="F73" s="34" t="s">
        <v>185</v>
      </c>
      <c r="G73" s="59" t="s">
        <v>180</v>
      </c>
      <c r="H73" s="27" t="s">
        <v>181</v>
      </c>
      <c r="I73" s="56" t="str">
        <f t="shared" si="14"/>
        <v>00221030</v>
      </c>
      <c r="J73" s="45" t="s">
        <v>186</v>
      </c>
      <c r="K73" s="60">
        <v>0</v>
      </c>
      <c r="L73" s="41">
        <v>0</v>
      </c>
      <c r="M73" s="41">
        <v>0</v>
      </c>
      <c r="N73" s="41">
        <v>0</v>
      </c>
      <c r="O73" s="61">
        <v>0</v>
      </c>
      <c r="P73" s="61">
        <v>0</v>
      </c>
      <c r="Q73" s="61">
        <v>0</v>
      </c>
      <c r="R73" s="61">
        <v>0</v>
      </c>
      <c r="S73" s="61">
        <v>0</v>
      </c>
      <c r="T73" s="61">
        <v>0</v>
      </c>
      <c r="V73" s="41">
        <f t="shared" si="15"/>
        <v>0</v>
      </c>
      <c r="W73" s="88"/>
      <c r="X73" s="86"/>
      <c r="Y73" s="87"/>
      <c r="Z73" s="87"/>
      <c r="AA73" s="87"/>
      <c r="AB73" s="29"/>
      <c r="AC73" s="41">
        <f t="shared" ref="AC73:AC81" si="16">+V73+Y73+Z73</f>
        <v>0</v>
      </c>
      <c r="AD73" s="29"/>
      <c r="AE73" s="29"/>
      <c r="AF73" s="42"/>
    </row>
    <row r="74" spans="1:32" s="16" customFormat="1" x14ac:dyDescent="0.25">
      <c r="A74" s="33" t="s">
        <v>50</v>
      </c>
      <c r="B74" s="33" t="s">
        <v>51</v>
      </c>
      <c r="C74" s="33" t="s">
        <v>52</v>
      </c>
      <c r="D74" s="33" t="s">
        <v>53</v>
      </c>
      <c r="E74" s="33" t="s">
        <v>54</v>
      </c>
      <c r="F74" s="34" t="s">
        <v>187</v>
      </c>
      <c r="G74" s="59" t="s">
        <v>180</v>
      </c>
      <c r="H74" s="27" t="s">
        <v>181</v>
      </c>
      <c r="I74" s="56" t="str">
        <f t="shared" si="14"/>
        <v>00221031</v>
      </c>
      <c r="J74" s="45" t="s">
        <v>186</v>
      </c>
      <c r="K74" s="60">
        <v>0</v>
      </c>
      <c r="L74" s="41">
        <v>0</v>
      </c>
      <c r="M74" s="41">
        <v>0</v>
      </c>
      <c r="N74" s="41">
        <v>0</v>
      </c>
      <c r="O74" s="61">
        <v>0</v>
      </c>
      <c r="P74" s="61">
        <v>0</v>
      </c>
      <c r="Q74" s="61">
        <v>0</v>
      </c>
      <c r="R74" s="61">
        <v>0</v>
      </c>
      <c r="S74" s="61">
        <v>0</v>
      </c>
      <c r="T74" s="61">
        <v>0</v>
      </c>
      <c r="V74" s="41">
        <f t="shared" si="15"/>
        <v>0</v>
      </c>
      <c r="W74" s="88"/>
      <c r="X74" s="86"/>
      <c r="Y74" s="87"/>
      <c r="Z74" s="87"/>
      <c r="AA74" s="87"/>
      <c r="AB74" s="29"/>
      <c r="AC74" s="41">
        <f t="shared" si="16"/>
        <v>0</v>
      </c>
      <c r="AD74" s="29"/>
      <c r="AE74" s="29"/>
      <c r="AF74" s="42"/>
    </row>
    <row r="75" spans="1:32" s="16" customFormat="1" x14ac:dyDescent="0.25">
      <c r="A75" s="33" t="s">
        <v>50</v>
      </c>
      <c r="B75" s="33" t="s">
        <v>51</v>
      </c>
      <c r="C75" s="33" t="s">
        <v>52</v>
      </c>
      <c r="D75" s="33" t="s">
        <v>53</v>
      </c>
      <c r="E75" s="33" t="s">
        <v>54</v>
      </c>
      <c r="F75" s="34" t="s">
        <v>188</v>
      </c>
      <c r="G75" s="59" t="s">
        <v>180</v>
      </c>
      <c r="H75" s="27" t="s">
        <v>181</v>
      </c>
      <c r="I75" s="56" t="str">
        <f t="shared" si="14"/>
        <v>00221032</v>
      </c>
      <c r="J75" s="45" t="s">
        <v>189</v>
      </c>
      <c r="K75" s="60">
        <v>0</v>
      </c>
      <c r="L75" s="41">
        <v>0</v>
      </c>
      <c r="M75" s="41">
        <v>0</v>
      </c>
      <c r="N75" s="41">
        <v>0</v>
      </c>
      <c r="O75" s="61">
        <v>0</v>
      </c>
      <c r="P75" s="61">
        <v>0</v>
      </c>
      <c r="Q75" s="61">
        <v>0</v>
      </c>
      <c r="R75" s="61">
        <v>0</v>
      </c>
      <c r="S75" s="61">
        <v>0</v>
      </c>
      <c r="T75" s="61">
        <v>0</v>
      </c>
      <c r="V75" s="41">
        <f t="shared" si="15"/>
        <v>0</v>
      </c>
      <c r="W75" s="88"/>
      <c r="X75" s="86"/>
      <c r="Y75" s="87"/>
      <c r="Z75" s="87"/>
      <c r="AA75" s="87"/>
      <c r="AB75" s="29"/>
      <c r="AC75" s="41">
        <f t="shared" si="16"/>
        <v>0</v>
      </c>
      <c r="AD75" s="29"/>
      <c r="AE75" s="29"/>
      <c r="AF75" s="42"/>
    </row>
    <row r="76" spans="1:32" s="16" customFormat="1" x14ac:dyDescent="0.25">
      <c r="A76" s="33" t="s">
        <v>50</v>
      </c>
      <c r="B76" s="33" t="s">
        <v>51</v>
      </c>
      <c r="C76" s="33" t="s">
        <v>52</v>
      </c>
      <c r="D76" s="33" t="s">
        <v>53</v>
      </c>
      <c r="E76" s="33" t="s">
        <v>54</v>
      </c>
      <c r="F76" s="34" t="s">
        <v>190</v>
      </c>
      <c r="G76" s="59" t="s">
        <v>180</v>
      </c>
      <c r="H76" s="27" t="s">
        <v>181</v>
      </c>
      <c r="I76" s="56" t="str">
        <f t="shared" si="14"/>
        <v>00222041</v>
      </c>
      <c r="J76" s="45" t="s">
        <v>186</v>
      </c>
      <c r="K76" s="60">
        <v>0</v>
      </c>
      <c r="L76" s="41">
        <v>0</v>
      </c>
      <c r="M76" s="41">
        <v>0</v>
      </c>
      <c r="N76" s="41">
        <v>0</v>
      </c>
      <c r="O76" s="61">
        <v>0</v>
      </c>
      <c r="P76" s="61">
        <v>0</v>
      </c>
      <c r="Q76" s="61">
        <v>0</v>
      </c>
      <c r="R76" s="61">
        <v>0</v>
      </c>
      <c r="S76" s="61">
        <v>0</v>
      </c>
      <c r="T76" s="61">
        <v>0</v>
      </c>
      <c r="V76" s="41">
        <f t="shared" si="15"/>
        <v>0</v>
      </c>
      <c r="W76" s="88"/>
      <c r="X76" s="86"/>
      <c r="Y76" s="87"/>
      <c r="Z76" s="87"/>
      <c r="AA76" s="87"/>
      <c r="AB76" s="29"/>
      <c r="AC76" s="41">
        <f t="shared" si="16"/>
        <v>0</v>
      </c>
      <c r="AD76" s="29"/>
      <c r="AE76" s="29"/>
      <c r="AF76" s="42"/>
    </row>
    <row r="77" spans="1:32" s="16" customFormat="1" x14ac:dyDescent="0.25">
      <c r="A77" s="33" t="s">
        <v>50</v>
      </c>
      <c r="B77" s="33" t="s">
        <v>51</v>
      </c>
      <c r="C77" s="33" t="s">
        <v>52</v>
      </c>
      <c r="D77" s="33" t="s">
        <v>53</v>
      </c>
      <c r="E77" s="33" t="s">
        <v>54</v>
      </c>
      <c r="F77" s="34" t="s">
        <v>191</v>
      </c>
      <c r="G77" s="59" t="s">
        <v>180</v>
      </c>
      <c r="H77" s="27" t="s">
        <v>181</v>
      </c>
      <c r="I77" s="56" t="str">
        <f t="shared" si="14"/>
        <v>00229825</v>
      </c>
      <c r="J77" s="45" t="s">
        <v>192</v>
      </c>
      <c r="K77" s="60">
        <v>0</v>
      </c>
      <c r="L77" s="41">
        <v>0</v>
      </c>
      <c r="M77" s="41">
        <v>0</v>
      </c>
      <c r="N77" s="41">
        <v>0</v>
      </c>
      <c r="O77" s="61">
        <v>0</v>
      </c>
      <c r="P77" s="61">
        <v>0</v>
      </c>
      <c r="Q77" s="61">
        <v>0</v>
      </c>
      <c r="R77" s="61">
        <v>0</v>
      </c>
      <c r="S77" s="61">
        <v>0</v>
      </c>
      <c r="T77" s="61">
        <v>0</v>
      </c>
      <c r="V77" s="41">
        <f t="shared" si="15"/>
        <v>0</v>
      </c>
      <c r="W77" s="88"/>
      <c r="X77" s="86"/>
      <c r="Y77" s="87"/>
      <c r="Z77" s="87"/>
      <c r="AA77" s="87"/>
      <c r="AB77" s="29"/>
      <c r="AC77" s="41">
        <f t="shared" si="16"/>
        <v>0</v>
      </c>
      <c r="AD77" s="29"/>
      <c r="AE77" s="29"/>
      <c r="AF77" s="42"/>
    </row>
    <row r="78" spans="1:32" s="16" customFormat="1" x14ac:dyDescent="0.25">
      <c r="A78" s="33" t="s">
        <v>50</v>
      </c>
      <c r="B78" s="33" t="s">
        <v>51</v>
      </c>
      <c r="C78" s="33" t="s">
        <v>52</v>
      </c>
      <c r="D78" s="33" t="s">
        <v>53</v>
      </c>
      <c r="E78" s="33" t="s">
        <v>54</v>
      </c>
      <c r="F78" s="34" t="s">
        <v>193</v>
      </c>
      <c r="G78" s="59" t="s">
        <v>180</v>
      </c>
      <c r="H78" s="27" t="s">
        <v>181</v>
      </c>
      <c r="I78" s="56" t="str">
        <f t="shared" si="14"/>
        <v>00229826</v>
      </c>
      <c r="J78" s="45" t="s">
        <v>192</v>
      </c>
      <c r="K78" s="60">
        <v>0</v>
      </c>
      <c r="L78" s="41">
        <v>0</v>
      </c>
      <c r="M78" s="41">
        <v>0</v>
      </c>
      <c r="N78" s="41">
        <v>0</v>
      </c>
      <c r="O78" s="61">
        <v>0</v>
      </c>
      <c r="P78" s="61">
        <v>0</v>
      </c>
      <c r="Q78" s="61">
        <v>0</v>
      </c>
      <c r="R78" s="61">
        <v>0</v>
      </c>
      <c r="S78" s="61">
        <v>0</v>
      </c>
      <c r="T78" s="61">
        <v>0</v>
      </c>
      <c r="V78" s="41">
        <f t="shared" si="15"/>
        <v>0</v>
      </c>
      <c r="W78" s="88"/>
      <c r="X78" s="86"/>
      <c r="Y78" s="87"/>
      <c r="Z78" s="87"/>
      <c r="AA78" s="87"/>
      <c r="AB78" s="29"/>
      <c r="AC78" s="41">
        <f t="shared" si="16"/>
        <v>0</v>
      </c>
      <c r="AD78" s="29"/>
      <c r="AE78" s="29"/>
      <c r="AF78" s="42"/>
    </row>
    <row r="79" spans="1:32" s="16" customFormat="1" x14ac:dyDescent="0.25">
      <c r="A79" s="33" t="s">
        <v>50</v>
      </c>
      <c r="B79" s="33" t="s">
        <v>51</v>
      </c>
      <c r="C79" s="33" t="s">
        <v>52</v>
      </c>
      <c r="D79" s="33" t="s">
        <v>53</v>
      </c>
      <c r="E79" s="33" t="s">
        <v>54</v>
      </c>
      <c r="F79" s="34" t="s">
        <v>194</v>
      </c>
      <c r="G79" s="59" t="s">
        <v>180</v>
      </c>
      <c r="H79" s="27" t="s">
        <v>181</v>
      </c>
      <c r="I79" s="56" t="str">
        <f t="shared" si="14"/>
        <v>00229827</v>
      </c>
      <c r="J79" s="45" t="s">
        <v>192</v>
      </c>
      <c r="K79" s="60">
        <v>0</v>
      </c>
      <c r="L79" s="41">
        <v>0</v>
      </c>
      <c r="M79" s="41">
        <v>0</v>
      </c>
      <c r="N79" s="41">
        <v>0</v>
      </c>
      <c r="O79" s="61">
        <v>0</v>
      </c>
      <c r="P79" s="61">
        <v>0</v>
      </c>
      <c r="Q79" s="61">
        <v>0</v>
      </c>
      <c r="R79" s="61">
        <v>0</v>
      </c>
      <c r="S79" s="61">
        <v>0</v>
      </c>
      <c r="T79" s="61">
        <v>0</v>
      </c>
      <c r="V79" s="41">
        <f t="shared" si="15"/>
        <v>0</v>
      </c>
      <c r="W79" s="88"/>
      <c r="X79" s="86"/>
      <c r="Y79" s="87"/>
      <c r="Z79" s="87"/>
      <c r="AA79" s="87"/>
      <c r="AB79" s="29"/>
      <c r="AC79" s="41">
        <f t="shared" si="16"/>
        <v>0</v>
      </c>
      <c r="AD79" s="29"/>
      <c r="AE79" s="29"/>
      <c r="AF79" s="42"/>
    </row>
    <row r="80" spans="1:32" s="16" customFormat="1" x14ac:dyDescent="0.25">
      <c r="A80" s="33" t="s">
        <v>50</v>
      </c>
      <c r="B80" s="33" t="s">
        <v>51</v>
      </c>
      <c r="C80" s="33" t="s">
        <v>52</v>
      </c>
      <c r="D80" s="33" t="s">
        <v>53</v>
      </c>
      <c r="E80" s="33" t="s">
        <v>54</v>
      </c>
      <c r="F80" s="34" t="s">
        <v>195</v>
      </c>
      <c r="G80" s="59" t="s">
        <v>180</v>
      </c>
      <c r="H80" s="27" t="s">
        <v>181</v>
      </c>
      <c r="I80" s="56" t="str">
        <f t="shared" si="14"/>
        <v>00229835</v>
      </c>
      <c r="J80" s="45" t="s">
        <v>192</v>
      </c>
      <c r="K80" s="60">
        <v>0</v>
      </c>
      <c r="L80" s="41">
        <v>0</v>
      </c>
      <c r="M80" s="41">
        <v>0</v>
      </c>
      <c r="N80" s="41">
        <v>0</v>
      </c>
      <c r="O80" s="61">
        <v>0</v>
      </c>
      <c r="P80" s="61">
        <v>0</v>
      </c>
      <c r="Q80" s="61">
        <v>0</v>
      </c>
      <c r="R80" s="61">
        <v>0</v>
      </c>
      <c r="S80" s="61">
        <v>0</v>
      </c>
      <c r="T80" s="61">
        <v>0</v>
      </c>
      <c r="V80" s="41">
        <f t="shared" si="15"/>
        <v>0</v>
      </c>
      <c r="W80" s="88"/>
      <c r="X80" s="86"/>
      <c r="Y80" s="87"/>
      <c r="Z80" s="87"/>
      <c r="AA80" s="87"/>
      <c r="AB80" s="29"/>
      <c r="AC80" s="41">
        <f t="shared" si="16"/>
        <v>0</v>
      </c>
      <c r="AD80" s="29"/>
      <c r="AE80" s="29"/>
      <c r="AF80" s="42"/>
    </row>
    <row r="81" spans="1:32" s="16" customFormat="1" x14ac:dyDescent="0.25">
      <c r="A81" s="33" t="s">
        <v>50</v>
      </c>
      <c r="B81" s="33" t="s">
        <v>51</v>
      </c>
      <c r="C81" s="33" t="s">
        <v>52</v>
      </c>
      <c r="D81" s="33" t="s">
        <v>53</v>
      </c>
      <c r="E81" s="33" t="s">
        <v>54</v>
      </c>
      <c r="F81" s="34" t="s">
        <v>196</v>
      </c>
      <c r="G81" s="59" t="s">
        <v>180</v>
      </c>
      <c r="H81" s="27" t="s">
        <v>181</v>
      </c>
      <c r="I81" s="56" t="str">
        <f t="shared" si="14"/>
        <v>00240962</v>
      </c>
      <c r="J81" s="45" t="s">
        <v>197</v>
      </c>
      <c r="K81" s="60">
        <v>0</v>
      </c>
      <c r="L81" s="41">
        <v>0</v>
      </c>
      <c r="M81" s="41">
        <v>0</v>
      </c>
      <c r="N81" s="41">
        <v>0</v>
      </c>
      <c r="O81" s="61">
        <v>0</v>
      </c>
      <c r="P81" s="61">
        <v>0</v>
      </c>
      <c r="Q81" s="61">
        <v>0</v>
      </c>
      <c r="R81" s="61">
        <v>0</v>
      </c>
      <c r="S81" s="61">
        <v>0</v>
      </c>
      <c r="T81" s="61">
        <v>0</v>
      </c>
      <c r="V81" s="41">
        <f t="shared" si="15"/>
        <v>0</v>
      </c>
      <c r="W81" s="88"/>
      <c r="X81" s="86"/>
      <c r="Y81" s="87"/>
      <c r="Z81" s="87"/>
      <c r="AA81" s="87"/>
      <c r="AB81" s="29"/>
      <c r="AC81" s="41">
        <f t="shared" si="16"/>
        <v>0</v>
      </c>
      <c r="AD81" s="29"/>
      <c r="AE81" s="29"/>
      <c r="AF81" s="42"/>
    </row>
    <row r="82" spans="1:32" s="16" customFormat="1" x14ac:dyDescent="0.25">
      <c r="A82" s="33" t="s">
        <v>50</v>
      </c>
      <c r="B82" s="33" t="s">
        <v>51</v>
      </c>
      <c r="C82" s="33" t="s">
        <v>52</v>
      </c>
      <c r="D82" s="33" t="s">
        <v>53</v>
      </c>
      <c r="E82" s="33" t="s">
        <v>54</v>
      </c>
      <c r="F82" s="34" t="s">
        <v>198</v>
      </c>
      <c r="G82" s="59" t="s">
        <v>199</v>
      </c>
      <c r="H82" s="27" t="s">
        <v>200</v>
      </c>
      <c r="I82" s="56" t="str">
        <f>F82</f>
        <v>00265750</v>
      </c>
      <c r="J82" s="45" t="s">
        <v>201</v>
      </c>
      <c r="K82" s="60">
        <v>0</v>
      </c>
      <c r="L82" s="41">
        <v>0</v>
      </c>
      <c r="M82" s="41">
        <v>21827.51</v>
      </c>
      <c r="N82" s="41">
        <v>22951.39</v>
      </c>
      <c r="O82" s="61">
        <v>29776.15</v>
      </c>
      <c r="P82" s="61">
        <v>7943.91</v>
      </c>
      <c r="Q82" s="61">
        <v>4054.03</v>
      </c>
      <c r="R82" s="61">
        <v>248127.96</v>
      </c>
      <c r="S82" s="61">
        <v>124928.01</v>
      </c>
      <c r="T82" s="61">
        <v>435784</v>
      </c>
      <c r="V82" s="41">
        <f t="shared" si="15"/>
        <v>895392.96</v>
      </c>
      <c r="W82" s="88"/>
      <c r="X82" s="86"/>
      <c r="Y82" s="87"/>
      <c r="Z82" s="87"/>
      <c r="AA82" s="87"/>
      <c r="AB82" s="29"/>
      <c r="AC82" s="41">
        <f>+V82+Y82+Z82</f>
        <v>895392.96</v>
      </c>
      <c r="AD82" s="29"/>
      <c r="AE82" s="29"/>
      <c r="AF82" s="42"/>
    </row>
    <row r="83" spans="1:32" s="16" customFormat="1" x14ac:dyDescent="0.25">
      <c r="A83" s="33" t="s">
        <v>50</v>
      </c>
      <c r="B83" s="33" t="s">
        <v>51</v>
      </c>
      <c r="C83" s="33" t="s">
        <v>52</v>
      </c>
      <c r="D83" s="33" t="s">
        <v>53</v>
      </c>
      <c r="E83" s="33" t="s">
        <v>54</v>
      </c>
      <c r="F83" s="34" t="s">
        <v>202</v>
      </c>
      <c r="G83" s="59" t="s">
        <v>203</v>
      </c>
      <c r="H83" s="27" t="s">
        <v>204</v>
      </c>
      <c r="I83" s="56" t="str">
        <f>F83</f>
        <v>00267771</v>
      </c>
      <c r="J83" s="45" t="s">
        <v>205</v>
      </c>
      <c r="K83" s="60">
        <v>0</v>
      </c>
      <c r="L83" s="41">
        <v>0</v>
      </c>
      <c r="M83" s="41">
        <v>0</v>
      </c>
      <c r="N83" s="41">
        <v>0</v>
      </c>
      <c r="O83" s="61">
        <v>0</v>
      </c>
      <c r="P83" s="61">
        <v>834.99</v>
      </c>
      <c r="Q83" s="61">
        <v>10529.96</v>
      </c>
      <c r="R83" s="61">
        <v>213121.83</v>
      </c>
      <c r="S83" s="61">
        <v>-53768.21</v>
      </c>
      <c r="T83" s="61">
        <v>0</v>
      </c>
      <c r="V83" s="41">
        <f t="shared" si="15"/>
        <v>170718.57</v>
      </c>
      <c r="W83" s="88"/>
      <c r="X83" s="86"/>
      <c r="Y83" s="87"/>
      <c r="Z83" s="87"/>
      <c r="AA83" s="87"/>
      <c r="AB83" s="29"/>
      <c r="AC83" s="41">
        <f>+V83+Y83+Z83</f>
        <v>170718.57</v>
      </c>
      <c r="AD83" s="29"/>
      <c r="AE83" s="29"/>
      <c r="AF83" s="42"/>
    </row>
    <row r="84" spans="1:32" s="16" customFormat="1" x14ac:dyDescent="0.25">
      <c r="A84" s="33" t="s">
        <v>50</v>
      </c>
      <c r="B84" s="33" t="s">
        <v>51</v>
      </c>
      <c r="C84" s="33" t="s">
        <v>52</v>
      </c>
      <c r="D84" s="33" t="s">
        <v>53</v>
      </c>
      <c r="E84" s="33" t="s">
        <v>54</v>
      </c>
      <c r="F84" s="34" t="s">
        <v>206</v>
      </c>
      <c r="G84" s="59" t="s">
        <v>207</v>
      </c>
      <c r="H84" s="27" t="s">
        <v>208</v>
      </c>
      <c r="I84" s="56" t="str">
        <f>F84</f>
        <v>00268408</v>
      </c>
      <c r="J84" s="45" t="s">
        <v>208</v>
      </c>
      <c r="K84" s="60">
        <v>0</v>
      </c>
      <c r="L84" s="41">
        <v>0</v>
      </c>
      <c r="M84" s="41">
        <v>0</v>
      </c>
      <c r="N84" s="41">
        <v>0</v>
      </c>
      <c r="O84" s="61">
        <v>0</v>
      </c>
      <c r="P84" s="61">
        <v>7447.39</v>
      </c>
      <c r="Q84" s="61">
        <v>35873.93</v>
      </c>
      <c r="R84" s="61">
        <v>31558.240000000002</v>
      </c>
      <c r="S84" s="61">
        <v>171026.17</v>
      </c>
      <c r="T84" s="61">
        <v>0</v>
      </c>
      <c r="V84" s="41">
        <f t="shared" si="15"/>
        <v>245905.73</v>
      </c>
      <c r="W84" s="88"/>
      <c r="X84" s="86"/>
      <c r="Y84" s="87"/>
      <c r="Z84" s="87"/>
      <c r="AA84" s="87"/>
      <c r="AB84" s="29"/>
      <c r="AC84" s="41">
        <f>+V84+Y84+Z84</f>
        <v>245905.73</v>
      </c>
      <c r="AD84" s="29"/>
      <c r="AE84" s="29"/>
      <c r="AF84" s="42"/>
    </row>
    <row r="85" spans="1:32" s="16" customFormat="1" ht="15.75" thickBot="1" x14ac:dyDescent="0.3">
      <c r="A85" s="33" t="s">
        <v>50</v>
      </c>
      <c r="B85" s="33" t="s">
        <v>51</v>
      </c>
      <c r="C85" s="33" t="s">
        <v>52</v>
      </c>
      <c r="D85" s="33" t="s">
        <v>53</v>
      </c>
      <c r="E85" s="33" t="s">
        <v>54</v>
      </c>
      <c r="F85" s="34" t="s">
        <v>209</v>
      </c>
      <c r="G85" s="51" t="s">
        <v>210</v>
      </c>
      <c r="H85" s="52" t="s">
        <v>211</v>
      </c>
      <c r="I85" s="53" t="str">
        <f t="shared" ref="I85" si="17">F85</f>
        <v>00268411</v>
      </c>
      <c r="J85" s="54" t="s">
        <v>211</v>
      </c>
      <c r="K85" s="63">
        <v>0</v>
      </c>
      <c r="L85" s="38">
        <v>0</v>
      </c>
      <c r="M85" s="38">
        <v>0</v>
      </c>
      <c r="N85" s="38">
        <v>0</v>
      </c>
      <c r="O85" s="39">
        <v>0</v>
      </c>
      <c r="P85" s="39">
        <v>557.02</v>
      </c>
      <c r="Q85" s="39">
        <v>280.39</v>
      </c>
      <c r="R85" s="39">
        <v>216.85</v>
      </c>
      <c r="S85" s="39">
        <v>4911.95</v>
      </c>
      <c r="T85" s="39">
        <v>0</v>
      </c>
      <c r="V85" s="38">
        <f t="shared" si="15"/>
        <v>5966.21</v>
      </c>
      <c r="W85" s="88"/>
      <c r="X85" s="86"/>
      <c r="Y85" s="87"/>
      <c r="Z85" s="87"/>
      <c r="AA85" s="87"/>
      <c r="AB85" s="29"/>
      <c r="AC85" s="38">
        <f>+V85+Y85+Z85</f>
        <v>5966.21</v>
      </c>
      <c r="AD85" s="29"/>
      <c r="AE85" s="29"/>
      <c r="AF85" s="42"/>
    </row>
    <row r="86" spans="1:32" s="16" customFormat="1" x14ac:dyDescent="0.25">
      <c r="A86" s="33"/>
      <c r="B86" s="33"/>
      <c r="C86" s="33"/>
      <c r="D86" s="33"/>
      <c r="E86" s="33"/>
      <c r="F86" s="34"/>
      <c r="G86" s="17"/>
      <c r="I86" s="18"/>
      <c r="J86" s="57" t="s">
        <v>212</v>
      </c>
      <c r="K86" s="29">
        <f>SUM(K71:K85)</f>
        <v>0</v>
      </c>
      <c r="L86" s="29">
        <f t="shared" ref="L86:T86" si="18">SUM(L71:L85)</f>
        <v>0</v>
      </c>
      <c r="M86" s="29">
        <f t="shared" si="18"/>
        <v>21827.51</v>
      </c>
      <c r="N86" s="29">
        <f t="shared" si="18"/>
        <v>22951.39</v>
      </c>
      <c r="O86" s="29">
        <f t="shared" si="18"/>
        <v>29776.15</v>
      </c>
      <c r="P86" s="29">
        <f t="shared" si="18"/>
        <v>16783.310000000001</v>
      </c>
      <c r="Q86" s="29">
        <f t="shared" si="18"/>
        <v>50738.31</v>
      </c>
      <c r="R86" s="29">
        <f t="shared" si="18"/>
        <v>493024.87999999995</v>
      </c>
      <c r="S86" s="29">
        <f t="shared" si="18"/>
        <v>247097.92</v>
      </c>
      <c r="T86" s="29">
        <f t="shared" si="18"/>
        <v>435784</v>
      </c>
      <c r="V86" s="29">
        <f>SUM(V71:V85)</f>
        <v>1317983.47</v>
      </c>
      <c r="W86" s="88"/>
      <c r="X86" s="86"/>
      <c r="Y86" s="87"/>
      <c r="Z86" s="87"/>
      <c r="AA86" s="87"/>
      <c r="AB86" s="29"/>
      <c r="AC86" s="29">
        <f>SUM(AC71:AC85)</f>
        <v>1317983.47</v>
      </c>
      <c r="AD86" s="29"/>
      <c r="AE86" s="29"/>
      <c r="AF86" s="42"/>
    </row>
    <row r="87" spans="1:32" s="16" customFormat="1" ht="15.75" thickBot="1" x14ac:dyDescent="0.3">
      <c r="A87" s="33"/>
      <c r="B87" s="33"/>
      <c r="C87" s="33"/>
      <c r="D87" s="33"/>
      <c r="E87" s="33"/>
      <c r="F87" s="34"/>
      <c r="G87" s="17"/>
      <c r="I87" s="18"/>
      <c r="J87" s="45"/>
      <c r="K87" s="29"/>
      <c r="L87" s="29"/>
      <c r="M87" s="29"/>
      <c r="N87" s="29"/>
      <c r="V87" s="29"/>
      <c r="W87" s="87"/>
      <c r="X87" s="86"/>
      <c r="Y87" s="87"/>
      <c r="Z87" s="87"/>
      <c r="AA87" s="87"/>
      <c r="AB87" s="29"/>
      <c r="AC87" s="29"/>
      <c r="AD87" s="29"/>
      <c r="AE87" s="29"/>
      <c r="AF87" s="42"/>
    </row>
    <row r="88" spans="1:32" s="16" customFormat="1" ht="15.75" thickBot="1" x14ac:dyDescent="0.3">
      <c r="A88" s="33" t="s">
        <v>50</v>
      </c>
      <c r="B88" s="33" t="s">
        <v>51</v>
      </c>
      <c r="C88" s="33" t="s">
        <v>52</v>
      </c>
      <c r="D88" s="33" t="s">
        <v>53</v>
      </c>
      <c r="E88" s="33" t="s">
        <v>54</v>
      </c>
      <c r="F88" s="34" t="s">
        <v>213</v>
      </c>
      <c r="G88" s="35" t="s">
        <v>214</v>
      </c>
      <c r="H88" s="24" t="s">
        <v>215</v>
      </c>
      <c r="I88" s="36" t="str">
        <f t="shared" ref="I88:I90" si="19">F88</f>
        <v>00264306</v>
      </c>
      <c r="J88" s="66" t="s">
        <v>216</v>
      </c>
      <c r="K88" s="67">
        <v>38.85</v>
      </c>
      <c r="L88" s="40">
        <v>0.13</v>
      </c>
      <c r="M88" s="40">
        <v>24061.08</v>
      </c>
      <c r="N88" s="40">
        <v>16889.36</v>
      </c>
      <c r="O88" s="44">
        <v>5917.29</v>
      </c>
      <c r="P88" s="44">
        <v>13393.82</v>
      </c>
      <c r="Q88" s="44">
        <v>0</v>
      </c>
      <c r="R88" s="44">
        <v>138</v>
      </c>
      <c r="S88" s="44">
        <v>0</v>
      </c>
      <c r="T88" s="44">
        <v>0</v>
      </c>
      <c r="V88" s="40">
        <f>SUM(J88:U88)</f>
        <v>60438.53</v>
      </c>
      <c r="W88" s="88"/>
      <c r="X88" s="86"/>
      <c r="Y88" s="87"/>
      <c r="Z88" s="87"/>
      <c r="AA88" s="87"/>
      <c r="AB88" s="29"/>
      <c r="AC88" s="40">
        <f>+V88+Y88+Z88</f>
        <v>60438.53</v>
      </c>
      <c r="AD88" s="29"/>
      <c r="AE88" s="29"/>
      <c r="AF88" s="42"/>
    </row>
    <row r="89" spans="1:32" s="16" customFormat="1" ht="15.75" thickBot="1" x14ac:dyDescent="0.3">
      <c r="A89" s="33"/>
      <c r="B89" s="33"/>
      <c r="C89" s="33"/>
      <c r="D89" s="33"/>
      <c r="E89" s="33"/>
      <c r="F89" s="34"/>
      <c r="G89" s="17"/>
      <c r="I89" s="18"/>
      <c r="J89" s="45"/>
      <c r="K89" s="29"/>
      <c r="L89" s="29"/>
      <c r="M89" s="29"/>
      <c r="N89" s="29"/>
      <c r="V89" s="29"/>
      <c r="W89" s="87"/>
      <c r="X89" s="86"/>
      <c r="Y89" s="87"/>
      <c r="Z89" s="87"/>
      <c r="AA89" s="87"/>
      <c r="AB89" s="29"/>
      <c r="AC89" s="29"/>
      <c r="AD89" s="29"/>
      <c r="AE89" s="29"/>
      <c r="AF89" s="42"/>
    </row>
    <row r="90" spans="1:32" s="16" customFormat="1" ht="15.75" thickBot="1" x14ac:dyDescent="0.3">
      <c r="A90" s="33" t="s">
        <v>50</v>
      </c>
      <c r="B90" s="33" t="s">
        <v>51</v>
      </c>
      <c r="C90" s="33" t="s">
        <v>52</v>
      </c>
      <c r="D90" s="33" t="s">
        <v>53</v>
      </c>
      <c r="E90" s="33" t="s">
        <v>54</v>
      </c>
      <c r="F90" s="34" t="s">
        <v>217</v>
      </c>
      <c r="G90" s="35" t="s">
        <v>218</v>
      </c>
      <c r="H90" s="24" t="s">
        <v>219</v>
      </c>
      <c r="I90" s="36" t="str">
        <f t="shared" si="19"/>
        <v>00263036</v>
      </c>
      <c r="J90" s="66" t="s">
        <v>220</v>
      </c>
      <c r="K90" s="67">
        <v>0</v>
      </c>
      <c r="L90" s="40">
        <v>0</v>
      </c>
      <c r="M90" s="40">
        <v>0</v>
      </c>
      <c r="N90" s="40">
        <v>181.42</v>
      </c>
      <c r="O90" s="44">
        <v>7087.18</v>
      </c>
      <c r="P90" s="44">
        <v>9642.4500000000007</v>
      </c>
      <c r="Q90" s="44">
        <v>15865.58</v>
      </c>
      <c r="R90" s="44">
        <v>11418.06</v>
      </c>
      <c r="S90" s="44">
        <v>16094.71</v>
      </c>
      <c r="T90" s="44">
        <v>219481.04</v>
      </c>
      <c r="V90" s="40">
        <f>SUM(J90:U90)</f>
        <v>279770.44</v>
      </c>
      <c r="W90" s="88"/>
      <c r="X90" s="86"/>
      <c r="Y90" s="87"/>
      <c r="Z90" s="87"/>
      <c r="AA90" s="87"/>
      <c r="AB90" s="29"/>
      <c r="AC90" s="40">
        <f>+V90+Y90+Z90</f>
        <v>279770.44</v>
      </c>
      <c r="AD90" s="29"/>
      <c r="AE90" s="29"/>
      <c r="AF90" s="42"/>
    </row>
    <row r="91" spans="1:32" s="16" customFormat="1" ht="15.75" thickBot="1" x14ac:dyDescent="0.3">
      <c r="A91" s="33"/>
      <c r="B91" s="33"/>
      <c r="C91" s="33"/>
      <c r="D91" s="33"/>
      <c r="E91" s="33"/>
      <c r="F91" s="34"/>
      <c r="G91" s="17"/>
      <c r="I91" s="18"/>
      <c r="J91" s="48"/>
      <c r="K91" s="29"/>
      <c r="L91" s="29"/>
      <c r="M91" s="29"/>
      <c r="N91" s="29"/>
      <c r="V91" s="29"/>
      <c r="W91" s="87"/>
      <c r="X91" s="86"/>
      <c r="Y91" s="87"/>
      <c r="Z91" s="87"/>
      <c r="AA91" s="87"/>
      <c r="AB91" s="29"/>
      <c r="AC91" s="29"/>
      <c r="AD91" s="29"/>
      <c r="AE91" s="29"/>
      <c r="AF91" s="42"/>
    </row>
    <row r="92" spans="1:32" s="16" customFormat="1" ht="15.75" thickBot="1" x14ac:dyDescent="0.3">
      <c r="A92" s="33"/>
      <c r="B92" s="33"/>
      <c r="C92" s="33"/>
      <c r="D92" s="33"/>
      <c r="E92" s="33"/>
      <c r="F92" s="34"/>
      <c r="G92" s="17"/>
      <c r="I92" s="18"/>
      <c r="J92" s="45"/>
      <c r="K92" s="67">
        <f t="shared" ref="K92:T92" si="20">K13+K15+K17+K19+K23+K47+K57+K69+K86+K88+K90</f>
        <v>-172337.56</v>
      </c>
      <c r="L92" s="40">
        <f t="shared" si="20"/>
        <v>-59859.140000000007</v>
      </c>
      <c r="M92" s="40">
        <f t="shared" si="20"/>
        <v>87113.04</v>
      </c>
      <c r="N92" s="40">
        <f t="shared" si="20"/>
        <v>273087.17</v>
      </c>
      <c r="O92" s="40">
        <f t="shared" si="20"/>
        <v>150904.27000000002</v>
      </c>
      <c r="P92" s="40">
        <f t="shared" si="20"/>
        <v>195757.32</v>
      </c>
      <c r="Q92" s="40">
        <f t="shared" si="20"/>
        <v>824955.97000000009</v>
      </c>
      <c r="R92" s="40">
        <f t="shared" si="20"/>
        <v>1843697.6599999997</v>
      </c>
      <c r="S92" s="40">
        <f t="shared" si="20"/>
        <v>1808125.6599999997</v>
      </c>
      <c r="T92" s="40">
        <f t="shared" si="20"/>
        <v>4574490.6700000009</v>
      </c>
      <c r="V92" s="40">
        <f>V13+V15+V17+V19+V23+V47+V57+V69+V86+V88+V90</f>
        <v>9525935.0600000005</v>
      </c>
      <c r="W92" s="40">
        <f>W13+W15+W17+W19+W23+W47+W57+W69+W86+W88+W90</f>
        <v>0</v>
      </c>
      <c r="Y92" s="40">
        <f>Y13+Y15+Y17+Y19+Y23+Y47+Y57+Y69+Y86+Y88+Y90+Y9+Y10+Y11</f>
        <v>0</v>
      </c>
      <c r="Z92" s="40">
        <f>Z13+Z15+Z17+Z19+Z23+Z47+Z57+Z69+Z86+Z88+Z90+Z9+Z10+Z11</f>
        <v>0</v>
      </c>
      <c r="AA92" s="40">
        <f>AA13+AA15+AA17+AA19+AA23+AA47+AA57+AA69+AA86+AA88+AA90+AA9+AA10+AA11</f>
        <v>0</v>
      </c>
      <c r="AB92" s="29"/>
      <c r="AC92" s="40">
        <f>AC13+AC15+AC17+AC19+AC23+AC47+AC57+AC69+AC86+AC88+AC90+AC9+AC10+AC11</f>
        <v>9152487.6999999993</v>
      </c>
      <c r="AD92" s="29"/>
      <c r="AE92" s="29"/>
      <c r="AF92" s="42"/>
    </row>
    <row r="93" spans="1:32" s="16" customFormat="1" x14ac:dyDescent="0.25">
      <c r="A93" s="33"/>
      <c r="B93" s="33"/>
      <c r="C93" s="33"/>
      <c r="D93" s="33"/>
      <c r="E93" s="33"/>
      <c r="F93" s="34"/>
      <c r="G93" s="17"/>
      <c r="I93" s="18"/>
      <c r="K93" s="29"/>
      <c r="L93" s="29"/>
      <c r="M93" s="68" t="s">
        <v>238</v>
      </c>
      <c r="N93" s="29">
        <f>SUM(K92:R92)</f>
        <v>3143318.7299999995</v>
      </c>
      <c r="S93" s="69" t="s">
        <v>239</v>
      </c>
      <c r="T93" s="29">
        <f>SUM(S92:T92)</f>
        <v>6382616.3300000001</v>
      </c>
      <c r="V93" s="29">
        <f>N93+T93</f>
        <v>9525935.0599999987</v>
      </c>
      <c r="W93" s="29"/>
      <c r="Y93" s="29"/>
      <c r="Z93" s="29"/>
      <c r="AA93" s="29"/>
      <c r="AB93" s="29"/>
      <c r="AC93" s="29"/>
      <c r="AD93" s="29"/>
      <c r="AE93" s="29"/>
      <c r="AF93" s="42"/>
    </row>
    <row r="94" spans="1:32" x14ac:dyDescent="0.25">
      <c r="A94" s="2"/>
      <c r="B94" s="2"/>
      <c r="C94" s="2"/>
      <c r="D94" s="2"/>
      <c r="E94" s="2"/>
      <c r="F94" s="8"/>
      <c r="K94" s="9"/>
      <c r="L94" s="9"/>
      <c r="M94" s="9"/>
      <c r="N94" s="9"/>
      <c r="V94" s="9"/>
      <c r="W94" s="9"/>
      <c r="Y94" s="9"/>
      <c r="Z94" s="9"/>
      <c r="AA94" s="9"/>
      <c r="AB94" s="9"/>
      <c r="AC94" s="9"/>
      <c r="AD94" s="9"/>
      <c r="AE94" s="9"/>
      <c r="AF94" s="13"/>
    </row>
    <row r="95" spans="1:32" x14ac:dyDescent="0.25">
      <c r="A95" s="2"/>
      <c r="B95" s="2"/>
      <c r="C95" s="2"/>
      <c r="D95" s="2"/>
      <c r="E95" s="2"/>
      <c r="F95" s="8"/>
      <c r="K95" s="9"/>
      <c r="L95" s="9"/>
      <c r="M95" s="9"/>
      <c r="N95" s="9"/>
      <c r="V95" s="9"/>
      <c r="W95" s="9"/>
      <c r="Y95" s="9"/>
      <c r="Z95" s="9"/>
      <c r="AA95" s="9"/>
      <c r="AB95" s="9"/>
      <c r="AC95" s="9"/>
      <c r="AD95" s="9"/>
      <c r="AE95" s="9"/>
      <c r="AF95" s="13"/>
    </row>
    <row r="96" spans="1:32" x14ac:dyDescent="0.25">
      <c r="A96" s="2"/>
      <c r="B96" s="2"/>
      <c r="C96" s="2"/>
      <c r="D96" s="2"/>
      <c r="E96" s="2"/>
      <c r="F96" s="8"/>
      <c r="K96" s="9"/>
      <c r="L96" s="9"/>
      <c r="M96" s="9"/>
      <c r="N96" s="9"/>
      <c r="V96" s="9"/>
      <c r="W96" s="9"/>
      <c r="Y96" s="9"/>
      <c r="Z96" s="9"/>
      <c r="AA96" s="9"/>
      <c r="AB96" s="9"/>
      <c r="AC96" s="9"/>
      <c r="AD96" s="9"/>
      <c r="AE96" s="9"/>
      <c r="AF96" s="13"/>
    </row>
    <row r="97" spans="1:32" x14ac:dyDescent="0.25">
      <c r="A97" s="2"/>
      <c r="B97" s="2"/>
      <c r="C97" s="2"/>
      <c r="D97" s="2"/>
      <c r="E97" s="2"/>
      <c r="F97" s="8"/>
      <c r="K97" s="9"/>
      <c r="L97" s="9"/>
      <c r="M97" s="9"/>
      <c r="N97" s="9"/>
      <c r="V97" s="9"/>
      <c r="W97" s="9"/>
      <c r="Y97" s="9"/>
      <c r="Z97" s="9"/>
      <c r="AA97" s="9"/>
      <c r="AB97" s="9"/>
      <c r="AC97" s="9"/>
      <c r="AD97" s="9"/>
      <c r="AE97" s="9"/>
      <c r="AF97" s="13"/>
    </row>
    <row r="98" spans="1:32" x14ac:dyDescent="0.25">
      <c r="A98" s="2"/>
      <c r="B98" s="2"/>
      <c r="C98" s="2"/>
      <c r="D98" s="2"/>
      <c r="E98" s="2"/>
      <c r="F98" s="8"/>
      <c r="K98" s="9"/>
      <c r="L98" s="9"/>
      <c r="M98" s="9"/>
      <c r="N98" s="9"/>
      <c r="V98" s="9"/>
      <c r="W98" s="9"/>
      <c r="Y98" s="13"/>
      <c r="Z98" s="13"/>
      <c r="AA98" s="13"/>
      <c r="AB98" s="13"/>
      <c r="AC98" s="13">
        <f>+AC92-AC57-AC13-AC23</f>
        <v>7881732.3099999977</v>
      </c>
      <c r="AD98" s="13"/>
      <c r="AE98" s="13"/>
      <c r="AF98" s="13"/>
    </row>
  </sheetData>
  <dataValidations disablePrompts="1" count="1">
    <dataValidation type="list" allowBlank="1" showInputMessage="1" showErrorMessage="1" sqref="K5:T5" xr:uid="{00000000-0002-0000-0000-000000000000}">
      <formula1>"PER,QTR,DQTR,YTD,LTD,RANGE,BLTD,BLTDAPR,BLTDREQ,per,qtr,dqtr,ytd,ltd,range,bltd,bltdapr,bltdreq"</formula1>
    </dataValidation>
  </dataValidations>
  <pageMargins left="0.7" right="0.7" top="0.75" bottom="0.75" header="0.3" footer="0.3"/>
  <pageSetup scale="50" orientation="landscape" r:id="rId1"/>
  <rowBreaks count="1" manualBreakCount="1">
    <brk id="58" max="16383" man="1"/>
  </rowBreaks>
  <colBreaks count="1" manualBreakCount="1">
    <brk id="13" max="92"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8"/>
  <sheetViews>
    <sheetView workbookViewId="0">
      <selection activeCell="F20" sqref="F20:F22"/>
    </sheetView>
  </sheetViews>
  <sheetFormatPr defaultRowHeight="15" x14ac:dyDescent="0.25"/>
  <cols>
    <col min="1" max="1" width="27.7109375" bestFit="1" customWidth="1"/>
    <col min="2" max="2" width="18.140625" bestFit="1" customWidth="1"/>
    <col min="3" max="3" width="5.85546875" bestFit="1" customWidth="1"/>
    <col min="4" max="4" width="5.7109375" style="10" bestFit="1" customWidth="1"/>
    <col min="5" max="5" width="5" style="10" bestFit="1" customWidth="1"/>
    <col min="6" max="6" width="14" style="10" bestFit="1" customWidth="1"/>
    <col min="7" max="7" width="9.7109375" bestFit="1" customWidth="1"/>
    <col min="8" max="8" width="16" bestFit="1" customWidth="1"/>
    <col min="9" max="9" width="13.7109375" bestFit="1" customWidth="1"/>
    <col min="10" max="10" width="10.42578125" bestFit="1" customWidth="1"/>
    <col min="11" max="11" width="10.7109375" bestFit="1" customWidth="1"/>
    <col min="12" max="12" width="12.28515625" bestFit="1" customWidth="1"/>
    <col min="13" max="13" width="23.28515625" bestFit="1" customWidth="1"/>
    <col min="14" max="14" width="3.5703125" bestFit="1" customWidth="1"/>
    <col min="15" max="15" width="11.140625" bestFit="1" customWidth="1"/>
  </cols>
  <sheetData>
    <row r="1" spans="1:15" x14ac:dyDescent="0.25">
      <c r="A1" s="1" t="s">
        <v>0</v>
      </c>
      <c r="B1" s="1" t="s">
        <v>1</v>
      </c>
      <c r="C1" s="1" t="s">
        <v>2</v>
      </c>
      <c r="D1" s="11" t="s">
        <v>3</v>
      </c>
      <c r="E1" s="11" t="s">
        <v>4</v>
      </c>
      <c r="F1" s="11" t="s">
        <v>5</v>
      </c>
      <c r="G1" s="1" t="s">
        <v>6</v>
      </c>
      <c r="H1" s="1" t="s">
        <v>7</v>
      </c>
      <c r="I1" s="1" t="s">
        <v>8</v>
      </c>
      <c r="J1" s="1" t="s">
        <v>9</v>
      </c>
      <c r="K1" s="1" t="s">
        <v>10</v>
      </c>
      <c r="L1" s="1" t="s">
        <v>11</v>
      </c>
      <c r="M1" s="1" t="s">
        <v>12</v>
      </c>
      <c r="N1" s="1" t="s">
        <v>13</v>
      </c>
      <c r="O1" s="1" t="s">
        <v>14</v>
      </c>
    </row>
    <row r="2" spans="1:15" ht="15.75" thickBot="1" x14ac:dyDescent="0.3">
      <c r="A2" s="2" t="s">
        <v>15</v>
      </c>
      <c r="C2" s="2"/>
      <c r="H2" s="2"/>
      <c r="K2" s="2"/>
      <c r="L2" s="2"/>
      <c r="M2" s="2"/>
      <c r="N2" s="2"/>
      <c r="O2" s="2"/>
    </row>
    <row r="3" spans="1:15" ht="15.75" thickBot="1" x14ac:dyDescent="0.3">
      <c r="A3" s="2" t="s">
        <v>16</v>
      </c>
      <c r="B3">
        <v>49028</v>
      </c>
      <c r="C3" s="2" t="s">
        <v>17</v>
      </c>
      <c r="F3" s="71">
        <v>-1514595.05</v>
      </c>
      <c r="G3" s="3">
        <v>43466</v>
      </c>
      <c r="H3" s="2" t="s">
        <v>18</v>
      </c>
      <c r="I3">
        <v>1631038</v>
      </c>
      <c r="J3" s="3">
        <v>43472</v>
      </c>
      <c r="K3" s="2" t="s">
        <v>19</v>
      </c>
      <c r="L3" s="2"/>
      <c r="M3" s="2"/>
      <c r="N3" s="2" t="s">
        <v>20</v>
      </c>
      <c r="O3" s="2" t="s">
        <v>21</v>
      </c>
    </row>
    <row r="4" spans="1:15" x14ac:dyDescent="0.25">
      <c r="A4" s="2" t="s">
        <v>22</v>
      </c>
      <c r="B4">
        <v>49391</v>
      </c>
      <c r="C4" s="2" t="s">
        <v>17</v>
      </c>
      <c r="F4" s="70">
        <v>50548.3</v>
      </c>
      <c r="G4" s="3">
        <v>43496</v>
      </c>
      <c r="H4" s="2" t="s">
        <v>18</v>
      </c>
      <c r="I4">
        <v>1639113</v>
      </c>
      <c r="J4" s="3">
        <v>43502</v>
      </c>
      <c r="K4" s="2" t="s">
        <v>19</v>
      </c>
      <c r="L4" s="2"/>
      <c r="M4" s="2"/>
      <c r="N4" s="2" t="s">
        <v>20</v>
      </c>
      <c r="O4" s="2" t="s">
        <v>21</v>
      </c>
    </row>
    <row r="5" spans="1:15" x14ac:dyDescent="0.25">
      <c r="A5" s="2" t="s">
        <v>22</v>
      </c>
      <c r="B5">
        <v>49391</v>
      </c>
      <c r="C5" s="2" t="s">
        <v>17</v>
      </c>
      <c r="F5" s="70">
        <v>87230.3</v>
      </c>
      <c r="G5" s="3">
        <v>43496</v>
      </c>
      <c r="H5" s="2" t="s">
        <v>18</v>
      </c>
      <c r="I5">
        <v>1639113</v>
      </c>
      <c r="J5" s="3">
        <v>43502</v>
      </c>
      <c r="K5" s="2" t="s">
        <v>19</v>
      </c>
      <c r="L5" s="2"/>
      <c r="M5" s="2"/>
      <c r="N5" s="2" t="s">
        <v>20</v>
      </c>
      <c r="O5" s="2" t="s">
        <v>21</v>
      </c>
    </row>
    <row r="6" spans="1:15" x14ac:dyDescent="0.25">
      <c r="A6" s="2" t="s">
        <v>22</v>
      </c>
      <c r="B6">
        <v>49391</v>
      </c>
      <c r="C6" s="2" t="s">
        <v>17</v>
      </c>
      <c r="F6" s="70">
        <v>82823.09</v>
      </c>
      <c r="G6" s="3">
        <v>43496</v>
      </c>
      <c r="H6" s="2" t="s">
        <v>18</v>
      </c>
      <c r="I6">
        <v>1639113</v>
      </c>
      <c r="J6" s="3">
        <v>43502</v>
      </c>
      <c r="K6" s="2" t="s">
        <v>19</v>
      </c>
      <c r="L6" s="2"/>
      <c r="M6" s="2"/>
      <c r="N6" s="2" t="s">
        <v>20</v>
      </c>
      <c r="O6" s="2" t="s">
        <v>21</v>
      </c>
    </row>
    <row r="7" spans="1:15" x14ac:dyDescent="0.25">
      <c r="A7" s="2" t="s">
        <v>22</v>
      </c>
      <c r="B7">
        <v>49391</v>
      </c>
      <c r="C7" s="2" t="s">
        <v>17</v>
      </c>
      <c r="F7" s="70">
        <v>63670.91</v>
      </c>
      <c r="G7" s="3">
        <v>43496</v>
      </c>
      <c r="H7" s="2" t="s">
        <v>18</v>
      </c>
      <c r="I7">
        <v>1639113</v>
      </c>
      <c r="J7" s="3">
        <v>43502</v>
      </c>
      <c r="K7" s="2" t="s">
        <v>19</v>
      </c>
      <c r="L7" s="2"/>
      <c r="M7" s="2"/>
      <c r="N7" s="2" t="s">
        <v>20</v>
      </c>
      <c r="O7" s="2" t="s">
        <v>21</v>
      </c>
    </row>
    <row r="8" spans="1:15" x14ac:dyDescent="0.25">
      <c r="A8" s="2" t="s">
        <v>22</v>
      </c>
      <c r="B8">
        <v>49391</v>
      </c>
      <c r="C8" s="2" t="s">
        <v>17</v>
      </c>
      <c r="F8" s="70">
        <v>69215.75</v>
      </c>
      <c r="G8" s="3">
        <v>43496</v>
      </c>
      <c r="H8" s="2" t="s">
        <v>18</v>
      </c>
      <c r="I8">
        <v>1639113</v>
      </c>
      <c r="J8" s="3">
        <v>43502</v>
      </c>
      <c r="K8" s="2" t="s">
        <v>19</v>
      </c>
      <c r="L8" s="2"/>
      <c r="M8" s="2"/>
      <c r="N8" s="2" t="s">
        <v>20</v>
      </c>
      <c r="O8" s="2" t="s">
        <v>21</v>
      </c>
    </row>
    <row r="9" spans="1:15" x14ac:dyDescent="0.25">
      <c r="A9" s="2" t="s">
        <v>22</v>
      </c>
      <c r="B9">
        <v>49391</v>
      </c>
      <c r="C9" s="2" t="s">
        <v>17</v>
      </c>
      <c r="F9" s="70">
        <v>74897.37</v>
      </c>
      <c r="G9" s="3">
        <v>43496</v>
      </c>
      <c r="H9" s="2" t="s">
        <v>18</v>
      </c>
      <c r="I9">
        <v>1639113</v>
      </c>
      <c r="J9" s="3">
        <v>43502</v>
      </c>
      <c r="K9" s="2" t="s">
        <v>19</v>
      </c>
      <c r="L9" s="2"/>
      <c r="M9" s="2"/>
      <c r="N9" s="2" t="s">
        <v>20</v>
      </c>
      <c r="O9" s="2" t="s">
        <v>21</v>
      </c>
    </row>
    <row r="10" spans="1:15" x14ac:dyDescent="0.25">
      <c r="A10" s="2" t="s">
        <v>22</v>
      </c>
      <c r="B10">
        <v>49391</v>
      </c>
      <c r="C10" s="2" t="s">
        <v>17</v>
      </c>
      <c r="F10" s="70">
        <v>53126.43</v>
      </c>
      <c r="G10" s="3">
        <v>43496</v>
      </c>
      <c r="H10" s="2" t="s">
        <v>18</v>
      </c>
      <c r="I10">
        <v>1639113</v>
      </c>
      <c r="J10" s="3">
        <v>43502</v>
      </c>
      <c r="K10" s="2" t="s">
        <v>19</v>
      </c>
      <c r="L10" s="2"/>
      <c r="M10" s="2"/>
      <c r="N10" s="2" t="s">
        <v>20</v>
      </c>
      <c r="O10" s="2" t="s">
        <v>21</v>
      </c>
    </row>
    <row r="11" spans="1:15" x14ac:dyDescent="0.25">
      <c r="A11" s="2" t="s">
        <v>22</v>
      </c>
      <c r="B11">
        <v>49391</v>
      </c>
      <c r="C11" s="2" t="s">
        <v>17</v>
      </c>
      <c r="F11" s="70">
        <v>50726.91</v>
      </c>
      <c r="G11" s="3">
        <v>43496</v>
      </c>
      <c r="H11" s="2" t="s">
        <v>18</v>
      </c>
      <c r="I11">
        <v>1639113</v>
      </c>
      <c r="J11" s="3">
        <v>43502</v>
      </c>
      <c r="K11" s="2" t="s">
        <v>19</v>
      </c>
      <c r="L11" s="2"/>
      <c r="M11" s="2"/>
      <c r="N11" s="2" t="s">
        <v>20</v>
      </c>
      <c r="O11" s="2" t="s">
        <v>21</v>
      </c>
    </row>
    <row r="12" spans="1:15" x14ac:dyDescent="0.25">
      <c r="A12" s="2" t="s">
        <v>22</v>
      </c>
      <c r="B12">
        <v>49391</v>
      </c>
      <c r="C12" s="2" t="s">
        <v>17</v>
      </c>
      <c r="F12" s="70">
        <v>12624.98</v>
      </c>
      <c r="G12" s="3">
        <v>43496</v>
      </c>
      <c r="H12" s="2" t="s">
        <v>18</v>
      </c>
      <c r="I12">
        <v>1639113</v>
      </c>
      <c r="J12" s="3">
        <v>43502</v>
      </c>
      <c r="K12" s="2" t="s">
        <v>19</v>
      </c>
      <c r="L12" s="2"/>
      <c r="M12" s="2"/>
      <c r="N12" s="2" t="s">
        <v>20</v>
      </c>
      <c r="O12" s="2" t="s">
        <v>21</v>
      </c>
    </row>
    <row r="13" spans="1:15" x14ac:dyDescent="0.25">
      <c r="A13" s="2" t="s">
        <v>22</v>
      </c>
      <c r="B13">
        <v>49391</v>
      </c>
      <c r="C13" s="2" t="s">
        <v>17</v>
      </c>
      <c r="F13" s="70">
        <v>20297.599999999999</v>
      </c>
      <c r="G13" s="3">
        <v>43496</v>
      </c>
      <c r="H13" s="2" t="s">
        <v>18</v>
      </c>
      <c r="I13">
        <v>1639113</v>
      </c>
      <c r="J13" s="3">
        <v>43502</v>
      </c>
      <c r="K13" s="2" t="s">
        <v>19</v>
      </c>
      <c r="L13" s="2"/>
      <c r="M13" s="2"/>
      <c r="N13" s="2" t="s">
        <v>20</v>
      </c>
      <c r="O13" s="2" t="s">
        <v>21</v>
      </c>
    </row>
    <row r="14" spans="1:15" x14ac:dyDescent="0.25">
      <c r="A14" s="2" t="s">
        <v>22</v>
      </c>
      <c r="B14">
        <v>49391</v>
      </c>
      <c r="C14" s="2" t="s">
        <v>17</v>
      </c>
      <c r="F14" s="70">
        <v>5516.14</v>
      </c>
      <c r="G14" s="3">
        <v>43496</v>
      </c>
      <c r="H14" s="2" t="s">
        <v>18</v>
      </c>
      <c r="I14">
        <v>1639113</v>
      </c>
      <c r="J14" s="3">
        <v>43502</v>
      </c>
      <c r="K14" s="2" t="s">
        <v>19</v>
      </c>
      <c r="L14" s="2"/>
      <c r="M14" s="2"/>
      <c r="N14" s="2" t="s">
        <v>20</v>
      </c>
      <c r="O14" s="2" t="s">
        <v>21</v>
      </c>
    </row>
    <row r="15" spans="1:15" x14ac:dyDescent="0.25">
      <c r="A15" s="2" t="s">
        <v>22</v>
      </c>
      <c r="B15">
        <v>49391</v>
      </c>
      <c r="C15" s="2" t="s">
        <v>17</v>
      </c>
      <c r="F15" s="70">
        <v>26643.24</v>
      </c>
      <c r="G15" s="3">
        <v>43496</v>
      </c>
      <c r="H15" s="2" t="s">
        <v>18</v>
      </c>
      <c r="I15">
        <v>1639113</v>
      </c>
      <c r="J15" s="3">
        <v>43502</v>
      </c>
      <c r="K15" s="2" t="s">
        <v>19</v>
      </c>
      <c r="L15" s="2"/>
      <c r="M15" s="2"/>
      <c r="N15" s="2" t="s">
        <v>20</v>
      </c>
      <c r="O15" s="2" t="s">
        <v>21</v>
      </c>
    </row>
    <row r="16" spans="1:15" x14ac:dyDescent="0.25">
      <c r="A16" s="2" t="s">
        <v>22</v>
      </c>
      <c r="B16">
        <v>49391</v>
      </c>
      <c r="C16" s="2" t="s">
        <v>17</v>
      </c>
      <c r="F16" s="70">
        <v>117855.35</v>
      </c>
      <c r="G16" s="3">
        <v>43496</v>
      </c>
      <c r="H16" s="2" t="s">
        <v>18</v>
      </c>
      <c r="I16">
        <v>1639113</v>
      </c>
      <c r="J16" s="3">
        <v>43502</v>
      </c>
      <c r="K16" s="2" t="s">
        <v>19</v>
      </c>
      <c r="L16" s="2"/>
      <c r="M16" s="2"/>
      <c r="N16" s="2" t="s">
        <v>20</v>
      </c>
      <c r="O16" s="2" t="s">
        <v>21</v>
      </c>
    </row>
    <row r="17" spans="1:15" x14ac:dyDescent="0.25">
      <c r="A17" s="2" t="s">
        <v>22</v>
      </c>
      <c r="B17">
        <v>49391</v>
      </c>
      <c r="C17" s="2" t="s">
        <v>17</v>
      </c>
      <c r="F17" s="70">
        <v>281317.2</v>
      </c>
      <c r="G17" s="3">
        <v>43496</v>
      </c>
      <c r="H17" s="2" t="s">
        <v>18</v>
      </c>
      <c r="I17">
        <v>1639113</v>
      </c>
      <c r="J17" s="3">
        <v>43502</v>
      </c>
      <c r="K17" s="2" t="s">
        <v>19</v>
      </c>
      <c r="L17" s="2"/>
      <c r="M17" s="2"/>
      <c r="N17" s="2" t="s">
        <v>20</v>
      </c>
      <c r="O17" s="2" t="s">
        <v>21</v>
      </c>
    </row>
    <row r="18" spans="1:15" x14ac:dyDescent="0.25">
      <c r="A18" s="2" t="s">
        <v>23</v>
      </c>
      <c r="C18" s="2"/>
      <c r="F18" s="10">
        <v>-518101.48</v>
      </c>
      <c r="H18" s="2"/>
      <c r="K18" s="2"/>
      <c r="L18" s="2"/>
      <c r="M18" s="2"/>
      <c r="N18" s="2"/>
      <c r="O18" s="2"/>
    </row>
    <row r="19" spans="1:15" x14ac:dyDescent="0.25">
      <c r="A19" s="2" t="s">
        <v>24</v>
      </c>
      <c r="C19" s="2"/>
      <c r="H19" s="2"/>
      <c r="K19" s="2"/>
      <c r="L19" s="2"/>
      <c r="M19" s="2"/>
      <c r="N19" s="2"/>
      <c r="O19" s="2"/>
    </row>
    <row r="20" spans="1:15" x14ac:dyDescent="0.25">
      <c r="A20" s="2" t="s">
        <v>25</v>
      </c>
      <c r="B20">
        <v>270003</v>
      </c>
      <c r="C20" s="2" t="s">
        <v>26</v>
      </c>
      <c r="F20" s="70">
        <v>5516.14</v>
      </c>
      <c r="G20" s="3">
        <v>43496</v>
      </c>
      <c r="H20" s="2" t="s">
        <v>18</v>
      </c>
      <c r="I20">
        <v>1637989</v>
      </c>
      <c r="J20" s="3">
        <v>43501</v>
      </c>
      <c r="K20" s="2" t="s">
        <v>27</v>
      </c>
      <c r="L20" s="2"/>
      <c r="M20" s="2"/>
      <c r="N20" s="2" t="s">
        <v>20</v>
      </c>
      <c r="O20" s="2" t="s">
        <v>21</v>
      </c>
    </row>
    <row r="21" spans="1:15" x14ac:dyDescent="0.25">
      <c r="A21" s="2" t="s">
        <v>28</v>
      </c>
      <c r="B21">
        <v>270008</v>
      </c>
      <c r="C21" s="2" t="s">
        <v>26</v>
      </c>
      <c r="F21" s="70">
        <v>20297.599999999999</v>
      </c>
      <c r="G21" s="3">
        <v>43496</v>
      </c>
      <c r="H21" s="2" t="s">
        <v>18</v>
      </c>
      <c r="I21">
        <v>1638056</v>
      </c>
      <c r="J21" s="3">
        <v>43501</v>
      </c>
      <c r="K21" s="2" t="s">
        <v>27</v>
      </c>
      <c r="L21" s="2"/>
      <c r="M21" s="2"/>
      <c r="N21" s="2" t="s">
        <v>20</v>
      </c>
      <c r="O21" s="2" t="s">
        <v>21</v>
      </c>
    </row>
    <row r="22" spans="1:15" x14ac:dyDescent="0.25">
      <c r="A22" s="2" t="s">
        <v>28</v>
      </c>
      <c r="B22">
        <v>270009</v>
      </c>
      <c r="C22" s="2" t="s">
        <v>26</v>
      </c>
      <c r="F22" s="70">
        <v>26643.24</v>
      </c>
      <c r="G22" s="3">
        <v>43496</v>
      </c>
      <c r="H22" s="2" t="s">
        <v>18</v>
      </c>
      <c r="I22">
        <v>1638056</v>
      </c>
      <c r="J22" s="3">
        <v>43501</v>
      </c>
      <c r="K22" s="2" t="s">
        <v>27</v>
      </c>
      <c r="L22" s="2"/>
      <c r="M22" s="2"/>
      <c r="N22" s="2" t="s">
        <v>20</v>
      </c>
      <c r="O22" s="2" t="s">
        <v>21</v>
      </c>
    </row>
    <row r="23" spans="1:15" x14ac:dyDescent="0.25">
      <c r="A23" s="2" t="s">
        <v>29</v>
      </c>
      <c r="C23" s="2"/>
      <c r="F23" s="10">
        <v>52456.98</v>
      </c>
      <c r="H23" s="2"/>
      <c r="K23" s="2"/>
      <c r="L23" s="2"/>
      <c r="M23" s="2"/>
      <c r="N23" s="2"/>
      <c r="O23" s="2"/>
    </row>
    <row r="24" spans="1:15" x14ac:dyDescent="0.25">
      <c r="A24" s="2" t="s">
        <v>30</v>
      </c>
      <c r="C24" s="2"/>
      <c r="F24" s="10">
        <v>-465644.5</v>
      </c>
      <c r="H24" s="2"/>
      <c r="K24" s="2"/>
      <c r="L24" s="2"/>
      <c r="M24" s="2"/>
      <c r="N24" s="2"/>
      <c r="O24" s="2"/>
    </row>
    <row r="25" spans="1:15" x14ac:dyDescent="0.25">
      <c r="F25" s="70">
        <f>+SUM(F3:F17)+F20+F21+F22</f>
        <v>-465644.50000000006</v>
      </c>
    </row>
    <row r="27" spans="1:15" x14ac:dyDescent="0.25">
      <c r="A27" s="1" t="s">
        <v>236</v>
      </c>
      <c r="F27" s="12"/>
    </row>
    <row r="28" spans="1:15" x14ac:dyDescent="0.25">
      <c r="A28" s="1" t="s">
        <v>237</v>
      </c>
    </row>
  </sheetData>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6"/>
  <sheetViews>
    <sheetView workbookViewId="0">
      <selection activeCell="F34" sqref="F34"/>
    </sheetView>
  </sheetViews>
  <sheetFormatPr defaultRowHeight="15" x14ac:dyDescent="0.25"/>
  <cols>
    <col min="1" max="1" width="32" bestFit="1" customWidth="1"/>
    <col min="2" max="2" width="18.140625" bestFit="1" customWidth="1"/>
    <col min="3" max="3" width="5.85546875" bestFit="1" customWidth="1"/>
    <col min="4" max="4" width="5.7109375" style="10" bestFit="1" customWidth="1"/>
    <col min="5" max="5" width="5" style="10" bestFit="1" customWidth="1"/>
    <col min="6" max="6" width="12.28515625" style="10" bestFit="1" customWidth="1"/>
    <col min="7" max="7" width="9.7109375" bestFit="1" customWidth="1"/>
    <col min="8" max="8" width="16" bestFit="1" customWidth="1"/>
    <col min="9" max="9" width="13.7109375" bestFit="1" customWidth="1"/>
    <col min="10" max="10" width="10.42578125" bestFit="1" customWidth="1"/>
    <col min="11" max="11" width="10.7109375" bestFit="1" customWidth="1"/>
    <col min="12" max="12" width="12.28515625" bestFit="1" customWidth="1"/>
    <col min="13" max="13" width="23.28515625" bestFit="1" customWidth="1"/>
    <col min="14" max="14" width="3.5703125" bestFit="1" customWidth="1"/>
    <col min="15" max="15" width="11.140625" bestFit="1" customWidth="1"/>
  </cols>
  <sheetData>
    <row r="1" spans="1:15" x14ac:dyDescent="0.25">
      <c r="A1" s="1" t="s">
        <v>0</v>
      </c>
      <c r="B1" s="1" t="s">
        <v>1</v>
      </c>
      <c r="C1" s="1" t="s">
        <v>2</v>
      </c>
      <c r="D1" s="11" t="s">
        <v>3</v>
      </c>
      <c r="E1" s="11" t="s">
        <v>4</v>
      </c>
      <c r="F1" s="11" t="s">
        <v>5</v>
      </c>
      <c r="G1" s="1" t="s">
        <v>6</v>
      </c>
      <c r="H1" s="1" t="s">
        <v>7</v>
      </c>
      <c r="I1" s="1" t="s">
        <v>8</v>
      </c>
      <c r="J1" s="1" t="s">
        <v>9</v>
      </c>
      <c r="K1" s="1" t="s">
        <v>10</v>
      </c>
      <c r="L1" s="1" t="s">
        <v>11</v>
      </c>
      <c r="M1" s="1" t="s">
        <v>12</v>
      </c>
      <c r="N1" s="1" t="s">
        <v>13</v>
      </c>
      <c r="O1" s="1" t="s">
        <v>14</v>
      </c>
    </row>
    <row r="2" spans="1:15" x14ac:dyDescent="0.25">
      <c r="A2" s="2" t="s">
        <v>235</v>
      </c>
      <c r="C2" s="2"/>
      <c r="H2" s="2"/>
      <c r="K2" s="2"/>
      <c r="L2" s="2"/>
      <c r="M2" s="2"/>
      <c r="N2" s="2"/>
      <c r="O2" s="2"/>
    </row>
    <row r="3" spans="1:15" x14ac:dyDescent="0.25">
      <c r="A3" s="2" t="s">
        <v>233</v>
      </c>
      <c r="B3">
        <v>1307426</v>
      </c>
      <c r="C3" s="2" t="s">
        <v>230</v>
      </c>
      <c r="F3" s="70">
        <v>4254.3599999999997</v>
      </c>
      <c r="G3" s="3">
        <v>43496</v>
      </c>
      <c r="H3" s="2" t="s">
        <v>234</v>
      </c>
      <c r="I3">
        <v>1639705</v>
      </c>
      <c r="J3" s="3">
        <v>43504</v>
      </c>
      <c r="K3" s="2" t="s">
        <v>228</v>
      </c>
      <c r="L3" s="2"/>
      <c r="M3" s="2"/>
      <c r="N3" s="2" t="s">
        <v>20</v>
      </c>
      <c r="O3" s="2" t="s">
        <v>118</v>
      </c>
    </row>
    <row r="4" spans="1:15" x14ac:dyDescent="0.25">
      <c r="A4" s="2" t="s">
        <v>233</v>
      </c>
      <c r="B4">
        <v>1307426</v>
      </c>
      <c r="C4" s="2" t="s">
        <v>230</v>
      </c>
      <c r="F4" s="70">
        <v>21768.13</v>
      </c>
      <c r="G4" s="3">
        <v>43496</v>
      </c>
      <c r="H4" s="2" t="s">
        <v>232</v>
      </c>
      <c r="I4">
        <v>1639705</v>
      </c>
      <c r="J4" s="3">
        <v>43504</v>
      </c>
      <c r="K4" s="2" t="s">
        <v>228</v>
      </c>
      <c r="L4" s="2"/>
      <c r="M4" s="2"/>
      <c r="N4" s="2" t="s">
        <v>20</v>
      </c>
      <c r="O4" s="2" t="s">
        <v>118</v>
      </c>
    </row>
    <row r="5" spans="1:15" x14ac:dyDescent="0.25">
      <c r="A5" s="2" t="s">
        <v>231</v>
      </c>
      <c r="B5">
        <v>1307427</v>
      </c>
      <c r="C5" s="2" t="s">
        <v>230</v>
      </c>
      <c r="F5" s="10">
        <v>-203287.38</v>
      </c>
      <c r="G5" s="3">
        <v>43496</v>
      </c>
      <c r="H5" s="2" t="s">
        <v>229</v>
      </c>
      <c r="I5">
        <v>1639705</v>
      </c>
      <c r="J5" s="3">
        <v>43504</v>
      </c>
      <c r="K5" s="2" t="s">
        <v>228</v>
      </c>
      <c r="L5" s="2"/>
      <c r="M5" s="2"/>
      <c r="N5" s="2" t="s">
        <v>20</v>
      </c>
      <c r="O5" s="2" t="s">
        <v>118</v>
      </c>
    </row>
    <row r="6" spans="1:15" x14ac:dyDescent="0.25">
      <c r="A6" s="2" t="s">
        <v>227</v>
      </c>
      <c r="C6" s="2"/>
      <c r="F6" s="10">
        <v>-177264.89</v>
      </c>
      <c r="H6" s="2"/>
      <c r="K6" s="2"/>
      <c r="L6" s="2"/>
      <c r="M6" s="2"/>
      <c r="N6" s="2"/>
      <c r="O6" s="2"/>
    </row>
    <row r="7" spans="1:15" ht="15.75" thickBot="1" x14ac:dyDescent="0.3">
      <c r="A7" s="2" t="s">
        <v>15</v>
      </c>
      <c r="C7" s="2"/>
      <c r="H7" s="2"/>
      <c r="K7" s="2"/>
      <c r="L7" s="2"/>
      <c r="M7" s="2"/>
      <c r="N7" s="2"/>
      <c r="O7" s="2"/>
    </row>
    <row r="8" spans="1:15" ht="15.75" thickBot="1" x14ac:dyDescent="0.3">
      <c r="A8" s="2" t="s">
        <v>16</v>
      </c>
      <c r="B8">
        <v>49028</v>
      </c>
      <c r="C8" s="2" t="s">
        <v>17</v>
      </c>
      <c r="F8" s="71">
        <v>-603321.81000000006</v>
      </c>
      <c r="G8" s="3">
        <v>43466</v>
      </c>
      <c r="H8" s="2" t="s">
        <v>18</v>
      </c>
      <c r="I8">
        <v>1631038</v>
      </c>
      <c r="J8" s="3">
        <v>43472</v>
      </c>
      <c r="K8" s="2" t="s">
        <v>19</v>
      </c>
      <c r="L8" s="2"/>
      <c r="M8" s="2"/>
      <c r="N8" s="2" t="s">
        <v>20</v>
      </c>
      <c r="O8" s="2" t="s">
        <v>118</v>
      </c>
    </row>
    <row r="9" spans="1:15" x14ac:dyDescent="0.25">
      <c r="A9" s="2" t="s">
        <v>22</v>
      </c>
      <c r="B9">
        <v>49391</v>
      </c>
      <c r="C9" s="2" t="s">
        <v>17</v>
      </c>
      <c r="F9" s="70">
        <v>73995.600000000006</v>
      </c>
      <c r="G9" s="3">
        <v>43496</v>
      </c>
      <c r="H9" s="2" t="s">
        <v>18</v>
      </c>
      <c r="I9">
        <v>1639113</v>
      </c>
      <c r="J9" s="3">
        <v>43502</v>
      </c>
      <c r="K9" s="2" t="s">
        <v>19</v>
      </c>
      <c r="L9" s="2"/>
      <c r="M9" s="2"/>
      <c r="N9" s="2" t="s">
        <v>20</v>
      </c>
      <c r="O9" s="2" t="s">
        <v>118</v>
      </c>
    </row>
    <row r="10" spans="1:15" x14ac:dyDescent="0.25">
      <c r="A10" s="2" t="s">
        <v>22</v>
      </c>
      <c r="B10">
        <v>49391</v>
      </c>
      <c r="C10" s="2" t="s">
        <v>17</v>
      </c>
      <c r="F10" s="70">
        <v>115079.56</v>
      </c>
      <c r="G10" s="3">
        <v>43496</v>
      </c>
      <c r="H10" s="2" t="s">
        <v>18</v>
      </c>
      <c r="I10">
        <v>1639113</v>
      </c>
      <c r="J10" s="3">
        <v>43502</v>
      </c>
      <c r="K10" s="2" t="s">
        <v>19</v>
      </c>
      <c r="L10" s="2"/>
      <c r="M10" s="2"/>
      <c r="N10" s="2" t="s">
        <v>20</v>
      </c>
      <c r="O10" s="2" t="s">
        <v>118</v>
      </c>
    </row>
    <row r="11" spans="1:15" x14ac:dyDescent="0.25">
      <c r="A11" s="2" t="s">
        <v>22</v>
      </c>
      <c r="B11">
        <v>49391</v>
      </c>
      <c r="C11" s="2" t="s">
        <v>17</v>
      </c>
      <c r="F11" s="70">
        <v>60504.98</v>
      </c>
      <c r="G11" s="3">
        <v>43496</v>
      </c>
      <c r="H11" s="2" t="s">
        <v>18</v>
      </c>
      <c r="I11">
        <v>1639113</v>
      </c>
      <c r="J11" s="3">
        <v>43502</v>
      </c>
      <c r="K11" s="2" t="s">
        <v>19</v>
      </c>
      <c r="L11" s="2"/>
      <c r="M11" s="2"/>
      <c r="N11" s="2" t="s">
        <v>20</v>
      </c>
      <c r="O11" s="2" t="s">
        <v>118</v>
      </c>
    </row>
    <row r="12" spans="1:15" x14ac:dyDescent="0.25">
      <c r="A12" s="2" t="s">
        <v>22</v>
      </c>
      <c r="B12">
        <v>49391</v>
      </c>
      <c r="C12" s="2" t="s">
        <v>17</v>
      </c>
      <c r="F12" s="70">
        <v>72518.289999999994</v>
      </c>
      <c r="G12" s="3">
        <v>43496</v>
      </c>
      <c r="H12" s="2" t="s">
        <v>18</v>
      </c>
      <c r="I12">
        <v>1639113</v>
      </c>
      <c r="J12" s="3">
        <v>43502</v>
      </c>
      <c r="K12" s="2" t="s">
        <v>19</v>
      </c>
      <c r="L12" s="2"/>
      <c r="M12" s="2"/>
      <c r="N12" s="2" t="s">
        <v>20</v>
      </c>
      <c r="O12" s="2" t="s">
        <v>118</v>
      </c>
    </row>
    <row r="13" spans="1:15" x14ac:dyDescent="0.25">
      <c r="A13" s="2" t="s">
        <v>22</v>
      </c>
      <c r="B13">
        <v>49391</v>
      </c>
      <c r="C13" s="2" t="s">
        <v>17</v>
      </c>
      <c r="F13" s="70">
        <v>69774.59</v>
      </c>
      <c r="G13" s="3">
        <v>43496</v>
      </c>
      <c r="H13" s="2" t="s">
        <v>18</v>
      </c>
      <c r="I13">
        <v>1639113</v>
      </c>
      <c r="J13" s="3">
        <v>43502</v>
      </c>
      <c r="K13" s="2" t="s">
        <v>19</v>
      </c>
      <c r="L13" s="2"/>
      <c r="M13" s="2"/>
      <c r="N13" s="2" t="s">
        <v>20</v>
      </c>
      <c r="O13" s="2" t="s">
        <v>118</v>
      </c>
    </row>
    <row r="14" spans="1:15" x14ac:dyDescent="0.25">
      <c r="A14" s="2" t="s">
        <v>22</v>
      </c>
      <c r="B14">
        <v>49391</v>
      </c>
      <c r="C14" s="2" t="s">
        <v>17</v>
      </c>
      <c r="F14" s="70">
        <v>60456.38</v>
      </c>
      <c r="G14" s="3">
        <v>43496</v>
      </c>
      <c r="H14" s="2" t="s">
        <v>18</v>
      </c>
      <c r="I14">
        <v>1639113</v>
      </c>
      <c r="J14" s="3">
        <v>43502</v>
      </c>
      <c r="K14" s="2" t="s">
        <v>19</v>
      </c>
      <c r="L14" s="2"/>
      <c r="M14" s="2"/>
      <c r="N14" s="2" t="s">
        <v>20</v>
      </c>
      <c r="O14" s="2" t="s">
        <v>118</v>
      </c>
    </row>
    <row r="15" spans="1:15" x14ac:dyDescent="0.25">
      <c r="A15" s="2" t="s">
        <v>22</v>
      </c>
      <c r="B15">
        <v>49391</v>
      </c>
      <c r="C15" s="2" t="s">
        <v>17</v>
      </c>
      <c r="F15" s="70">
        <v>64468.04</v>
      </c>
      <c r="G15" s="3">
        <v>43496</v>
      </c>
      <c r="H15" s="2" t="s">
        <v>18</v>
      </c>
      <c r="I15">
        <v>1639113</v>
      </c>
      <c r="J15" s="3">
        <v>43502</v>
      </c>
      <c r="K15" s="2" t="s">
        <v>19</v>
      </c>
      <c r="L15" s="2"/>
      <c r="M15" s="2"/>
      <c r="N15" s="2" t="s">
        <v>20</v>
      </c>
      <c r="O15" s="2" t="s">
        <v>118</v>
      </c>
    </row>
    <row r="16" spans="1:15" x14ac:dyDescent="0.25">
      <c r="A16" s="2" t="s">
        <v>22</v>
      </c>
      <c r="B16">
        <v>49391</v>
      </c>
      <c r="C16" s="2" t="s">
        <v>17</v>
      </c>
      <c r="F16" s="70">
        <v>67883.45</v>
      </c>
      <c r="G16" s="3">
        <v>43496</v>
      </c>
      <c r="H16" s="2" t="s">
        <v>18</v>
      </c>
      <c r="I16">
        <v>1639113</v>
      </c>
      <c r="J16" s="3">
        <v>43502</v>
      </c>
      <c r="K16" s="2" t="s">
        <v>19</v>
      </c>
      <c r="L16" s="2"/>
      <c r="M16" s="2"/>
      <c r="N16" s="2" t="s">
        <v>20</v>
      </c>
      <c r="O16" s="2" t="s">
        <v>118</v>
      </c>
    </row>
    <row r="17" spans="1:15" x14ac:dyDescent="0.25">
      <c r="A17" s="2" t="s">
        <v>22</v>
      </c>
      <c r="B17">
        <v>49391</v>
      </c>
      <c r="C17" s="2" t="s">
        <v>17</v>
      </c>
      <c r="F17" s="70">
        <v>46188.959999999999</v>
      </c>
      <c r="G17" s="3">
        <v>43496</v>
      </c>
      <c r="H17" s="2" t="s">
        <v>18</v>
      </c>
      <c r="I17">
        <v>1639113</v>
      </c>
      <c r="J17" s="3">
        <v>43502</v>
      </c>
      <c r="K17" s="2" t="s">
        <v>19</v>
      </c>
      <c r="L17" s="2"/>
      <c r="M17" s="2"/>
      <c r="N17" s="2" t="s">
        <v>20</v>
      </c>
      <c r="O17" s="2" t="s">
        <v>118</v>
      </c>
    </row>
    <row r="18" spans="1:15" x14ac:dyDescent="0.25">
      <c r="A18" s="2" t="s">
        <v>22</v>
      </c>
      <c r="B18">
        <v>49391</v>
      </c>
      <c r="C18" s="2" t="s">
        <v>17</v>
      </c>
      <c r="F18" s="70">
        <v>31981.759999999998</v>
      </c>
      <c r="G18" s="3">
        <v>43496</v>
      </c>
      <c r="H18" s="2" t="s">
        <v>18</v>
      </c>
      <c r="I18">
        <v>1639113</v>
      </c>
      <c r="J18" s="3">
        <v>43502</v>
      </c>
      <c r="K18" s="2" t="s">
        <v>19</v>
      </c>
      <c r="L18" s="2"/>
      <c r="M18" s="2"/>
      <c r="N18" s="2" t="s">
        <v>20</v>
      </c>
      <c r="O18" s="2" t="s">
        <v>118</v>
      </c>
    </row>
    <row r="19" spans="1:15" x14ac:dyDescent="0.25">
      <c r="A19" s="2" t="s">
        <v>22</v>
      </c>
      <c r="B19">
        <v>49391</v>
      </c>
      <c r="C19" s="2" t="s">
        <v>17</v>
      </c>
      <c r="F19" s="70">
        <v>26124.67</v>
      </c>
      <c r="G19" s="3">
        <v>43496</v>
      </c>
      <c r="H19" s="2" t="s">
        <v>18</v>
      </c>
      <c r="I19">
        <v>1639113</v>
      </c>
      <c r="J19" s="3">
        <v>43502</v>
      </c>
      <c r="K19" s="2" t="s">
        <v>19</v>
      </c>
      <c r="L19" s="2"/>
      <c r="M19" s="2"/>
      <c r="N19" s="2" t="s">
        <v>20</v>
      </c>
      <c r="O19" s="2" t="s">
        <v>118</v>
      </c>
    </row>
    <row r="20" spans="1:15" x14ac:dyDescent="0.25">
      <c r="A20" s="2" t="s">
        <v>22</v>
      </c>
      <c r="B20">
        <v>49391</v>
      </c>
      <c r="C20" s="2" t="s">
        <v>17</v>
      </c>
      <c r="F20" s="70">
        <v>15506.73</v>
      </c>
      <c r="G20" s="3">
        <v>43496</v>
      </c>
      <c r="H20" s="2" t="s">
        <v>18</v>
      </c>
      <c r="I20">
        <v>1639113</v>
      </c>
      <c r="J20" s="3">
        <v>43502</v>
      </c>
      <c r="K20" s="2" t="s">
        <v>19</v>
      </c>
      <c r="L20" s="2"/>
      <c r="M20" s="2"/>
      <c r="N20" s="2" t="s">
        <v>20</v>
      </c>
      <c r="O20" s="2" t="s">
        <v>118</v>
      </c>
    </row>
    <row r="21" spans="1:15" x14ac:dyDescent="0.25">
      <c r="A21" s="2" t="s">
        <v>22</v>
      </c>
      <c r="B21">
        <v>49391</v>
      </c>
      <c r="C21" s="2" t="s">
        <v>17</v>
      </c>
      <c r="F21" s="70">
        <v>33582.44</v>
      </c>
      <c r="G21" s="3">
        <v>43496</v>
      </c>
      <c r="H21" s="2" t="s">
        <v>18</v>
      </c>
      <c r="I21">
        <v>1639113</v>
      </c>
      <c r="J21" s="3">
        <v>43502</v>
      </c>
      <c r="K21" s="2" t="s">
        <v>19</v>
      </c>
      <c r="L21" s="2"/>
      <c r="M21" s="2"/>
      <c r="N21" s="2" t="s">
        <v>20</v>
      </c>
      <c r="O21" s="2" t="s">
        <v>118</v>
      </c>
    </row>
    <row r="22" spans="1:15" x14ac:dyDescent="0.25">
      <c r="A22" s="2" t="s">
        <v>23</v>
      </c>
      <c r="C22" s="2"/>
      <c r="F22" s="10">
        <v>134743.64000000001</v>
      </c>
      <c r="H22" s="2"/>
      <c r="K22" s="2"/>
      <c r="L22" s="2"/>
      <c r="M22" s="2"/>
      <c r="N22" s="2"/>
      <c r="O22" s="2"/>
    </row>
    <row r="23" spans="1:15" x14ac:dyDescent="0.25">
      <c r="A23" s="2" t="s">
        <v>24</v>
      </c>
      <c r="C23" s="2"/>
      <c r="H23" s="2"/>
      <c r="K23" s="2"/>
      <c r="L23" s="2"/>
      <c r="M23" s="2"/>
      <c r="N23" s="2"/>
      <c r="O23" s="2"/>
    </row>
    <row r="24" spans="1:15" x14ac:dyDescent="0.25">
      <c r="A24" s="2" t="s">
        <v>28</v>
      </c>
      <c r="B24">
        <v>270008</v>
      </c>
      <c r="C24" s="2" t="s">
        <v>26</v>
      </c>
      <c r="F24" s="70">
        <v>26124.67</v>
      </c>
      <c r="G24" s="3">
        <v>43496</v>
      </c>
      <c r="H24" s="2" t="s">
        <v>18</v>
      </c>
      <c r="I24">
        <v>1638056</v>
      </c>
      <c r="J24" s="3">
        <v>43501</v>
      </c>
      <c r="K24" s="2" t="s">
        <v>27</v>
      </c>
      <c r="L24" s="2"/>
      <c r="M24" s="2"/>
      <c r="N24" s="2" t="s">
        <v>20</v>
      </c>
      <c r="O24" s="2" t="s">
        <v>118</v>
      </c>
    </row>
    <row r="25" spans="1:15" x14ac:dyDescent="0.25">
      <c r="A25" s="2" t="s">
        <v>28</v>
      </c>
      <c r="B25">
        <v>270009</v>
      </c>
      <c r="C25" s="2" t="s">
        <v>26</v>
      </c>
      <c r="F25" s="70">
        <v>15506.73</v>
      </c>
      <c r="G25" s="3">
        <v>43496</v>
      </c>
      <c r="H25" s="2" t="s">
        <v>18</v>
      </c>
      <c r="I25">
        <v>1638056</v>
      </c>
      <c r="J25" s="3">
        <v>43501</v>
      </c>
      <c r="K25" s="2" t="s">
        <v>27</v>
      </c>
      <c r="L25" s="2"/>
      <c r="M25" s="2"/>
      <c r="N25" s="2" t="s">
        <v>20</v>
      </c>
      <c r="O25" s="2" t="s">
        <v>118</v>
      </c>
    </row>
    <row r="26" spans="1:15" x14ac:dyDescent="0.25">
      <c r="A26" s="2" t="s">
        <v>29</v>
      </c>
      <c r="C26" s="2"/>
      <c r="F26" s="10">
        <v>41631.4</v>
      </c>
      <c r="H26" s="2"/>
      <c r="K26" s="2"/>
      <c r="L26" s="2"/>
      <c r="M26" s="2"/>
      <c r="N26" s="2"/>
      <c r="O26" s="2"/>
    </row>
    <row r="27" spans="1:15" x14ac:dyDescent="0.25">
      <c r="A27" s="2" t="s">
        <v>226</v>
      </c>
      <c r="C27" s="2"/>
      <c r="H27" s="2"/>
      <c r="K27" s="2"/>
      <c r="L27" s="2"/>
      <c r="M27" s="2"/>
      <c r="N27" s="2"/>
      <c r="O27" s="2"/>
    </row>
    <row r="28" spans="1:15" x14ac:dyDescent="0.25">
      <c r="A28" s="2" t="s">
        <v>225</v>
      </c>
      <c r="B28">
        <v>268720</v>
      </c>
      <c r="C28" s="2" t="s">
        <v>26</v>
      </c>
      <c r="F28" s="70">
        <v>829.59</v>
      </c>
      <c r="G28" s="3">
        <v>43487</v>
      </c>
      <c r="H28" s="2" t="s">
        <v>18</v>
      </c>
      <c r="I28">
        <v>1634940</v>
      </c>
      <c r="J28" s="3">
        <v>43487</v>
      </c>
      <c r="K28" s="2" t="s">
        <v>222</v>
      </c>
      <c r="L28" s="2"/>
      <c r="M28" s="2"/>
      <c r="N28" s="2" t="s">
        <v>20</v>
      </c>
      <c r="O28" s="2" t="s">
        <v>118</v>
      </c>
    </row>
    <row r="29" spans="1:15" x14ac:dyDescent="0.25">
      <c r="A29" s="2" t="s">
        <v>224</v>
      </c>
      <c r="B29">
        <v>268723</v>
      </c>
      <c r="C29" s="2" t="s">
        <v>26</v>
      </c>
      <c r="F29" s="70">
        <v>705.25</v>
      </c>
      <c r="G29" s="3">
        <v>43487</v>
      </c>
      <c r="H29" s="2" t="s">
        <v>18</v>
      </c>
      <c r="I29">
        <v>1634940</v>
      </c>
      <c r="J29" s="3">
        <v>43487</v>
      </c>
      <c r="K29" s="2" t="s">
        <v>222</v>
      </c>
      <c r="L29" s="2"/>
      <c r="M29" s="2"/>
      <c r="N29" s="2" t="s">
        <v>20</v>
      </c>
      <c r="O29" s="2" t="s">
        <v>118</v>
      </c>
    </row>
    <row r="30" spans="1:15" x14ac:dyDescent="0.25">
      <c r="A30" s="2" t="s">
        <v>223</v>
      </c>
      <c r="B30">
        <v>268725</v>
      </c>
      <c r="C30" s="2" t="s">
        <v>26</v>
      </c>
      <c r="F30" s="70">
        <v>1813.25</v>
      </c>
      <c r="G30" s="3">
        <v>43487</v>
      </c>
      <c r="H30" s="2" t="s">
        <v>18</v>
      </c>
      <c r="I30">
        <v>1634940</v>
      </c>
      <c r="J30" s="3">
        <v>43487</v>
      </c>
      <c r="K30" s="2" t="s">
        <v>222</v>
      </c>
      <c r="L30" s="2"/>
      <c r="M30" s="2"/>
      <c r="N30" s="2" t="s">
        <v>20</v>
      </c>
      <c r="O30" s="2" t="s">
        <v>118</v>
      </c>
    </row>
    <row r="31" spans="1:15" x14ac:dyDescent="0.25">
      <c r="A31" s="2" t="s">
        <v>221</v>
      </c>
      <c r="C31" s="2"/>
      <c r="F31" s="10">
        <v>3348.09</v>
      </c>
      <c r="H31" s="2"/>
      <c r="K31" s="2"/>
      <c r="L31" s="2"/>
      <c r="M31" s="2"/>
      <c r="N31" s="2"/>
      <c r="O31" s="2"/>
    </row>
    <row r="32" spans="1:15" x14ac:dyDescent="0.25">
      <c r="A32" s="2" t="s">
        <v>30</v>
      </c>
      <c r="C32" s="2"/>
      <c r="F32" s="10">
        <v>2458.2399999999998</v>
      </c>
      <c r="H32" s="2"/>
      <c r="K32" s="2"/>
      <c r="L32" s="2"/>
      <c r="M32" s="2"/>
      <c r="N32" s="2"/>
      <c r="O32" s="2"/>
    </row>
    <row r="34" spans="1:6" x14ac:dyDescent="0.25">
      <c r="F34" s="73">
        <f>+F3+F4+SUM(F8:F21)+F24+F25+F28+F29+F30</f>
        <v>205745.61999999988</v>
      </c>
    </row>
    <row r="35" spans="1:6" x14ac:dyDescent="0.25">
      <c r="A35" s="1" t="s">
        <v>236</v>
      </c>
    </row>
    <row r="36" spans="1:6" x14ac:dyDescent="0.25">
      <c r="A36" s="1"/>
    </row>
  </sheetData>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B416E-D987-4839-BDD9-BEB2FEDB95A9}">
  <dimension ref="A1:P71"/>
  <sheetViews>
    <sheetView topLeftCell="A52" workbookViewId="0">
      <selection activeCell="A61" sqref="A61"/>
    </sheetView>
  </sheetViews>
  <sheetFormatPr defaultRowHeight="15" x14ac:dyDescent="0.25"/>
  <cols>
    <col min="1" max="1" width="36" style="78" bestFit="1" customWidth="1"/>
    <col min="2" max="2" width="18.140625" bestFit="1" customWidth="1"/>
    <col min="3" max="3" width="6.140625" style="78" bestFit="1" customWidth="1"/>
    <col min="4" max="4" width="9.5703125" style="10" bestFit="1" customWidth="1"/>
    <col min="5" max="5" width="7" style="10" bestFit="1" customWidth="1"/>
    <col min="6" max="6" width="11.5703125" style="10" bestFit="1" customWidth="1"/>
    <col min="7" max="7" width="10.7109375" style="79" bestFit="1" customWidth="1"/>
    <col min="8" max="8" width="16.140625" style="78" bestFit="1" customWidth="1"/>
    <col min="9" max="9" width="14" bestFit="1" customWidth="1"/>
    <col min="10" max="10" width="10.85546875" style="79" bestFit="1" customWidth="1"/>
    <col min="11" max="11" width="11" style="78" bestFit="1" customWidth="1"/>
    <col min="12" max="12" width="12.42578125" style="78" bestFit="1" customWidth="1"/>
    <col min="13" max="13" width="23.5703125" style="78" bestFit="1" customWidth="1"/>
    <col min="14" max="14" width="3.5703125" style="78" bestFit="1" customWidth="1"/>
    <col min="15" max="15" width="11.5703125" style="78" bestFit="1" customWidth="1"/>
  </cols>
  <sheetData>
    <row r="1" spans="1:15" x14ac:dyDescent="0.25">
      <c r="A1" s="76" t="s">
        <v>0</v>
      </c>
      <c r="B1" s="76" t="s">
        <v>1</v>
      </c>
      <c r="C1" s="76" t="s">
        <v>2</v>
      </c>
      <c r="D1" s="77" t="s">
        <v>3</v>
      </c>
      <c r="E1" s="77" t="s">
        <v>4</v>
      </c>
      <c r="F1" s="77" t="s">
        <v>5</v>
      </c>
      <c r="G1" s="76" t="s">
        <v>6</v>
      </c>
      <c r="H1" s="76" t="s">
        <v>7</v>
      </c>
      <c r="I1" s="76" t="s">
        <v>8</v>
      </c>
      <c r="J1" s="76" t="s">
        <v>9</v>
      </c>
      <c r="K1" s="76" t="s">
        <v>10</v>
      </c>
      <c r="L1" s="76" t="s">
        <v>11</v>
      </c>
      <c r="M1" s="76" t="s">
        <v>12</v>
      </c>
      <c r="N1" s="76" t="s">
        <v>13</v>
      </c>
      <c r="O1" s="76" t="s">
        <v>14</v>
      </c>
    </row>
    <row r="2" spans="1:15" x14ac:dyDescent="0.25">
      <c r="A2" s="78" t="s">
        <v>278</v>
      </c>
    </row>
    <row r="3" spans="1:15" x14ac:dyDescent="0.25">
      <c r="A3" s="78" t="s">
        <v>279</v>
      </c>
      <c r="B3">
        <v>51918</v>
      </c>
      <c r="C3" s="78" t="s">
        <v>280</v>
      </c>
      <c r="D3" s="10">
        <v>0</v>
      </c>
      <c r="F3" s="10">
        <v>8.7799999999999994</v>
      </c>
      <c r="G3" s="79">
        <v>43738</v>
      </c>
      <c r="H3" s="78" t="s">
        <v>281</v>
      </c>
      <c r="I3">
        <v>1704305</v>
      </c>
      <c r="J3" s="79">
        <v>43738</v>
      </c>
      <c r="K3" s="78" t="s">
        <v>282</v>
      </c>
      <c r="N3" s="78" t="s">
        <v>20</v>
      </c>
      <c r="O3" s="78" t="s">
        <v>63</v>
      </c>
    </row>
    <row r="4" spans="1:15" x14ac:dyDescent="0.25">
      <c r="A4" s="78" t="s">
        <v>283</v>
      </c>
      <c r="B4">
        <v>51918</v>
      </c>
      <c r="C4" s="78" t="s">
        <v>280</v>
      </c>
      <c r="D4" s="10">
        <v>0</v>
      </c>
      <c r="F4" s="10">
        <v>132.55000000000001</v>
      </c>
      <c r="G4" s="79">
        <v>43738</v>
      </c>
      <c r="H4" s="78" t="s">
        <v>284</v>
      </c>
      <c r="I4">
        <v>1704305</v>
      </c>
      <c r="J4" s="79">
        <v>43738</v>
      </c>
      <c r="K4" s="78" t="s">
        <v>282</v>
      </c>
      <c r="N4" s="78" t="s">
        <v>20</v>
      </c>
      <c r="O4" s="78" t="s">
        <v>63</v>
      </c>
    </row>
    <row r="5" spans="1:15" x14ac:dyDescent="0.25">
      <c r="A5" s="78" t="s">
        <v>285</v>
      </c>
      <c r="B5">
        <v>51918</v>
      </c>
      <c r="C5" s="78" t="s">
        <v>280</v>
      </c>
      <c r="D5" s="10">
        <v>0</v>
      </c>
      <c r="F5" s="10">
        <v>14.99</v>
      </c>
      <c r="G5" s="79">
        <v>43738</v>
      </c>
      <c r="H5" s="78" t="s">
        <v>284</v>
      </c>
      <c r="I5">
        <v>1704305</v>
      </c>
      <c r="J5" s="79">
        <v>43738</v>
      </c>
      <c r="K5" s="78" t="s">
        <v>282</v>
      </c>
      <c r="N5" s="78" t="s">
        <v>20</v>
      </c>
      <c r="O5" s="78" t="s">
        <v>63</v>
      </c>
    </row>
    <row r="6" spans="1:15" x14ac:dyDescent="0.25">
      <c r="A6" s="78" t="s">
        <v>286</v>
      </c>
      <c r="B6">
        <v>51918</v>
      </c>
      <c r="C6" s="78" t="s">
        <v>280</v>
      </c>
      <c r="D6" s="10">
        <v>0</v>
      </c>
      <c r="F6" s="10">
        <v>49</v>
      </c>
      <c r="G6" s="79">
        <v>43738</v>
      </c>
      <c r="H6" s="78" t="s">
        <v>281</v>
      </c>
      <c r="I6">
        <v>1704305</v>
      </c>
      <c r="J6" s="79">
        <v>43738</v>
      </c>
      <c r="K6" s="78" t="s">
        <v>282</v>
      </c>
      <c r="N6" s="78" t="s">
        <v>20</v>
      </c>
      <c r="O6" s="78" t="s">
        <v>63</v>
      </c>
    </row>
    <row r="7" spans="1:15" x14ac:dyDescent="0.25">
      <c r="A7" s="78" t="s">
        <v>287</v>
      </c>
      <c r="B7">
        <v>51918</v>
      </c>
      <c r="C7" s="78" t="s">
        <v>280</v>
      </c>
      <c r="D7" s="10">
        <v>0</v>
      </c>
      <c r="F7" s="10">
        <v>4.5</v>
      </c>
      <c r="G7" s="79">
        <v>43738</v>
      </c>
      <c r="H7" s="78" t="s">
        <v>281</v>
      </c>
      <c r="I7">
        <v>1704305</v>
      </c>
      <c r="J7" s="79">
        <v>43738</v>
      </c>
      <c r="K7" s="78" t="s">
        <v>282</v>
      </c>
      <c r="N7" s="78" t="s">
        <v>20</v>
      </c>
      <c r="O7" s="78" t="s">
        <v>63</v>
      </c>
    </row>
    <row r="8" spans="1:15" x14ac:dyDescent="0.25">
      <c r="A8" s="78" t="s">
        <v>288</v>
      </c>
      <c r="B8">
        <v>51918</v>
      </c>
      <c r="C8" s="78" t="s">
        <v>280</v>
      </c>
      <c r="D8" s="10">
        <v>0</v>
      </c>
      <c r="F8" s="10">
        <v>0.01</v>
      </c>
      <c r="G8" s="79">
        <v>43738</v>
      </c>
      <c r="H8" s="78" t="s">
        <v>284</v>
      </c>
      <c r="I8">
        <v>1704305</v>
      </c>
      <c r="J8" s="79">
        <v>43738</v>
      </c>
      <c r="K8" s="78" t="s">
        <v>282</v>
      </c>
      <c r="N8" s="78" t="s">
        <v>20</v>
      </c>
      <c r="O8" s="78" t="s">
        <v>63</v>
      </c>
    </row>
    <row r="9" spans="1:15" x14ac:dyDescent="0.25">
      <c r="A9" s="78" t="s">
        <v>289</v>
      </c>
      <c r="B9">
        <v>51918</v>
      </c>
      <c r="C9" s="78" t="s">
        <v>280</v>
      </c>
      <c r="D9" s="10">
        <v>0</v>
      </c>
      <c r="F9" s="10">
        <v>-0.01</v>
      </c>
      <c r="G9" s="79">
        <v>43738</v>
      </c>
      <c r="H9" s="78" t="s">
        <v>284</v>
      </c>
      <c r="I9">
        <v>1704305</v>
      </c>
      <c r="J9" s="79">
        <v>43738</v>
      </c>
      <c r="K9" s="78" t="s">
        <v>282</v>
      </c>
      <c r="N9" s="78" t="s">
        <v>20</v>
      </c>
      <c r="O9" s="78" t="s">
        <v>63</v>
      </c>
    </row>
    <row r="10" spans="1:15" x14ac:dyDescent="0.25">
      <c r="A10" s="78" t="s">
        <v>290</v>
      </c>
      <c r="B10">
        <v>51918</v>
      </c>
      <c r="C10" s="78" t="s">
        <v>280</v>
      </c>
      <c r="D10" s="10">
        <v>0</v>
      </c>
      <c r="F10" s="10">
        <v>114</v>
      </c>
      <c r="G10" s="79">
        <v>43738</v>
      </c>
      <c r="H10" s="78" t="s">
        <v>281</v>
      </c>
      <c r="I10">
        <v>1704305</v>
      </c>
      <c r="J10" s="79">
        <v>43738</v>
      </c>
      <c r="K10" s="78" t="s">
        <v>282</v>
      </c>
      <c r="N10" s="78" t="s">
        <v>20</v>
      </c>
      <c r="O10" s="78" t="s">
        <v>63</v>
      </c>
    </row>
    <row r="11" spans="1:15" x14ac:dyDescent="0.25">
      <c r="A11" s="78" t="s">
        <v>291</v>
      </c>
      <c r="B11">
        <v>51918</v>
      </c>
      <c r="C11" s="78" t="s">
        <v>280</v>
      </c>
      <c r="D11" s="10">
        <v>0</v>
      </c>
      <c r="F11" s="10">
        <v>32</v>
      </c>
      <c r="G11" s="79">
        <v>43738</v>
      </c>
      <c r="H11" s="78" t="s">
        <v>281</v>
      </c>
      <c r="I11">
        <v>1704305</v>
      </c>
      <c r="J11" s="79">
        <v>43738</v>
      </c>
      <c r="K11" s="78" t="s">
        <v>282</v>
      </c>
      <c r="N11" s="78" t="s">
        <v>20</v>
      </c>
      <c r="O11" s="78" t="s">
        <v>63</v>
      </c>
    </row>
    <row r="12" spans="1:15" x14ac:dyDescent="0.25">
      <c r="A12" s="78" t="s">
        <v>292</v>
      </c>
      <c r="B12">
        <v>51935</v>
      </c>
      <c r="C12" s="78" t="s">
        <v>280</v>
      </c>
      <c r="D12" s="10">
        <v>0</v>
      </c>
      <c r="F12" s="10">
        <v>240.19</v>
      </c>
      <c r="G12" s="79">
        <v>43738</v>
      </c>
      <c r="H12" s="78" t="s">
        <v>293</v>
      </c>
      <c r="I12">
        <v>1704306</v>
      </c>
      <c r="J12" s="79">
        <v>43738</v>
      </c>
      <c r="K12" s="78" t="s">
        <v>282</v>
      </c>
      <c r="N12" s="78" t="s">
        <v>20</v>
      </c>
      <c r="O12" s="78" t="s">
        <v>63</v>
      </c>
    </row>
    <row r="13" spans="1:15" x14ac:dyDescent="0.25">
      <c r="A13" s="78" t="s">
        <v>294</v>
      </c>
      <c r="B13">
        <v>52056</v>
      </c>
      <c r="C13" s="78" t="s">
        <v>280</v>
      </c>
      <c r="D13" s="10">
        <v>0</v>
      </c>
      <c r="F13" s="10">
        <v>33.18</v>
      </c>
      <c r="G13" s="79">
        <v>43738</v>
      </c>
      <c r="H13" s="78" t="s">
        <v>281</v>
      </c>
      <c r="I13">
        <v>1704302</v>
      </c>
      <c r="J13" s="79">
        <v>43738</v>
      </c>
      <c r="K13" s="78" t="s">
        <v>282</v>
      </c>
      <c r="N13" s="78" t="s">
        <v>20</v>
      </c>
      <c r="O13" s="78" t="s">
        <v>63</v>
      </c>
    </row>
    <row r="14" spans="1:15" x14ac:dyDescent="0.25">
      <c r="A14" s="78" t="s">
        <v>295</v>
      </c>
      <c r="B14">
        <v>52056</v>
      </c>
      <c r="C14" s="78" t="s">
        <v>280</v>
      </c>
      <c r="D14" s="10">
        <v>0</v>
      </c>
      <c r="F14" s="10">
        <v>14.91</v>
      </c>
      <c r="G14" s="79">
        <v>43738</v>
      </c>
      <c r="H14" s="78" t="s">
        <v>281</v>
      </c>
      <c r="I14">
        <v>1704302</v>
      </c>
      <c r="J14" s="79">
        <v>43738</v>
      </c>
      <c r="K14" s="78" t="s">
        <v>282</v>
      </c>
      <c r="N14" s="78" t="s">
        <v>20</v>
      </c>
      <c r="O14" s="78" t="s">
        <v>63</v>
      </c>
    </row>
    <row r="15" spans="1:15" x14ac:dyDescent="0.25">
      <c r="A15" s="78" t="s">
        <v>296</v>
      </c>
      <c r="B15">
        <v>52056</v>
      </c>
      <c r="C15" s="78" t="s">
        <v>280</v>
      </c>
      <c r="D15" s="10">
        <v>0</v>
      </c>
      <c r="F15" s="10">
        <v>27.51</v>
      </c>
      <c r="G15" s="79">
        <v>43738</v>
      </c>
      <c r="H15" s="78" t="s">
        <v>281</v>
      </c>
      <c r="I15">
        <v>1704302</v>
      </c>
      <c r="J15" s="79">
        <v>43738</v>
      </c>
      <c r="K15" s="78" t="s">
        <v>282</v>
      </c>
      <c r="N15" s="78" t="s">
        <v>20</v>
      </c>
      <c r="O15" s="78" t="s">
        <v>63</v>
      </c>
    </row>
    <row r="16" spans="1:15" x14ac:dyDescent="0.25">
      <c r="A16" s="78" t="s">
        <v>297</v>
      </c>
      <c r="B16">
        <v>52056</v>
      </c>
      <c r="C16" s="78" t="s">
        <v>280</v>
      </c>
      <c r="D16" s="10">
        <v>0</v>
      </c>
      <c r="F16" s="10">
        <v>348.23</v>
      </c>
      <c r="G16" s="79">
        <v>43738</v>
      </c>
      <c r="H16" s="78" t="s">
        <v>284</v>
      </c>
      <c r="I16">
        <v>1704302</v>
      </c>
      <c r="J16" s="79">
        <v>43738</v>
      </c>
      <c r="K16" s="78" t="s">
        <v>282</v>
      </c>
      <c r="N16" s="78" t="s">
        <v>20</v>
      </c>
      <c r="O16" s="78" t="s">
        <v>63</v>
      </c>
    </row>
    <row r="17" spans="1:16" x14ac:dyDescent="0.25">
      <c r="A17" s="78" t="s">
        <v>298</v>
      </c>
      <c r="B17">
        <v>52068</v>
      </c>
      <c r="C17" s="78" t="s">
        <v>280</v>
      </c>
      <c r="D17" s="10">
        <v>0</v>
      </c>
      <c r="F17" s="10">
        <v>2.79</v>
      </c>
      <c r="G17" s="79">
        <v>43738</v>
      </c>
      <c r="H17" s="78" t="s">
        <v>281</v>
      </c>
      <c r="I17">
        <v>1704311</v>
      </c>
      <c r="J17" s="79">
        <v>43738</v>
      </c>
      <c r="K17" s="78" t="s">
        <v>282</v>
      </c>
      <c r="N17" s="78" t="s">
        <v>20</v>
      </c>
      <c r="O17" s="78" t="s">
        <v>63</v>
      </c>
    </row>
    <row r="18" spans="1:16" x14ac:dyDescent="0.25">
      <c r="A18" s="78" t="s">
        <v>299</v>
      </c>
      <c r="D18" s="10">
        <v>0</v>
      </c>
      <c r="F18" s="10">
        <v>1022.63</v>
      </c>
    </row>
    <row r="19" spans="1:16" x14ac:dyDescent="0.25">
      <c r="A19" s="78" t="s">
        <v>235</v>
      </c>
    </row>
    <row r="20" spans="1:16" x14ac:dyDescent="0.25">
      <c r="A20" s="78" t="s">
        <v>300</v>
      </c>
      <c r="B20">
        <v>1329978</v>
      </c>
      <c r="C20" s="78" t="s">
        <v>230</v>
      </c>
      <c r="D20" s="10">
        <v>0</v>
      </c>
      <c r="F20" s="10">
        <v>322.89999999999998</v>
      </c>
      <c r="G20" s="79">
        <v>43738</v>
      </c>
      <c r="H20" s="78" t="s">
        <v>301</v>
      </c>
      <c r="I20">
        <v>1707219</v>
      </c>
      <c r="J20" s="79">
        <v>43745</v>
      </c>
      <c r="K20" s="78" t="s">
        <v>228</v>
      </c>
      <c r="N20" s="78" t="s">
        <v>20</v>
      </c>
      <c r="O20" s="78" t="s">
        <v>63</v>
      </c>
    </row>
    <row r="21" spans="1:16" x14ac:dyDescent="0.25">
      <c r="A21" s="78" t="s">
        <v>233</v>
      </c>
      <c r="B21">
        <v>1329979</v>
      </c>
      <c r="C21" s="78" t="s">
        <v>230</v>
      </c>
      <c r="D21" s="10">
        <v>0</v>
      </c>
      <c r="F21" s="10">
        <v>102081.17</v>
      </c>
      <c r="G21" s="79">
        <v>43738</v>
      </c>
      <c r="H21" s="78" t="s">
        <v>232</v>
      </c>
      <c r="I21">
        <v>1707219</v>
      </c>
      <c r="J21" s="79">
        <v>43745</v>
      </c>
      <c r="K21" s="78" t="s">
        <v>228</v>
      </c>
      <c r="N21" s="78" t="s">
        <v>20</v>
      </c>
      <c r="O21" s="78" t="s">
        <v>63</v>
      </c>
    </row>
    <row r="22" spans="1:16" x14ac:dyDescent="0.25">
      <c r="A22" s="78" t="s">
        <v>233</v>
      </c>
      <c r="B22">
        <v>1329979</v>
      </c>
      <c r="C22" s="78" t="s">
        <v>230</v>
      </c>
      <c r="D22" s="10">
        <v>0</v>
      </c>
      <c r="F22" s="10">
        <v>19950.72</v>
      </c>
      <c r="G22" s="79">
        <v>43738</v>
      </c>
      <c r="H22" s="78" t="s">
        <v>234</v>
      </c>
      <c r="I22">
        <v>1707219</v>
      </c>
      <c r="J22" s="79">
        <v>43745</v>
      </c>
      <c r="K22" s="78" t="s">
        <v>228</v>
      </c>
      <c r="N22" s="78" t="s">
        <v>20</v>
      </c>
      <c r="O22" s="78" t="s">
        <v>63</v>
      </c>
    </row>
    <row r="23" spans="1:16" x14ac:dyDescent="0.25">
      <c r="A23" s="78" t="s">
        <v>227</v>
      </c>
      <c r="D23" s="10">
        <v>0</v>
      </c>
      <c r="F23" s="10">
        <v>122354.79</v>
      </c>
    </row>
    <row r="24" spans="1:16" x14ac:dyDescent="0.25">
      <c r="A24" s="78" t="s">
        <v>302</v>
      </c>
    </row>
    <row r="25" spans="1:16" x14ac:dyDescent="0.25">
      <c r="A25" s="78" t="s">
        <v>303</v>
      </c>
      <c r="B25">
        <v>82711</v>
      </c>
      <c r="C25" s="78" t="s">
        <v>304</v>
      </c>
      <c r="D25" s="10">
        <v>1932</v>
      </c>
      <c r="E25" s="10">
        <v>45.35</v>
      </c>
      <c r="F25" s="10">
        <v>87616.2</v>
      </c>
      <c r="G25" s="79">
        <v>43711</v>
      </c>
      <c r="H25" s="78" t="s">
        <v>305</v>
      </c>
      <c r="I25">
        <v>1696086</v>
      </c>
      <c r="J25" s="79">
        <v>43711</v>
      </c>
      <c r="K25" s="78" t="s">
        <v>222</v>
      </c>
      <c r="N25" s="78" t="s">
        <v>20</v>
      </c>
      <c r="O25" s="78" t="s">
        <v>63</v>
      </c>
    </row>
    <row r="26" spans="1:16" x14ac:dyDescent="0.25">
      <c r="A26" s="78" t="s">
        <v>306</v>
      </c>
      <c r="B26">
        <v>82711</v>
      </c>
      <c r="C26" s="78" t="s">
        <v>304</v>
      </c>
      <c r="D26" s="10">
        <v>1720</v>
      </c>
      <c r="E26" s="10">
        <v>52.125599999999999</v>
      </c>
      <c r="F26" s="10">
        <v>89656.03</v>
      </c>
      <c r="G26" s="79">
        <v>43711</v>
      </c>
      <c r="H26" s="78" t="s">
        <v>305</v>
      </c>
      <c r="I26">
        <v>1696086</v>
      </c>
      <c r="J26" s="79">
        <v>43711</v>
      </c>
      <c r="K26" s="78" t="s">
        <v>222</v>
      </c>
      <c r="N26" s="78" t="s">
        <v>20</v>
      </c>
      <c r="O26" s="78" t="s">
        <v>63</v>
      </c>
    </row>
    <row r="27" spans="1:16" x14ac:dyDescent="0.25">
      <c r="A27" s="78" t="s">
        <v>307</v>
      </c>
      <c r="D27" s="10">
        <v>3652</v>
      </c>
      <c r="F27" s="10">
        <v>177272.23</v>
      </c>
    </row>
    <row r="28" spans="1:16" x14ac:dyDescent="0.25">
      <c r="A28" s="78" t="s">
        <v>15</v>
      </c>
    </row>
    <row r="29" spans="1:16" x14ac:dyDescent="0.25">
      <c r="A29" s="78" t="s">
        <v>308</v>
      </c>
      <c r="B29">
        <v>52147</v>
      </c>
      <c r="C29" s="78" t="s">
        <v>17</v>
      </c>
      <c r="D29" s="10">
        <v>0</v>
      </c>
      <c r="F29" s="10">
        <v>19.46</v>
      </c>
      <c r="G29" s="79">
        <v>43738</v>
      </c>
      <c r="H29" s="78" t="s">
        <v>293</v>
      </c>
      <c r="I29">
        <v>1706842</v>
      </c>
      <c r="J29" s="79">
        <v>43742</v>
      </c>
      <c r="K29" s="78" t="s">
        <v>282</v>
      </c>
      <c r="N29" s="78" t="s">
        <v>20</v>
      </c>
      <c r="O29" s="78" t="s">
        <v>63</v>
      </c>
    </row>
    <row r="30" spans="1:16" x14ac:dyDescent="0.25">
      <c r="A30" s="78" t="s">
        <v>309</v>
      </c>
      <c r="B30">
        <v>52163</v>
      </c>
      <c r="C30" s="78" t="s">
        <v>17</v>
      </c>
      <c r="D30" s="10">
        <v>0</v>
      </c>
      <c r="F30" s="80">
        <v>650000</v>
      </c>
      <c r="G30" s="79">
        <v>43738</v>
      </c>
      <c r="H30" s="78" t="s">
        <v>18</v>
      </c>
      <c r="I30">
        <v>1707075</v>
      </c>
      <c r="J30" s="79">
        <v>43742</v>
      </c>
      <c r="K30" s="78" t="s">
        <v>19</v>
      </c>
      <c r="N30" s="78" t="s">
        <v>20</v>
      </c>
      <c r="O30" s="78" t="s">
        <v>63</v>
      </c>
      <c r="P30" s="78" t="s">
        <v>310</v>
      </c>
    </row>
    <row r="31" spans="1:16" x14ac:dyDescent="0.25">
      <c r="A31" s="78" t="s">
        <v>23</v>
      </c>
      <c r="D31" s="10">
        <v>0</v>
      </c>
      <c r="F31" s="10">
        <v>650019.46</v>
      </c>
    </row>
    <row r="32" spans="1:16" x14ac:dyDescent="0.25">
      <c r="A32" s="78" t="s">
        <v>311</v>
      </c>
    </row>
    <row r="33" spans="1:15" x14ac:dyDescent="0.25">
      <c r="A33" s="78" t="s">
        <v>312</v>
      </c>
      <c r="B33">
        <v>291639</v>
      </c>
      <c r="C33" s="78" t="s">
        <v>26</v>
      </c>
      <c r="D33" s="10">
        <v>0</v>
      </c>
      <c r="F33" s="10">
        <v>5367.4</v>
      </c>
      <c r="G33" s="79">
        <v>43738</v>
      </c>
      <c r="H33" s="78" t="s">
        <v>18</v>
      </c>
      <c r="I33">
        <v>1705559</v>
      </c>
      <c r="J33" s="79">
        <v>43739</v>
      </c>
      <c r="K33" s="78" t="s">
        <v>222</v>
      </c>
      <c r="N33" s="78" t="s">
        <v>20</v>
      </c>
      <c r="O33" s="78" t="s">
        <v>63</v>
      </c>
    </row>
    <row r="34" spans="1:15" x14ac:dyDescent="0.25">
      <c r="A34" s="78" t="s">
        <v>313</v>
      </c>
      <c r="D34" s="10">
        <v>0</v>
      </c>
      <c r="F34" s="10">
        <v>5367.4</v>
      </c>
    </row>
    <row r="35" spans="1:15" x14ac:dyDescent="0.25">
      <c r="A35" s="78" t="s">
        <v>314</v>
      </c>
    </row>
    <row r="36" spans="1:15" x14ac:dyDescent="0.25">
      <c r="A36" s="78" t="s">
        <v>315</v>
      </c>
      <c r="B36">
        <v>290653</v>
      </c>
      <c r="C36" s="78" t="s">
        <v>26</v>
      </c>
      <c r="D36" s="10">
        <v>0</v>
      </c>
      <c r="F36" s="10">
        <v>977.5</v>
      </c>
      <c r="G36" s="79">
        <v>43728</v>
      </c>
      <c r="H36" s="78" t="s">
        <v>18</v>
      </c>
      <c r="I36">
        <v>1702011</v>
      </c>
      <c r="J36" s="79">
        <v>43728</v>
      </c>
      <c r="K36" s="78" t="s">
        <v>316</v>
      </c>
      <c r="N36" s="78" t="s">
        <v>20</v>
      </c>
      <c r="O36" s="78" t="s">
        <v>63</v>
      </c>
    </row>
    <row r="37" spans="1:15" x14ac:dyDescent="0.25">
      <c r="A37" s="78" t="s">
        <v>317</v>
      </c>
      <c r="D37" s="10">
        <v>0</v>
      </c>
      <c r="F37" s="10">
        <v>977.5</v>
      </c>
    </row>
    <row r="38" spans="1:15" x14ac:dyDescent="0.25">
      <c r="A38" s="78" t="s">
        <v>318</v>
      </c>
    </row>
    <row r="39" spans="1:15" x14ac:dyDescent="0.25">
      <c r="A39" s="78" t="s">
        <v>16</v>
      </c>
      <c r="B39">
        <v>19543</v>
      </c>
      <c r="C39" s="78" t="s">
        <v>319</v>
      </c>
      <c r="D39" s="10">
        <v>3</v>
      </c>
      <c r="E39" s="10">
        <v>38.74</v>
      </c>
      <c r="F39" s="10">
        <v>116.22</v>
      </c>
      <c r="G39" s="79">
        <v>43709</v>
      </c>
      <c r="H39" s="78" t="s">
        <v>320</v>
      </c>
      <c r="I39">
        <v>1698060</v>
      </c>
      <c r="J39" s="79">
        <v>43714</v>
      </c>
      <c r="K39" s="78" t="s">
        <v>321</v>
      </c>
      <c r="N39" s="78" t="s">
        <v>20</v>
      </c>
      <c r="O39" s="78" t="s">
        <v>63</v>
      </c>
    </row>
    <row r="40" spans="1:15" x14ac:dyDescent="0.25">
      <c r="A40" s="78" t="s">
        <v>16</v>
      </c>
      <c r="B40">
        <v>19543</v>
      </c>
      <c r="C40" s="78" t="s">
        <v>319</v>
      </c>
      <c r="D40" s="10">
        <v>1</v>
      </c>
      <c r="E40" s="10">
        <v>58.11</v>
      </c>
      <c r="F40" s="10">
        <v>58.11</v>
      </c>
      <c r="G40" s="79">
        <v>43709</v>
      </c>
      <c r="H40" s="78" t="s">
        <v>322</v>
      </c>
      <c r="I40">
        <v>1698060</v>
      </c>
      <c r="J40" s="79">
        <v>43714</v>
      </c>
      <c r="K40" s="78" t="s">
        <v>321</v>
      </c>
      <c r="N40" s="78" t="s">
        <v>20</v>
      </c>
      <c r="O40" s="78" t="s">
        <v>63</v>
      </c>
    </row>
    <row r="41" spans="1:15" x14ac:dyDescent="0.25">
      <c r="A41" s="78" t="s">
        <v>16</v>
      </c>
      <c r="B41">
        <v>19560</v>
      </c>
      <c r="C41" s="78" t="s">
        <v>319</v>
      </c>
      <c r="D41" s="10">
        <v>20</v>
      </c>
      <c r="E41" s="10">
        <v>49.519500000000001</v>
      </c>
      <c r="F41" s="10">
        <v>990.39</v>
      </c>
      <c r="G41" s="79">
        <v>43723</v>
      </c>
      <c r="H41" s="78" t="s">
        <v>320</v>
      </c>
      <c r="I41">
        <v>1701978</v>
      </c>
      <c r="J41" s="79">
        <v>43728</v>
      </c>
      <c r="K41" s="78" t="s">
        <v>323</v>
      </c>
      <c r="N41" s="78" t="s">
        <v>20</v>
      </c>
      <c r="O41" s="78" t="s">
        <v>63</v>
      </c>
    </row>
    <row r="42" spans="1:15" x14ac:dyDescent="0.25">
      <c r="A42" s="78" t="s">
        <v>324</v>
      </c>
      <c r="D42" s="10">
        <v>24</v>
      </c>
      <c r="F42" s="10">
        <v>1164.72</v>
      </c>
    </row>
    <row r="43" spans="1:15" x14ac:dyDescent="0.25">
      <c r="A43" s="78" t="s">
        <v>325</v>
      </c>
    </row>
    <row r="44" spans="1:15" x14ac:dyDescent="0.25">
      <c r="A44" s="78" t="s">
        <v>16</v>
      </c>
      <c r="B44">
        <v>19544</v>
      </c>
      <c r="C44" s="78" t="s">
        <v>326</v>
      </c>
      <c r="D44" s="10">
        <v>0</v>
      </c>
      <c r="F44" s="10">
        <v>0.03</v>
      </c>
      <c r="G44" s="79">
        <v>43709</v>
      </c>
      <c r="H44" s="78" t="s">
        <v>327</v>
      </c>
      <c r="I44">
        <v>1698060</v>
      </c>
      <c r="J44" s="79">
        <v>43714</v>
      </c>
      <c r="K44" s="78" t="s">
        <v>321</v>
      </c>
      <c r="N44" s="78" t="s">
        <v>20</v>
      </c>
      <c r="O44" s="78" t="s">
        <v>63</v>
      </c>
    </row>
    <row r="45" spans="1:15" x14ac:dyDescent="0.25">
      <c r="A45" s="78" t="s">
        <v>16</v>
      </c>
      <c r="B45">
        <v>19544</v>
      </c>
      <c r="C45" s="78" t="s">
        <v>326</v>
      </c>
      <c r="D45" s="10">
        <v>0</v>
      </c>
      <c r="F45" s="10">
        <v>0.35</v>
      </c>
      <c r="G45" s="79">
        <v>43709</v>
      </c>
      <c r="H45" s="78" t="s">
        <v>328</v>
      </c>
      <c r="I45">
        <v>1698060</v>
      </c>
      <c r="J45" s="79">
        <v>43714</v>
      </c>
      <c r="K45" s="78" t="s">
        <v>321</v>
      </c>
      <c r="N45" s="78" t="s">
        <v>20</v>
      </c>
      <c r="O45" s="78" t="s">
        <v>63</v>
      </c>
    </row>
    <row r="46" spans="1:15" x14ac:dyDescent="0.25">
      <c r="A46" s="78" t="s">
        <v>16</v>
      </c>
      <c r="B46">
        <v>19544</v>
      </c>
      <c r="C46" s="78" t="s">
        <v>326</v>
      </c>
      <c r="D46" s="10">
        <v>0</v>
      </c>
      <c r="F46" s="10">
        <v>26.26</v>
      </c>
      <c r="G46" s="79">
        <v>43709</v>
      </c>
      <c r="H46" s="78" t="s">
        <v>329</v>
      </c>
      <c r="I46">
        <v>1698060</v>
      </c>
      <c r="J46" s="79">
        <v>43714</v>
      </c>
      <c r="K46" s="78" t="s">
        <v>321</v>
      </c>
      <c r="N46" s="78" t="s">
        <v>20</v>
      </c>
      <c r="O46" s="78" t="s">
        <v>63</v>
      </c>
    </row>
    <row r="47" spans="1:15" x14ac:dyDescent="0.25">
      <c r="A47" s="78" t="s">
        <v>16</v>
      </c>
      <c r="B47">
        <v>19544</v>
      </c>
      <c r="C47" s="78" t="s">
        <v>326</v>
      </c>
      <c r="D47" s="10">
        <v>0</v>
      </c>
      <c r="F47" s="10">
        <v>22.66</v>
      </c>
      <c r="G47" s="79">
        <v>43709</v>
      </c>
      <c r="H47" s="78" t="s">
        <v>330</v>
      </c>
      <c r="I47">
        <v>1698060</v>
      </c>
      <c r="J47" s="79">
        <v>43714</v>
      </c>
      <c r="K47" s="78" t="s">
        <v>321</v>
      </c>
      <c r="N47" s="78" t="s">
        <v>20</v>
      </c>
      <c r="O47" s="78" t="s">
        <v>63</v>
      </c>
    </row>
    <row r="48" spans="1:15" x14ac:dyDescent="0.25">
      <c r="A48" s="78" t="s">
        <v>16</v>
      </c>
      <c r="B48">
        <v>19544</v>
      </c>
      <c r="C48" s="78" t="s">
        <v>326</v>
      </c>
      <c r="D48" s="10">
        <v>0</v>
      </c>
      <c r="F48" s="10">
        <v>0.71</v>
      </c>
      <c r="G48" s="79">
        <v>43709</v>
      </c>
      <c r="H48" s="78" t="s">
        <v>331</v>
      </c>
      <c r="I48">
        <v>1698060</v>
      </c>
      <c r="J48" s="79">
        <v>43714</v>
      </c>
      <c r="K48" s="78" t="s">
        <v>321</v>
      </c>
      <c r="N48" s="78" t="s">
        <v>20</v>
      </c>
      <c r="O48" s="78" t="s">
        <v>63</v>
      </c>
    </row>
    <row r="49" spans="1:15" x14ac:dyDescent="0.25">
      <c r="A49" s="78" t="s">
        <v>16</v>
      </c>
      <c r="B49">
        <v>19544</v>
      </c>
      <c r="C49" s="78" t="s">
        <v>326</v>
      </c>
      <c r="D49" s="10">
        <v>0</v>
      </c>
      <c r="F49" s="10">
        <v>12.53</v>
      </c>
      <c r="G49" s="79">
        <v>43709</v>
      </c>
      <c r="H49" s="78" t="s">
        <v>332</v>
      </c>
      <c r="I49">
        <v>1698060</v>
      </c>
      <c r="J49" s="79">
        <v>43714</v>
      </c>
      <c r="K49" s="78" t="s">
        <v>321</v>
      </c>
      <c r="N49" s="78" t="s">
        <v>20</v>
      </c>
      <c r="O49" s="78" t="s">
        <v>63</v>
      </c>
    </row>
    <row r="50" spans="1:15" x14ac:dyDescent="0.25">
      <c r="A50" s="78" t="s">
        <v>16</v>
      </c>
      <c r="B50">
        <v>19544</v>
      </c>
      <c r="C50" s="78" t="s">
        <v>326</v>
      </c>
      <c r="D50" s="10">
        <v>0</v>
      </c>
      <c r="F50" s="10">
        <v>1.55</v>
      </c>
      <c r="G50" s="79">
        <v>43709</v>
      </c>
      <c r="H50" s="78" t="s">
        <v>333</v>
      </c>
      <c r="I50">
        <v>1698060</v>
      </c>
      <c r="J50" s="79">
        <v>43714</v>
      </c>
      <c r="K50" s="78" t="s">
        <v>321</v>
      </c>
      <c r="N50" s="78" t="s">
        <v>20</v>
      </c>
      <c r="O50" s="78" t="s">
        <v>63</v>
      </c>
    </row>
    <row r="51" spans="1:15" x14ac:dyDescent="0.25">
      <c r="A51" s="78" t="s">
        <v>16</v>
      </c>
      <c r="B51">
        <v>19561</v>
      </c>
      <c r="C51" s="78" t="s">
        <v>326</v>
      </c>
      <c r="D51" s="10">
        <v>0</v>
      </c>
      <c r="F51" s="10">
        <v>133.69999999999999</v>
      </c>
      <c r="G51" s="79">
        <v>43723</v>
      </c>
      <c r="H51" s="78" t="s">
        <v>334</v>
      </c>
      <c r="I51">
        <v>1701978</v>
      </c>
      <c r="J51" s="79">
        <v>43728</v>
      </c>
      <c r="K51" s="78" t="s">
        <v>323</v>
      </c>
      <c r="N51" s="78" t="s">
        <v>20</v>
      </c>
      <c r="O51" s="78" t="s">
        <v>63</v>
      </c>
    </row>
    <row r="52" spans="1:15" x14ac:dyDescent="0.25">
      <c r="A52" s="78" t="s">
        <v>16</v>
      </c>
      <c r="B52">
        <v>19561</v>
      </c>
      <c r="C52" s="78" t="s">
        <v>326</v>
      </c>
      <c r="D52" s="10">
        <v>0</v>
      </c>
      <c r="F52" s="10">
        <v>10.24</v>
      </c>
      <c r="G52" s="79">
        <v>43723</v>
      </c>
      <c r="H52" s="78" t="s">
        <v>332</v>
      </c>
      <c r="I52">
        <v>1701978</v>
      </c>
      <c r="J52" s="79">
        <v>43728</v>
      </c>
      <c r="K52" s="78" t="s">
        <v>323</v>
      </c>
      <c r="N52" s="78" t="s">
        <v>20</v>
      </c>
      <c r="O52" s="78" t="s">
        <v>63</v>
      </c>
    </row>
    <row r="53" spans="1:15" x14ac:dyDescent="0.25">
      <c r="A53" s="78" t="s">
        <v>16</v>
      </c>
      <c r="B53">
        <v>19561</v>
      </c>
      <c r="C53" s="78" t="s">
        <v>326</v>
      </c>
      <c r="D53" s="10">
        <v>0</v>
      </c>
      <c r="F53" s="10">
        <v>2.78</v>
      </c>
      <c r="G53" s="79">
        <v>43723</v>
      </c>
      <c r="H53" s="78" t="s">
        <v>327</v>
      </c>
      <c r="I53">
        <v>1701978</v>
      </c>
      <c r="J53" s="79">
        <v>43728</v>
      </c>
      <c r="K53" s="78" t="s">
        <v>323</v>
      </c>
      <c r="N53" s="78" t="s">
        <v>20</v>
      </c>
      <c r="O53" s="78" t="s">
        <v>63</v>
      </c>
    </row>
    <row r="54" spans="1:15" x14ac:dyDescent="0.25">
      <c r="A54" s="78" t="s">
        <v>16</v>
      </c>
      <c r="B54">
        <v>19561</v>
      </c>
      <c r="C54" s="78" t="s">
        <v>326</v>
      </c>
      <c r="D54" s="10">
        <v>0</v>
      </c>
      <c r="F54" s="10">
        <v>2.96</v>
      </c>
      <c r="G54" s="79">
        <v>43723</v>
      </c>
      <c r="H54" s="78" t="s">
        <v>328</v>
      </c>
      <c r="I54">
        <v>1701978</v>
      </c>
      <c r="J54" s="79">
        <v>43728</v>
      </c>
      <c r="K54" s="78" t="s">
        <v>323</v>
      </c>
      <c r="N54" s="78" t="s">
        <v>20</v>
      </c>
      <c r="O54" s="78" t="s">
        <v>63</v>
      </c>
    </row>
    <row r="55" spans="1:15" x14ac:dyDescent="0.25">
      <c r="A55" s="78" t="s">
        <v>16</v>
      </c>
      <c r="B55">
        <v>19561</v>
      </c>
      <c r="C55" s="78" t="s">
        <v>326</v>
      </c>
      <c r="D55" s="10">
        <v>0</v>
      </c>
      <c r="F55" s="10">
        <v>15.4</v>
      </c>
      <c r="G55" s="79">
        <v>43723</v>
      </c>
      <c r="H55" s="78" t="s">
        <v>329</v>
      </c>
      <c r="I55">
        <v>1701978</v>
      </c>
      <c r="J55" s="79">
        <v>43728</v>
      </c>
      <c r="K55" s="78" t="s">
        <v>323</v>
      </c>
      <c r="N55" s="78" t="s">
        <v>20</v>
      </c>
      <c r="O55" s="78" t="s">
        <v>63</v>
      </c>
    </row>
    <row r="56" spans="1:15" x14ac:dyDescent="0.25">
      <c r="A56" s="78" t="s">
        <v>16</v>
      </c>
      <c r="B56">
        <v>19561</v>
      </c>
      <c r="C56" s="78" t="s">
        <v>326</v>
      </c>
      <c r="D56" s="10">
        <v>0</v>
      </c>
      <c r="F56" s="10">
        <v>79.22</v>
      </c>
      <c r="G56" s="79">
        <v>43723</v>
      </c>
      <c r="H56" s="78" t="s">
        <v>330</v>
      </c>
      <c r="I56">
        <v>1701978</v>
      </c>
      <c r="J56" s="79">
        <v>43728</v>
      </c>
      <c r="K56" s="78" t="s">
        <v>323</v>
      </c>
      <c r="N56" s="78" t="s">
        <v>20</v>
      </c>
      <c r="O56" s="78" t="s">
        <v>63</v>
      </c>
    </row>
    <row r="57" spans="1:15" x14ac:dyDescent="0.25">
      <c r="A57" s="78" t="s">
        <v>16</v>
      </c>
      <c r="B57">
        <v>19561</v>
      </c>
      <c r="C57" s="78" t="s">
        <v>326</v>
      </c>
      <c r="D57" s="10">
        <v>0</v>
      </c>
      <c r="F57" s="10">
        <v>6.05</v>
      </c>
      <c r="G57" s="79">
        <v>43723</v>
      </c>
      <c r="H57" s="78" t="s">
        <v>331</v>
      </c>
      <c r="I57">
        <v>1701978</v>
      </c>
      <c r="J57" s="79">
        <v>43728</v>
      </c>
      <c r="K57" s="78" t="s">
        <v>323</v>
      </c>
      <c r="N57" s="78" t="s">
        <v>20</v>
      </c>
      <c r="O57" s="78" t="s">
        <v>63</v>
      </c>
    </row>
    <row r="58" spans="1:15" x14ac:dyDescent="0.25">
      <c r="A58" s="78" t="s">
        <v>16</v>
      </c>
      <c r="B58">
        <v>19561</v>
      </c>
      <c r="C58" s="78" t="s">
        <v>326</v>
      </c>
      <c r="D58" s="10">
        <v>0</v>
      </c>
      <c r="F58" s="10">
        <v>77.5</v>
      </c>
      <c r="G58" s="79">
        <v>43723</v>
      </c>
      <c r="H58" s="78" t="s">
        <v>332</v>
      </c>
      <c r="I58">
        <v>1701978</v>
      </c>
      <c r="J58" s="79">
        <v>43728</v>
      </c>
      <c r="K58" s="78" t="s">
        <v>323</v>
      </c>
      <c r="N58" s="78" t="s">
        <v>20</v>
      </c>
      <c r="O58" s="78" t="s">
        <v>63</v>
      </c>
    </row>
    <row r="59" spans="1:15" x14ac:dyDescent="0.25">
      <c r="A59" s="78" t="s">
        <v>16</v>
      </c>
      <c r="B59">
        <v>19561</v>
      </c>
      <c r="C59" s="78" t="s">
        <v>326</v>
      </c>
      <c r="D59" s="10">
        <v>0</v>
      </c>
      <c r="F59" s="10">
        <v>7.74</v>
      </c>
      <c r="G59" s="79">
        <v>43723</v>
      </c>
      <c r="H59" s="78" t="s">
        <v>333</v>
      </c>
      <c r="I59">
        <v>1701978</v>
      </c>
      <c r="J59" s="79">
        <v>43728</v>
      </c>
      <c r="K59" s="78" t="s">
        <v>323</v>
      </c>
      <c r="N59" s="78" t="s">
        <v>20</v>
      </c>
      <c r="O59" s="78" t="s">
        <v>63</v>
      </c>
    </row>
    <row r="60" spans="1:15" x14ac:dyDescent="0.25">
      <c r="A60" s="78" t="s">
        <v>335</v>
      </c>
      <c r="D60" s="10">
        <v>0</v>
      </c>
      <c r="F60" s="10">
        <v>399.68</v>
      </c>
    </row>
    <row r="61" spans="1:15" x14ac:dyDescent="0.25">
      <c r="A61" s="78" t="s">
        <v>336</v>
      </c>
    </row>
    <row r="62" spans="1:15" x14ac:dyDescent="0.25">
      <c r="A62" s="78" t="s">
        <v>337</v>
      </c>
      <c r="B62">
        <v>1326080</v>
      </c>
      <c r="C62" s="78" t="s">
        <v>338</v>
      </c>
      <c r="D62" s="10">
        <v>15</v>
      </c>
      <c r="E62" s="10">
        <v>0.76</v>
      </c>
      <c r="F62" s="10">
        <v>11.4</v>
      </c>
      <c r="G62" s="79">
        <v>43709</v>
      </c>
      <c r="H62" s="78" t="s">
        <v>339</v>
      </c>
      <c r="I62">
        <v>1696222</v>
      </c>
      <c r="J62" s="79">
        <v>43711</v>
      </c>
      <c r="K62" s="78" t="s">
        <v>222</v>
      </c>
      <c r="N62" s="78" t="s">
        <v>20</v>
      </c>
      <c r="O62" s="78" t="s">
        <v>63</v>
      </c>
    </row>
    <row r="63" spans="1:15" x14ac:dyDescent="0.25">
      <c r="A63" s="78" t="s">
        <v>337</v>
      </c>
      <c r="B63">
        <v>1326080</v>
      </c>
      <c r="C63" s="78" t="s">
        <v>338</v>
      </c>
      <c r="D63" s="10">
        <v>10</v>
      </c>
      <c r="E63" s="10">
        <v>0.76</v>
      </c>
      <c r="F63" s="10">
        <v>7.6</v>
      </c>
      <c r="G63" s="79">
        <v>43709</v>
      </c>
      <c r="H63" s="78" t="s">
        <v>339</v>
      </c>
      <c r="I63">
        <v>1696222</v>
      </c>
      <c r="J63" s="79">
        <v>43711</v>
      </c>
      <c r="K63" s="78" t="s">
        <v>222</v>
      </c>
      <c r="N63" s="78" t="s">
        <v>20</v>
      </c>
      <c r="O63" s="78" t="s">
        <v>63</v>
      </c>
    </row>
    <row r="64" spans="1:15" x14ac:dyDescent="0.25">
      <c r="A64" s="78" t="s">
        <v>16</v>
      </c>
      <c r="B64">
        <v>21197</v>
      </c>
      <c r="C64" s="78" t="s">
        <v>338</v>
      </c>
      <c r="D64" s="10">
        <v>605</v>
      </c>
      <c r="E64" s="10">
        <v>0.59</v>
      </c>
      <c r="F64" s="10">
        <v>356.95</v>
      </c>
      <c r="G64" s="79">
        <v>43738</v>
      </c>
      <c r="H64" s="78" t="s">
        <v>339</v>
      </c>
      <c r="I64">
        <v>1706911</v>
      </c>
      <c r="J64" s="79">
        <v>43742</v>
      </c>
      <c r="K64" s="78" t="s">
        <v>19</v>
      </c>
      <c r="N64" s="78" t="s">
        <v>20</v>
      </c>
      <c r="O64" s="78" t="s">
        <v>63</v>
      </c>
    </row>
    <row r="65" spans="1:6" x14ac:dyDescent="0.25">
      <c r="A65" s="78" t="s">
        <v>340</v>
      </c>
      <c r="D65" s="10">
        <v>630</v>
      </c>
      <c r="F65" s="10">
        <v>375.95</v>
      </c>
    </row>
    <row r="66" spans="1:6" x14ac:dyDescent="0.25">
      <c r="A66" s="78" t="s">
        <v>30</v>
      </c>
      <c r="F66" s="10">
        <v>958954.36</v>
      </c>
    </row>
    <row r="68" spans="1:6" x14ac:dyDescent="0.25">
      <c r="E68" s="81" t="s">
        <v>341</v>
      </c>
      <c r="F68" s="10">
        <f>'[1]Query Saved As Values'!S13</f>
        <v>958954.36</v>
      </c>
    </row>
    <row r="69" spans="1:6" x14ac:dyDescent="0.25">
      <c r="E69" s="81" t="s">
        <v>342</v>
      </c>
      <c r="F69" s="82">
        <f>F66-F68</f>
        <v>0</v>
      </c>
    </row>
    <row r="71" spans="1:6" x14ac:dyDescent="0.25">
      <c r="A71" s="83" t="s">
        <v>343</v>
      </c>
    </row>
  </sheetData>
  <pageMargins left="0.75" right="0.75" top="1" bottom="1" header="0.5" footer="0.5"/>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1AA020-7D0A-4712-9CF4-606864DB56A9}">
  <dimension ref="A1:O93"/>
  <sheetViews>
    <sheetView topLeftCell="A22" workbookViewId="0">
      <selection activeCell="A61" sqref="A61"/>
    </sheetView>
  </sheetViews>
  <sheetFormatPr defaultRowHeight="15" x14ac:dyDescent="0.25"/>
  <cols>
    <col min="1" max="1" width="32.7109375" style="78" bestFit="1" customWidth="1"/>
    <col min="2" max="2" width="18.140625" bestFit="1" customWidth="1"/>
    <col min="3" max="3" width="6.140625" style="78" bestFit="1" customWidth="1"/>
    <col min="4" max="4" width="11.5703125" style="10" bestFit="1" customWidth="1"/>
    <col min="5" max="5" width="8" style="10" bestFit="1" customWidth="1"/>
    <col min="6" max="6" width="12.28515625" style="10" bestFit="1" customWidth="1"/>
    <col min="7" max="7" width="10.7109375" style="79" bestFit="1" customWidth="1"/>
    <col min="8" max="8" width="16.140625" style="78" bestFit="1" customWidth="1"/>
    <col min="9" max="9" width="14" bestFit="1" customWidth="1"/>
    <col min="10" max="10" width="10.85546875" style="79" bestFit="1" customWidth="1"/>
    <col min="11" max="11" width="11" style="78" bestFit="1" customWidth="1"/>
    <col min="12" max="12" width="12.42578125" style="78" bestFit="1" customWidth="1"/>
    <col min="13" max="13" width="23.5703125" style="78" bestFit="1" customWidth="1"/>
    <col min="14" max="14" width="3.5703125" style="78" bestFit="1" customWidth="1"/>
    <col min="15" max="15" width="11.5703125" style="78" bestFit="1" customWidth="1"/>
  </cols>
  <sheetData>
    <row r="1" spans="1:15" x14ac:dyDescent="0.25">
      <c r="A1" s="84" t="s">
        <v>0</v>
      </c>
      <c r="B1" s="84" t="s">
        <v>1</v>
      </c>
      <c r="C1" s="84" t="s">
        <v>2</v>
      </c>
      <c r="D1" s="85" t="s">
        <v>3</v>
      </c>
      <c r="E1" s="85" t="s">
        <v>4</v>
      </c>
      <c r="F1" s="85" t="s">
        <v>5</v>
      </c>
      <c r="G1" s="84" t="s">
        <v>6</v>
      </c>
      <c r="H1" s="84" t="s">
        <v>7</v>
      </c>
      <c r="I1" s="84" t="s">
        <v>8</v>
      </c>
      <c r="J1" s="84" t="s">
        <v>9</v>
      </c>
      <c r="K1" s="84" t="s">
        <v>10</v>
      </c>
      <c r="L1" s="84" t="s">
        <v>11</v>
      </c>
      <c r="M1" s="84" t="s">
        <v>12</v>
      </c>
      <c r="N1" s="84" t="s">
        <v>13</v>
      </c>
      <c r="O1" s="84" t="s">
        <v>14</v>
      </c>
    </row>
    <row r="2" spans="1:15" x14ac:dyDescent="0.25">
      <c r="A2" s="78" t="s">
        <v>235</v>
      </c>
    </row>
    <row r="3" spans="1:15" x14ac:dyDescent="0.25">
      <c r="A3" s="78" t="s">
        <v>300</v>
      </c>
      <c r="B3">
        <v>1329978</v>
      </c>
      <c r="C3" s="78" t="s">
        <v>230</v>
      </c>
      <c r="D3" s="10">
        <v>0</v>
      </c>
      <c r="F3" s="10">
        <v>1742.29</v>
      </c>
      <c r="G3" s="79">
        <v>43738</v>
      </c>
      <c r="H3" s="78" t="s">
        <v>301</v>
      </c>
      <c r="I3">
        <v>1707219</v>
      </c>
      <c r="J3" s="79">
        <v>43745</v>
      </c>
      <c r="K3" s="78" t="s">
        <v>228</v>
      </c>
      <c r="N3" s="78" t="s">
        <v>20</v>
      </c>
      <c r="O3" s="78" t="s">
        <v>170</v>
      </c>
    </row>
    <row r="4" spans="1:15" x14ac:dyDescent="0.25">
      <c r="A4" s="78" t="s">
        <v>233</v>
      </c>
      <c r="B4">
        <v>1329979</v>
      </c>
      <c r="C4" s="78" t="s">
        <v>230</v>
      </c>
      <c r="D4" s="10">
        <v>0</v>
      </c>
      <c r="F4" s="10">
        <v>43395.23</v>
      </c>
      <c r="G4" s="79">
        <v>43738</v>
      </c>
      <c r="H4" s="78" t="s">
        <v>232</v>
      </c>
      <c r="I4">
        <v>1707219</v>
      </c>
      <c r="J4" s="79">
        <v>43745</v>
      </c>
      <c r="K4" s="78" t="s">
        <v>228</v>
      </c>
      <c r="N4" s="78" t="s">
        <v>20</v>
      </c>
      <c r="O4" s="78" t="s">
        <v>170</v>
      </c>
    </row>
    <row r="5" spans="1:15" x14ac:dyDescent="0.25">
      <c r="A5" s="78" t="s">
        <v>233</v>
      </c>
      <c r="B5">
        <v>1329979</v>
      </c>
      <c r="C5" s="78" t="s">
        <v>230</v>
      </c>
      <c r="D5" s="10">
        <v>0</v>
      </c>
      <c r="F5" s="10">
        <v>8481.15</v>
      </c>
      <c r="G5" s="79">
        <v>43738</v>
      </c>
      <c r="H5" s="78" t="s">
        <v>234</v>
      </c>
      <c r="I5">
        <v>1707219</v>
      </c>
      <c r="J5" s="79">
        <v>43745</v>
      </c>
      <c r="K5" s="78" t="s">
        <v>228</v>
      </c>
      <c r="N5" s="78" t="s">
        <v>20</v>
      </c>
      <c r="O5" s="78" t="s">
        <v>170</v>
      </c>
    </row>
    <row r="6" spans="1:15" x14ac:dyDescent="0.25">
      <c r="A6" s="78" t="s">
        <v>227</v>
      </c>
      <c r="D6" s="10">
        <v>0</v>
      </c>
      <c r="F6" s="10">
        <f>SUM(F3:F5)</f>
        <v>53618.670000000006</v>
      </c>
    </row>
    <row r="7" spans="1:15" x14ac:dyDescent="0.25">
      <c r="A7" s="78" t="s">
        <v>302</v>
      </c>
    </row>
    <row r="8" spans="1:15" x14ac:dyDescent="0.25">
      <c r="A8" s="78" t="s">
        <v>344</v>
      </c>
      <c r="B8">
        <v>83015</v>
      </c>
      <c r="C8" s="78" t="s">
        <v>304</v>
      </c>
      <c r="D8" s="10">
        <v>3</v>
      </c>
      <c r="E8" s="10">
        <v>8.7733000000000008</v>
      </c>
      <c r="F8" s="10">
        <v>26.32</v>
      </c>
      <c r="G8" s="79">
        <v>43724</v>
      </c>
      <c r="H8" s="78" t="s">
        <v>305</v>
      </c>
      <c r="I8">
        <v>1700203</v>
      </c>
      <c r="J8" s="79">
        <v>43724</v>
      </c>
      <c r="K8" s="78" t="s">
        <v>19</v>
      </c>
      <c r="N8" s="78" t="s">
        <v>20</v>
      </c>
      <c r="O8" s="78" t="s">
        <v>170</v>
      </c>
    </row>
    <row r="9" spans="1:15" x14ac:dyDescent="0.25">
      <c r="A9" s="78" t="s">
        <v>345</v>
      </c>
      <c r="B9">
        <v>83015</v>
      </c>
      <c r="C9" s="78" t="s">
        <v>304</v>
      </c>
      <c r="D9" s="10">
        <v>105</v>
      </c>
      <c r="E9" s="10">
        <v>5.5948000000000002</v>
      </c>
      <c r="F9" s="10">
        <v>587.45000000000005</v>
      </c>
      <c r="G9" s="79">
        <v>43724</v>
      </c>
      <c r="H9" s="78" t="s">
        <v>305</v>
      </c>
      <c r="I9">
        <v>1700203</v>
      </c>
      <c r="J9" s="79">
        <v>43724</v>
      </c>
      <c r="K9" s="78" t="s">
        <v>19</v>
      </c>
      <c r="N9" s="78" t="s">
        <v>20</v>
      </c>
      <c r="O9" s="78" t="s">
        <v>170</v>
      </c>
    </row>
    <row r="10" spans="1:15" x14ac:dyDescent="0.25">
      <c r="A10" s="78" t="s">
        <v>346</v>
      </c>
      <c r="B10">
        <v>83015</v>
      </c>
      <c r="C10" s="78" t="s">
        <v>304</v>
      </c>
      <c r="D10" s="10">
        <v>5130</v>
      </c>
      <c r="E10" s="10">
        <v>1.028</v>
      </c>
      <c r="F10" s="10">
        <v>5273.64</v>
      </c>
      <c r="G10" s="79">
        <v>43724</v>
      </c>
      <c r="H10" s="78" t="s">
        <v>305</v>
      </c>
      <c r="I10">
        <v>1700203</v>
      </c>
      <c r="J10" s="79">
        <v>43724</v>
      </c>
      <c r="K10" s="78" t="s">
        <v>19</v>
      </c>
      <c r="N10" s="78" t="s">
        <v>20</v>
      </c>
      <c r="O10" s="78" t="s">
        <v>170</v>
      </c>
    </row>
    <row r="11" spans="1:15" x14ac:dyDescent="0.25">
      <c r="A11" s="78" t="s">
        <v>347</v>
      </c>
      <c r="B11">
        <v>83015</v>
      </c>
      <c r="C11" s="78" t="s">
        <v>304</v>
      </c>
      <c r="D11" s="10">
        <v>1263</v>
      </c>
      <c r="E11" s="10">
        <v>3.5038999999999998</v>
      </c>
      <c r="F11" s="10">
        <v>4425.43</v>
      </c>
      <c r="G11" s="79">
        <v>43724</v>
      </c>
      <c r="H11" s="78" t="s">
        <v>305</v>
      </c>
      <c r="I11">
        <v>1700203</v>
      </c>
      <c r="J11" s="79">
        <v>43724</v>
      </c>
      <c r="K11" s="78" t="s">
        <v>19</v>
      </c>
      <c r="N11" s="78" t="s">
        <v>20</v>
      </c>
      <c r="O11" s="78" t="s">
        <v>170</v>
      </c>
    </row>
    <row r="12" spans="1:15" x14ac:dyDescent="0.25">
      <c r="A12" s="78" t="s">
        <v>348</v>
      </c>
      <c r="B12">
        <v>83015</v>
      </c>
      <c r="C12" s="78" t="s">
        <v>304</v>
      </c>
      <c r="D12" s="10">
        <v>5984</v>
      </c>
      <c r="E12" s="10">
        <v>0.96209999999999996</v>
      </c>
      <c r="F12" s="10">
        <v>5757.21</v>
      </c>
      <c r="G12" s="79">
        <v>43724</v>
      </c>
      <c r="H12" s="78" t="s">
        <v>305</v>
      </c>
      <c r="I12">
        <v>1700203</v>
      </c>
      <c r="J12" s="79">
        <v>43724</v>
      </c>
      <c r="K12" s="78" t="s">
        <v>19</v>
      </c>
      <c r="N12" s="78" t="s">
        <v>20</v>
      </c>
      <c r="O12" s="78" t="s">
        <v>170</v>
      </c>
    </row>
    <row r="13" spans="1:15" x14ac:dyDescent="0.25">
      <c r="A13" s="78" t="s">
        <v>349</v>
      </c>
      <c r="B13">
        <v>83015</v>
      </c>
      <c r="C13" s="78" t="s">
        <v>304</v>
      </c>
      <c r="D13" s="10">
        <v>11</v>
      </c>
      <c r="E13" s="10">
        <v>10.4655</v>
      </c>
      <c r="F13" s="10">
        <v>115.12</v>
      </c>
      <c r="G13" s="79">
        <v>43724</v>
      </c>
      <c r="H13" s="78" t="s">
        <v>305</v>
      </c>
      <c r="I13">
        <v>1700203</v>
      </c>
      <c r="J13" s="79">
        <v>43724</v>
      </c>
      <c r="K13" s="78" t="s">
        <v>19</v>
      </c>
      <c r="N13" s="78" t="s">
        <v>20</v>
      </c>
      <c r="O13" s="78" t="s">
        <v>170</v>
      </c>
    </row>
    <row r="14" spans="1:15" x14ac:dyDescent="0.25">
      <c r="A14" s="78" t="s">
        <v>350</v>
      </c>
      <c r="B14">
        <v>83015</v>
      </c>
      <c r="C14" s="78" t="s">
        <v>304</v>
      </c>
      <c r="D14" s="10">
        <v>1</v>
      </c>
      <c r="E14" s="10">
        <v>31.93</v>
      </c>
      <c r="F14" s="10">
        <v>31.93</v>
      </c>
      <c r="G14" s="79">
        <v>43724</v>
      </c>
      <c r="H14" s="78" t="s">
        <v>305</v>
      </c>
      <c r="I14">
        <v>1700203</v>
      </c>
      <c r="J14" s="79">
        <v>43724</v>
      </c>
      <c r="K14" s="78" t="s">
        <v>19</v>
      </c>
      <c r="N14" s="78" t="s">
        <v>20</v>
      </c>
      <c r="O14" s="78" t="s">
        <v>170</v>
      </c>
    </row>
    <row r="15" spans="1:15" x14ac:dyDescent="0.25">
      <c r="A15" s="78" t="s">
        <v>351</v>
      </c>
      <c r="B15">
        <v>83015</v>
      </c>
      <c r="C15" s="78" t="s">
        <v>304</v>
      </c>
      <c r="D15" s="10">
        <v>12</v>
      </c>
      <c r="E15" s="10">
        <v>13.2517</v>
      </c>
      <c r="F15" s="10">
        <v>159.02000000000001</v>
      </c>
      <c r="G15" s="79">
        <v>43724</v>
      </c>
      <c r="H15" s="78" t="s">
        <v>305</v>
      </c>
      <c r="I15">
        <v>1700203</v>
      </c>
      <c r="J15" s="79">
        <v>43724</v>
      </c>
      <c r="K15" s="78" t="s">
        <v>19</v>
      </c>
      <c r="N15" s="78" t="s">
        <v>20</v>
      </c>
      <c r="O15" s="78" t="s">
        <v>170</v>
      </c>
    </row>
    <row r="16" spans="1:15" x14ac:dyDescent="0.25">
      <c r="A16" s="78" t="s">
        <v>352</v>
      </c>
      <c r="B16">
        <v>83015</v>
      </c>
      <c r="C16" s="78" t="s">
        <v>304</v>
      </c>
      <c r="D16" s="10">
        <v>9</v>
      </c>
      <c r="E16" s="10">
        <v>143.11330000000001</v>
      </c>
      <c r="F16" s="10">
        <v>1288.02</v>
      </c>
      <c r="G16" s="79">
        <v>43724</v>
      </c>
      <c r="H16" s="78" t="s">
        <v>305</v>
      </c>
      <c r="I16">
        <v>1700203</v>
      </c>
      <c r="J16" s="79">
        <v>43724</v>
      </c>
      <c r="K16" s="78" t="s">
        <v>19</v>
      </c>
      <c r="N16" s="78" t="s">
        <v>20</v>
      </c>
      <c r="O16" s="78" t="s">
        <v>170</v>
      </c>
    </row>
    <row r="17" spans="1:15" x14ac:dyDescent="0.25">
      <c r="A17" s="78" t="s">
        <v>353</v>
      </c>
      <c r="B17">
        <v>83015</v>
      </c>
      <c r="C17" s="78" t="s">
        <v>304</v>
      </c>
      <c r="D17" s="10">
        <v>9</v>
      </c>
      <c r="E17" s="10">
        <v>75.308899999999994</v>
      </c>
      <c r="F17" s="10">
        <v>677.78</v>
      </c>
      <c r="G17" s="79">
        <v>43724</v>
      </c>
      <c r="H17" s="78" t="s">
        <v>305</v>
      </c>
      <c r="I17">
        <v>1700203</v>
      </c>
      <c r="J17" s="79">
        <v>43724</v>
      </c>
      <c r="K17" s="78" t="s">
        <v>19</v>
      </c>
      <c r="N17" s="78" t="s">
        <v>20</v>
      </c>
      <c r="O17" s="78" t="s">
        <v>170</v>
      </c>
    </row>
    <row r="18" spans="1:15" x14ac:dyDescent="0.25">
      <c r="A18" s="78" t="s">
        <v>354</v>
      </c>
      <c r="B18">
        <v>83015</v>
      </c>
      <c r="C18" s="78" t="s">
        <v>304</v>
      </c>
      <c r="D18" s="10">
        <v>8</v>
      </c>
      <c r="E18" s="10">
        <v>15.25</v>
      </c>
      <c r="F18" s="10">
        <v>122</v>
      </c>
      <c r="G18" s="79">
        <v>43724</v>
      </c>
      <c r="H18" s="78" t="s">
        <v>305</v>
      </c>
      <c r="I18">
        <v>1700203</v>
      </c>
      <c r="J18" s="79">
        <v>43724</v>
      </c>
      <c r="K18" s="78" t="s">
        <v>19</v>
      </c>
      <c r="N18" s="78" t="s">
        <v>20</v>
      </c>
      <c r="O18" s="78" t="s">
        <v>170</v>
      </c>
    </row>
    <row r="19" spans="1:15" x14ac:dyDescent="0.25">
      <c r="A19" s="78" t="s">
        <v>355</v>
      </c>
      <c r="B19">
        <v>83015</v>
      </c>
      <c r="C19" s="78" t="s">
        <v>304</v>
      </c>
      <c r="D19" s="10">
        <v>12</v>
      </c>
      <c r="E19" s="10">
        <v>3.665</v>
      </c>
      <c r="F19" s="10">
        <v>43.98</v>
      </c>
      <c r="G19" s="79">
        <v>43724</v>
      </c>
      <c r="H19" s="78" t="s">
        <v>305</v>
      </c>
      <c r="I19">
        <v>1700203</v>
      </c>
      <c r="J19" s="79">
        <v>43724</v>
      </c>
      <c r="K19" s="78" t="s">
        <v>19</v>
      </c>
      <c r="N19" s="78" t="s">
        <v>20</v>
      </c>
      <c r="O19" s="78" t="s">
        <v>170</v>
      </c>
    </row>
    <row r="20" spans="1:15" x14ac:dyDescent="0.25">
      <c r="A20" s="78" t="s">
        <v>356</v>
      </c>
      <c r="B20">
        <v>83015</v>
      </c>
      <c r="C20" s="78" t="s">
        <v>304</v>
      </c>
      <c r="D20" s="10">
        <v>3</v>
      </c>
      <c r="E20" s="10">
        <v>4.9000000000000004</v>
      </c>
      <c r="F20" s="10">
        <v>14.7</v>
      </c>
      <c r="G20" s="79">
        <v>43724</v>
      </c>
      <c r="H20" s="78" t="s">
        <v>305</v>
      </c>
      <c r="I20">
        <v>1700203</v>
      </c>
      <c r="J20" s="79">
        <v>43724</v>
      </c>
      <c r="K20" s="78" t="s">
        <v>19</v>
      </c>
      <c r="N20" s="78" t="s">
        <v>20</v>
      </c>
      <c r="O20" s="78" t="s">
        <v>170</v>
      </c>
    </row>
    <row r="21" spans="1:15" x14ac:dyDescent="0.25">
      <c r="A21" s="78" t="s">
        <v>357</v>
      </c>
      <c r="B21">
        <v>83015</v>
      </c>
      <c r="C21" s="78" t="s">
        <v>304</v>
      </c>
      <c r="D21" s="10">
        <v>11</v>
      </c>
      <c r="E21" s="10">
        <v>2.2136</v>
      </c>
      <c r="F21" s="10">
        <v>24.35</v>
      </c>
      <c r="G21" s="79">
        <v>43724</v>
      </c>
      <c r="H21" s="78" t="s">
        <v>305</v>
      </c>
      <c r="I21">
        <v>1700203</v>
      </c>
      <c r="J21" s="79">
        <v>43724</v>
      </c>
      <c r="K21" s="78" t="s">
        <v>19</v>
      </c>
      <c r="N21" s="78" t="s">
        <v>20</v>
      </c>
      <c r="O21" s="78" t="s">
        <v>170</v>
      </c>
    </row>
    <row r="22" spans="1:15" x14ac:dyDescent="0.25">
      <c r="A22" s="78" t="s">
        <v>358</v>
      </c>
      <c r="B22">
        <v>83015</v>
      </c>
      <c r="C22" s="78" t="s">
        <v>304</v>
      </c>
      <c r="D22" s="10">
        <v>1</v>
      </c>
      <c r="E22" s="10">
        <v>16.18</v>
      </c>
      <c r="F22" s="10">
        <v>16.18</v>
      </c>
      <c r="G22" s="79">
        <v>43724</v>
      </c>
      <c r="H22" s="78" t="s">
        <v>305</v>
      </c>
      <c r="I22">
        <v>1700203</v>
      </c>
      <c r="J22" s="79">
        <v>43724</v>
      </c>
      <c r="K22" s="78" t="s">
        <v>19</v>
      </c>
      <c r="N22" s="78" t="s">
        <v>20</v>
      </c>
      <c r="O22" s="78" t="s">
        <v>170</v>
      </c>
    </row>
    <row r="23" spans="1:15" x14ac:dyDescent="0.25">
      <c r="A23" s="78" t="s">
        <v>359</v>
      </c>
      <c r="B23">
        <v>83015</v>
      </c>
      <c r="C23" s="78" t="s">
        <v>304</v>
      </c>
      <c r="D23" s="10">
        <v>2</v>
      </c>
      <c r="E23" s="10">
        <v>20.635000000000002</v>
      </c>
      <c r="F23" s="10">
        <v>41.27</v>
      </c>
      <c r="G23" s="79">
        <v>43724</v>
      </c>
      <c r="H23" s="78" t="s">
        <v>305</v>
      </c>
      <c r="I23">
        <v>1700203</v>
      </c>
      <c r="J23" s="79">
        <v>43724</v>
      </c>
      <c r="K23" s="78" t="s">
        <v>19</v>
      </c>
      <c r="N23" s="78" t="s">
        <v>20</v>
      </c>
      <c r="O23" s="78" t="s">
        <v>170</v>
      </c>
    </row>
    <row r="24" spans="1:15" x14ac:dyDescent="0.25">
      <c r="A24" s="78" t="s">
        <v>360</v>
      </c>
      <c r="B24">
        <v>83015</v>
      </c>
      <c r="C24" s="78" t="s">
        <v>304</v>
      </c>
      <c r="D24" s="10">
        <v>1</v>
      </c>
      <c r="E24" s="10">
        <v>6.34</v>
      </c>
      <c r="F24" s="10">
        <v>6.34</v>
      </c>
      <c r="G24" s="79">
        <v>43724</v>
      </c>
      <c r="H24" s="78" t="s">
        <v>305</v>
      </c>
      <c r="I24">
        <v>1700203</v>
      </c>
      <c r="J24" s="79">
        <v>43724</v>
      </c>
      <c r="K24" s="78" t="s">
        <v>19</v>
      </c>
      <c r="N24" s="78" t="s">
        <v>20</v>
      </c>
      <c r="O24" s="78" t="s">
        <v>170</v>
      </c>
    </row>
    <row r="25" spans="1:15" x14ac:dyDescent="0.25">
      <c r="A25" s="78" t="s">
        <v>361</v>
      </c>
      <c r="B25">
        <v>83015</v>
      </c>
      <c r="C25" s="78" t="s">
        <v>304</v>
      </c>
      <c r="D25" s="10">
        <v>1</v>
      </c>
      <c r="E25" s="10">
        <v>144.78</v>
      </c>
      <c r="F25" s="10">
        <v>144.78</v>
      </c>
      <c r="G25" s="79">
        <v>43724</v>
      </c>
      <c r="H25" s="78" t="s">
        <v>305</v>
      </c>
      <c r="I25">
        <v>1700203</v>
      </c>
      <c r="J25" s="79">
        <v>43724</v>
      </c>
      <c r="K25" s="78" t="s">
        <v>19</v>
      </c>
      <c r="N25" s="78" t="s">
        <v>20</v>
      </c>
      <c r="O25" s="78" t="s">
        <v>170</v>
      </c>
    </row>
    <row r="26" spans="1:15" x14ac:dyDescent="0.25">
      <c r="A26" s="78" t="s">
        <v>362</v>
      </c>
      <c r="B26">
        <v>83015</v>
      </c>
      <c r="C26" s="78" t="s">
        <v>304</v>
      </c>
      <c r="D26" s="10">
        <v>1</v>
      </c>
      <c r="E26" s="10">
        <v>211.05</v>
      </c>
      <c r="F26" s="10">
        <v>211.05</v>
      </c>
      <c r="G26" s="79">
        <v>43724</v>
      </c>
      <c r="H26" s="78" t="s">
        <v>305</v>
      </c>
      <c r="I26">
        <v>1700203</v>
      </c>
      <c r="J26" s="79">
        <v>43724</v>
      </c>
      <c r="K26" s="78" t="s">
        <v>19</v>
      </c>
      <c r="N26" s="78" t="s">
        <v>20</v>
      </c>
      <c r="O26" s="78" t="s">
        <v>170</v>
      </c>
    </row>
    <row r="27" spans="1:15" x14ac:dyDescent="0.25">
      <c r="A27" s="78" t="s">
        <v>363</v>
      </c>
      <c r="B27">
        <v>83015</v>
      </c>
      <c r="C27" s="78" t="s">
        <v>304</v>
      </c>
      <c r="D27" s="10">
        <v>6</v>
      </c>
      <c r="E27" s="10">
        <v>11.46</v>
      </c>
      <c r="F27" s="10">
        <v>68.760000000000005</v>
      </c>
      <c r="G27" s="79">
        <v>43724</v>
      </c>
      <c r="H27" s="78" t="s">
        <v>305</v>
      </c>
      <c r="I27">
        <v>1700203</v>
      </c>
      <c r="J27" s="79">
        <v>43724</v>
      </c>
      <c r="K27" s="78" t="s">
        <v>19</v>
      </c>
      <c r="N27" s="78" t="s">
        <v>20</v>
      </c>
      <c r="O27" s="78" t="s">
        <v>170</v>
      </c>
    </row>
    <row r="28" spans="1:15" x14ac:dyDescent="0.25">
      <c r="A28" s="78" t="s">
        <v>364</v>
      </c>
      <c r="B28">
        <v>83015</v>
      </c>
      <c r="C28" s="78" t="s">
        <v>304</v>
      </c>
      <c r="D28" s="10">
        <v>1</v>
      </c>
      <c r="E28" s="10">
        <v>8.2100000000000009</v>
      </c>
      <c r="F28" s="10">
        <v>8.2100000000000009</v>
      </c>
      <c r="G28" s="79">
        <v>43724</v>
      </c>
      <c r="H28" s="78" t="s">
        <v>305</v>
      </c>
      <c r="I28">
        <v>1700203</v>
      </c>
      <c r="J28" s="79">
        <v>43724</v>
      </c>
      <c r="K28" s="78" t="s">
        <v>19</v>
      </c>
      <c r="N28" s="78" t="s">
        <v>20</v>
      </c>
      <c r="O28" s="78" t="s">
        <v>170</v>
      </c>
    </row>
    <row r="29" spans="1:15" x14ac:dyDescent="0.25">
      <c r="A29" s="78" t="s">
        <v>365</v>
      </c>
      <c r="B29">
        <v>83015</v>
      </c>
      <c r="C29" s="78" t="s">
        <v>304</v>
      </c>
      <c r="D29" s="10">
        <v>19</v>
      </c>
      <c r="E29" s="10">
        <v>37.584200000000003</v>
      </c>
      <c r="F29" s="10">
        <v>714.1</v>
      </c>
      <c r="G29" s="79">
        <v>43724</v>
      </c>
      <c r="H29" s="78" t="s">
        <v>305</v>
      </c>
      <c r="I29">
        <v>1700203</v>
      </c>
      <c r="J29" s="79">
        <v>43724</v>
      </c>
      <c r="K29" s="78" t="s">
        <v>19</v>
      </c>
      <c r="N29" s="78" t="s">
        <v>20</v>
      </c>
      <c r="O29" s="78" t="s">
        <v>170</v>
      </c>
    </row>
    <row r="30" spans="1:15" x14ac:dyDescent="0.25">
      <c r="A30" s="78" t="s">
        <v>366</v>
      </c>
      <c r="B30">
        <v>83015</v>
      </c>
      <c r="C30" s="78" t="s">
        <v>304</v>
      </c>
      <c r="D30" s="10">
        <v>1</v>
      </c>
      <c r="E30" s="10">
        <v>681.02</v>
      </c>
      <c r="F30" s="10">
        <v>681.02</v>
      </c>
      <c r="G30" s="79">
        <v>43724</v>
      </c>
      <c r="H30" s="78" t="s">
        <v>305</v>
      </c>
      <c r="I30">
        <v>1700203</v>
      </c>
      <c r="J30" s="79">
        <v>43724</v>
      </c>
      <c r="K30" s="78" t="s">
        <v>19</v>
      </c>
      <c r="N30" s="78" t="s">
        <v>20</v>
      </c>
      <c r="O30" s="78" t="s">
        <v>170</v>
      </c>
    </row>
    <row r="31" spans="1:15" x14ac:dyDescent="0.25">
      <c r="A31" s="78" t="s">
        <v>367</v>
      </c>
      <c r="B31">
        <v>83015</v>
      </c>
      <c r="C31" s="78" t="s">
        <v>304</v>
      </c>
      <c r="D31" s="10">
        <v>2</v>
      </c>
      <c r="E31" s="10">
        <v>83.394999999999996</v>
      </c>
      <c r="F31" s="10">
        <v>166.79</v>
      </c>
      <c r="G31" s="79">
        <v>43724</v>
      </c>
      <c r="H31" s="78" t="s">
        <v>305</v>
      </c>
      <c r="I31">
        <v>1700203</v>
      </c>
      <c r="J31" s="79">
        <v>43724</v>
      </c>
      <c r="K31" s="78" t="s">
        <v>19</v>
      </c>
      <c r="N31" s="78" t="s">
        <v>20</v>
      </c>
      <c r="O31" s="78" t="s">
        <v>170</v>
      </c>
    </row>
    <row r="32" spans="1:15" x14ac:dyDescent="0.25">
      <c r="A32" s="78" t="s">
        <v>368</v>
      </c>
      <c r="B32">
        <v>83015</v>
      </c>
      <c r="C32" s="78" t="s">
        <v>304</v>
      </c>
      <c r="D32" s="10">
        <v>364</v>
      </c>
      <c r="E32" s="10">
        <v>10.9092</v>
      </c>
      <c r="F32" s="10">
        <v>3970.95</v>
      </c>
      <c r="G32" s="79">
        <v>43724</v>
      </c>
      <c r="H32" s="78" t="s">
        <v>305</v>
      </c>
      <c r="I32">
        <v>1700203</v>
      </c>
      <c r="J32" s="79">
        <v>43724</v>
      </c>
      <c r="K32" s="78" t="s">
        <v>19</v>
      </c>
      <c r="N32" s="78" t="s">
        <v>20</v>
      </c>
      <c r="O32" s="78" t="s">
        <v>170</v>
      </c>
    </row>
    <row r="33" spans="1:15" x14ac:dyDescent="0.25">
      <c r="A33" s="78" t="s">
        <v>369</v>
      </c>
      <c r="B33">
        <v>83015</v>
      </c>
      <c r="C33" s="78" t="s">
        <v>304</v>
      </c>
      <c r="D33" s="10">
        <v>8</v>
      </c>
      <c r="E33" s="10">
        <v>19.425000000000001</v>
      </c>
      <c r="F33" s="10">
        <v>155.4</v>
      </c>
      <c r="G33" s="79">
        <v>43724</v>
      </c>
      <c r="H33" s="78" t="s">
        <v>305</v>
      </c>
      <c r="I33">
        <v>1700203</v>
      </c>
      <c r="J33" s="79">
        <v>43724</v>
      </c>
      <c r="K33" s="78" t="s">
        <v>19</v>
      </c>
      <c r="N33" s="78" t="s">
        <v>20</v>
      </c>
      <c r="O33" s="78" t="s">
        <v>170</v>
      </c>
    </row>
    <row r="34" spans="1:15" x14ac:dyDescent="0.25">
      <c r="A34" s="78" t="s">
        <v>370</v>
      </c>
      <c r="B34">
        <v>83015</v>
      </c>
      <c r="C34" s="78" t="s">
        <v>304</v>
      </c>
      <c r="D34" s="10">
        <v>8</v>
      </c>
      <c r="E34" s="10">
        <v>134.2175</v>
      </c>
      <c r="F34" s="10">
        <v>1073.74</v>
      </c>
      <c r="G34" s="79">
        <v>43724</v>
      </c>
      <c r="H34" s="78" t="s">
        <v>305</v>
      </c>
      <c r="I34">
        <v>1700203</v>
      </c>
      <c r="J34" s="79">
        <v>43724</v>
      </c>
      <c r="K34" s="78" t="s">
        <v>19</v>
      </c>
      <c r="N34" s="78" t="s">
        <v>20</v>
      </c>
      <c r="O34" s="78" t="s">
        <v>170</v>
      </c>
    </row>
    <row r="35" spans="1:15" x14ac:dyDescent="0.25">
      <c r="A35" s="78" t="s">
        <v>371</v>
      </c>
      <c r="B35">
        <v>83015</v>
      </c>
      <c r="C35" s="78" t="s">
        <v>304</v>
      </c>
      <c r="D35" s="10">
        <v>2</v>
      </c>
      <c r="E35" s="10">
        <v>352.16</v>
      </c>
      <c r="F35" s="10">
        <v>704.32</v>
      </c>
      <c r="G35" s="79">
        <v>43724</v>
      </c>
      <c r="H35" s="78" t="s">
        <v>305</v>
      </c>
      <c r="I35">
        <v>1700203</v>
      </c>
      <c r="J35" s="79">
        <v>43724</v>
      </c>
      <c r="K35" s="78" t="s">
        <v>19</v>
      </c>
      <c r="N35" s="78" t="s">
        <v>20</v>
      </c>
      <c r="O35" s="78" t="s">
        <v>170</v>
      </c>
    </row>
    <row r="36" spans="1:15" x14ac:dyDescent="0.25">
      <c r="A36" s="78" t="s">
        <v>372</v>
      </c>
      <c r="B36">
        <v>83015</v>
      </c>
      <c r="C36" s="78" t="s">
        <v>304</v>
      </c>
      <c r="D36" s="10">
        <v>1</v>
      </c>
      <c r="E36" s="10">
        <v>277.24</v>
      </c>
      <c r="F36" s="10">
        <v>277.24</v>
      </c>
      <c r="G36" s="79">
        <v>43724</v>
      </c>
      <c r="H36" s="78" t="s">
        <v>305</v>
      </c>
      <c r="I36">
        <v>1700203</v>
      </c>
      <c r="J36" s="79">
        <v>43724</v>
      </c>
      <c r="K36" s="78" t="s">
        <v>19</v>
      </c>
      <c r="N36" s="78" t="s">
        <v>20</v>
      </c>
      <c r="O36" s="78" t="s">
        <v>170</v>
      </c>
    </row>
    <row r="37" spans="1:15" x14ac:dyDescent="0.25">
      <c r="A37" s="78" t="s">
        <v>373</v>
      </c>
      <c r="B37">
        <v>83015</v>
      </c>
      <c r="C37" s="78" t="s">
        <v>304</v>
      </c>
      <c r="D37" s="10">
        <v>1</v>
      </c>
      <c r="E37" s="10">
        <v>27.36</v>
      </c>
      <c r="F37" s="10">
        <v>27.36</v>
      </c>
      <c r="G37" s="79">
        <v>43724</v>
      </c>
      <c r="H37" s="78" t="s">
        <v>305</v>
      </c>
      <c r="I37">
        <v>1700203</v>
      </c>
      <c r="J37" s="79">
        <v>43724</v>
      </c>
      <c r="K37" s="78" t="s">
        <v>19</v>
      </c>
      <c r="N37" s="78" t="s">
        <v>20</v>
      </c>
      <c r="O37" s="78" t="s">
        <v>170</v>
      </c>
    </row>
    <row r="38" spans="1:15" x14ac:dyDescent="0.25">
      <c r="A38" s="78" t="s">
        <v>374</v>
      </c>
      <c r="B38">
        <v>83015</v>
      </c>
      <c r="C38" s="78" t="s">
        <v>304</v>
      </c>
      <c r="D38" s="10">
        <v>3</v>
      </c>
      <c r="E38" s="10">
        <v>50.273299999999999</v>
      </c>
      <c r="F38" s="10">
        <v>150.82</v>
      </c>
      <c r="G38" s="79">
        <v>43724</v>
      </c>
      <c r="H38" s="78" t="s">
        <v>305</v>
      </c>
      <c r="I38">
        <v>1700203</v>
      </c>
      <c r="J38" s="79">
        <v>43724</v>
      </c>
      <c r="K38" s="78" t="s">
        <v>19</v>
      </c>
      <c r="N38" s="78" t="s">
        <v>20</v>
      </c>
      <c r="O38" s="78" t="s">
        <v>170</v>
      </c>
    </row>
    <row r="39" spans="1:15" x14ac:dyDescent="0.25">
      <c r="A39" s="78" t="s">
        <v>375</v>
      </c>
      <c r="B39">
        <v>83015</v>
      </c>
      <c r="C39" s="78" t="s">
        <v>304</v>
      </c>
      <c r="D39" s="10">
        <v>1</v>
      </c>
      <c r="E39" s="10">
        <v>60.76</v>
      </c>
      <c r="F39" s="10">
        <v>60.76</v>
      </c>
      <c r="G39" s="79">
        <v>43724</v>
      </c>
      <c r="H39" s="78" t="s">
        <v>305</v>
      </c>
      <c r="I39">
        <v>1700203</v>
      </c>
      <c r="J39" s="79">
        <v>43724</v>
      </c>
      <c r="K39" s="78" t="s">
        <v>19</v>
      </c>
      <c r="N39" s="78" t="s">
        <v>20</v>
      </c>
      <c r="O39" s="78" t="s">
        <v>170</v>
      </c>
    </row>
    <row r="40" spans="1:15" x14ac:dyDescent="0.25">
      <c r="A40" s="78" t="s">
        <v>307</v>
      </c>
      <c r="D40" s="10">
        <v>12984</v>
      </c>
      <c r="F40" s="10">
        <v>27026.04</v>
      </c>
    </row>
    <row r="41" spans="1:15" x14ac:dyDescent="0.25">
      <c r="A41" s="78" t="s">
        <v>15</v>
      </c>
    </row>
    <row r="42" spans="1:15" x14ac:dyDescent="0.25">
      <c r="A42" s="78" t="s">
        <v>309</v>
      </c>
      <c r="B42">
        <v>52163</v>
      </c>
      <c r="C42" s="78" t="s">
        <v>17</v>
      </c>
      <c r="D42" s="10">
        <v>0</v>
      </c>
      <c r="F42" s="10">
        <v>179700</v>
      </c>
      <c r="G42" s="79">
        <v>43738</v>
      </c>
      <c r="H42" s="78" t="s">
        <v>18</v>
      </c>
      <c r="I42">
        <v>1707075</v>
      </c>
      <c r="J42" s="79">
        <v>43742</v>
      </c>
      <c r="K42" s="78" t="s">
        <v>19</v>
      </c>
      <c r="N42" s="78" t="s">
        <v>20</v>
      </c>
      <c r="O42" s="78" t="s">
        <v>170</v>
      </c>
    </row>
    <row r="43" spans="1:15" x14ac:dyDescent="0.25">
      <c r="A43" s="78" t="s">
        <v>309</v>
      </c>
      <c r="B43">
        <v>52163</v>
      </c>
      <c r="C43" s="78" t="s">
        <v>17</v>
      </c>
      <c r="D43" s="10">
        <v>0</v>
      </c>
      <c r="F43" s="10">
        <v>25600</v>
      </c>
      <c r="G43" s="79">
        <v>43738</v>
      </c>
      <c r="H43" s="78" t="s">
        <v>18</v>
      </c>
      <c r="I43">
        <v>1707075</v>
      </c>
      <c r="J43" s="79">
        <v>43742</v>
      </c>
      <c r="K43" s="78" t="s">
        <v>19</v>
      </c>
      <c r="N43" s="78" t="s">
        <v>20</v>
      </c>
      <c r="O43" s="78" t="s">
        <v>170</v>
      </c>
    </row>
    <row r="44" spans="1:15" x14ac:dyDescent="0.25">
      <c r="A44" s="78" t="s">
        <v>376</v>
      </c>
      <c r="B44">
        <v>51786</v>
      </c>
      <c r="C44" s="78" t="s">
        <v>17</v>
      </c>
      <c r="D44" s="10">
        <v>0</v>
      </c>
      <c r="F44" s="10">
        <v>-125221</v>
      </c>
      <c r="G44" s="79">
        <v>43709</v>
      </c>
      <c r="H44" s="78" t="s">
        <v>18</v>
      </c>
      <c r="I44">
        <v>1698183</v>
      </c>
      <c r="J44" s="79">
        <v>43714</v>
      </c>
      <c r="K44" s="78" t="s">
        <v>19</v>
      </c>
      <c r="N44" s="78" t="s">
        <v>20</v>
      </c>
      <c r="O44" s="78" t="s">
        <v>170</v>
      </c>
    </row>
    <row r="45" spans="1:15" x14ac:dyDescent="0.25">
      <c r="A45" s="78" t="s">
        <v>23</v>
      </c>
      <c r="D45" s="10">
        <v>0</v>
      </c>
      <c r="F45" s="10">
        <v>80079</v>
      </c>
    </row>
    <row r="46" spans="1:15" x14ac:dyDescent="0.25">
      <c r="A46" s="78" t="s">
        <v>24</v>
      </c>
    </row>
    <row r="47" spans="1:15" x14ac:dyDescent="0.25">
      <c r="A47" s="78" t="s">
        <v>377</v>
      </c>
      <c r="B47">
        <v>18312</v>
      </c>
      <c r="C47" s="78" t="s">
        <v>378</v>
      </c>
      <c r="D47" s="10">
        <v>185443</v>
      </c>
      <c r="E47" s="10">
        <v>1</v>
      </c>
      <c r="F47" s="10">
        <v>185443</v>
      </c>
      <c r="G47" s="79">
        <v>43718</v>
      </c>
      <c r="H47" s="78" t="s">
        <v>18</v>
      </c>
      <c r="I47">
        <v>1698960</v>
      </c>
      <c r="J47" s="79">
        <v>43718</v>
      </c>
      <c r="K47" s="78" t="s">
        <v>19</v>
      </c>
      <c r="N47" s="78" t="s">
        <v>20</v>
      </c>
      <c r="O47" s="78" t="s">
        <v>170</v>
      </c>
    </row>
    <row r="48" spans="1:15" x14ac:dyDescent="0.25">
      <c r="A48" s="78" t="s">
        <v>377</v>
      </c>
      <c r="B48">
        <v>18504</v>
      </c>
      <c r="C48" s="78" t="s">
        <v>378</v>
      </c>
      <c r="D48" s="10">
        <v>46428</v>
      </c>
      <c r="E48" s="10">
        <v>1</v>
      </c>
      <c r="F48" s="10">
        <v>46428</v>
      </c>
      <c r="G48" s="79">
        <v>43738</v>
      </c>
      <c r="H48" s="78" t="s">
        <v>18</v>
      </c>
      <c r="I48">
        <v>1706506</v>
      </c>
      <c r="J48" s="79">
        <v>43741</v>
      </c>
      <c r="K48" s="78" t="s">
        <v>19</v>
      </c>
      <c r="N48" s="78" t="s">
        <v>20</v>
      </c>
      <c r="O48" s="78" t="s">
        <v>170</v>
      </c>
    </row>
    <row r="49" spans="1:15" x14ac:dyDescent="0.25">
      <c r="A49" s="78" t="s">
        <v>29</v>
      </c>
      <c r="D49" s="10">
        <v>231871</v>
      </c>
      <c r="F49" s="10">
        <v>231871</v>
      </c>
    </row>
    <row r="50" spans="1:15" x14ac:dyDescent="0.25">
      <c r="A50" s="78" t="s">
        <v>379</v>
      </c>
    </row>
    <row r="51" spans="1:15" x14ac:dyDescent="0.25">
      <c r="A51" s="78" t="s">
        <v>380</v>
      </c>
      <c r="B51">
        <v>291459</v>
      </c>
      <c r="C51" s="78" t="s">
        <v>26</v>
      </c>
      <c r="D51" s="10">
        <v>0</v>
      </c>
      <c r="F51" s="10">
        <v>9579</v>
      </c>
      <c r="G51" s="79">
        <v>43738</v>
      </c>
      <c r="H51" s="78" t="s">
        <v>18</v>
      </c>
      <c r="I51">
        <v>1703878</v>
      </c>
      <c r="J51" s="79">
        <v>43738</v>
      </c>
      <c r="K51" s="78" t="s">
        <v>222</v>
      </c>
      <c r="N51" s="78" t="s">
        <v>20</v>
      </c>
      <c r="O51" s="78" t="s">
        <v>170</v>
      </c>
    </row>
    <row r="52" spans="1:15" x14ac:dyDescent="0.25">
      <c r="A52" s="78" t="s">
        <v>381</v>
      </c>
      <c r="D52" s="10">
        <v>0</v>
      </c>
      <c r="F52" s="10">
        <v>9579</v>
      </c>
    </row>
    <row r="53" spans="1:15" x14ac:dyDescent="0.25">
      <c r="A53" s="78" t="s">
        <v>24</v>
      </c>
    </row>
    <row r="54" spans="1:15" x14ac:dyDescent="0.25">
      <c r="A54" s="78" t="s">
        <v>377</v>
      </c>
      <c r="B54">
        <v>291510</v>
      </c>
      <c r="C54" s="78" t="s">
        <v>26</v>
      </c>
      <c r="D54" s="10">
        <v>0</v>
      </c>
      <c r="F54" s="10">
        <v>15020.86</v>
      </c>
      <c r="G54" s="79">
        <v>43738</v>
      </c>
      <c r="H54" s="78" t="s">
        <v>18</v>
      </c>
      <c r="I54">
        <v>1704029</v>
      </c>
      <c r="J54" s="79">
        <v>43738</v>
      </c>
      <c r="K54" s="78" t="s">
        <v>382</v>
      </c>
      <c r="N54" s="78" t="s">
        <v>20</v>
      </c>
      <c r="O54" s="78" t="s">
        <v>170</v>
      </c>
    </row>
    <row r="55" spans="1:15" x14ac:dyDescent="0.25">
      <c r="A55" s="78" t="s">
        <v>377</v>
      </c>
      <c r="B55">
        <v>291510</v>
      </c>
      <c r="C55" s="78" t="s">
        <v>26</v>
      </c>
      <c r="D55" s="10">
        <v>0</v>
      </c>
      <c r="F55" s="10">
        <v>-0.26</v>
      </c>
      <c r="G55" s="79">
        <v>43738</v>
      </c>
      <c r="H55" s="78" t="s">
        <v>18</v>
      </c>
      <c r="I55">
        <v>1704029</v>
      </c>
      <c r="J55" s="79">
        <v>43738</v>
      </c>
      <c r="K55" s="78" t="s">
        <v>382</v>
      </c>
      <c r="N55" s="78" t="s">
        <v>20</v>
      </c>
      <c r="O55" s="78" t="s">
        <v>170</v>
      </c>
    </row>
    <row r="56" spans="1:15" x14ac:dyDescent="0.25">
      <c r="A56" s="78" t="s">
        <v>29</v>
      </c>
      <c r="D56" s="10">
        <v>0</v>
      </c>
      <c r="F56" s="10">
        <v>15020.6</v>
      </c>
    </row>
    <row r="57" spans="1:15" x14ac:dyDescent="0.25">
      <c r="A57" s="78" t="s">
        <v>318</v>
      </c>
    </row>
    <row r="58" spans="1:15" x14ac:dyDescent="0.25">
      <c r="A58" s="78" t="s">
        <v>16</v>
      </c>
      <c r="B58">
        <v>19560</v>
      </c>
      <c r="C58" s="78" t="s">
        <v>319</v>
      </c>
      <c r="D58" s="10">
        <v>18</v>
      </c>
      <c r="E58" s="10">
        <v>41.994999999999997</v>
      </c>
      <c r="F58" s="10">
        <v>755.91</v>
      </c>
      <c r="G58" s="79">
        <v>43723</v>
      </c>
      <c r="H58" s="78" t="s">
        <v>320</v>
      </c>
      <c r="I58">
        <v>1701978</v>
      </c>
      <c r="J58" s="79">
        <v>43728</v>
      </c>
      <c r="K58" s="78" t="s">
        <v>323</v>
      </c>
      <c r="N58" s="78" t="s">
        <v>20</v>
      </c>
      <c r="O58" s="78" t="s">
        <v>170</v>
      </c>
    </row>
    <row r="59" spans="1:15" x14ac:dyDescent="0.25">
      <c r="A59" s="78" t="s">
        <v>16</v>
      </c>
      <c r="B59">
        <v>19543</v>
      </c>
      <c r="C59" s="78" t="s">
        <v>319</v>
      </c>
      <c r="D59" s="10">
        <v>14</v>
      </c>
      <c r="E59" s="10">
        <v>46.062899999999999</v>
      </c>
      <c r="F59" s="10">
        <v>644.88</v>
      </c>
      <c r="G59" s="79">
        <v>43709</v>
      </c>
      <c r="H59" s="78" t="s">
        <v>320</v>
      </c>
      <c r="I59">
        <v>1698060</v>
      </c>
      <c r="J59" s="79">
        <v>43714</v>
      </c>
      <c r="K59" s="78" t="s">
        <v>321</v>
      </c>
      <c r="N59" s="78" t="s">
        <v>20</v>
      </c>
      <c r="O59" s="78" t="s">
        <v>170</v>
      </c>
    </row>
    <row r="60" spans="1:15" x14ac:dyDescent="0.25">
      <c r="A60" s="78" t="s">
        <v>324</v>
      </c>
      <c r="D60" s="10">
        <v>32</v>
      </c>
      <c r="F60" s="10">
        <v>1400.79</v>
      </c>
    </row>
    <row r="61" spans="1:15" x14ac:dyDescent="0.25">
      <c r="A61" s="78" t="s">
        <v>325</v>
      </c>
    </row>
    <row r="62" spans="1:15" x14ac:dyDescent="0.25">
      <c r="A62" s="78" t="s">
        <v>16</v>
      </c>
      <c r="B62">
        <v>19561</v>
      </c>
      <c r="C62" s="78" t="s">
        <v>326</v>
      </c>
      <c r="D62" s="10">
        <v>0</v>
      </c>
      <c r="F62" s="10">
        <v>49.75</v>
      </c>
      <c r="G62" s="79">
        <v>43723</v>
      </c>
      <c r="H62" s="78" t="s">
        <v>334</v>
      </c>
      <c r="I62">
        <v>1701978</v>
      </c>
      <c r="J62" s="79">
        <v>43728</v>
      </c>
      <c r="K62" s="78" t="s">
        <v>323</v>
      </c>
      <c r="N62" s="78" t="s">
        <v>20</v>
      </c>
      <c r="O62" s="78" t="s">
        <v>170</v>
      </c>
    </row>
    <row r="63" spans="1:15" x14ac:dyDescent="0.25">
      <c r="A63" s="78" t="s">
        <v>16</v>
      </c>
      <c r="B63">
        <v>19561</v>
      </c>
      <c r="C63" s="78" t="s">
        <v>326</v>
      </c>
      <c r="D63" s="10">
        <v>0</v>
      </c>
      <c r="F63" s="10">
        <v>3.8</v>
      </c>
      <c r="G63" s="79">
        <v>43723</v>
      </c>
      <c r="H63" s="78" t="s">
        <v>332</v>
      </c>
      <c r="I63">
        <v>1701978</v>
      </c>
      <c r="J63" s="79">
        <v>43728</v>
      </c>
      <c r="K63" s="78" t="s">
        <v>323</v>
      </c>
      <c r="N63" s="78" t="s">
        <v>20</v>
      </c>
      <c r="O63" s="78" t="s">
        <v>170</v>
      </c>
    </row>
    <row r="64" spans="1:15" x14ac:dyDescent="0.25">
      <c r="A64" s="78" t="s">
        <v>16</v>
      </c>
      <c r="B64">
        <v>19561</v>
      </c>
      <c r="C64" s="78" t="s">
        <v>326</v>
      </c>
      <c r="D64" s="10">
        <v>0</v>
      </c>
      <c r="F64" s="10">
        <v>1.1399999999999999</v>
      </c>
      <c r="G64" s="79">
        <v>43723</v>
      </c>
      <c r="H64" s="78" t="s">
        <v>327</v>
      </c>
      <c r="I64">
        <v>1701978</v>
      </c>
      <c r="J64" s="79">
        <v>43728</v>
      </c>
      <c r="K64" s="78" t="s">
        <v>323</v>
      </c>
      <c r="N64" s="78" t="s">
        <v>20</v>
      </c>
      <c r="O64" s="78" t="s">
        <v>170</v>
      </c>
    </row>
    <row r="65" spans="1:15" x14ac:dyDescent="0.25">
      <c r="A65" s="78" t="s">
        <v>16</v>
      </c>
      <c r="B65">
        <v>19561</v>
      </c>
      <c r="C65" s="78" t="s">
        <v>326</v>
      </c>
      <c r="D65" s="10">
        <v>0</v>
      </c>
      <c r="F65" s="10">
        <v>2.27</v>
      </c>
      <c r="G65" s="79">
        <v>43723</v>
      </c>
      <c r="H65" s="78" t="s">
        <v>328</v>
      </c>
      <c r="I65">
        <v>1701978</v>
      </c>
      <c r="J65" s="79">
        <v>43728</v>
      </c>
      <c r="K65" s="78" t="s">
        <v>323</v>
      </c>
      <c r="N65" s="78" t="s">
        <v>20</v>
      </c>
      <c r="O65" s="78" t="s">
        <v>170</v>
      </c>
    </row>
    <row r="66" spans="1:15" x14ac:dyDescent="0.25">
      <c r="A66" s="78" t="s">
        <v>16</v>
      </c>
      <c r="B66">
        <v>19561</v>
      </c>
      <c r="C66" s="78" t="s">
        <v>326</v>
      </c>
      <c r="D66" s="10">
        <v>0</v>
      </c>
      <c r="F66" s="10">
        <v>111.76</v>
      </c>
      <c r="G66" s="79">
        <v>43723</v>
      </c>
      <c r="H66" s="78" t="s">
        <v>329</v>
      </c>
      <c r="I66">
        <v>1701978</v>
      </c>
      <c r="J66" s="79">
        <v>43728</v>
      </c>
      <c r="K66" s="78" t="s">
        <v>323</v>
      </c>
      <c r="N66" s="78" t="s">
        <v>20</v>
      </c>
      <c r="O66" s="78" t="s">
        <v>170</v>
      </c>
    </row>
    <row r="67" spans="1:15" x14ac:dyDescent="0.25">
      <c r="A67" s="78" t="s">
        <v>16</v>
      </c>
      <c r="B67">
        <v>19561</v>
      </c>
      <c r="C67" s="78" t="s">
        <v>326</v>
      </c>
      <c r="D67" s="10">
        <v>0</v>
      </c>
      <c r="F67" s="10">
        <v>79.84</v>
      </c>
      <c r="G67" s="79">
        <v>43723</v>
      </c>
      <c r="H67" s="78" t="s">
        <v>330</v>
      </c>
      <c r="I67">
        <v>1701978</v>
      </c>
      <c r="J67" s="79">
        <v>43728</v>
      </c>
      <c r="K67" s="78" t="s">
        <v>323</v>
      </c>
      <c r="N67" s="78" t="s">
        <v>20</v>
      </c>
      <c r="O67" s="78" t="s">
        <v>170</v>
      </c>
    </row>
    <row r="68" spans="1:15" x14ac:dyDescent="0.25">
      <c r="A68" s="78" t="s">
        <v>16</v>
      </c>
      <c r="B68">
        <v>19561</v>
      </c>
      <c r="C68" s="78" t="s">
        <v>326</v>
      </c>
      <c r="D68" s="10">
        <v>0</v>
      </c>
      <c r="F68" s="10">
        <v>2.37</v>
      </c>
      <c r="G68" s="79">
        <v>43723</v>
      </c>
      <c r="H68" s="78" t="s">
        <v>331</v>
      </c>
      <c r="I68">
        <v>1701978</v>
      </c>
      <c r="J68" s="79">
        <v>43728</v>
      </c>
      <c r="K68" s="78" t="s">
        <v>323</v>
      </c>
      <c r="N68" s="78" t="s">
        <v>20</v>
      </c>
      <c r="O68" s="78" t="s">
        <v>170</v>
      </c>
    </row>
    <row r="69" spans="1:15" x14ac:dyDescent="0.25">
      <c r="A69" s="78" t="s">
        <v>16</v>
      </c>
      <c r="B69">
        <v>19561</v>
      </c>
      <c r="C69" s="78" t="s">
        <v>326</v>
      </c>
      <c r="D69" s="10">
        <v>0</v>
      </c>
      <c r="F69" s="10">
        <v>56.44</v>
      </c>
      <c r="G69" s="79">
        <v>43723</v>
      </c>
      <c r="H69" s="78" t="s">
        <v>332</v>
      </c>
      <c r="I69">
        <v>1701978</v>
      </c>
      <c r="J69" s="79">
        <v>43728</v>
      </c>
      <c r="K69" s="78" t="s">
        <v>323</v>
      </c>
      <c r="N69" s="78" t="s">
        <v>20</v>
      </c>
      <c r="O69" s="78" t="s">
        <v>170</v>
      </c>
    </row>
    <row r="70" spans="1:15" x14ac:dyDescent="0.25">
      <c r="A70" s="78" t="s">
        <v>16</v>
      </c>
      <c r="B70">
        <v>19561</v>
      </c>
      <c r="C70" s="78" t="s">
        <v>326</v>
      </c>
      <c r="D70" s="10">
        <v>0</v>
      </c>
      <c r="F70" s="10">
        <v>6.96</v>
      </c>
      <c r="G70" s="79">
        <v>43723</v>
      </c>
      <c r="H70" s="78" t="s">
        <v>333</v>
      </c>
      <c r="I70">
        <v>1701978</v>
      </c>
      <c r="J70" s="79">
        <v>43728</v>
      </c>
      <c r="K70" s="78" t="s">
        <v>323</v>
      </c>
      <c r="N70" s="78" t="s">
        <v>20</v>
      </c>
      <c r="O70" s="78" t="s">
        <v>170</v>
      </c>
    </row>
    <row r="71" spans="1:15" x14ac:dyDescent="0.25">
      <c r="A71" s="78" t="s">
        <v>16</v>
      </c>
      <c r="B71">
        <v>19544</v>
      </c>
      <c r="C71" s="78" t="s">
        <v>326</v>
      </c>
      <c r="D71" s="10">
        <v>0</v>
      </c>
      <c r="F71" s="10">
        <v>87.05</v>
      </c>
      <c r="G71" s="79">
        <v>43709</v>
      </c>
      <c r="H71" s="78" t="s">
        <v>334</v>
      </c>
      <c r="I71">
        <v>1698060</v>
      </c>
      <c r="J71" s="79">
        <v>43714</v>
      </c>
      <c r="K71" s="78" t="s">
        <v>321</v>
      </c>
      <c r="N71" s="78" t="s">
        <v>20</v>
      </c>
      <c r="O71" s="78" t="s">
        <v>170</v>
      </c>
    </row>
    <row r="72" spans="1:15" x14ac:dyDescent="0.25">
      <c r="A72" s="78" t="s">
        <v>16</v>
      </c>
      <c r="B72">
        <v>19544</v>
      </c>
      <c r="C72" s="78" t="s">
        <v>326</v>
      </c>
      <c r="D72" s="10">
        <v>0</v>
      </c>
      <c r="F72" s="10">
        <v>6.65</v>
      </c>
      <c r="G72" s="79">
        <v>43709</v>
      </c>
      <c r="H72" s="78" t="s">
        <v>332</v>
      </c>
      <c r="I72">
        <v>1698060</v>
      </c>
      <c r="J72" s="79">
        <v>43714</v>
      </c>
      <c r="K72" s="78" t="s">
        <v>321</v>
      </c>
      <c r="N72" s="78" t="s">
        <v>20</v>
      </c>
      <c r="O72" s="78" t="s">
        <v>170</v>
      </c>
    </row>
    <row r="73" spans="1:15" x14ac:dyDescent="0.25">
      <c r="A73" s="78" t="s">
        <v>16</v>
      </c>
      <c r="B73">
        <v>19544</v>
      </c>
      <c r="C73" s="78" t="s">
        <v>326</v>
      </c>
      <c r="D73" s="10">
        <v>0</v>
      </c>
      <c r="F73" s="10">
        <v>1.82</v>
      </c>
      <c r="G73" s="79">
        <v>43709</v>
      </c>
      <c r="H73" s="78" t="s">
        <v>327</v>
      </c>
      <c r="I73">
        <v>1698060</v>
      </c>
      <c r="J73" s="79">
        <v>43714</v>
      </c>
      <c r="K73" s="78" t="s">
        <v>321</v>
      </c>
      <c r="N73" s="78" t="s">
        <v>20</v>
      </c>
      <c r="O73" s="78" t="s">
        <v>170</v>
      </c>
    </row>
    <row r="74" spans="1:15" x14ac:dyDescent="0.25">
      <c r="A74" s="78" t="s">
        <v>16</v>
      </c>
      <c r="B74">
        <v>19544</v>
      </c>
      <c r="C74" s="78" t="s">
        <v>326</v>
      </c>
      <c r="D74" s="10">
        <v>0</v>
      </c>
      <c r="F74" s="10">
        <v>1.93</v>
      </c>
      <c r="G74" s="79">
        <v>43709</v>
      </c>
      <c r="H74" s="78" t="s">
        <v>328</v>
      </c>
      <c r="I74">
        <v>1698060</v>
      </c>
      <c r="J74" s="79">
        <v>43714</v>
      </c>
      <c r="K74" s="78" t="s">
        <v>321</v>
      </c>
      <c r="N74" s="78" t="s">
        <v>20</v>
      </c>
      <c r="O74" s="78" t="s">
        <v>170</v>
      </c>
    </row>
    <row r="75" spans="1:15" x14ac:dyDescent="0.25">
      <c r="A75" s="78" t="s">
        <v>16</v>
      </c>
      <c r="B75">
        <v>19544</v>
      </c>
      <c r="C75" s="78" t="s">
        <v>326</v>
      </c>
      <c r="D75" s="10">
        <v>0</v>
      </c>
      <c r="F75" s="10">
        <v>46.41</v>
      </c>
      <c r="G75" s="79">
        <v>43709</v>
      </c>
      <c r="H75" s="78" t="s">
        <v>329</v>
      </c>
      <c r="I75">
        <v>1698060</v>
      </c>
      <c r="J75" s="79">
        <v>43714</v>
      </c>
      <c r="K75" s="78" t="s">
        <v>321</v>
      </c>
      <c r="N75" s="78" t="s">
        <v>20</v>
      </c>
      <c r="O75" s="78" t="s">
        <v>170</v>
      </c>
    </row>
    <row r="76" spans="1:15" x14ac:dyDescent="0.25">
      <c r="A76" s="78" t="s">
        <v>16</v>
      </c>
      <c r="B76">
        <v>19544</v>
      </c>
      <c r="C76" s="78" t="s">
        <v>326</v>
      </c>
      <c r="D76" s="10">
        <v>0</v>
      </c>
      <c r="F76" s="10">
        <v>51.6</v>
      </c>
      <c r="G76" s="79">
        <v>43709</v>
      </c>
      <c r="H76" s="78" t="s">
        <v>330</v>
      </c>
      <c r="I76">
        <v>1698060</v>
      </c>
      <c r="J76" s="79">
        <v>43714</v>
      </c>
      <c r="K76" s="78" t="s">
        <v>321</v>
      </c>
      <c r="N76" s="78" t="s">
        <v>20</v>
      </c>
      <c r="O76" s="78" t="s">
        <v>170</v>
      </c>
    </row>
    <row r="77" spans="1:15" x14ac:dyDescent="0.25">
      <c r="A77" s="78" t="s">
        <v>16</v>
      </c>
      <c r="B77">
        <v>19544</v>
      </c>
      <c r="C77" s="78" t="s">
        <v>326</v>
      </c>
      <c r="D77" s="10">
        <v>0</v>
      </c>
      <c r="F77" s="10">
        <v>48.97</v>
      </c>
      <c r="G77" s="79">
        <v>43709</v>
      </c>
      <c r="H77" s="78" t="s">
        <v>332</v>
      </c>
      <c r="I77">
        <v>1698060</v>
      </c>
      <c r="J77" s="79">
        <v>43714</v>
      </c>
      <c r="K77" s="78" t="s">
        <v>321</v>
      </c>
      <c r="N77" s="78" t="s">
        <v>20</v>
      </c>
      <c r="O77" s="78" t="s">
        <v>170</v>
      </c>
    </row>
    <row r="78" spans="1:15" x14ac:dyDescent="0.25">
      <c r="A78" s="78" t="s">
        <v>16</v>
      </c>
      <c r="B78">
        <v>19544</v>
      </c>
      <c r="C78" s="78" t="s">
        <v>326</v>
      </c>
      <c r="D78" s="10">
        <v>0</v>
      </c>
      <c r="F78" s="10">
        <v>5.42</v>
      </c>
      <c r="G78" s="79">
        <v>43709</v>
      </c>
      <c r="H78" s="78" t="s">
        <v>333</v>
      </c>
      <c r="I78">
        <v>1698060</v>
      </c>
      <c r="J78" s="79">
        <v>43714</v>
      </c>
      <c r="K78" s="78" t="s">
        <v>321</v>
      </c>
      <c r="N78" s="78" t="s">
        <v>20</v>
      </c>
      <c r="O78" s="78" t="s">
        <v>170</v>
      </c>
    </row>
    <row r="79" spans="1:15" x14ac:dyDescent="0.25">
      <c r="A79" s="78" t="s">
        <v>335</v>
      </c>
      <c r="D79" s="10">
        <v>0</v>
      </c>
      <c r="F79" s="10">
        <v>564.17999999999995</v>
      </c>
    </row>
    <row r="80" spans="1:15" x14ac:dyDescent="0.25">
      <c r="A80" s="78" t="s">
        <v>336</v>
      </c>
    </row>
    <row r="81" spans="1:15" x14ac:dyDescent="0.25">
      <c r="A81" s="78" t="s">
        <v>337</v>
      </c>
      <c r="B81">
        <v>1327444</v>
      </c>
      <c r="C81" s="78" t="s">
        <v>338</v>
      </c>
      <c r="D81" s="10">
        <v>60</v>
      </c>
      <c r="E81" s="10">
        <v>0.76</v>
      </c>
      <c r="F81" s="10">
        <v>45.6</v>
      </c>
      <c r="G81" s="79">
        <v>43723</v>
      </c>
      <c r="H81" s="78" t="s">
        <v>339</v>
      </c>
      <c r="I81">
        <v>1700419</v>
      </c>
      <c r="J81" s="79">
        <v>43725</v>
      </c>
      <c r="K81" s="78" t="s">
        <v>222</v>
      </c>
      <c r="N81" s="78" t="s">
        <v>20</v>
      </c>
      <c r="O81" s="78" t="s">
        <v>170</v>
      </c>
    </row>
    <row r="82" spans="1:15" x14ac:dyDescent="0.25">
      <c r="A82" s="78" t="s">
        <v>337</v>
      </c>
      <c r="B82">
        <v>1327444</v>
      </c>
      <c r="C82" s="78" t="s">
        <v>338</v>
      </c>
      <c r="D82" s="10">
        <v>10</v>
      </c>
      <c r="E82" s="10">
        <v>0.76</v>
      </c>
      <c r="F82" s="10">
        <v>7.6</v>
      </c>
      <c r="G82" s="79">
        <v>43723</v>
      </c>
      <c r="H82" s="78" t="s">
        <v>339</v>
      </c>
      <c r="I82">
        <v>1700419</v>
      </c>
      <c r="J82" s="79">
        <v>43725</v>
      </c>
      <c r="K82" s="78" t="s">
        <v>222</v>
      </c>
      <c r="N82" s="78" t="s">
        <v>20</v>
      </c>
      <c r="O82" s="78" t="s">
        <v>170</v>
      </c>
    </row>
    <row r="83" spans="1:15" x14ac:dyDescent="0.25">
      <c r="A83" s="78" t="s">
        <v>337</v>
      </c>
      <c r="B83">
        <v>1327444</v>
      </c>
      <c r="C83" s="78" t="s">
        <v>338</v>
      </c>
      <c r="D83" s="10">
        <v>35</v>
      </c>
      <c r="E83" s="10">
        <v>0.76</v>
      </c>
      <c r="F83" s="10">
        <v>26.6</v>
      </c>
      <c r="G83" s="79">
        <v>43723</v>
      </c>
      <c r="H83" s="78" t="s">
        <v>339</v>
      </c>
      <c r="I83">
        <v>1700419</v>
      </c>
      <c r="J83" s="79">
        <v>43725</v>
      </c>
      <c r="K83" s="78" t="s">
        <v>222</v>
      </c>
      <c r="N83" s="78" t="s">
        <v>20</v>
      </c>
      <c r="O83" s="78" t="s">
        <v>170</v>
      </c>
    </row>
    <row r="84" spans="1:15" x14ac:dyDescent="0.25">
      <c r="A84" s="78" t="s">
        <v>340</v>
      </c>
      <c r="D84" s="10">
        <v>105</v>
      </c>
      <c r="F84" s="10">
        <v>79.8</v>
      </c>
    </row>
    <row r="85" spans="1:15" x14ac:dyDescent="0.25">
      <c r="A85" s="78" t="s">
        <v>30</v>
      </c>
      <c r="F85" s="10">
        <f>-576033.5-F93</f>
        <v>419239.07999999996</v>
      </c>
    </row>
    <row r="87" spans="1:15" x14ac:dyDescent="0.25">
      <c r="E87" s="81" t="s">
        <v>341</v>
      </c>
      <c r="F87" s="10">
        <f>'[1]Query Saved As Values'!S60</f>
        <v>419239.08</v>
      </c>
    </row>
    <row r="88" spans="1:15" x14ac:dyDescent="0.25">
      <c r="E88" s="81" t="s">
        <v>342</v>
      </c>
      <c r="F88" s="82">
        <f>F85-F87</f>
        <v>0</v>
      </c>
    </row>
    <row r="90" spans="1:15" x14ac:dyDescent="0.25">
      <c r="A90" s="83" t="s">
        <v>383</v>
      </c>
    </row>
    <row r="92" spans="1:15" x14ac:dyDescent="0.25">
      <c r="A92" s="83" t="s">
        <v>384</v>
      </c>
    </row>
    <row r="93" spans="1:15" x14ac:dyDescent="0.25">
      <c r="A93" s="78" t="s">
        <v>231</v>
      </c>
      <c r="B93">
        <v>1329981</v>
      </c>
      <c r="C93" s="78" t="s">
        <v>230</v>
      </c>
      <c r="D93" s="10">
        <v>0</v>
      </c>
      <c r="F93" s="10">
        <v>-995272.58</v>
      </c>
      <c r="G93" s="79">
        <v>43738</v>
      </c>
      <c r="H93" s="78" t="s">
        <v>229</v>
      </c>
      <c r="I93">
        <v>1707219</v>
      </c>
      <c r="J93" s="79">
        <v>43745</v>
      </c>
      <c r="K93" s="78" t="s">
        <v>228</v>
      </c>
      <c r="N93" s="78" t="s">
        <v>20</v>
      </c>
      <c r="O93" s="78" t="s">
        <v>170</v>
      </c>
    </row>
  </sheetData>
  <pageMargins left="0.75" right="0.75" top="1" bottom="1" header="0.5" footer="0.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4C2A143B775EEB47B26371B22E6028EB" ma:contentTypeVersion="48" ma:contentTypeDescription="" ma:contentTypeScope="" ma:versionID="57225535d4ae0bfbfa2efb1b5fb9ed5c">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2019-03-29T07:00:00+00:00</OpenedDate>
    <SignificantOrder xmlns="dc463f71-b30c-4ab2-9473-d307f9d35888">false</SignificantOrder>
    <Date1 xmlns="dc463f71-b30c-4ab2-9473-d307f9d35888">2020-02-13T08:00:00+00:00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190210</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FEECF890-DA60-4F2A-A0CE-741FAEB8FE79}"/>
</file>

<file path=customXml/itemProps2.xml><?xml version="1.0" encoding="utf-8"?>
<ds:datastoreItem xmlns:ds="http://schemas.openxmlformats.org/officeDocument/2006/customXml" ds:itemID="{C8C7E9AB-514F-4B01-8089-5775DD2D6522}"/>
</file>

<file path=customXml/itemProps3.xml><?xml version="1.0" encoding="utf-8"?>
<ds:datastoreItem xmlns:ds="http://schemas.openxmlformats.org/officeDocument/2006/customXml" ds:itemID="{A30B1205-14B1-410B-9F80-CA33E56C2EB2}"/>
</file>

<file path=customXml/itemProps4.xml><?xml version="1.0" encoding="utf-8"?>
<ds:datastoreItem xmlns:ds="http://schemas.openxmlformats.org/officeDocument/2006/customXml" ds:itemID="{49C0C21A-0C18-4161-A98C-B898A6D03E3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2019 Rate Calculation</vt:lpstr>
      <vt:lpstr>Query Saved As Values</vt:lpstr>
      <vt:lpstr>WO 256583 01-2019</vt:lpstr>
      <vt:lpstr>WO 252854 01-2019</vt:lpstr>
      <vt:lpstr>09-19 WO 265881</vt:lpstr>
      <vt:lpstr>09-19 WO 265880</vt:lpstr>
      <vt:lpstr>'Query Saved As Values'!Print_Area</vt:lpstr>
      <vt:lpstr>'Query Saved As Values'!Print_Titles</vt:lpstr>
    </vt:vector>
  </TitlesOfParts>
  <Company>MDU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Wanner, CNGC</dc:creator>
  <cp:lastModifiedBy>Peters, Maryalice</cp:lastModifiedBy>
  <cp:lastPrinted>2019-09-30T21:42:09Z</cp:lastPrinted>
  <dcterms:created xsi:type="dcterms:W3CDTF">2019-05-29T23:47:01Z</dcterms:created>
  <dcterms:modified xsi:type="dcterms:W3CDTF">2020-02-12T18:31:12Z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0x0101006E56B4D1795A2E4DB2F0B01679ED314A004C2A143B775EEB47B26371B22E6028EB</vt:lpwstr>
  </property>
  <property fmtid="{D5CDD505-2E9C-101B-9397-08002B2CF9AE}" pid="3" name="_docset_NoMedatataSyncRequired">
    <vt:lpwstr>False</vt:lpwstr>
  </property>
  <property fmtid="{D5CDD505-2E9C-101B-9397-08002B2CF9AE}" pid="4" name="IsEFSEC">
    <vt:bool>false</vt:bool>
  </property>
</Properties>
</file>