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2"/>
  </bookViews>
  <sheets>
    <sheet name="Sch 1" sheetId="1" r:id="rId1"/>
    <sheet name="Sch 2" sheetId="2" r:id="rId2"/>
    <sheet name="Sch 3" sheetId="3" r:id="rId3"/>
    <sheet name="Sch 4" sheetId="4" r:id="rId4"/>
    <sheet name="Sch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1_94_12_94">'[26]DT_A_DOL93'!#REF!</definedName>
    <definedName name="_1_95_12_95">'[26]DT_A_DOL93'!#REF!</definedName>
    <definedName name="_1_96_12_96">'[26]DT_A_DOL93'!#REF!</definedName>
    <definedName name="_1_97_12_97">'[26]DT_A_DOL93'!#REF!</definedName>
    <definedName name="_1_98_12_98">'[26]DT_A_DOL93'!#REF!</definedName>
    <definedName name="_End">'[27]BS'!#REF!</definedName>
    <definedName name="_Fill">#REF!</definedName>
    <definedName name="_Filter">#REF!</definedName>
    <definedName name="_Order1" hidden="1">255</definedName>
    <definedName name="_Order2" hidden="1">255</definedName>
    <definedName name="AccessDatabase" hidden="1">"I:\COMTREL\FINICLE\TradeSummary.mdb"</definedName>
    <definedName name="accrual">'[39]Sheet2'!#REF!</definedName>
    <definedName name="accrual2">'[39]Sheet2'!#REF!</definedName>
    <definedName name="accrual3">'[39]Sheet2'!#REF!</definedName>
    <definedName name="Acq1Plant">'[3]Acquisition Inputs'!$C$8</definedName>
    <definedName name="Acq2Plant">'[3]Acquisition Inputs'!$C$70</definedName>
    <definedName name="afudcrate">#REF!</definedName>
    <definedName name="afudctaxbasis">#REF!</definedName>
    <definedName name="AlphaTest">'[1]Resources'!$M$69:$M$73</definedName>
    <definedName name="Amort">'[21]DATA'!$AA$5:$AB$173,'[21]DATA'!$D$5:$D$173,'[21]DATA'!$A$5:$A$38,'[21]DATA'!$A$39:$A$124,'[21]DATA'!$A$125:$A$151,'[21]DATA'!$A$152:$A$173</definedName>
    <definedName name="apeek">#REF!</definedName>
    <definedName name="Apr03AMA">'[28]BS C&amp;L'!#REF!</definedName>
    <definedName name="Apr04">'[11]BS'!$U$7:$U$3582</definedName>
    <definedName name="Apr04AMA">'[11]BS'!$AG$7:$AG$3582</definedName>
    <definedName name="Apr05">'[27]BS'!#REF!</definedName>
    <definedName name="Apr05AMA">'[27]BS'!#REF!</definedName>
    <definedName name="aquila_lookup">'[14]Cabot Gas Replacement'!$B$8:$F$16</definedName>
    <definedName name="Asset_Class_Switch">'[16]Assumptions'!$D$5</definedName>
    <definedName name="Assume_Percent_Change">#REF!</definedName>
    <definedName name="Aug03AMA">'[28]BS C&amp;L'!#REF!</definedName>
    <definedName name="Aug04">'[11]BS'!$Y$7:$Y$3582</definedName>
    <definedName name="Aug04AMA">'[11]BS'!$AK$7:$AK$3582</definedName>
    <definedName name="Aug05">'[27]BS'!#REF!</definedName>
    <definedName name="Aug05AMA">'[27]BS'!#REF!</definedName>
    <definedName name="augcf">#REF!</definedName>
    <definedName name="augcost">#REF!</definedName>
    <definedName name="Aurora_Prices">"Monthly Price Summary'!$C$4:$H$63"</definedName>
    <definedName name="B" localSheetId="3">{#N/A,#N/A,FALSE,"Coversheet";#N/A,#N/A,FALSE,"QA"}</definedName>
    <definedName name="B">{#N/A,#N/A,FALSE,"Coversheet";#N/A,#N/A,FALSE,"QA"}</definedName>
    <definedName name="BADDEBT">#REF!</definedName>
    <definedName name="bal">'[39]Sheet2'!#REF!</definedName>
    <definedName name="balance">'[39]Sheet2'!#REF!</definedName>
    <definedName name="BD">#REF!</definedName>
    <definedName name="BEP">#REF!</definedName>
    <definedName name="BidPrice">'[18]General Inputs'!$I$8</definedName>
    <definedName name="BottomRight">#REF!</definedName>
    <definedName name="BPARedirect">'[18]General Inputs'!$I$5</definedName>
    <definedName name="bpatoggle">#REF!</definedName>
    <definedName name="BRI">#REF!</definedName>
    <definedName name="BS_Accounts">#REF!</definedName>
    <definedName name="Button_1">"TradeSummary_Ken_Finicle_List"</definedName>
    <definedName name="Capacity">#REF!</definedName>
    <definedName name="CapEx_AFUDC">'[18]CapEx'!$B$26</definedName>
    <definedName name="CapEx_Contingency">'[18]CapEx'!#REF!</definedName>
    <definedName name="CapEx_Facility">'[18]CapEx'!$B$2</definedName>
    <definedName name="CapEx_Improvements">'[18]CapEx'!$B$8</definedName>
    <definedName name="CapEx_Land">'[18]CapEx'!#REF!</definedName>
    <definedName name="CapEx_PropertyTax">'[18]CapEx'!$B$23</definedName>
    <definedName name="CapEx_REET">'[18]CapEx'!$B$7</definedName>
    <definedName name="CapEx_Sensitivity">'[18]CapEx'!$B$25</definedName>
    <definedName name="CapEx_SnoPUD">'[18]CapEx'!$B$24</definedName>
    <definedName name="CapEx_Spares">'[18]CapEx'!#REF!</definedName>
    <definedName name="CapEx_Total">'[18]CapEx'!$B$27</definedName>
    <definedName name="CapEx_TransAndDD">'[18]CapEx'!$B$14</definedName>
    <definedName name="capfact">#REF!</definedName>
    <definedName name="CaseDescription">'[3]Dispatch Cases'!$C$11</definedName>
    <definedName name="CCGT_HeatRate">'[3]Assumptions'!$H$23</definedName>
    <definedName name="CCGTPrice">'[3]Assumptions'!$H$22</definedName>
    <definedName name="CERAArray">'[18]General Inputs'!#REF!</definedName>
    <definedName name="cerarvm">#REF!</definedName>
    <definedName name="CL_RT">#REF!</definedName>
    <definedName name="CL_RT2">'[37]Transp Data'!$A$6:$C$81</definedName>
    <definedName name="Classification">#REF!</definedName>
    <definedName name="clawback">#REF!</definedName>
    <definedName name="close">#REF!</definedName>
    <definedName name="ClosingDate">'[18]General Inputs'!$E$4</definedName>
    <definedName name="cod">#REF!</definedName>
    <definedName name="COLHOUSE">#REF!</definedName>
    <definedName name="COLXFER">#REF!</definedName>
    <definedName name="CombWC_LineItem">'[27]BS'!#REF!</definedName>
    <definedName name="COMMON_ADMIN_ALLOCATED">#REF!</definedName>
    <definedName name="COMPINSR">#REF!</definedName>
    <definedName name="CONSERV">#REF!</definedName>
    <definedName name="constructcont">#REF!</definedName>
    <definedName name="Consv_Rdr_Rt">'[38]Sch_120'!#REF!</definedName>
    <definedName name="cont">'[39]Sheet2'!#REF!</definedName>
    <definedName name="ContractDate">'[7]Dispatch Cases'!#REF!</definedName>
    <definedName name="Conv_Factor">'[38]Sch_120'!#REF!</definedName>
    <definedName name="ConversionFactor">'[3]Assumptions'!$I$65</definedName>
    <definedName name="CONVFACT">#REF!</definedName>
    <definedName name="CopyPaste_Formula_for_Power">#REF!</definedName>
    <definedName name="CopyPaste_Value_Gas">#REF!</definedName>
    <definedName name="costofequit">#REF!</definedName>
    <definedName name="CPI">#REF!</definedName>
    <definedName name="Credit_Toggle">#REF!</definedName>
    <definedName name="cspe_wkly_vect_input">#REF!</definedName>
    <definedName name="cust">#REF!</definedName>
    <definedName name="CUSTDEP">#REF!</definedName>
    <definedName name="D">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>#REF!</definedName>
    <definedName name="data1">#REF!</definedName>
    <definedName name="DataEntry_for_Power">#REF!</definedName>
    <definedName name="daveisroyescal">#REF!</definedName>
    <definedName name="daviesroyprice">#REF!</definedName>
    <definedName name="day_to_day_change">#REF!</definedName>
    <definedName name="debtforce">#REF!</definedName>
    <definedName name="debtperc">#REF!</definedName>
    <definedName name="Dec03">'[12]BS'!$T$7:$T$3582</definedName>
    <definedName name="Dec03AMA">'[12]BS'!$AJ$7:$AJ$3582</definedName>
    <definedName name="Dec04">'[11]BS'!$AC$7:$AC$3580</definedName>
    <definedName name="Dec04AMA">'[11]BS'!$AO$7:$AO$3582</definedName>
    <definedName name="Dec05">#REF!</definedName>
    <definedName name="Dec05AMA">#REF!</definedName>
    <definedName name="Degree_Days">#REF!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hidden="1">{#N/A,#N/A,FALSE,"Coversheet";#N/A,#N/A,FALSE,"QA"}</definedName>
    <definedName name="Depreciation">#REF!</definedName>
    <definedName name="devfee">#REF!</definedName>
    <definedName name="DF_HeatRate">'[3]Assumptions'!$L$23</definedName>
    <definedName name="DFIT" localSheetId="3" hidden="1">{#N/A,#N/A,FALSE,"Coversheet";#N/A,#N/A,FALSE,"QA"}</definedName>
    <definedName name="DFIT" hidden="1">{#N/A,#N/A,FALSE,"Coversheet";#N/A,#N/A,FALSE,"QA"}</definedName>
    <definedName name="Disc">'[7]Debt Amortization'!#REF!</definedName>
    <definedName name="Discount_for_Revenue_Reqmt">'[13]Assumptions of Purchase'!$B$45</definedName>
    <definedName name="DOCKET">#REF!</definedName>
    <definedName name="DST2">#REF!</definedName>
    <definedName name="DurPTC">#REF!</definedName>
    <definedName name="Electp1">#REF!</definedName>
    <definedName name="Electp2">#REF!</definedName>
    <definedName name="Electric_Prices">'[9]Monthly Price Summary'!$B$4:$E$27</definedName>
    <definedName name="ElecWC_LineItems">'[27]BS'!#REF!</definedName>
    <definedName name="ElRBLine">'[11]BS'!$AQ$7:$AQ$3303</definedName>
    <definedName name="EMPLBENE">#REF!</definedName>
    <definedName name="EndDate">'[3]Assumptions'!$C$11</definedName>
    <definedName name="endptcyr">#REF!</definedName>
    <definedName name="enxco2005">#REF!</definedName>
    <definedName name="enxcoescal">#REF!</definedName>
    <definedName name="enxcoownperc">#REF!</definedName>
    <definedName name="epcfee">#REF!</definedName>
    <definedName name="equitperc">#REF!</definedName>
    <definedName name="EquityPerc">'[18]Revenue Calculation'!$I$3</definedName>
    <definedName name="estrateRES">#REF!</definedName>
    <definedName name="FACTORS">#REF!</definedName>
    <definedName name="Feb03AMA">'[28]BS C&amp;L'!#REF!</definedName>
    <definedName name="Feb04">'[11]BS'!$S$7:$S$3582</definedName>
    <definedName name="Feb04AMA">'[11]BS'!$AE$7:$AE$3582</definedName>
    <definedName name="Feb05">'[27]BS'!#REF!</definedName>
    <definedName name="Feb05AMA">'[27]BS'!#REF!</definedName>
    <definedName name="Fed_Cap_Tax">'[5]Inputs'!$E$112</definedName>
    <definedName name="FedTaxRate">'[3]Assumptions'!$C$33</definedName>
    <definedName name="FERC_Lookup">'[17]Map Table'!$E$2:$F$58</definedName>
    <definedName name="FERCRATE">#REF!</definedName>
    <definedName name="FF">#REF!</definedName>
    <definedName name="FFHAtClosing">'[18]General Inputs'!$E$14</definedName>
    <definedName name="FIELDCHRG">#REF!</definedName>
    <definedName name="Final">#REF!</definedName>
    <definedName name="firstptcyr">#REF!</definedName>
    <definedName name="FirstYearAssessment">'[18]General Inputs'!$E$26</definedName>
    <definedName name="firstyearmonths">#REF!</definedName>
    <definedName name="FirstYearofStratPlan">'[1]Resources'!$E$69</definedName>
    <definedName name="FIT">#REF!</definedName>
    <definedName name="FITRate">'[18]General Inputs'!$E$19</definedName>
    <definedName name="fixedtrans">#REF!</definedName>
    <definedName name="FlexPlanCapacity">'[19]Menu'!$B$13</definedName>
    <definedName name="fpldebt">#REF!</definedName>
    <definedName name="FPLequit">#REF!</definedName>
    <definedName name="Fuel">#REF!</definedName>
    <definedName name="GasRBLine">'[11]BS'!$AS$7:$AS$3631</definedName>
    <definedName name="GasTransCost">'[1]Resources'!$D$77</definedName>
    <definedName name="GasWC_LineItem">'[11]BS'!$AR$7:$AR$3631</definedName>
    <definedName name="GDPIP">#REF!</definedName>
    <definedName name="GDPIPArray">'[18]General Inputs'!$E$39:$AF$39</definedName>
    <definedName name="GeoDate">'[7]Dispatch Cases'!#REF!</definedName>
    <definedName name="gpdip">#REF!</definedName>
    <definedName name="graph">#REF!</definedName>
    <definedName name="GRCUpdate">'[18]General Inputs'!$I$6</definedName>
    <definedName name="HEADER2">#REF!</definedName>
    <definedName name="Heatrate_DF">'[18]General Inputs'!$E$12</definedName>
    <definedName name="Heatrate_Primary">'[18]General Inputs'!$E$11</definedName>
    <definedName name="HoursInServiceAtClosing">'[18]General Inputs'!$E$15</definedName>
    <definedName name="HRAccumDep">'[33]JHS-4 Adjstmts'!#REF!</definedName>
    <definedName name="HRDepExp">'[33]JHS-4 Adjstmts'!#REF!</definedName>
    <definedName name="HRDFIT">'[33]JHS-4 Adjstmts'!#REF!</definedName>
    <definedName name="HRGrossPlant">'[33]JHS-4 Adjstmts'!#REF!</definedName>
    <definedName name="HRPrdctnOM">'[33]JHS-4 Adjstmts'!#REF!</definedName>
    <definedName name="HRPropIns">'[33]JHS-4 Adjstmts'!#REF!</definedName>
    <definedName name="HRPropTax">'[33]JHS-4 Adjstmts'!#REF!</definedName>
    <definedName name="HRPwrCsts">'[33]JHS-4 Adjstmts'!#REF!</definedName>
    <definedName name="HydroCap">#REF!</definedName>
    <definedName name="HydroGen">'[7]Dispatch'!#REF!</definedName>
    <definedName name="IDCRATE">#REF!</definedName>
    <definedName name="if">'[20]General Inputs'!$E$9</definedName>
    <definedName name="inact">#REF!</definedName>
    <definedName name="INCSTMNT">#REF!</definedName>
    <definedName name="INCSTMT">#REF!</definedName>
    <definedName name="inflat">#REF!</definedName>
    <definedName name="inflatCERA">#REF!</definedName>
    <definedName name="Inflation">'[1]Resources'!$E$68</definedName>
    <definedName name="INGRID">'[32]RI1 55 - 97B'!#REF!</definedName>
    <definedName name="INT">#REF!</definedName>
    <definedName name="INTRESEXCH">#REF!</definedName>
    <definedName name="INVPLAN">#REF!</definedName>
    <definedName name="Jan03AMA">'[28]BS C&amp;L'!#REF!</definedName>
    <definedName name="Jan04">'[11]BS'!$R$7:$R$3582</definedName>
    <definedName name="Jan04AMA">'[11]BS'!$AD$7:$AD$3582</definedName>
    <definedName name="Jan05">'[27]BS'!#REF!</definedName>
    <definedName name="Jan05AMA">'[27]BS'!#REF!</definedName>
    <definedName name="Jan06">'[41]BS'!#REF!</definedName>
    <definedName name="Jan06AMA">'[41]BS'!#REF!</definedName>
    <definedName name="Jul03AMA">'[28]BS C&amp;L'!#REF!</definedName>
    <definedName name="Jul04">'[11]BS'!$X$7:$X$3582</definedName>
    <definedName name="Jul04AMA">'[11]BS'!$AJ$7:$AJ$3582</definedName>
    <definedName name="Jul05">'[27]BS'!#REF!</definedName>
    <definedName name="Jul05AMA">'[27]BS'!#REF!</definedName>
    <definedName name="julcf">#REF!</definedName>
    <definedName name="julcost">#REF!</definedName>
    <definedName name="Jun03AMA">'[28]BS C&amp;L'!#REF!</definedName>
    <definedName name="Jun04">'[11]BS'!$W$7:$W$3582</definedName>
    <definedName name="Jun04AMA">'[11]BS'!$AI$7:$AI$3582</definedName>
    <definedName name="Jun05">'[27]BS'!#REF!</definedName>
    <definedName name="Jun05AMA">'[27]BS'!#REF!</definedName>
    <definedName name="KickOffDate">'[18]General Inputs'!$E$3</definedName>
    <definedName name="LATEPAY">#REF!</definedName>
    <definedName name="Lease_total">#REF!</definedName>
    <definedName name="LevelizedCost">'[18]Revenue Calculation'!$I$8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'[8]Load Source Data'!$C$78:$X$89</definedName>
    <definedName name="LoadGrowthAdder">#REF!</definedName>
    <definedName name="LTSACoverage">'[18]General Inputs'!$I$7</definedName>
    <definedName name="M">#REF!</definedName>
    <definedName name="manutaxfit">#REF!</definedName>
    <definedName name="Mar03AMA">'[28]BS C&amp;L'!#REF!</definedName>
    <definedName name="Mar04">'[11]BS'!$T$7:$T$3582</definedName>
    <definedName name="Mar04AMA">'[11]BS'!$AF$7:$AF$3582</definedName>
    <definedName name="Mar05">'[27]BS'!#REF!</definedName>
    <definedName name="Mar05AMA">'[27]BS'!#REF!</definedName>
    <definedName name="MatDate2">#REF!</definedName>
    <definedName name="MaxBid">'[18]CapEx'!$B$32</definedName>
    <definedName name="May03AMA">'[28]BS C&amp;L'!#REF!</definedName>
    <definedName name="May04">'[11]BS'!$V$7:$V$3582</definedName>
    <definedName name="May04AMA">'[11]BS'!$AH$7:$AH$3582</definedName>
    <definedName name="May05">'[27]BS'!#REF!</definedName>
    <definedName name="May05AMA">'[27]BS'!#REF!</definedName>
    <definedName name="mcnarycost">#REF!</definedName>
    <definedName name="mcnarytoggle">#REF!</definedName>
    <definedName name="median_energy">#REF!</definedName>
    <definedName name="MERGER_COST">'[25]Sheet1'!$AF$3:$AJ$28</definedName>
    <definedName name="MISCELLANEOUS">#REF!</definedName>
    <definedName name="MMRecovery">'[18]General Inputs'!$I$9</definedName>
    <definedName name="MonthsInFirstYear">'[18]General Inputs'!$E$5</definedName>
    <definedName name="MonthsOfTransaction">'[18]General Inputs'!$E$6</definedName>
    <definedName name="MonTotalDispatch">'[7]Dispatch'!#REF!</definedName>
    <definedName name="MT">#REF!</definedName>
    <definedName name="MTD_Format">'[34]Mthly'!$B$11:$D$11,'[34]Mthly'!$B$35:$D$35</definedName>
    <definedName name="MustRunGen">'[7]Dispatch'!#REF!</definedName>
    <definedName name="Mwh">#REF!</definedName>
    <definedName name="mwh2">#REF!</definedName>
    <definedName name="mwhoutlookdata">'[23]pivoted data'!$D$3:$R$42</definedName>
    <definedName name="nameplate">#REF!</definedName>
    <definedName name="Nameplate_DF">'[18]General Inputs'!$E$10</definedName>
    <definedName name="Nameplate_Primary">'[18]General Inputs'!$E$9</definedName>
    <definedName name="non_AURORA_lookup">#REF!</definedName>
    <definedName name="non_core_lookup">#REF!</definedName>
    <definedName name="nonrefundtrans">#REF!</definedName>
    <definedName name="Nov03">'[12]BS'!$S$7:$S$3582</definedName>
    <definedName name="Nov03AMA">'[12]BS'!$AI$7:$AI$3582</definedName>
    <definedName name="Nov04">'[11]BS'!$AB$7:$AB$3582</definedName>
    <definedName name="Nov04AMA">'[11]BS'!$AN$7:$AN$3582</definedName>
    <definedName name="Nov05">#REF!</definedName>
    <definedName name="Nov05AMA">#REF!</definedName>
    <definedName name="novcf">#REF!</definedName>
    <definedName name="novcost">#REF!</definedName>
    <definedName name="numturbines">#REF!</definedName>
    <definedName name="numturbptc">#REF!</definedName>
    <definedName name="NWSales_MWH">'[26]DT_A_AMW93'!#REF!</definedName>
    <definedName name="O_M_Input">'[30]MiscItems(Input)'!$B$5:$AO$8,'[30]MiscItems(Input)'!$B$13:$AO$13,'[30]MiscItems(Input)'!$B$15:$B$17,'[30]MiscItems(Input)'!$B$17:$AO$17,'[30]MiscItems(Input)'!$B$15:$AO$15</definedName>
    <definedName name="OBCLEASE">#REF!</definedName>
    <definedName name="Oct03">'[12]BS'!$R$7:$R$3582</definedName>
    <definedName name="Oct03AMA">'[12]BS'!$AH$7:$AH$3582</definedName>
    <definedName name="Oct04">'[11]BS'!$AA$7:$AA$3582</definedName>
    <definedName name="Oct04AMA">'[11]BS'!$AM$7:$AM$3582</definedName>
    <definedName name="Oct05">#REF!</definedName>
    <definedName name="Oct05AMA">#REF!</definedName>
    <definedName name="octcf">#REF!</definedName>
    <definedName name="octcost">#REF!</definedName>
    <definedName name="OMtoggle">#REF!</definedName>
    <definedName name="OP_Mo_Year1">#REF!</definedName>
    <definedName name="OPCONT">#REF!</definedName>
    <definedName name="OPEXPPF">#REF!</definedName>
    <definedName name="OPEXPRS">#REF!</definedName>
    <definedName name="outlookdata">'[23]pivoted amounts'!$D$3:$Q$90</definedName>
    <definedName name="OwnerExpSched">'[18]General Inputs'!#REF!</definedName>
    <definedName name="Page1">#REF!</definedName>
    <definedName name="Page2">#REF!</definedName>
    <definedName name="parasitic">#REF!</definedName>
    <definedName name="parasiticprice">#REF!</definedName>
    <definedName name="PAY">#REF!</definedName>
    <definedName name="pcorc">'[24]Exhibit A-1 Original'!$A$77</definedName>
    <definedName name="peak_new_table">'[15]2008 Extreme Peaks - 080403'!$E$5:$AD$8</definedName>
    <definedName name="peak_table">'[15]Peaks-F01'!$C$5:$E$243</definedName>
    <definedName name="PEBBLE">#REF!</definedName>
    <definedName name="percdebtcov">#REF!</definedName>
    <definedName name="Percent_debt">'[5]Inputs'!$E$129</definedName>
    <definedName name="PERCENTAGES_CALCULATED">#REF!</definedName>
    <definedName name="PercPerProp">'[18]General Inputs'!#REF!</definedName>
    <definedName name="percpersonal">#REF!</definedName>
    <definedName name="percreal">#REF!</definedName>
    <definedName name="PercRealProp">'[18]General Inputs'!#REF!</definedName>
    <definedName name="PerPropAdjust">'[18]General Inputs'!$E$22</definedName>
    <definedName name="personalproptaxadjust">#REF!</definedName>
    <definedName name="PG1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lant_Input">'[30]Plant(Input)'!$B$7:$AP$9,'[30]Plant(Input)'!$B$11,'[30]Plant(Input)'!$B$15:$AP$15,'[30]Plant(Input)'!$B$18,'[30]Plant(Input)'!$B$20:$AP$20</definedName>
    <definedName name="Plant_List">#REF!</definedName>
    <definedName name="PlantReplacementCost">'[18]General Inputs'!$E$30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'[3]Assumptions'!$I$56</definedName>
    <definedName name="pretaxequit">#REF!</definedName>
    <definedName name="PreTaxWACC">'[3]Assumptions'!$I$62</definedName>
    <definedName name="price_input_range">#REF!</definedName>
    <definedName name="PriceCaseTable">#REF!</definedName>
    <definedName name="Prices_Aurora">'[9]Monthly Price Summary'!$C$4:$H$63</definedName>
    <definedName name="PRINC">#REF!</definedName>
    <definedName name="Print_Area_MI">#REF!</definedName>
    <definedName name="Print_Area1">#REF!</definedName>
    <definedName name="_xlnm.Print_Titles" localSheetId="0">'Sch 1'!$4:$6</definedName>
    <definedName name="_xlnm.Print_Titles">#N/A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_FORMA">#REF!</definedName>
    <definedName name="PRODADJ">#REF!</definedName>
    <definedName name="Prodprop">#REF!</definedName>
    <definedName name="Production_Factor">#REF!</definedName>
    <definedName name="Projects">'[40]Sheet1'!$A$1147:$B$1887</definedName>
    <definedName name="PROPSALES">#REF!</definedName>
    <definedName name="proptaxdiscfactor">#REF!</definedName>
    <definedName name="PropTaxDiscountRate">'[18]General Inputs'!$E$24</definedName>
    <definedName name="proptaxrate">#REF!</definedName>
    <definedName name="PropTaxREET">'[18]General Inputs'!$E$27</definedName>
    <definedName name="Prov_Cap_Tax">'[5]Inputs'!$E$111</definedName>
    <definedName name="PSE">'[36]4.04'!$A$6</definedName>
    <definedName name="PSE_DR">#REF!</definedName>
    <definedName name="PSE_Pre_Tax_Equity_Rate">'[13]Assumptions of Purchase'!$B$42</definedName>
    <definedName name="PSEBPAshare">#REF!</definedName>
    <definedName name="pseownperc">#REF!</definedName>
    <definedName name="PSEPaysREET">'[18]General Inputs'!$I$4</definedName>
    <definedName name="PSEWACC">#REF!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urchasedFuel">'[18]Expenses'!#REF!</definedName>
    <definedName name="PWRCSTPF">#REF!</definedName>
    <definedName name="PWRCSTRS">#REF!</definedName>
    <definedName name="PWRCSTWP">#REF!</definedName>
    <definedName name="PWRCSTWR">#REF!</definedName>
    <definedName name="QA">'[10]IPOA2002'!#REF!</definedName>
    <definedName name="QTD_Format">'[34]QTD'!$B$11:$D$11,'[34]QTD'!$B$35:$D$35</definedName>
    <definedName name="RATE">#REF!</definedName>
    <definedName name="RATE2">'[37]Transp Data'!$A$8:$I$112</definedName>
    <definedName name="RATEBASE">#REF!</definedName>
    <definedName name="RATEBASE_U95">#REF!</definedName>
    <definedName name="RATECASE">#REF!</definedName>
    <definedName name="rating_spread_bp">#REF!</definedName>
    <definedName name="RdSch_CY">'[35]INPUT TAB'!#REF!</definedName>
    <definedName name="RdSch_PY">'[35]INPUT TAB'!#REF!</definedName>
    <definedName name="RdSch_PY2">'[35]INPUT TAB'!#REF!</definedName>
    <definedName name="reaccrual">'[39]Sheet2'!#REF!</definedName>
    <definedName name="RealPropAdjust">'[18]General Inputs'!$E$23</definedName>
    <definedName name="realproptaxadjust">#REF!</definedName>
    <definedName name="REC">#REF!</definedName>
    <definedName name="REETRate">'[18]General Inputs'!$E$20</definedName>
    <definedName name="regasset">#REF!</definedName>
    <definedName name="RES2005">#REF!</definedName>
    <definedName name="resdebt">#REF!</definedName>
    <definedName name="resepcdevcost">#REF!</definedName>
    <definedName name="RESequit">#REF!</definedName>
    <definedName name="resource_lookup">'[6]#REF'!$B$3:$C$112</definedName>
    <definedName name="RESTATING">#REF!</definedName>
    <definedName name="Results">#REF!</definedName>
    <definedName name="retain">#REF!</definedName>
    <definedName name="RETIREPLAN">#REF!</definedName>
    <definedName name="REV">#REF!</definedName>
    <definedName name="REVADJ">#REF!</definedName>
    <definedName name="Revenue">#REF!</definedName>
    <definedName name="REVREQ">#REF!</definedName>
    <definedName name="RI2">'[31]Rock Island 1'!#REF!</definedName>
    <definedName name="ROE">#REF!</definedName>
    <definedName name="ROR">#REF!</definedName>
    <definedName name="RowAvgCF">'[1]Resources'!$J$76</definedName>
    <definedName name="RowB2CF">'[1]Resources'!$J$75</definedName>
    <definedName name="RowCapCost">'[1]Resources'!$J$68</definedName>
    <definedName name="RowFOM">'[1]Resources'!$J$70</definedName>
    <definedName name="RowNIMF">'[1]Resources'!$J$72</definedName>
    <definedName name="RowNIMV">'[1]Resources'!$J$73</definedName>
    <definedName name="RowPPAPrice">'[1]Resources'!$J$74</definedName>
    <definedName name="RowVOM">'[1]Resources'!$J$71</definedName>
    <definedName name="RowY0">'[1]Resources'!$J$69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RR1ST6">#REF!</definedName>
    <definedName name="RR2ND6">#REF!</definedName>
    <definedName name="SALESRESALEP">#REF!</definedName>
    <definedName name="SALESRESALER">#REF!</definedName>
    <definedName name="salestax">#REF!</definedName>
    <definedName name="SalesTaxRate">'[18]General Inputs'!$E$21</definedName>
    <definedName name="Sch194Rlfwd">'[35]Sch94 Rlfwd'!$B$11</definedName>
    <definedName name="schedtoggle">#REF!</definedName>
    <definedName name="SecSSW_MWH">'[26]DT_A_AMW93'!#REF!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03">'[12]BS'!$Q$7:$Q$3582</definedName>
    <definedName name="Sep03AMA">'[12]BS'!$AG$7:$AG$3582</definedName>
    <definedName name="Sep04">'[11]BS'!$Z$7:$Z$3582</definedName>
    <definedName name="Sep04AMA">'[11]BS'!$AL$7:$AL$3582</definedName>
    <definedName name="Sep05">'[27]BS'!#REF!</definedName>
    <definedName name="Sep05AMA">#REF!</definedName>
    <definedName name="sepcf">#REF!</definedName>
    <definedName name="sepcost">#REF!</definedName>
    <definedName name="SetDate2">#REF!</definedName>
    <definedName name="SKAGIT">#REF!</definedName>
    <definedName name="SLFINSURANCE">#REF!</definedName>
    <definedName name="SolarDate">'[7]Dispatch Cases'!#REF!</definedName>
    <definedName name="STAFFREDUC">#REF!</definedName>
    <definedName name="StalkingHorseBid">'[18]CapEx'!$B$33</definedName>
    <definedName name="StartDate">'[3]Assumptions'!$C$9</definedName>
    <definedName name="StartupPowerValue">'[18]CapEx'!#REF!</definedName>
    <definedName name="stationserv">#REF!</definedName>
    <definedName name="STORM">#REF!</definedName>
    <definedName name="SUMMARY">#REF!</definedName>
    <definedName name="supentit_in_wkly_vect_input">#REF!</definedName>
    <definedName name="supentit_out_wkly_vect_input">#REF!</definedName>
    <definedName name="SWSales_MWH">'[26]DT_A_AMW93'!#REF!</definedName>
    <definedName name="TableName">"Dummy"</definedName>
    <definedName name="tax_exempt_spread">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#REF!</definedName>
    <definedName name="tbl_Master">#REF!</definedName>
    <definedName name="TEMPADJ">#REF!</definedName>
    <definedName name="TenaskaShare">'[7]Dispatch'!#REF!</definedName>
    <definedName name="Test">'[27]BS'!#REF!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herm_upload">#REF!</definedName>
    <definedName name="ThermalBookLife">'[3]Assumptions'!$C$25</definedName>
    <definedName name="therms">#REF!</definedName>
    <definedName name="thirdpartyIRR">#REF!</definedName>
    <definedName name="three">#REF!</definedName>
    <definedName name="Title">'[3]Assumptions'!$A$1</definedName>
    <definedName name="today">#REF!</definedName>
    <definedName name="TopLeft">#REF!</definedName>
    <definedName name="totaldebt">#REF!</definedName>
    <definedName name="totalequit">#REF!</definedName>
    <definedName name="TotalEquity">'[18]Revenue Calculation'!$I$6</definedName>
    <definedName name="TRADING_NET">'[26]DT_A_DOL93'!#REF!</definedName>
    <definedName name="tran_revenue">#REF!</definedName>
    <definedName name="trans_constraint_y_n">#REF!</definedName>
    <definedName name="transdb">#REF!</definedName>
    <definedName name="TransFixed">'[18]Expenses'!#REF!</definedName>
    <definedName name="TransVar">'[18]Expenses'!#REF!</definedName>
    <definedName name="turbinesize">#REF!</definedName>
    <definedName name="twoyrswarranty">#REF!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rtrans">#REF!</definedName>
    <definedName name="VOMEsc">'[3]Assumptions'!$C$21</definedName>
    <definedName name="WACC">'[3]Assumptions'!$I$61</definedName>
    <definedName name="WAGES">#REF!</definedName>
    <definedName name="warrantyOM">#REF!</definedName>
    <definedName name="whorn_db">#REF!</definedName>
    <definedName name="Wind_NamePlate">'[1]Wind Own'!$B$7</definedName>
    <definedName name="WindDate">'[7]Dispatch Cases'!#REF!</definedName>
    <definedName name="WindTransCost">'[1]Resources'!$D$78</definedName>
    <definedName name="WRKCAP">#REF!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wp_wkly_vect_input">#REF!</definedName>
    <definedName name="Y">#REF!</definedName>
    <definedName name="YEAR">#REF!</definedName>
    <definedName name="YearOfCostData">'[1]Resources'!$E$70</definedName>
    <definedName name="Years_evaluated">'[4]Revison Inputs'!$B$6</definedName>
    <definedName name="YTD_Format">'[34]YTD'!$B$13:$D$13,'[34]YTD'!$B$36:$D$36</definedName>
    <definedName name="zilfpldebtperc">#REF!</definedName>
    <definedName name="zilkhaepcdevcost">#REF!</definedName>
    <definedName name="zilkhaownperc">#REF!</definedName>
  </definedNames>
  <calcPr fullCalcOnLoad="1"/>
</workbook>
</file>

<file path=xl/sharedStrings.xml><?xml version="1.0" encoding="utf-8"?>
<sst xmlns="http://schemas.openxmlformats.org/spreadsheetml/2006/main" count="290" uniqueCount="153">
  <si>
    <t>Assumptions</t>
  </si>
  <si>
    <t>Asset Service Life</t>
  </si>
  <si>
    <t>Removal Cost</t>
  </si>
  <si>
    <t>Inflation Rate</t>
  </si>
  <si>
    <t>Year</t>
  </si>
  <si>
    <t>Depreciation</t>
  </si>
  <si>
    <t>TIFCA Accruals</t>
  </si>
  <si>
    <t>Nominal $</t>
  </si>
  <si>
    <t>PV Removal Cost</t>
  </si>
  <si>
    <t>Cost of Removal</t>
  </si>
  <si>
    <t>Inflation</t>
  </si>
  <si>
    <t>BOY</t>
  </si>
  <si>
    <t>EOY</t>
  </si>
  <si>
    <t>A</t>
  </si>
  <si>
    <t>B</t>
  </si>
  <si>
    <t xml:space="preserve">C </t>
  </si>
  <si>
    <t>D</t>
  </si>
  <si>
    <t>E</t>
  </si>
  <si>
    <t>F</t>
  </si>
  <si>
    <t>G</t>
  </si>
  <si>
    <t>Original Cost</t>
  </si>
  <si>
    <t>Removal</t>
  </si>
  <si>
    <t>Average</t>
  </si>
  <si>
    <t xml:space="preserve">Annual </t>
  </si>
  <si>
    <t>Difference</t>
  </si>
  <si>
    <t xml:space="preserve">Removal </t>
  </si>
  <si>
    <t>Cost</t>
  </si>
  <si>
    <t xml:space="preserve">Service </t>
  </si>
  <si>
    <t>Cost Ratio</t>
  </si>
  <si>
    <t>Allowance</t>
  </si>
  <si>
    <t>Life</t>
  </si>
  <si>
    <t>Cost Allowance</t>
  </si>
  <si>
    <t xml:space="preserve">TRANSMISSION PLANT </t>
  </si>
  <si>
    <t xml:space="preserve">STATION EQUIPMENT                   </t>
  </si>
  <si>
    <t xml:space="preserve">TOWERS AND FIXTURES                 </t>
  </si>
  <si>
    <t xml:space="preserve">POLES AND FIXTURES                  </t>
  </si>
  <si>
    <t xml:space="preserve">OVERHEAD CONDUCTORS AND DEVICES     </t>
  </si>
  <si>
    <t xml:space="preserve">UNDERGROUND CONDUCTORS AND DEVICES  </t>
  </si>
  <si>
    <t xml:space="preserve">DISTRIBUTION PLANT </t>
  </si>
  <si>
    <t xml:space="preserve">POLES, TOWERS AND FIXTURES          </t>
  </si>
  <si>
    <t xml:space="preserve">UNDERGROUND CONDUIT                 </t>
  </si>
  <si>
    <t xml:space="preserve">LINE TRANSFORMERS                   </t>
  </si>
  <si>
    <t xml:space="preserve">SERVICES                            </t>
  </si>
  <si>
    <t xml:space="preserve">METERS                              </t>
  </si>
  <si>
    <t xml:space="preserve">STREET LIGHTING AND SIGNAL SYSTEMS  </t>
  </si>
  <si>
    <t>Public Counsel Recommended Removal Cost Allowances</t>
  </si>
  <si>
    <t>Description</t>
  </si>
  <si>
    <t>Balance</t>
  </si>
  <si>
    <t>Factor</t>
  </si>
  <si>
    <t xml:space="preserve">STRUCTURES AND IMPROVEMENTS          </t>
  </si>
  <si>
    <t>Avista Corporation</t>
  </si>
  <si>
    <t>Comparison of  Proposed Removal Cost Allowances with Actual Expenditures</t>
  </si>
  <si>
    <t>TOTAL TRANSMISSION PLANT INCURRING COR</t>
  </si>
  <si>
    <t>HIGH PRESSURE SODIUM VAPOR</t>
  </si>
  <si>
    <t>TOTAL DISTRIBUTION PLANT INCURRING COR</t>
  </si>
  <si>
    <t>TOTAL TRANSMISSION AND DISTRIBUTION W/COR</t>
  </si>
  <si>
    <t>ELECTRIC PLANT</t>
  </si>
  <si>
    <t>GAS PLANT</t>
  </si>
  <si>
    <t>DISTRIBUTION PLANT</t>
  </si>
  <si>
    <t>STRUCTURES AND IMPROVEMENTS</t>
  </si>
  <si>
    <t>MAINS</t>
  </si>
  <si>
    <t>MEASURING &amp; REGULATING EQUIPMENT</t>
  </si>
  <si>
    <t>SERVICES</t>
  </si>
  <si>
    <t>METERS</t>
  </si>
  <si>
    <t>INDUSTRIAL MEASURING &amp; REGULATING EQUIPMENT</t>
  </si>
  <si>
    <t>TOTAL DISTRIBUTION PLANT</t>
  </si>
  <si>
    <t>2000-2004</t>
  </si>
  <si>
    <t>Avg Annual</t>
  </si>
  <si>
    <t xml:space="preserve"> 12/31/2004</t>
  </si>
  <si>
    <t>Avista</t>
  </si>
  <si>
    <t>Remaining</t>
  </si>
  <si>
    <t>Expired</t>
  </si>
  <si>
    <t xml:space="preserve">PV of </t>
  </si>
  <si>
    <t>Estimate</t>
  </si>
  <si>
    <t>of Removal</t>
  </si>
  <si>
    <t xml:space="preserve">Current </t>
  </si>
  <si>
    <t>@ 3%</t>
  </si>
  <si>
    <t>Mass Property  Plant Accounts</t>
  </si>
  <si>
    <t>Account Number</t>
  </si>
  <si>
    <t>2007 Avg. Balance</t>
  </si>
  <si>
    <t>$</t>
  </si>
  <si>
    <t>%</t>
  </si>
  <si>
    <t>Removing Property of Others</t>
  </si>
  <si>
    <t>Structures &amp; Improvements</t>
  </si>
  <si>
    <t xml:space="preserve">     Total</t>
  </si>
  <si>
    <t>TRANSMISSION PLANT</t>
  </si>
  <si>
    <t>Land Rights</t>
  </si>
  <si>
    <t>Station Equipment</t>
  </si>
  <si>
    <t>Towers &amp; Fixtures</t>
  </si>
  <si>
    <t>Poles &amp; Fixtures</t>
  </si>
  <si>
    <t>OH Conductor &amp; Devices</t>
  </si>
  <si>
    <t>UG Conduit</t>
  </si>
  <si>
    <t>UG Conductor &amp; Devices</t>
  </si>
  <si>
    <t>Roads &amp; Trails</t>
  </si>
  <si>
    <t>Poles, Towers &amp; Fixtures</t>
  </si>
  <si>
    <t>Line Transformers</t>
  </si>
  <si>
    <t>OH Services</t>
  </si>
  <si>
    <t>UG Services - Other</t>
  </si>
  <si>
    <t>Meters</t>
  </si>
  <si>
    <t>Street Lighting &amp; Signal Sys-Mercury Vapor</t>
  </si>
  <si>
    <t>Street Lighting &amp; Signal Sys-UG Conductor</t>
  </si>
  <si>
    <t>Street Lighting &amp; Signal Sys-Decorative</t>
  </si>
  <si>
    <t>Street Lighting &amp; Signal Sys-Sodium Vapor</t>
  </si>
  <si>
    <t>DISTRIBUTION PLANT - WASHINGTON</t>
  </si>
  <si>
    <t>UG Services - Spokane Network</t>
  </si>
  <si>
    <t>Mains</t>
  </si>
  <si>
    <t>Measuring/Regulating Station Equipment</t>
  </si>
  <si>
    <t>Measuring/Regulating City Gate Equipment</t>
  </si>
  <si>
    <t>Services</t>
  </si>
  <si>
    <t>Measuring/Regulating Industrial Equipment</t>
  </si>
  <si>
    <t>Total</t>
  </si>
  <si>
    <t>REMOVING PROPERTYOF OTHERS</t>
  </si>
  <si>
    <t>LAND RIGHTS</t>
  </si>
  <si>
    <t>UNDERGROUND CONDUIT</t>
  </si>
  <si>
    <t>UNDERGROUND CONDUCTORS</t>
  </si>
  <si>
    <t>ROADS AND TRAILS</t>
  </si>
  <si>
    <t xml:space="preserve">Book </t>
  </si>
  <si>
    <t>Reserve</t>
  </si>
  <si>
    <t>COMPRESSOR STATION EQUIPMENT</t>
  </si>
  <si>
    <t xml:space="preserve">Remaining to </t>
  </si>
  <si>
    <t>Be Recovered</t>
  </si>
  <si>
    <t>OVERHEAD SERVICES</t>
  </si>
  <si>
    <t>UNDERGROUND SERVICES - SPOKANE</t>
  </si>
  <si>
    <t>UNDERGROUND SERVICES - OTHER</t>
  </si>
  <si>
    <t>STREET LIGHTS &amp; SIGNALS - MERCURY VAPOR</t>
  </si>
  <si>
    <t>STREET LIGHTS &amp; SIGNALS - UG CONDUCTOR</t>
  </si>
  <si>
    <t>STREET LIGHTS &amp; SIGNALS - DECORATIVE</t>
  </si>
  <si>
    <t>Accrual</t>
  </si>
  <si>
    <t xml:space="preserve">Cost </t>
  </si>
  <si>
    <t>Rate</t>
  </si>
  <si>
    <t xml:space="preserve">TOTAL DISTRIBUTION PLANT </t>
  </si>
  <si>
    <t xml:space="preserve">TOTAL TRANSMISSION AND DISTRIBUTION </t>
  </si>
  <si>
    <t>TOTAL TRANSMISSION PLANT</t>
  </si>
  <si>
    <t>INDUSTRIAL MEASURING &amp; REGULATING EQPT.</t>
  </si>
  <si>
    <t>Avista Rate</t>
  </si>
  <si>
    <t>Public Counsel Rate</t>
  </si>
  <si>
    <t>Public Counsel Depreciation</t>
  </si>
  <si>
    <t>C</t>
  </si>
  <si>
    <t>Avista Utilities</t>
  </si>
  <si>
    <t>Depreciation Expense Adjustment</t>
  </si>
  <si>
    <t>Adjustment</t>
  </si>
  <si>
    <t>Present Value of $2000</t>
  </si>
  <si>
    <t xml:space="preserve">Price </t>
  </si>
  <si>
    <t>Deflator</t>
  </si>
  <si>
    <t>Constant</t>
  </si>
  <si>
    <t>Dollars</t>
  </si>
  <si>
    <t>of PV Removal</t>
  </si>
  <si>
    <t>Annual</t>
  </si>
  <si>
    <t>H</t>
  </si>
  <si>
    <t>Calculation of Depreciation Rates</t>
  </si>
  <si>
    <t>Avista Proposed Depreciation</t>
  </si>
  <si>
    <t>I</t>
  </si>
  <si>
    <t>J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</si>
</sst>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_(* #,##0.00000_);_(* \(#,##0.00000\);_(* &quot;-&quot;?????_);_(@_)"/>
    <numFmt numFmtId="177" formatCode="0.000%"/>
    <numFmt numFmtId="178" formatCode="0.0"/>
    <numFmt numFmtId="179" formatCode="_(* #,##0.00000_);_(* \(#,##0.00000\);_(* &quot;-&quot;??_);_(@_)"/>
    <numFmt numFmtId="180" formatCode="0.0000000"/>
    <numFmt numFmtId="181" formatCode="0.000000"/>
    <numFmt numFmtId="182" formatCode="_(* #,##0.0_);_(* \(#,##0.0\);_(* &quot;-&quot;?_);_(@_)"/>
    <numFmt numFmtId="183" formatCode="_(* #,##0.0_);_(* \(#,##0.0\);_(* &quot;-&quot;_);_(@_)"/>
    <numFmt numFmtId="184" formatCode="_(* ###0_);_(* \(###0\);_(* &quot;-&quot;_);_(@_)"/>
    <numFmt numFmtId="185" formatCode="d\.mmm\.yy"/>
    <numFmt numFmtId="186" formatCode="0.000"/>
    <numFmt numFmtId="187" formatCode="_(* #,##0.000000_);_(* \(#,##0.000000\);_(* &quot;-&quot;??_);_(@_)"/>
    <numFmt numFmtId="188" formatCode="###,###,###,##0.00"/>
    <numFmt numFmtId="189" formatCode="###,###,###,###,##0.00"/>
    <numFmt numFmtId="190" formatCode="##,###,###,##0.00"/>
    <numFmt numFmtId="191" formatCode="#,##0.00;[Red]\(#,##0.00\)"/>
    <numFmt numFmtId="192" formatCode="#,##0.0_);[Red]\(#,##0.0\)"/>
    <numFmt numFmtId="193" formatCode="0_);\(0\)"/>
    <numFmt numFmtId="194" formatCode="0_);[Red]\(0\)"/>
    <numFmt numFmtId="195" formatCode="###,###,##0.00"/>
    <numFmt numFmtId="196" formatCode="#,##0.0_);\(#,##0.0\)"/>
    <numFmt numFmtId="197" formatCode="0.0000"/>
    <numFmt numFmtId="198" formatCode="_(* #,##0.000_);_(* \(#,##0.000\);_(* &quot;-&quot;???_);_(@_)"/>
    <numFmt numFmtId="199" formatCode="_(* #,##0.00_);_(* \(#,##0.00\);_(* &quot;-&quot;???_);_(@_)"/>
    <numFmt numFmtId="200" formatCode="_(* #,##0.0_);_(* \(#,##0.0\);_(* &quot;-&quot;???_);_(@_)"/>
    <numFmt numFmtId="201" formatCode="_(* #,##0_);_(* \(#,##0\);_(* &quot;-&quot;???_);_(@_)"/>
    <numFmt numFmtId="202" formatCode="0.00000"/>
    <numFmt numFmtId="203" formatCode="#,##0.0000000000_);\(#,##0.0000000000\)"/>
    <numFmt numFmtId="204" formatCode="#,##0.000000000_);\(#,##0.000000000\)"/>
    <numFmt numFmtId="205" formatCode="#,##0.00000000_);\(#,##0.00000000\)"/>
    <numFmt numFmtId="206" formatCode="#,##0.0000000_);\(#,##0.0000000\)"/>
    <numFmt numFmtId="207" formatCode="#,##0.000000_);\(#,##0.000000\)"/>
    <numFmt numFmtId="208" formatCode="#,##0.00000_);\(#,##0.00000\)"/>
    <numFmt numFmtId="209" formatCode="#,##0.0000_);\(#,##0.0000\)"/>
    <numFmt numFmtId="210" formatCode="#,##0.000_);\(#,##0.000\)"/>
    <numFmt numFmtId="211" formatCode="_(&quot;$&quot;* #,##0.000_);_(&quot;$&quot;* \(#,##0.000\);_(&quot;$&quot;* &quot;-&quot;??_);_(@_)"/>
  </numFmts>
  <fonts count="50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sz val="10"/>
      <color indexed="8"/>
      <name val="MS Sans Serif"/>
      <family val="0"/>
    </font>
    <font>
      <sz val="12"/>
      <color indexed="24"/>
      <name val="Arial"/>
      <family val="0"/>
    </font>
    <font>
      <sz val="10"/>
      <name val="Helv"/>
      <family val="0"/>
    </font>
    <font>
      <sz val="10"/>
      <name val="MS Serif"/>
      <family val="0"/>
    </font>
    <font>
      <sz val="10"/>
      <name val="Courier"/>
      <family val="0"/>
    </font>
    <font>
      <u val="single"/>
      <sz val="10"/>
      <color indexed="2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0"/>
      <name val="Arial"/>
      <family val="0"/>
    </font>
    <font>
      <sz val="7"/>
      <name val="Small Fonts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b/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>
      <alignment horizontal="left" wrapText="1"/>
      <protection/>
    </xf>
    <xf numFmtId="179" fontId="0" fillId="0" borderId="0">
      <alignment horizontal="left" wrapText="1"/>
      <protection/>
    </xf>
    <xf numFmtId="180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81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79" fontId="0" fillId="0" borderId="0">
      <alignment horizontal="left" wrapText="1"/>
      <protection/>
    </xf>
    <xf numFmtId="181" fontId="0" fillId="0" borderId="0">
      <alignment horizontal="left" wrapText="1"/>
      <protection/>
    </xf>
    <xf numFmtId="179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185" fontId="3" fillId="0" borderId="0" applyFill="0" applyBorder="0" applyAlignment="0">
      <protection/>
    </xf>
    <xf numFmtId="41" fontId="0" fillId="27" borderId="0">
      <alignment/>
      <protection/>
    </xf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Alignment="0">
      <protection/>
    </xf>
    <xf numFmtId="0" fontId="7" fillId="0" borderId="0" applyNumberFormat="0" applyAlignment="0"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0" fillId="0" borderId="0">
      <alignment/>
      <protection/>
    </xf>
    <xf numFmtId="0" fontId="41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38" fontId="2" fillId="30" borderId="0" applyNumberFormat="0" applyBorder="0" applyAlignment="0" applyProtection="0"/>
    <xf numFmtId="0" fontId="9" fillId="0" borderId="2" applyNumberFormat="0" applyAlignment="0" applyProtection="0"/>
    <xf numFmtId="0" fontId="9" fillId="0" borderId="3">
      <alignment horizontal="left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38" fontId="10" fillId="0" borderId="0">
      <alignment/>
      <protection/>
    </xf>
    <xf numFmtId="40" fontId="10" fillId="0" borderId="0">
      <alignment/>
      <protection/>
    </xf>
    <xf numFmtId="0" fontId="11" fillId="0" borderId="0" applyNumberFormat="0" applyFill="0" applyBorder="0" applyAlignment="0" applyProtection="0"/>
    <xf numFmtId="0" fontId="44" fillId="31" borderId="5" applyNumberFormat="0" applyAlignment="0" applyProtection="0"/>
    <xf numFmtId="10" fontId="2" fillId="27" borderId="6" applyNumberFormat="0" applyBorder="0" applyAlignment="0" applyProtection="0"/>
    <xf numFmtId="41" fontId="12" fillId="32" borderId="7">
      <alignment horizontal="left"/>
      <protection locked="0"/>
    </xf>
    <xf numFmtId="0" fontId="2" fillId="30" borderId="0">
      <alignment/>
      <protection/>
    </xf>
    <xf numFmtId="0" fontId="45" fillId="0" borderId="8" applyNumberFormat="0" applyFill="0" applyAlignment="0" applyProtection="0"/>
    <xf numFmtId="44" fontId="13" fillId="0" borderId="9" applyNumberFormat="0" applyFont="0" applyAlignment="0">
      <protection/>
    </xf>
    <xf numFmtId="44" fontId="13" fillId="0" borderId="10" applyNumberFormat="0" applyFont="0" applyAlignment="0">
      <protection/>
    </xf>
    <xf numFmtId="0" fontId="46" fillId="33" borderId="0" applyNumberFormat="0" applyBorder="0" applyAlignment="0" applyProtection="0"/>
    <xf numFmtId="37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1" applyNumberFormat="0" applyFont="0" applyAlignment="0" applyProtection="0"/>
    <xf numFmtId="0" fontId="47" fillId="35" borderId="12" applyNumberFormat="0" applyAlignment="0" applyProtection="0"/>
    <xf numFmtId="191" fontId="21" fillId="27" borderId="0" applyBorder="0">
      <alignment horizontal="right"/>
      <protection/>
    </xf>
    <xf numFmtId="0" fontId="22" fillId="36" borderId="0" applyBorder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6" fillId="0" borderId="13">
      <alignment horizontal="center"/>
      <protection/>
    </xf>
    <xf numFmtId="3" fontId="15" fillId="0" borderId="0" applyFont="0" applyFill="0" applyBorder="0" applyAlignment="0" applyProtection="0"/>
    <xf numFmtId="0" fontId="15" fillId="37" borderId="0" applyNumberFormat="0" applyFont="0" applyBorder="0" applyAlignment="0" applyProtection="0"/>
    <xf numFmtId="14" fontId="17" fillId="0" borderId="0" applyNumberFormat="0" applyFill="0" applyBorder="0" applyAlignment="0" applyProtection="0"/>
    <xf numFmtId="183" fontId="0" fillId="0" borderId="0" applyFont="0" applyFill="0" applyAlignment="0">
      <protection/>
    </xf>
    <xf numFmtId="39" fontId="0" fillId="38" borderId="0">
      <alignment/>
      <protection/>
    </xf>
    <xf numFmtId="38" fontId="2" fillId="0" borderId="14">
      <alignment/>
      <protection/>
    </xf>
    <xf numFmtId="38" fontId="10" fillId="0" borderId="15">
      <alignment/>
      <protection/>
    </xf>
    <xf numFmtId="39" fontId="17" fillId="39" borderId="0">
      <alignment/>
      <protection/>
    </xf>
    <xf numFmtId="181" fontId="0" fillId="0" borderId="0">
      <alignment horizontal="left" wrapText="1"/>
      <protection/>
    </xf>
    <xf numFmtId="40" fontId="18" fillId="0" borderId="0" applyBorder="0">
      <alignment horizontal="right"/>
      <protection/>
    </xf>
    <xf numFmtId="0" fontId="48" fillId="0" borderId="0" applyNumberFormat="0" applyFill="0" applyBorder="0" applyAlignment="0" applyProtection="0"/>
    <xf numFmtId="0" fontId="13" fillId="27" borderId="0">
      <alignment horizontal="left" wrapText="1"/>
      <protection/>
    </xf>
    <xf numFmtId="0" fontId="19" fillId="0" borderId="0">
      <alignment horizontal="left" vertical="center"/>
      <protection/>
    </xf>
    <xf numFmtId="0" fontId="4" fillId="0" borderId="16" applyNumberFormat="0" applyFon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3" fontId="0" fillId="0" borderId="0" xfId="63" applyFont="1" applyAlignment="1">
      <alignment/>
    </xf>
    <xf numFmtId="44" fontId="0" fillId="0" borderId="0" xfId="71" applyFont="1" applyAlignment="1">
      <alignment/>
    </xf>
    <xf numFmtId="165" fontId="0" fillId="0" borderId="0" xfId="71" applyNumberFormat="1" applyFont="1" applyAlignment="1">
      <alignment/>
    </xf>
    <xf numFmtId="9" fontId="0" fillId="0" borderId="0" xfId="107" applyFont="1" applyAlignment="1">
      <alignment/>
    </xf>
    <xf numFmtId="166" fontId="0" fillId="0" borderId="0" xfId="107" applyNumberFormat="1" applyFont="1" applyAlignment="1">
      <alignment/>
    </xf>
    <xf numFmtId="0" fontId="0" fillId="0" borderId="0" xfId="0" applyAlignment="1">
      <alignment horizontal="center"/>
    </xf>
    <xf numFmtId="168" fontId="0" fillId="0" borderId="0" xfId="63" applyNumberFormat="1" applyFont="1" applyAlignment="1">
      <alignment/>
    </xf>
    <xf numFmtId="168" fontId="0" fillId="0" borderId="0" xfId="0" applyNumberFormat="1" applyAlignment="1">
      <alignment/>
    </xf>
    <xf numFmtId="175" fontId="0" fillId="0" borderId="0" xfId="0" applyNumberFormat="1" applyAlignment="1">
      <alignment/>
    </xf>
    <xf numFmtId="170" fontId="0" fillId="0" borderId="0" xfId="63" applyNumberFormat="1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101" applyNumberFormat="1" applyFont="1" applyAlignment="1">
      <alignment horizontal="center"/>
      <protection/>
    </xf>
    <xf numFmtId="2" fontId="0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37" fontId="0" fillId="0" borderId="0" xfId="101" applyNumberFormat="1" applyFont="1" applyFill="1" applyAlignment="1">
      <alignment horizontal="center"/>
      <protection/>
    </xf>
    <xf numFmtId="0" fontId="1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9" fontId="0" fillId="0" borderId="0" xfId="107" applyAlignment="1">
      <alignment/>
    </xf>
    <xf numFmtId="168" fontId="0" fillId="0" borderId="0" xfId="63" applyNumberFormat="1" applyFont="1" applyAlignment="1">
      <alignment/>
    </xf>
    <xf numFmtId="168" fontId="0" fillId="0" borderId="0" xfId="63" applyNumberFormat="1" applyAlignment="1">
      <alignment/>
    </xf>
    <xf numFmtId="37" fontId="13" fillId="0" borderId="0" xfId="101" applyNumberFormat="1" applyFont="1" applyFill="1">
      <alignment/>
      <protection/>
    </xf>
    <xf numFmtId="168" fontId="13" fillId="0" borderId="0" xfId="63" applyNumberFormat="1" applyFont="1" applyAlignment="1">
      <alignment/>
    </xf>
    <xf numFmtId="37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68" fontId="0" fillId="0" borderId="0" xfId="63" applyNumberFormat="1" applyFont="1" applyAlignment="1">
      <alignment/>
    </xf>
    <xf numFmtId="10" fontId="0" fillId="0" borderId="0" xfId="107" applyNumberFormat="1" applyFont="1" applyAlignment="1">
      <alignment/>
    </xf>
    <xf numFmtId="168" fontId="0" fillId="0" borderId="0" xfId="63" applyNumberFormat="1" applyFont="1" applyFill="1" applyAlignment="1">
      <alignment horizontal="right"/>
    </xf>
    <xf numFmtId="168" fontId="13" fillId="0" borderId="0" xfId="63" applyNumberFormat="1" applyFont="1" applyFill="1" applyAlignment="1">
      <alignment horizontal="right"/>
    </xf>
    <xf numFmtId="168" fontId="0" fillId="0" borderId="0" xfId="63" applyNumberFormat="1" applyFont="1" applyFill="1" applyAlignment="1">
      <alignment/>
    </xf>
    <xf numFmtId="168" fontId="0" fillId="0" borderId="18" xfId="63" applyNumberFormat="1" applyFont="1" applyFill="1" applyBorder="1" applyAlignment="1">
      <alignment/>
    </xf>
    <xf numFmtId="168" fontId="13" fillId="0" borderId="0" xfId="63" applyNumberFormat="1" applyFont="1" applyFill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168" fontId="0" fillId="0" borderId="18" xfId="63" applyNumberFormat="1" applyFont="1" applyBorder="1" applyAlignment="1">
      <alignment/>
    </xf>
    <xf numFmtId="168" fontId="13" fillId="0" borderId="0" xfId="0" applyNumberFormat="1" applyFont="1" applyAlignment="1">
      <alignment/>
    </xf>
    <xf numFmtId="168" fontId="0" fillId="0" borderId="0" xfId="63" applyNumberFormat="1" applyFont="1" applyBorder="1" applyAlignment="1">
      <alignment/>
    </xf>
    <xf numFmtId="167" fontId="0" fillId="0" borderId="0" xfId="63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18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18" xfId="0" applyBorder="1" applyAlignment="1">
      <alignment horizontal="center" wrapText="1"/>
    </xf>
    <xf numFmtId="37" fontId="0" fillId="0" borderId="18" xfId="0" applyNumberFormat="1" applyBorder="1" applyAlignment="1">
      <alignment horizontal="center" wrapText="1"/>
    </xf>
    <xf numFmtId="37" fontId="0" fillId="0" borderId="0" xfId="0" applyNumberFormat="1" applyAlignment="1">
      <alignment horizontal="center" wrapText="1"/>
    </xf>
    <xf numFmtId="39" fontId="0" fillId="0" borderId="18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9" fontId="0" fillId="0" borderId="0" xfId="0" applyNumberFormat="1" applyAlignment="1">
      <alignment/>
    </xf>
    <xf numFmtId="178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0" fillId="0" borderId="3" xfId="0" applyNumberFormat="1" applyBorder="1" applyAlignment="1">
      <alignment/>
    </xf>
    <xf numFmtId="168" fontId="0" fillId="0" borderId="0" xfId="63" applyNumberFormat="1" applyFont="1" applyFill="1" applyAlignment="1">
      <alignment horizontal="center"/>
    </xf>
    <xf numFmtId="0" fontId="0" fillId="0" borderId="17" xfId="0" applyNumberFormat="1" applyFont="1" applyFill="1" applyBorder="1" applyAlignment="1">
      <alignment horizontal="left"/>
    </xf>
    <xf numFmtId="167" fontId="0" fillId="0" borderId="0" xfId="63" applyNumberFormat="1" applyFont="1" applyAlignment="1">
      <alignment/>
    </xf>
    <xf numFmtId="0" fontId="13" fillId="0" borderId="0" xfId="0" applyFont="1" applyBorder="1" applyAlignment="1">
      <alignment horizontal="center"/>
    </xf>
    <xf numFmtId="167" fontId="0" fillId="0" borderId="0" xfId="0" applyNumberFormat="1" applyAlignment="1">
      <alignment/>
    </xf>
    <xf numFmtId="168" fontId="0" fillId="0" borderId="0" xfId="63" applyNumberFormat="1" applyFont="1" applyAlignment="1">
      <alignment horizontal="center"/>
    </xf>
    <xf numFmtId="1" fontId="0" fillId="0" borderId="0" xfId="0" applyNumberFormat="1" applyAlignment="1">
      <alignment/>
    </xf>
    <xf numFmtId="10" fontId="0" fillId="0" borderId="0" xfId="107" applyNumberFormat="1" applyFont="1" applyAlignment="1">
      <alignment/>
    </xf>
    <xf numFmtId="43" fontId="23" fillId="0" borderId="0" xfId="63" applyFont="1" applyFill="1" applyBorder="1" applyAlignment="1">
      <alignment horizontal="right" vertical="top"/>
    </xf>
    <xf numFmtId="43" fontId="23" fillId="0" borderId="3" xfId="63" applyFont="1" applyFill="1" applyBorder="1" applyAlignment="1">
      <alignment horizontal="right" vertical="top"/>
    </xf>
    <xf numFmtId="168" fontId="23" fillId="0" borderId="0" xfId="63" applyNumberFormat="1" applyFont="1" applyFill="1" applyBorder="1" applyAlignment="1">
      <alignment horizontal="right" vertical="top"/>
    </xf>
    <xf numFmtId="10" fontId="23" fillId="0" borderId="0" xfId="63" applyNumberFormat="1" applyFont="1" applyFill="1" applyBorder="1" applyAlignment="1">
      <alignment horizontal="right" vertical="top"/>
    </xf>
    <xf numFmtId="10" fontId="0" fillId="0" borderId="0" xfId="0" applyNumberFormat="1" applyAlignment="1">
      <alignment/>
    </xf>
    <xf numFmtId="168" fontId="0" fillId="0" borderId="3" xfId="63" applyNumberFormat="1" applyFont="1" applyBorder="1" applyAlignment="1">
      <alignment/>
    </xf>
    <xf numFmtId="2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37" fontId="0" fillId="0" borderId="0" xfId="101" applyNumberFormat="1" applyFont="1" applyFill="1" applyAlignment="1">
      <alignment horizontal="right"/>
      <protection/>
    </xf>
    <xf numFmtId="10" fontId="13" fillId="0" borderId="0" xfId="107" applyNumberFormat="1" applyFont="1" applyAlignment="1">
      <alignment/>
    </xf>
    <xf numFmtId="37" fontId="0" fillId="27" borderId="0" xfId="101" applyNumberFormat="1" applyFont="1" applyFill="1" applyAlignment="1">
      <alignment horizontal="center"/>
      <protection/>
    </xf>
    <xf numFmtId="0" fontId="0" fillId="27" borderId="0" xfId="0" applyFill="1" applyAlignment="1">
      <alignment horizontal="center"/>
    </xf>
    <xf numFmtId="0" fontId="0" fillId="27" borderId="0" xfId="0" applyFill="1" applyAlignment="1">
      <alignment/>
    </xf>
    <xf numFmtId="168" fontId="0" fillId="27" borderId="0" xfId="63" applyNumberFormat="1" applyFont="1" applyFill="1" applyAlignment="1">
      <alignment horizontal="center"/>
    </xf>
    <xf numFmtId="9" fontId="0" fillId="27" borderId="0" xfId="107" applyFont="1" applyFill="1" applyAlignment="1">
      <alignment horizontal="center"/>
    </xf>
    <xf numFmtId="168" fontId="0" fillId="27" borderId="0" xfId="63" applyNumberFormat="1" applyFill="1" applyAlignment="1">
      <alignment horizontal="right"/>
    </xf>
    <xf numFmtId="168" fontId="0" fillId="27" borderId="0" xfId="0" applyNumberFormat="1" applyFill="1" applyAlignment="1">
      <alignment/>
    </xf>
    <xf numFmtId="168" fontId="0" fillId="27" borderId="0" xfId="63" applyNumberFormat="1" applyFont="1" applyFill="1" applyAlignment="1">
      <alignment horizontal="right"/>
    </xf>
    <xf numFmtId="9" fontId="0" fillId="27" borderId="0" xfId="107" applyFill="1" applyAlignment="1">
      <alignment horizontal="center"/>
    </xf>
    <xf numFmtId="168" fontId="0" fillId="27" borderId="0" xfId="63" applyNumberFormat="1" applyFont="1" applyFill="1" applyAlignment="1">
      <alignment horizontal="center"/>
    </xf>
    <xf numFmtId="0" fontId="0" fillId="27" borderId="0" xfId="0" applyFill="1" applyAlignment="1">
      <alignment horizontal="right"/>
    </xf>
    <xf numFmtId="168" fontId="13" fillId="27" borderId="0" xfId="63" applyNumberFormat="1" applyFont="1" applyFill="1" applyAlignment="1">
      <alignment horizontal="right"/>
    </xf>
    <xf numFmtId="168" fontId="0" fillId="27" borderId="0" xfId="63" applyNumberFormat="1" applyFont="1" applyFill="1" applyAlignment="1">
      <alignment/>
    </xf>
    <xf numFmtId="9" fontId="0" fillId="27" borderId="0" xfId="107" applyFill="1" applyAlignment="1">
      <alignment/>
    </xf>
    <xf numFmtId="168" fontId="0" fillId="27" borderId="0" xfId="63" applyNumberFormat="1" applyFont="1" applyFill="1" applyAlignment="1">
      <alignment/>
    </xf>
    <xf numFmtId="168" fontId="0" fillId="27" borderId="0" xfId="63" applyNumberFormat="1" applyFill="1" applyAlignment="1">
      <alignment/>
    </xf>
    <xf numFmtId="167" fontId="0" fillId="27" borderId="0" xfId="63" applyNumberFormat="1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9" fillId="0" borderId="0" xfId="0" applyNumberFormat="1" applyFont="1" applyAlignment="1">
      <alignment horizontal="center"/>
    </xf>
  </cellXfs>
  <cellStyles count="114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(C) Costs not in AURORA 2006GRC" xfId="26"/>
    <cellStyle name="_Fuel Prices 4-14" xfId="27"/>
    <cellStyle name="_Power Cost Value Copy 11.30.05 gas 1.09.06 AURORA at 1.10.06" xfId="28"/>
    <cellStyle name="_Recon to Darrin's 5.11.05 proforma" xfId="29"/>
    <cellStyle name="_Tenaska Comparison" xfId="30"/>
    <cellStyle name="_Value Copy 11 30 05 gas 12 09 05 AURORA at 12 14 05" xfId="31"/>
    <cellStyle name="_VC 6.15.06 update on 06GRC power costs.xls Chart 1" xfId="32"/>
    <cellStyle name="_VC 6.15.06 update on 06GRC power costs.xls Chart 2" xfId="33"/>
    <cellStyle name="_VC 6.15.06 update on 06GRC power costs.xls Chart 3" xfId="34"/>
    <cellStyle name="20% - Accent1" xfId="35"/>
    <cellStyle name="20% - Accent2" xfId="36"/>
    <cellStyle name="20% - Accent3" xfId="37"/>
    <cellStyle name="20% - Accent4" xfId="38"/>
    <cellStyle name="20% - Accent5" xfId="39"/>
    <cellStyle name="20% - Accent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 Currency (0)" xfId="60"/>
    <cellStyle name="Calculation" xfId="61"/>
    <cellStyle name="Check Cell" xfId="62"/>
    <cellStyle name="Comma" xfId="63"/>
    <cellStyle name="Comma [0]" xfId="64"/>
    <cellStyle name="Comma0" xfId="65"/>
    <cellStyle name="Comma0 - Style4" xfId="66"/>
    <cellStyle name="Copied" xfId="67"/>
    <cellStyle name="COST1" xfId="68"/>
    <cellStyle name="Curren - Style1" xfId="69"/>
    <cellStyle name="Curren - Style5" xfId="70"/>
    <cellStyle name="Currency" xfId="71"/>
    <cellStyle name="Currency [0]" xfId="72"/>
    <cellStyle name="Currency0" xfId="73"/>
    <cellStyle name="Date" xfId="74"/>
    <cellStyle name="Entered" xfId="75"/>
    <cellStyle name="Explanatory Text" xfId="76"/>
    <cellStyle name="Fixed" xfId="77"/>
    <cellStyle name="Fixed3 - Style3" xfId="78"/>
    <cellStyle name="Followed Hyperlink" xfId="79"/>
    <cellStyle name="Good" xfId="80"/>
    <cellStyle name="Grey" xfId="81"/>
    <cellStyle name="Header1" xfId="82"/>
    <cellStyle name="Header2" xfId="83"/>
    <cellStyle name="Heading 1" xfId="84"/>
    <cellStyle name="Heading 2" xfId="85"/>
    <cellStyle name="Heading 3" xfId="86"/>
    <cellStyle name="Heading 4" xfId="87"/>
    <cellStyle name="Heading1" xfId="88"/>
    <cellStyle name="Heading2" xfId="89"/>
    <cellStyle name="Hyperlink" xfId="90"/>
    <cellStyle name="Input" xfId="91"/>
    <cellStyle name="Input [yellow]" xfId="92"/>
    <cellStyle name="Input Cells" xfId="93"/>
    <cellStyle name="Lines" xfId="94"/>
    <cellStyle name="Linked Cell" xfId="95"/>
    <cellStyle name="modified border" xfId="96"/>
    <cellStyle name="modified border1" xfId="97"/>
    <cellStyle name="Neutral" xfId="98"/>
    <cellStyle name="no dec" xfId="99"/>
    <cellStyle name="Normal - Style1" xfId="100"/>
    <cellStyle name="Normal_Iowa ASL GPAMORT" xfId="101"/>
    <cellStyle name="Note" xfId="102"/>
    <cellStyle name="Output" xfId="103"/>
    <cellStyle name="OUTPUT AMOUNTS" xfId="104"/>
    <cellStyle name="OUTPUT LINE ITEMS" xfId="105"/>
    <cellStyle name="Percen - Style2" xfId="106"/>
    <cellStyle name="Percent" xfId="107"/>
    <cellStyle name="Percent [2]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RevList" xfId="115"/>
    <cellStyle name="round100" xfId="116"/>
    <cellStyle name="shade" xfId="117"/>
    <cellStyle name="StmtTtl1" xfId="118"/>
    <cellStyle name="StmtTtl2" xfId="119"/>
    <cellStyle name="STYL1 - Style1" xfId="120"/>
    <cellStyle name="Style 1" xfId="121"/>
    <cellStyle name="Subtotal" xfId="122"/>
    <cellStyle name="Title" xfId="123"/>
    <cellStyle name="Title: Minor" xfId="124"/>
    <cellStyle name="Title: Worksheet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2\2007%20Strat%20Plan%20-%20v7%20Low%202007%20Capital%20(3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LaborInctvOH%200903%20GR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All-Source%20RFP%202004\Quantitative%20Analysis%20Team\Wind%20RFP%20Analysis\EnXco%20Depr.%20and%20Royalty%20Alts\ASM8W-%20A06%20EnXco%20$3.95%20w%20depr%20clas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74\Goldendale%20Proforma%20-%20Curren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quisition\Phase%202%20RFP%20Quantitative%20Analysis\PSM%20Input%20Assumptions\Gas%20Transport\Gas%20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Susan\2003%20GRC\EL%200903%200303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ello\Local%20Settings\Temporary%20Internet%20Files\OLK13BE\Goldendale%20Proforma%20-%20Curren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Tenaska%20&amp;%20Encogen%20Information\Tenaska\PCORC%20Disallowance\Tenaska%20Comparis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2007%20Rate%20Case\Draft%20Power%20Costs\Feb07%20w%20Goldendale\New%20PPA%20Contracts%202.19.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2003\To%20Fin%20Planning%2010-15-02\OA%20Extract%20for%20'03%20update%2010-15%20for%209.26.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PCORC\RORC%20Filing\PCA%20PCORC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2D\2.26E%20Regulatory%20Assets%20%20Liability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Quarterly%20Reporting\Misc\WC-RB%20Misc\WC-RB%20Overview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oel\Chelan\RI%20Debt%20from%20Annua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oel\Chelan\Pro%20Forma%20Models\PSE%20Incremental\Cash%20-%20No%20Defease\12-15%20Final%20for%20Board\12-15%20(Hydro)NoD%20CPUD-PSEIncremental-1215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6\Power%20Costs\Costs%20not%20in%20AURORA%2006GRC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EASURY\DEBT%20MANAGEMENT\Debt%20Schedules\2006\Cash%20&amp;%20Accrual%20master%20sheets\RI05%20Cash&amp;Accrual-Actu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07%20PCORC\TY%2012ME%2012-2006\2007%20PCORC%20JHS-4%20through%20JHS-9%20(C)%20working%20file%2003%2008%202007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%202%20months)fina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07%20GRC\4.04G%20Pass%20Through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cct\newgas\2000\Oct00\REVNEW001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%2009%20months)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b0422\Local%20Settings\Temporary%20Internet%20Files\OLK181\FW_Feb_FY05_upload_format_accl_wksh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ormulas\vlookup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05%20PCORC\Update%20Filing%20-%20May%202006\Working%20Files\04.06.06.Transmission%20Rate%20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wk\Application%20Data\Microsoft\Excel\PC_DR_165-Attachment%20A%20(version%20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New%20Plant-093003\FredDispatch%209.3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ase Acquisitions"/>
      <sheetName val="Explain ERG Budget Updates"/>
      <sheetName val="Diff Base Costs less v5"/>
      <sheetName val="Base Costs v5"/>
      <sheetName val="Base Costs"/>
      <sheetName val="Resources"/>
      <sheetName val="Wind Own"/>
      <sheetName val="Wind PPA"/>
      <sheetName val="Distressed CCGT &amp; DF"/>
      <sheetName val="Geothermal"/>
      <sheetName val="Hydro PPA"/>
      <sheetName val="Hydro Own"/>
      <sheetName val="LFG"/>
      <sheetName val="Pure Cost LFG"/>
      <sheetName val="IGCC"/>
      <sheetName val="LMS Ownership"/>
      <sheetName val="Tenaska Tolling"/>
      <sheetName val="New CCGT"/>
      <sheetName val="Ormat"/>
      <sheetName val="Colstrip Upgrade"/>
    </sheetNames>
    <sheetDataSet>
      <sheetData sheetId="6">
        <row r="68">
          <cell r="E68">
            <v>0.025</v>
          </cell>
          <cell r="J68">
            <v>4</v>
          </cell>
        </row>
        <row r="69">
          <cell r="E69">
            <v>2007</v>
          </cell>
          <cell r="J69">
            <v>14</v>
          </cell>
        </row>
        <row r="70">
          <cell r="E70">
            <v>2008</v>
          </cell>
          <cell r="J70">
            <v>21</v>
          </cell>
        </row>
        <row r="71">
          <cell r="J71">
            <v>23</v>
          </cell>
        </row>
        <row r="72">
          <cell r="J72">
            <v>28</v>
          </cell>
        </row>
        <row r="73">
          <cell r="J73">
            <v>30</v>
          </cell>
        </row>
        <row r="74">
          <cell r="J74">
            <v>32</v>
          </cell>
        </row>
        <row r="75">
          <cell r="J75">
            <v>43</v>
          </cell>
        </row>
        <row r="76">
          <cell r="J76">
            <v>44</v>
          </cell>
        </row>
        <row r="77">
          <cell r="D77">
            <v>125</v>
          </cell>
        </row>
        <row r="78">
          <cell r="D78">
            <v>74.6875</v>
          </cell>
        </row>
      </sheetData>
      <sheetData sheetId="7">
        <row r="7">
          <cell r="B7" t="str">
            <v>Nameplate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11">
        <row r="8">
          <cell r="B8">
            <v>2000</v>
          </cell>
          <cell r="C8">
            <v>335</v>
          </cell>
          <cell r="D8">
            <v>10000</v>
          </cell>
          <cell r="E8">
            <v>2.4451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2.5673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2.8305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2.32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3.4404</v>
          </cell>
          <cell r="F15">
            <v>2.51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</v>
          </cell>
          <cell r="F16">
            <v>2.62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</sheetNames>
    <sheetDataSet>
      <sheetData sheetId="20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6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15">
        <row r="5">
          <cell r="D5" t="str">
            <v>Yes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18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1">
        <row r="3">
          <cell r="E3">
            <v>38899</v>
          </cell>
        </row>
        <row r="4">
          <cell r="E4">
            <v>39134</v>
          </cell>
          <cell r="I4">
            <v>0.5</v>
          </cell>
        </row>
        <row r="5">
          <cell r="E5">
            <v>10</v>
          </cell>
          <cell r="I5" t="str">
            <v>Yes</v>
          </cell>
        </row>
        <row r="6">
          <cell r="E6">
            <v>8</v>
          </cell>
          <cell r="I6" t="str">
            <v>Yes</v>
          </cell>
        </row>
        <row r="8">
          <cell r="I8" t="str">
            <v>Max</v>
          </cell>
        </row>
        <row r="9">
          <cell r="E9">
            <v>252</v>
          </cell>
          <cell r="I9" t="str">
            <v>Levelized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4">
          <cell r="E14">
            <v>11325.08</v>
          </cell>
        </row>
        <row r="15">
          <cell r="E15">
            <v>21336</v>
          </cell>
        </row>
        <row r="19">
          <cell r="E19">
            <v>0.35</v>
          </cell>
        </row>
        <row r="20">
          <cell r="E20">
            <v>0.0153</v>
          </cell>
        </row>
        <row r="21">
          <cell r="E21">
            <v>0.075</v>
          </cell>
        </row>
        <row r="22">
          <cell r="E22">
            <v>1</v>
          </cell>
        </row>
        <row r="23">
          <cell r="E23">
            <v>0.85</v>
          </cell>
        </row>
        <row r="24">
          <cell r="E24">
            <v>0.5021</v>
          </cell>
        </row>
        <row r="26">
          <cell r="E26">
            <v>160000000</v>
          </cell>
        </row>
        <row r="27">
          <cell r="E27">
            <v>0.15020845833333332</v>
          </cell>
        </row>
        <row r="30">
          <cell r="E30">
            <v>260000000</v>
          </cell>
        </row>
        <row r="39">
          <cell r="E39">
            <v>1.0212765957446808</v>
          </cell>
          <cell r="F39">
            <v>1.043478260869565</v>
          </cell>
          <cell r="G39">
            <v>1.0666666666666664</v>
          </cell>
          <cell r="H39">
            <v>1.0909090909090906</v>
          </cell>
          <cell r="I39">
            <v>1.1034482758620687</v>
          </cell>
          <cell r="J39">
            <v>1.1294117647058821</v>
          </cell>
          <cell r="K39">
            <v>1.1566265060240963</v>
          </cell>
          <cell r="L39">
            <v>1.170731707317073</v>
          </cell>
          <cell r="M39">
            <v>1.1999999999999997</v>
          </cell>
          <cell r="N39">
            <v>1.2151898734177213</v>
          </cell>
          <cell r="O39">
            <v>1.2467532467532465</v>
          </cell>
          <cell r="P39">
            <v>1.2631578947368418</v>
          </cell>
          <cell r="Q39">
            <v>1.297297297297297</v>
          </cell>
          <cell r="R39">
            <v>1.3150684931506846</v>
          </cell>
          <cell r="S39">
            <v>1.333333333333333</v>
          </cell>
          <cell r="T39">
            <v>1.3714285714285712</v>
          </cell>
          <cell r="U39">
            <v>1.391304347826087</v>
          </cell>
          <cell r="V39">
            <v>1.4117647058823528</v>
          </cell>
          <cell r="W39">
            <v>1.4545454545454544</v>
          </cell>
          <cell r="X39">
            <v>1.4769230769230766</v>
          </cell>
          <cell r="Y39">
            <v>1.4999999999999996</v>
          </cell>
          <cell r="Z39">
            <v>1.548387096774193</v>
          </cell>
          <cell r="AA39">
            <v>1.5737704918032782</v>
          </cell>
          <cell r="AB39">
            <v>1.5999999999999994</v>
          </cell>
          <cell r="AC39">
            <v>1.655172413793103</v>
          </cell>
          <cell r="AD39">
            <v>1.6842105263157892</v>
          </cell>
          <cell r="AE39">
            <v>1.7142857142857135</v>
          </cell>
          <cell r="AF39">
            <v>1.745454545454545</v>
          </cell>
        </row>
      </sheetData>
      <sheetData sheetId="2">
        <row r="3">
          <cell r="I3">
            <v>0.4413</v>
          </cell>
        </row>
        <row r="6">
          <cell r="I6">
            <v>55657087.107978344</v>
          </cell>
        </row>
        <row r="8">
          <cell r="I8">
            <v>104.32744278665496</v>
          </cell>
        </row>
      </sheetData>
      <sheetData sheetId="7">
        <row r="2">
          <cell r="B2">
            <v>120000000</v>
          </cell>
        </row>
        <row r="7">
          <cell r="B7">
            <v>780108.63525</v>
          </cell>
        </row>
        <row r="8">
          <cell r="B8">
            <v>2135000</v>
          </cell>
        </row>
        <row r="14">
          <cell r="B14">
            <v>1326255</v>
          </cell>
        </row>
        <row r="23">
          <cell r="B23">
            <v>1543634.5770198947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335752.0890633</v>
          </cell>
        </row>
        <row r="27">
          <cell r="B27">
            <v>126120750.3013332</v>
          </cell>
        </row>
        <row r="32">
          <cell r="B32">
            <v>120000000</v>
          </cell>
        </row>
        <row r="33">
          <cell r="B33">
            <v>100000000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>
        <row r="13">
          <cell r="B13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Combined ROE Matrix"/>
      <sheetName val="ROE matrix"/>
      <sheetName val="Ex A-1 PCR"/>
      <sheetName val="557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1">
        <row r="9">
          <cell r="E9">
            <v>252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VC Disallow by CY Q406"/>
      <sheetName val="VC Disallow by CY Q306"/>
      <sheetName val="Disallowance by Calendar Year"/>
      <sheetName val="Summary by Calendar Year"/>
      <sheetName val="Summary by PCA Period"/>
      <sheetName val="Data for Summaries==&gt;"/>
      <sheetName val="DATA"/>
      <sheetName val="Data to Update Quarterly==&gt;"/>
      <sheetName val="Quarter End Price_Gen_Cost"/>
      <sheetName val="Quarter End KW Information"/>
      <sheetName val="Hedge Data"/>
      <sheetName val="Ex D (2)"/>
      <sheetName val="2006 GRC Updates ==&gt;"/>
      <sheetName val="Ex D-1 06 GRC"/>
      <sheetName val="Tenaska 06 GRC"/>
      <sheetName val="Other Information==&gt;"/>
      <sheetName val="Fixed Rate_HR"/>
      <sheetName val="WUTC EXHIBIT B Rev2"/>
    </sheetNames>
    <sheetDataSet>
      <sheetData sheetId="7">
        <row r="5">
          <cell r="A5" t="str">
            <v>Period</v>
          </cell>
          <cell r="D5" t="str">
            <v>Plant HR</v>
          </cell>
          <cell r="AA5" t="str">
            <v>Amort</v>
          </cell>
          <cell r="AB5" t="str">
            <v>Asset</v>
          </cell>
        </row>
        <row r="6">
          <cell r="D6">
            <v>35796</v>
          </cell>
          <cell r="AA6">
            <v>162666.66666666666</v>
          </cell>
          <cell r="AB6">
            <v>0</v>
          </cell>
        </row>
        <row r="7">
          <cell r="D7">
            <v>35827</v>
          </cell>
          <cell r="AA7">
            <v>162666.66666666666</v>
          </cell>
          <cell r="AB7">
            <v>0</v>
          </cell>
        </row>
        <row r="8">
          <cell r="D8">
            <v>35855</v>
          </cell>
          <cell r="AA8">
            <v>162666.66666666666</v>
          </cell>
          <cell r="AB8">
            <v>0</v>
          </cell>
        </row>
        <row r="9">
          <cell r="D9">
            <v>35886</v>
          </cell>
          <cell r="AA9">
            <v>162666.66666666666</v>
          </cell>
          <cell r="AB9">
            <v>0</v>
          </cell>
        </row>
        <row r="10">
          <cell r="D10">
            <v>35916</v>
          </cell>
          <cell r="AA10">
            <v>162666.66666666666</v>
          </cell>
          <cell r="AB10">
            <v>0</v>
          </cell>
        </row>
        <row r="11">
          <cell r="D11">
            <v>35947</v>
          </cell>
          <cell r="AA11">
            <v>162666.66666666666</v>
          </cell>
          <cell r="AB11">
            <v>0</v>
          </cell>
        </row>
        <row r="12">
          <cell r="D12">
            <v>35977</v>
          </cell>
          <cell r="AA12">
            <v>162666.66666666666</v>
          </cell>
          <cell r="AB12">
            <v>0</v>
          </cell>
        </row>
        <row r="13">
          <cell r="D13">
            <v>36008</v>
          </cell>
          <cell r="AA13">
            <v>162666.66666666666</v>
          </cell>
          <cell r="AB13">
            <v>0</v>
          </cell>
        </row>
        <row r="14">
          <cell r="D14">
            <v>36039</v>
          </cell>
          <cell r="AA14">
            <v>162666.66666666666</v>
          </cell>
          <cell r="AB14">
            <v>0</v>
          </cell>
        </row>
        <row r="15">
          <cell r="D15">
            <v>36069</v>
          </cell>
          <cell r="AA15">
            <v>162666.66666666666</v>
          </cell>
          <cell r="AB15">
            <v>0</v>
          </cell>
        </row>
        <row r="16">
          <cell r="D16">
            <v>36100</v>
          </cell>
          <cell r="AA16">
            <v>162666.66666666666</v>
          </cell>
          <cell r="AB16">
            <v>0</v>
          </cell>
        </row>
        <row r="17">
          <cell r="D17">
            <v>36130</v>
          </cell>
          <cell r="AA17">
            <v>162666.66666666666</v>
          </cell>
          <cell r="AB17">
            <v>0</v>
          </cell>
        </row>
        <row r="18">
          <cell r="D18">
            <v>36161</v>
          </cell>
          <cell r="AA18">
            <v>321916.6666666667</v>
          </cell>
          <cell r="AB18">
            <v>0</v>
          </cell>
        </row>
        <row r="19">
          <cell r="D19">
            <v>36192</v>
          </cell>
          <cell r="AA19">
            <v>321916.6666666667</v>
          </cell>
          <cell r="AB19">
            <v>0</v>
          </cell>
        </row>
        <row r="20">
          <cell r="D20">
            <v>36220</v>
          </cell>
          <cell r="AA20">
            <v>321916.6666666667</v>
          </cell>
          <cell r="AB20">
            <v>0</v>
          </cell>
        </row>
        <row r="21">
          <cell r="D21">
            <v>36251</v>
          </cell>
          <cell r="AA21">
            <v>321916.6666666667</v>
          </cell>
          <cell r="AB21">
            <v>0</v>
          </cell>
        </row>
        <row r="22">
          <cell r="D22">
            <v>36281</v>
          </cell>
          <cell r="AA22">
            <v>321916.6666666667</v>
          </cell>
          <cell r="AB22">
            <v>0</v>
          </cell>
        </row>
        <row r="23">
          <cell r="D23">
            <v>36312</v>
          </cell>
          <cell r="AA23">
            <v>321916.6666666667</v>
          </cell>
          <cell r="AB23">
            <v>0</v>
          </cell>
        </row>
        <row r="24">
          <cell r="D24">
            <v>36342</v>
          </cell>
          <cell r="AA24">
            <v>321916.6666666667</v>
          </cell>
          <cell r="AB24">
            <v>0</v>
          </cell>
        </row>
        <row r="25">
          <cell r="D25">
            <v>36373</v>
          </cell>
          <cell r="AA25">
            <v>321916.6666666667</v>
          </cell>
          <cell r="AB25">
            <v>0</v>
          </cell>
        </row>
        <row r="26">
          <cell r="D26">
            <v>36404</v>
          </cell>
          <cell r="AA26">
            <v>321916.6666666667</v>
          </cell>
          <cell r="AB26">
            <v>0</v>
          </cell>
        </row>
        <row r="27">
          <cell r="D27">
            <v>36434</v>
          </cell>
          <cell r="AA27">
            <v>321916.6666666667</v>
          </cell>
          <cell r="AB27">
            <v>0</v>
          </cell>
        </row>
        <row r="28">
          <cell r="D28">
            <v>36465</v>
          </cell>
          <cell r="AA28">
            <v>321916.6666666667</v>
          </cell>
          <cell r="AB28">
            <v>0</v>
          </cell>
        </row>
        <row r="29">
          <cell r="D29">
            <v>36495</v>
          </cell>
          <cell r="AA29">
            <v>321916.6666666667</v>
          </cell>
          <cell r="AB29">
            <v>0</v>
          </cell>
        </row>
        <row r="30">
          <cell r="D30">
            <v>36526</v>
          </cell>
          <cell r="AA30">
            <v>455250</v>
          </cell>
          <cell r="AB30">
            <v>0</v>
          </cell>
        </row>
        <row r="31">
          <cell r="D31">
            <v>36557</v>
          </cell>
          <cell r="AA31">
            <v>455250</v>
          </cell>
          <cell r="AB31">
            <v>0</v>
          </cell>
        </row>
        <row r="32">
          <cell r="D32">
            <v>36586</v>
          </cell>
          <cell r="AA32">
            <v>455250</v>
          </cell>
          <cell r="AB32">
            <v>0</v>
          </cell>
        </row>
        <row r="33">
          <cell r="D33">
            <v>36617</v>
          </cell>
          <cell r="AA33">
            <v>455250</v>
          </cell>
          <cell r="AB33">
            <v>0</v>
          </cell>
        </row>
        <row r="34">
          <cell r="D34">
            <v>36647</v>
          </cell>
          <cell r="AA34">
            <v>455250</v>
          </cell>
          <cell r="AB34">
            <v>0</v>
          </cell>
        </row>
        <row r="35">
          <cell r="D35">
            <v>36678</v>
          </cell>
          <cell r="AA35">
            <v>455250</v>
          </cell>
          <cell r="AB35">
            <v>0</v>
          </cell>
        </row>
        <row r="36">
          <cell r="D36">
            <v>36708</v>
          </cell>
          <cell r="AA36">
            <v>455250</v>
          </cell>
          <cell r="AB36">
            <v>0</v>
          </cell>
        </row>
        <row r="37">
          <cell r="D37">
            <v>36739</v>
          </cell>
          <cell r="AA37">
            <v>455250</v>
          </cell>
          <cell r="AB37">
            <v>0</v>
          </cell>
        </row>
        <row r="38">
          <cell r="D38">
            <v>36770</v>
          </cell>
          <cell r="AA38">
            <v>455250</v>
          </cell>
          <cell r="AB38">
            <v>0</v>
          </cell>
        </row>
        <row r="39">
          <cell r="D39">
            <v>36800</v>
          </cell>
          <cell r="AA39">
            <v>455250</v>
          </cell>
          <cell r="AB39">
            <v>0</v>
          </cell>
        </row>
        <row r="40">
          <cell r="D40">
            <v>36831</v>
          </cell>
          <cell r="AA40">
            <v>455250</v>
          </cell>
          <cell r="AB40">
            <v>0</v>
          </cell>
        </row>
        <row r="41">
          <cell r="D41">
            <v>36861</v>
          </cell>
          <cell r="AA41">
            <v>455250</v>
          </cell>
          <cell r="AB41">
            <v>0</v>
          </cell>
        </row>
        <row r="42">
          <cell r="D42">
            <v>36892</v>
          </cell>
          <cell r="AA42">
            <v>615166.6666666666</v>
          </cell>
          <cell r="AB42">
            <v>0</v>
          </cell>
        </row>
        <row r="43">
          <cell r="D43">
            <v>36923</v>
          </cell>
          <cell r="AA43">
            <v>615166.6666666666</v>
          </cell>
          <cell r="AB43">
            <v>0</v>
          </cell>
        </row>
        <row r="44">
          <cell r="D44">
            <v>36951</v>
          </cell>
          <cell r="AA44">
            <v>615166.6666666666</v>
          </cell>
          <cell r="AB44">
            <v>0</v>
          </cell>
        </row>
        <row r="45">
          <cell r="D45">
            <v>36982</v>
          </cell>
          <cell r="AA45">
            <v>615166.6666666666</v>
          </cell>
          <cell r="AB45">
            <v>0</v>
          </cell>
        </row>
        <row r="46">
          <cell r="D46">
            <v>37012</v>
          </cell>
          <cell r="AA46">
            <v>615166.6666666666</v>
          </cell>
          <cell r="AB46">
            <v>0</v>
          </cell>
        </row>
        <row r="47">
          <cell r="D47">
            <v>37043</v>
          </cell>
          <cell r="AA47">
            <v>615166.6666666666</v>
          </cell>
          <cell r="AB47">
            <v>0</v>
          </cell>
        </row>
        <row r="48">
          <cell r="D48">
            <v>37073</v>
          </cell>
          <cell r="AA48">
            <v>615166.6666666666</v>
          </cell>
          <cell r="AB48">
            <v>0</v>
          </cell>
        </row>
        <row r="49">
          <cell r="D49">
            <v>37104</v>
          </cell>
          <cell r="AA49">
            <v>615166.6666666666</v>
          </cell>
          <cell r="AB49">
            <v>0</v>
          </cell>
        </row>
        <row r="50">
          <cell r="D50">
            <v>37135</v>
          </cell>
          <cell r="AA50">
            <v>615166.6666666666</v>
          </cell>
          <cell r="AB50">
            <v>0</v>
          </cell>
        </row>
        <row r="51">
          <cell r="D51">
            <v>37165</v>
          </cell>
          <cell r="AA51">
            <v>615166.6666666666</v>
          </cell>
          <cell r="AB51">
            <v>0</v>
          </cell>
        </row>
        <row r="52">
          <cell r="D52">
            <v>37196</v>
          </cell>
          <cell r="AA52">
            <v>615166.6666666666</v>
          </cell>
          <cell r="AB52">
            <v>0</v>
          </cell>
        </row>
        <row r="53">
          <cell r="D53">
            <v>37226</v>
          </cell>
          <cell r="AA53">
            <v>615166.6666666666</v>
          </cell>
          <cell r="AB53">
            <v>0</v>
          </cell>
        </row>
        <row r="54">
          <cell r="D54">
            <v>37257</v>
          </cell>
          <cell r="AA54">
            <v>791166.6666666666</v>
          </cell>
          <cell r="AB54">
            <v>0</v>
          </cell>
        </row>
        <row r="55">
          <cell r="D55">
            <v>37288</v>
          </cell>
          <cell r="AA55">
            <v>791166.6666666666</v>
          </cell>
          <cell r="AB55">
            <v>0</v>
          </cell>
        </row>
        <row r="56">
          <cell r="D56">
            <v>37316</v>
          </cell>
          <cell r="AA56">
            <v>791166.6666666666</v>
          </cell>
          <cell r="AB56">
            <v>0</v>
          </cell>
        </row>
        <row r="57">
          <cell r="D57">
            <v>37347</v>
          </cell>
          <cell r="AA57">
            <v>791166.6666666666</v>
          </cell>
          <cell r="AB57">
            <v>0</v>
          </cell>
        </row>
        <row r="58">
          <cell r="D58">
            <v>37377</v>
          </cell>
          <cell r="AA58">
            <v>791166.6666666666</v>
          </cell>
          <cell r="AB58">
            <v>0</v>
          </cell>
        </row>
        <row r="59">
          <cell r="D59">
            <v>37408</v>
          </cell>
          <cell r="AA59">
            <v>791166.6666666666</v>
          </cell>
          <cell r="AB59">
            <v>0</v>
          </cell>
        </row>
        <row r="60">
          <cell r="A60" t="str">
            <v>PCA1</v>
          </cell>
          <cell r="D60">
            <v>37438</v>
          </cell>
          <cell r="AA60">
            <v>791166.6666666666</v>
          </cell>
          <cell r="AB60">
            <v>2134470.865384615</v>
          </cell>
        </row>
        <row r="61">
          <cell r="A61" t="str">
            <v>PCA1</v>
          </cell>
          <cell r="D61">
            <v>37469</v>
          </cell>
          <cell r="AA61">
            <v>791166.6666666666</v>
          </cell>
          <cell r="AB61">
            <v>2134470.865384615</v>
          </cell>
        </row>
        <row r="62">
          <cell r="A62" t="str">
            <v>PCA1</v>
          </cell>
          <cell r="D62">
            <v>37500</v>
          </cell>
          <cell r="AA62">
            <v>791166.6666666666</v>
          </cell>
          <cell r="AB62">
            <v>2134470.865384615</v>
          </cell>
        </row>
        <row r="63">
          <cell r="A63" t="str">
            <v>PCA1</v>
          </cell>
          <cell r="D63">
            <v>37530</v>
          </cell>
          <cell r="AA63">
            <v>791166.6666666666</v>
          </cell>
          <cell r="AB63">
            <v>2134470.865384615</v>
          </cell>
        </row>
        <row r="64">
          <cell r="A64" t="str">
            <v>PCA1</v>
          </cell>
          <cell r="D64">
            <v>37561</v>
          </cell>
          <cell r="AA64">
            <v>791166.6666666666</v>
          </cell>
          <cell r="AB64">
            <v>2134470.865384615</v>
          </cell>
        </row>
        <row r="65">
          <cell r="A65" t="str">
            <v>PCA1</v>
          </cell>
          <cell r="D65">
            <v>37591</v>
          </cell>
          <cell r="AA65">
            <v>791166.6666666666</v>
          </cell>
          <cell r="AB65">
            <v>2134470.865384615</v>
          </cell>
        </row>
        <row r="66">
          <cell r="A66" t="str">
            <v>PCA1</v>
          </cell>
          <cell r="D66">
            <v>37622</v>
          </cell>
          <cell r="AA66">
            <v>993666.6666666666</v>
          </cell>
          <cell r="AB66">
            <v>2134470.865384615</v>
          </cell>
        </row>
        <row r="67">
          <cell r="A67" t="str">
            <v>PCA1</v>
          </cell>
          <cell r="D67">
            <v>37653</v>
          </cell>
          <cell r="AA67">
            <v>993666.6666666666</v>
          </cell>
          <cell r="AB67">
            <v>2134470.865384615</v>
          </cell>
        </row>
        <row r="68">
          <cell r="A68" t="str">
            <v>PCA1</v>
          </cell>
          <cell r="D68">
            <v>37681</v>
          </cell>
          <cell r="AA68">
            <v>993666.6666666666</v>
          </cell>
          <cell r="AB68">
            <v>2134470.865384615</v>
          </cell>
        </row>
        <row r="69">
          <cell r="A69" t="str">
            <v>PCA1</v>
          </cell>
          <cell r="D69">
            <v>37712</v>
          </cell>
          <cell r="AA69">
            <v>993666.6666666666</v>
          </cell>
          <cell r="AB69">
            <v>2134470.865384615</v>
          </cell>
        </row>
        <row r="70">
          <cell r="A70" t="str">
            <v>PCA1</v>
          </cell>
          <cell r="D70">
            <v>37742</v>
          </cell>
          <cell r="AA70">
            <v>993666.6666666666</v>
          </cell>
          <cell r="AB70">
            <v>2134470.865384615</v>
          </cell>
        </row>
        <row r="71">
          <cell r="A71" t="str">
            <v>PCA1</v>
          </cell>
          <cell r="D71">
            <v>37773</v>
          </cell>
          <cell r="AA71">
            <v>993666.6666666666</v>
          </cell>
          <cell r="AB71">
            <v>2134470.865384615</v>
          </cell>
        </row>
        <row r="72">
          <cell r="A72" t="str">
            <v>PCA2</v>
          </cell>
          <cell r="D72">
            <v>37803</v>
          </cell>
          <cell r="AA72">
            <v>993666.6666666666</v>
          </cell>
          <cell r="AB72">
            <v>2024975.5448717945</v>
          </cell>
        </row>
        <row r="73">
          <cell r="A73" t="str">
            <v>PCA2</v>
          </cell>
          <cell r="D73">
            <v>37834</v>
          </cell>
          <cell r="AA73">
            <v>993666.6666666666</v>
          </cell>
          <cell r="AB73">
            <v>2024975.5448717945</v>
          </cell>
        </row>
        <row r="74">
          <cell r="A74" t="str">
            <v>PCA2</v>
          </cell>
          <cell r="D74">
            <v>37865</v>
          </cell>
          <cell r="AA74">
            <v>993666.6666666666</v>
          </cell>
          <cell r="AB74">
            <v>2024975.5448717945</v>
          </cell>
        </row>
        <row r="75">
          <cell r="A75" t="str">
            <v>PCA2</v>
          </cell>
          <cell r="D75">
            <v>37895</v>
          </cell>
          <cell r="AA75">
            <v>993666.6666666666</v>
          </cell>
          <cell r="AB75">
            <v>2024975.5448717945</v>
          </cell>
        </row>
        <row r="76">
          <cell r="A76" t="str">
            <v>PCA2</v>
          </cell>
          <cell r="D76">
            <v>37926</v>
          </cell>
          <cell r="AA76">
            <v>993666.6666666666</v>
          </cell>
          <cell r="AB76">
            <v>2024975.5448717945</v>
          </cell>
        </row>
        <row r="77">
          <cell r="A77" t="str">
            <v>PCA2</v>
          </cell>
          <cell r="D77">
            <v>37956</v>
          </cell>
          <cell r="AA77">
            <v>993666.6666666666</v>
          </cell>
          <cell r="AB77">
            <v>2024975.5448717945</v>
          </cell>
        </row>
        <row r="78">
          <cell r="A78" t="str">
            <v>PCA2</v>
          </cell>
          <cell r="D78">
            <v>37987</v>
          </cell>
          <cell r="AA78">
            <v>1228666.6666666667</v>
          </cell>
          <cell r="AB78">
            <v>2024975.5448717945</v>
          </cell>
        </row>
        <row r="79">
          <cell r="A79" t="str">
            <v>PCA2</v>
          </cell>
          <cell r="D79">
            <v>38018</v>
          </cell>
          <cell r="AA79">
            <v>1228666.6666666667</v>
          </cell>
          <cell r="AB79">
            <v>2024975.5448717945</v>
          </cell>
        </row>
        <row r="80">
          <cell r="A80" t="str">
            <v>PCA2</v>
          </cell>
          <cell r="D80">
            <v>38047</v>
          </cell>
          <cell r="AA80">
            <v>1228666.6666666667</v>
          </cell>
          <cell r="AB80">
            <v>2024975.5448717945</v>
          </cell>
        </row>
        <row r="81">
          <cell r="A81" t="str">
            <v>PCA2</v>
          </cell>
          <cell r="D81">
            <v>38078</v>
          </cell>
          <cell r="AA81">
            <v>1228666.6666666667</v>
          </cell>
          <cell r="AB81">
            <v>2024975.5448717945</v>
          </cell>
        </row>
        <row r="82">
          <cell r="A82" t="str">
            <v>PCA2</v>
          </cell>
          <cell r="D82">
            <v>38108</v>
          </cell>
          <cell r="AA82">
            <v>1228666.6666666667</v>
          </cell>
          <cell r="AB82">
            <v>2024975.5448717945</v>
          </cell>
        </row>
        <row r="83">
          <cell r="A83" t="str">
            <v>PCA2</v>
          </cell>
          <cell r="D83">
            <v>38139</v>
          </cell>
          <cell r="AA83">
            <v>1228666.6666666667</v>
          </cell>
          <cell r="AB83">
            <v>2024975.5448717945</v>
          </cell>
        </row>
        <row r="84">
          <cell r="A84" t="str">
            <v>PCA3</v>
          </cell>
          <cell r="D84">
            <v>38169</v>
          </cell>
          <cell r="AA84">
            <v>1228666.6666666667</v>
          </cell>
          <cell r="AB84">
            <v>1832056.237937596</v>
          </cell>
        </row>
        <row r="85">
          <cell r="A85" t="str">
            <v>PCA3</v>
          </cell>
          <cell r="D85">
            <v>38200</v>
          </cell>
          <cell r="AA85">
            <v>1228666.6666666667</v>
          </cell>
          <cell r="AB85">
            <v>1832056.237937596</v>
          </cell>
        </row>
        <row r="86">
          <cell r="A86" t="str">
            <v>PCA3</v>
          </cell>
          <cell r="D86">
            <v>38231</v>
          </cell>
          <cell r="AA86">
            <v>1228666.6666666667</v>
          </cell>
          <cell r="AB86">
            <v>1832056.237937596</v>
          </cell>
        </row>
        <row r="87">
          <cell r="A87" t="str">
            <v>PCA3</v>
          </cell>
          <cell r="D87">
            <v>38261</v>
          </cell>
          <cell r="AA87">
            <v>1228666.6666666667</v>
          </cell>
          <cell r="AB87">
            <v>1832056.237937596</v>
          </cell>
        </row>
        <row r="88">
          <cell r="A88" t="str">
            <v>PCA3</v>
          </cell>
          <cell r="D88">
            <v>38292</v>
          </cell>
          <cell r="AA88">
            <v>1228666.6666666667</v>
          </cell>
          <cell r="AB88">
            <v>1832056.237937596</v>
          </cell>
        </row>
        <row r="89">
          <cell r="A89" t="str">
            <v>PCA3</v>
          </cell>
          <cell r="D89">
            <v>38322</v>
          </cell>
          <cell r="AA89">
            <v>1228666.6666666667</v>
          </cell>
          <cell r="AB89">
            <v>1832056.237937596</v>
          </cell>
        </row>
        <row r="90">
          <cell r="A90" t="str">
            <v>PCA3</v>
          </cell>
          <cell r="D90">
            <v>38353</v>
          </cell>
          <cell r="AA90">
            <v>1492333.3333333333</v>
          </cell>
          <cell r="AB90">
            <v>1832056.237937596</v>
          </cell>
        </row>
        <row r="91">
          <cell r="A91" t="str">
            <v>PCA3</v>
          </cell>
          <cell r="D91">
            <v>38384</v>
          </cell>
          <cell r="AA91">
            <v>1492333.3333333333</v>
          </cell>
          <cell r="AB91">
            <v>1832056.237937596</v>
          </cell>
        </row>
        <row r="92">
          <cell r="A92" t="str">
            <v>PCA3</v>
          </cell>
          <cell r="D92">
            <v>38412</v>
          </cell>
          <cell r="AA92">
            <v>1492333.3333333333</v>
          </cell>
          <cell r="AB92">
            <v>1832056.237937596</v>
          </cell>
        </row>
        <row r="93">
          <cell r="A93" t="str">
            <v>PCA3</v>
          </cell>
          <cell r="D93">
            <v>38443</v>
          </cell>
          <cell r="AA93">
            <v>1492333.3333333333</v>
          </cell>
          <cell r="AB93">
            <v>1832056.237937596</v>
          </cell>
        </row>
        <row r="94">
          <cell r="A94" t="str">
            <v>PCA3</v>
          </cell>
          <cell r="D94">
            <v>38473</v>
          </cell>
          <cell r="AA94">
            <v>1492333.3333333333</v>
          </cell>
          <cell r="AB94">
            <v>1832056.237937596</v>
          </cell>
        </row>
        <row r="95">
          <cell r="A95" t="str">
            <v>PCA3</v>
          </cell>
          <cell r="D95">
            <v>38504</v>
          </cell>
          <cell r="AA95">
            <v>1492333.3333333333</v>
          </cell>
          <cell r="AB95">
            <v>1832056.237937596</v>
          </cell>
        </row>
        <row r="96">
          <cell r="A96" t="str">
            <v>PCA4</v>
          </cell>
          <cell r="D96">
            <v>38534</v>
          </cell>
          <cell r="AA96">
            <v>1492333.3333333333</v>
          </cell>
          <cell r="AB96">
            <v>1556853.596153846</v>
          </cell>
        </row>
        <row r="97">
          <cell r="A97" t="str">
            <v>PCA4</v>
          </cell>
          <cell r="D97">
            <v>38565</v>
          </cell>
          <cell r="AA97">
            <v>1492333.3333333333</v>
          </cell>
          <cell r="AB97">
            <v>1556853.596153846</v>
          </cell>
        </row>
        <row r="98">
          <cell r="A98" t="str">
            <v>PCA4</v>
          </cell>
          <cell r="D98">
            <v>38596</v>
          </cell>
          <cell r="AA98">
            <v>1492333.3333333333</v>
          </cell>
          <cell r="AB98">
            <v>1556853.596153846</v>
          </cell>
        </row>
        <row r="99">
          <cell r="A99" t="str">
            <v>PCA4</v>
          </cell>
          <cell r="D99">
            <v>38626</v>
          </cell>
          <cell r="AA99">
            <v>1492333.3333333333</v>
          </cell>
          <cell r="AB99">
            <v>1556853.596153846</v>
          </cell>
        </row>
        <row r="100">
          <cell r="A100" t="str">
            <v>PCA4</v>
          </cell>
          <cell r="D100">
            <v>38657</v>
          </cell>
          <cell r="AA100">
            <v>1492333.3333333333</v>
          </cell>
          <cell r="AB100">
            <v>1556853.596153846</v>
          </cell>
        </row>
        <row r="101">
          <cell r="A101" t="str">
            <v>PCA4</v>
          </cell>
          <cell r="D101">
            <v>38687</v>
          </cell>
          <cell r="AA101">
            <v>1492333.3333333333</v>
          </cell>
          <cell r="AB101">
            <v>1556853.596153846</v>
          </cell>
        </row>
        <row r="102">
          <cell r="A102" t="str">
            <v>PCA4</v>
          </cell>
          <cell r="D102">
            <v>38718</v>
          </cell>
          <cell r="AA102">
            <v>1717916.6666666667</v>
          </cell>
          <cell r="AB102">
            <v>1556853.5961538462</v>
          </cell>
        </row>
        <row r="103">
          <cell r="A103" t="str">
            <v>PCA4</v>
          </cell>
          <cell r="D103">
            <v>38749</v>
          </cell>
          <cell r="AA103">
            <v>1717916.6666666667</v>
          </cell>
          <cell r="AB103">
            <v>1556853.5961538462</v>
          </cell>
        </row>
        <row r="104">
          <cell r="A104" t="str">
            <v>PCA4</v>
          </cell>
          <cell r="D104">
            <v>38777</v>
          </cell>
          <cell r="AA104">
            <v>1717916.6666666667</v>
          </cell>
          <cell r="AB104">
            <v>1556853.5961538462</v>
          </cell>
        </row>
        <row r="105">
          <cell r="A105" t="str">
            <v>PCA4</v>
          </cell>
          <cell r="D105">
            <v>38808</v>
          </cell>
          <cell r="AA105">
            <v>1717916.6666666667</v>
          </cell>
          <cell r="AB105">
            <v>1556853.5961538462</v>
          </cell>
        </row>
        <row r="106">
          <cell r="A106" t="str">
            <v>PCA4</v>
          </cell>
          <cell r="D106">
            <v>38838</v>
          </cell>
          <cell r="AA106">
            <v>1717916.6666666667</v>
          </cell>
          <cell r="AB106">
            <v>1556853.5961538462</v>
          </cell>
        </row>
        <row r="107">
          <cell r="A107" t="str">
            <v>PCA4</v>
          </cell>
          <cell r="D107">
            <v>38869</v>
          </cell>
          <cell r="AA107">
            <v>1717916.6666666667</v>
          </cell>
          <cell r="AB107">
            <v>1556853.5961538462</v>
          </cell>
        </row>
        <row r="108">
          <cell r="A108" t="str">
            <v>PCA5</v>
          </cell>
          <cell r="D108">
            <v>38899</v>
          </cell>
          <cell r="AA108">
            <v>1717916.6666666667</v>
          </cell>
          <cell r="AB108">
            <v>1428617.02991453</v>
          </cell>
        </row>
        <row r="109">
          <cell r="A109" t="str">
            <v>PCA5</v>
          </cell>
          <cell r="D109">
            <v>38930</v>
          </cell>
          <cell r="AA109">
            <v>1717916.6666666667</v>
          </cell>
          <cell r="AB109">
            <v>1428617.02991453</v>
          </cell>
        </row>
        <row r="110">
          <cell r="A110" t="str">
            <v>PCA5</v>
          </cell>
          <cell r="D110">
            <v>38961</v>
          </cell>
          <cell r="AA110">
            <v>1717916.6666666667</v>
          </cell>
          <cell r="AB110">
            <v>1428617.02991453</v>
          </cell>
        </row>
        <row r="111">
          <cell r="A111" t="str">
            <v>PCA5</v>
          </cell>
          <cell r="D111">
            <v>38991</v>
          </cell>
          <cell r="AA111">
            <v>1717916.6666666667</v>
          </cell>
          <cell r="AB111">
            <v>1428617.02991453</v>
          </cell>
        </row>
        <row r="112">
          <cell r="A112" t="str">
            <v>PCA5</v>
          </cell>
          <cell r="D112">
            <v>39022</v>
          </cell>
          <cell r="AA112">
            <v>1717916.6666666667</v>
          </cell>
          <cell r="AB112">
            <v>1428617.02991453</v>
          </cell>
        </row>
        <row r="113">
          <cell r="A113" t="str">
            <v>PCA5</v>
          </cell>
          <cell r="D113">
            <v>39052</v>
          </cell>
          <cell r="AA113">
            <v>1717916.6666666667</v>
          </cell>
          <cell r="AB113">
            <v>1428617.02991453</v>
          </cell>
        </row>
        <row r="114">
          <cell r="A114" t="str">
            <v>PCA6</v>
          </cell>
          <cell r="D114">
            <v>39083</v>
          </cell>
          <cell r="AA114">
            <v>2028583.333333333</v>
          </cell>
          <cell r="AB114">
            <v>1290107.9611248989</v>
          </cell>
        </row>
        <row r="115">
          <cell r="A115" t="str">
            <v>PCA6</v>
          </cell>
          <cell r="D115">
            <v>39114</v>
          </cell>
          <cell r="AA115">
            <v>2028583.333333333</v>
          </cell>
          <cell r="AB115">
            <v>1293654.4871794893</v>
          </cell>
        </row>
        <row r="116">
          <cell r="A116" t="str">
            <v>PCA6</v>
          </cell>
          <cell r="D116">
            <v>39142</v>
          </cell>
          <cell r="AA116">
            <v>2028583.333333333</v>
          </cell>
          <cell r="AB116">
            <v>1293654.4871794893</v>
          </cell>
        </row>
        <row r="117">
          <cell r="A117" t="str">
            <v>PCA6</v>
          </cell>
          <cell r="D117">
            <v>39173</v>
          </cell>
          <cell r="AA117">
            <v>2028583.333333333</v>
          </cell>
          <cell r="AB117">
            <v>1293654.4871794893</v>
          </cell>
        </row>
        <row r="118">
          <cell r="A118" t="str">
            <v>PCA6</v>
          </cell>
          <cell r="D118">
            <v>39203</v>
          </cell>
          <cell r="AA118">
            <v>2028583.333333333</v>
          </cell>
          <cell r="AB118">
            <v>1293654.4871794893</v>
          </cell>
        </row>
        <row r="119">
          <cell r="A119" t="str">
            <v>PCA6</v>
          </cell>
          <cell r="D119">
            <v>39234</v>
          </cell>
          <cell r="AA119">
            <v>2028583.333333333</v>
          </cell>
          <cell r="AB119">
            <v>1293654.4871794893</v>
          </cell>
        </row>
        <row r="120">
          <cell r="A120" t="str">
            <v>PCA6</v>
          </cell>
          <cell r="D120">
            <v>39264</v>
          </cell>
          <cell r="AA120">
            <v>2028583.333333333</v>
          </cell>
          <cell r="AB120">
            <v>1293654.4871794893</v>
          </cell>
        </row>
        <row r="121">
          <cell r="A121" t="str">
            <v>PCA6</v>
          </cell>
          <cell r="D121">
            <v>39295</v>
          </cell>
          <cell r="AA121">
            <v>2028583.333333333</v>
          </cell>
          <cell r="AB121">
            <v>1293654.4871794893</v>
          </cell>
        </row>
        <row r="122">
          <cell r="A122" t="str">
            <v>PCA6</v>
          </cell>
          <cell r="D122">
            <v>39326</v>
          </cell>
          <cell r="AA122">
            <v>2028583.333333333</v>
          </cell>
          <cell r="AB122">
            <v>1293654.4871794893</v>
          </cell>
        </row>
        <row r="123">
          <cell r="A123" t="str">
            <v>PCA6</v>
          </cell>
          <cell r="D123">
            <v>39356</v>
          </cell>
          <cell r="AA123">
            <v>2028583.333333333</v>
          </cell>
          <cell r="AB123">
            <v>1293654.4871794893</v>
          </cell>
        </row>
        <row r="124">
          <cell r="A124" t="str">
            <v>PCA6</v>
          </cell>
          <cell r="D124">
            <v>39387</v>
          </cell>
          <cell r="AA124">
            <v>2028583.333333333</v>
          </cell>
          <cell r="AB124">
            <v>1293654.4871794893</v>
          </cell>
        </row>
        <row r="125">
          <cell r="A125" t="str">
            <v>PCA6</v>
          </cell>
          <cell r="D125">
            <v>39417</v>
          </cell>
          <cell r="AA125">
            <v>2028583.333333333</v>
          </cell>
          <cell r="AB125">
            <v>1293654.4871794893</v>
          </cell>
        </row>
        <row r="126">
          <cell r="A126" t="str">
            <v>PCA7</v>
          </cell>
          <cell r="D126">
            <v>39448</v>
          </cell>
          <cell r="AA126">
            <v>2356000</v>
          </cell>
          <cell r="AB126">
            <v>1069694.0897435911</v>
          </cell>
        </row>
        <row r="127">
          <cell r="A127" t="str">
            <v>PCA7</v>
          </cell>
          <cell r="D127">
            <v>39479</v>
          </cell>
          <cell r="AA127">
            <v>2356000</v>
          </cell>
          <cell r="AB127">
            <v>1069694.0897435911</v>
          </cell>
        </row>
        <row r="128">
          <cell r="A128" t="str">
            <v>PCA7</v>
          </cell>
          <cell r="D128">
            <v>39508</v>
          </cell>
          <cell r="AA128">
            <v>2356000</v>
          </cell>
          <cell r="AB128">
            <v>1069694.0897435911</v>
          </cell>
        </row>
        <row r="129">
          <cell r="A129" t="str">
            <v>PCA7</v>
          </cell>
          <cell r="D129">
            <v>39539</v>
          </cell>
          <cell r="AA129">
            <v>2356000</v>
          </cell>
          <cell r="AB129">
            <v>1069694.0897435911</v>
          </cell>
        </row>
        <row r="130">
          <cell r="A130" t="str">
            <v>PCA7</v>
          </cell>
          <cell r="D130">
            <v>39569</v>
          </cell>
          <cell r="AA130">
            <v>2356000</v>
          </cell>
          <cell r="AB130">
            <v>1069694.0897435911</v>
          </cell>
        </row>
        <row r="131">
          <cell r="A131" t="str">
            <v>PCA7</v>
          </cell>
          <cell r="D131">
            <v>39600</v>
          </cell>
          <cell r="AA131">
            <v>2356000</v>
          </cell>
          <cell r="AB131">
            <v>1069694.0897435911</v>
          </cell>
        </row>
        <row r="132">
          <cell r="A132" t="str">
            <v>PCA7</v>
          </cell>
          <cell r="D132">
            <v>39630</v>
          </cell>
          <cell r="AA132">
            <v>2356000</v>
          </cell>
          <cell r="AB132">
            <v>1069694.0897435911</v>
          </cell>
        </row>
        <row r="133">
          <cell r="A133" t="str">
            <v>PCA7</v>
          </cell>
          <cell r="D133">
            <v>39661</v>
          </cell>
          <cell r="AA133">
            <v>2356000</v>
          </cell>
          <cell r="AB133">
            <v>1069694.0897435911</v>
          </cell>
        </row>
        <row r="134">
          <cell r="A134" t="str">
            <v>PCA7</v>
          </cell>
          <cell r="D134">
            <v>39692</v>
          </cell>
          <cell r="AA134">
            <v>2356000</v>
          </cell>
          <cell r="AB134">
            <v>1069694.0897435911</v>
          </cell>
        </row>
        <row r="135">
          <cell r="A135" t="str">
            <v>PCA7</v>
          </cell>
          <cell r="D135">
            <v>39722</v>
          </cell>
          <cell r="AA135">
            <v>2356000</v>
          </cell>
          <cell r="AB135">
            <v>1069694.0897435911</v>
          </cell>
        </row>
        <row r="136">
          <cell r="A136" t="str">
            <v>PCA7</v>
          </cell>
          <cell r="D136">
            <v>39753</v>
          </cell>
          <cell r="AA136">
            <v>2356000</v>
          </cell>
          <cell r="AB136">
            <v>1069694.0897435911</v>
          </cell>
        </row>
        <row r="137">
          <cell r="A137" t="str">
            <v>PCA7</v>
          </cell>
          <cell r="D137">
            <v>39783</v>
          </cell>
          <cell r="AA137">
            <v>2356000</v>
          </cell>
          <cell r="AB137">
            <v>1069694.0897435911</v>
          </cell>
        </row>
        <row r="138">
          <cell r="A138" t="str">
            <v>PCA8</v>
          </cell>
          <cell r="D138">
            <v>39814</v>
          </cell>
          <cell r="AA138">
            <v>2723000</v>
          </cell>
          <cell r="AB138">
            <v>810266.243589745</v>
          </cell>
        </row>
        <row r="139">
          <cell r="A139" t="str">
            <v>PCA8</v>
          </cell>
          <cell r="D139">
            <v>39845</v>
          </cell>
          <cell r="AA139">
            <v>2723000</v>
          </cell>
          <cell r="AB139">
            <v>810266.243589745</v>
          </cell>
        </row>
        <row r="140">
          <cell r="A140" t="str">
            <v>PCA8</v>
          </cell>
          <cell r="D140">
            <v>39873</v>
          </cell>
          <cell r="AA140">
            <v>2723000</v>
          </cell>
          <cell r="AB140">
            <v>810266.243589745</v>
          </cell>
        </row>
        <row r="141">
          <cell r="A141" t="str">
            <v>PCA8</v>
          </cell>
          <cell r="D141">
            <v>39904</v>
          </cell>
          <cell r="AA141">
            <v>2723000</v>
          </cell>
          <cell r="AB141">
            <v>810266.243589745</v>
          </cell>
        </row>
        <row r="142">
          <cell r="A142" t="str">
            <v>PCA8</v>
          </cell>
          <cell r="D142">
            <v>39934</v>
          </cell>
          <cell r="AA142">
            <v>2723000</v>
          </cell>
          <cell r="AB142">
            <v>810266.243589745</v>
          </cell>
        </row>
        <row r="143">
          <cell r="A143" t="str">
            <v>PCA8</v>
          </cell>
          <cell r="D143">
            <v>39965</v>
          </cell>
          <cell r="AA143">
            <v>2723000</v>
          </cell>
          <cell r="AB143">
            <v>810266.243589745</v>
          </cell>
        </row>
        <row r="144">
          <cell r="A144" t="str">
            <v>PCA8</v>
          </cell>
          <cell r="D144">
            <v>39995</v>
          </cell>
          <cell r="AA144">
            <v>2723000</v>
          </cell>
          <cell r="AB144">
            <v>810266.243589745</v>
          </cell>
        </row>
        <row r="145">
          <cell r="A145" t="str">
            <v>PCA8</v>
          </cell>
          <cell r="D145">
            <v>40026</v>
          </cell>
          <cell r="AA145">
            <v>2723000</v>
          </cell>
          <cell r="AB145">
            <v>810266.243589745</v>
          </cell>
        </row>
        <row r="146">
          <cell r="A146" t="str">
            <v>PCA8</v>
          </cell>
          <cell r="D146">
            <v>40057</v>
          </cell>
          <cell r="AA146">
            <v>2723000</v>
          </cell>
          <cell r="AB146">
            <v>810266.243589745</v>
          </cell>
        </row>
        <row r="147">
          <cell r="A147" t="str">
            <v>PCA8</v>
          </cell>
          <cell r="D147">
            <v>40087</v>
          </cell>
          <cell r="AA147">
            <v>2723000</v>
          </cell>
          <cell r="AB147">
            <v>810266.243589745</v>
          </cell>
        </row>
        <row r="148">
          <cell r="A148" t="str">
            <v>PCA8</v>
          </cell>
          <cell r="D148">
            <v>40118</v>
          </cell>
          <cell r="AA148">
            <v>2723000</v>
          </cell>
          <cell r="AB148">
            <v>810266.243589745</v>
          </cell>
        </row>
        <row r="149">
          <cell r="A149" t="str">
            <v>PCA8</v>
          </cell>
          <cell r="D149">
            <v>40148</v>
          </cell>
          <cell r="AA149">
            <v>2723000</v>
          </cell>
          <cell r="AB149">
            <v>810266.243589745</v>
          </cell>
        </row>
        <row r="150">
          <cell r="A150" t="str">
            <v>PCA9</v>
          </cell>
          <cell r="D150">
            <v>40179</v>
          </cell>
          <cell r="AA150">
            <v>3127750</v>
          </cell>
          <cell r="AB150">
            <v>511415.5384615395</v>
          </cell>
        </row>
        <row r="151">
          <cell r="A151" t="str">
            <v>PCA9</v>
          </cell>
          <cell r="D151">
            <v>40210</v>
          </cell>
          <cell r="AA151">
            <v>3127750</v>
          </cell>
          <cell r="AB151">
            <v>511415.5384615395</v>
          </cell>
        </row>
        <row r="152">
          <cell r="A152" t="str">
            <v>PCA9</v>
          </cell>
          <cell r="D152">
            <v>40238</v>
          </cell>
          <cell r="AA152">
            <v>3127750</v>
          </cell>
          <cell r="AB152">
            <v>511415.5384615395</v>
          </cell>
        </row>
        <row r="153">
          <cell r="A153" t="str">
            <v>PCA9</v>
          </cell>
          <cell r="D153">
            <v>40269</v>
          </cell>
          <cell r="AA153">
            <v>3127750</v>
          </cell>
          <cell r="AB153">
            <v>511415.5384615395</v>
          </cell>
        </row>
        <row r="154">
          <cell r="A154" t="str">
            <v>PCA9</v>
          </cell>
          <cell r="D154">
            <v>40299</v>
          </cell>
          <cell r="AA154">
            <v>3127750</v>
          </cell>
          <cell r="AB154">
            <v>511415.5384615395</v>
          </cell>
        </row>
        <row r="155">
          <cell r="A155" t="str">
            <v>PCA9</v>
          </cell>
          <cell r="D155">
            <v>40330</v>
          </cell>
          <cell r="AA155">
            <v>3127750</v>
          </cell>
          <cell r="AB155">
            <v>511415.5384615395</v>
          </cell>
        </row>
        <row r="156">
          <cell r="A156" t="str">
            <v>PCA9</v>
          </cell>
          <cell r="D156">
            <v>40360</v>
          </cell>
          <cell r="AA156">
            <v>3127750</v>
          </cell>
          <cell r="AB156">
            <v>511415.5384615395</v>
          </cell>
        </row>
        <row r="157">
          <cell r="A157" t="str">
            <v>PCA9</v>
          </cell>
          <cell r="D157">
            <v>40391</v>
          </cell>
          <cell r="AA157">
            <v>3127750</v>
          </cell>
          <cell r="AB157">
            <v>511415.5384615395</v>
          </cell>
        </row>
        <row r="158">
          <cell r="A158" t="str">
            <v>PCA9</v>
          </cell>
          <cell r="D158">
            <v>40422</v>
          </cell>
          <cell r="AA158">
            <v>3127750</v>
          </cell>
          <cell r="AB158">
            <v>511415.5384615395</v>
          </cell>
        </row>
        <row r="159">
          <cell r="A159" t="str">
            <v>PCA9</v>
          </cell>
          <cell r="D159">
            <v>40452</v>
          </cell>
          <cell r="AA159">
            <v>3127750</v>
          </cell>
          <cell r="AB159">
            <v>511415.5384615395</v>
          </cell>
        </row>
        <row r="160">
          <cell r="A160" t="str">
            <v>PCA9</v>
          </cell>
          <cell r="D160">
            <v>40483</v>
          </cell>
          <cell r="AA160">
            <v>3127750</v>
          </cell>
          <cell r="AB160">
            <v>511415.5384615395</v>
          </cell>
        </row>
        <row r="161">
          <cell r="A161" t="str">
            <v>PCA9</v>
          </cell>
          <cell r="D161">
            <v>40513</v>
          </cell>
          <cell r="AA161">
            <v>3127750</v>
          </cell>
          <cell r="AB161">
            <v>511415.5384615395</v>
          </cell>
        </row>
        <row r="162">
          <cell r="A162" t="str">
            <v>PCA10</v>
          </cell>
          <cell r="D162">
            <v>40544</v>
          </cell>
          <cell r="AA162">
            <v>3385750</v>
          </cell>
          <cell r="AB162">
            <v>177837.32692307807</v>
          </cell>
        </row>
        <row r="163">
          <cell r="A163" t="str">
            <v>PCA10</v>
          </cell>
          <cell r="D163">
            <v>40575</v>
          </cell>
          <cell r="AA163">
            <v>3385750</v>
          </cell>
          <cell r="AB163">
            <v>177837.32692307807</v>
          </cell>
        </row>
        <row r="164">
          <cell r="A164" t="str">
            <v>PCA10</v>
          </cell>
          <cell r="D164">
            <v>40603</v>
          </cell>
          <cell r="AA164">
            <v>3385750</v>
          </cell>
          <cell r="AB164">
            <v>177837.32692307807</v>
          </cell>
        </row>
        <row r="165">
          <cell r="A165" t="str">
            <v>PCA10</v>
          </cell>
          <cell r="D165">
            <v>40634</v>
          </cell>
          <cell r="AA165">
            <v>3385750</v>
          </cell>
          <cell r="AB165">
            <v>177837.32692307807</v>
          </cell>
        </row>
        <row r="166">
          <cell r="A166" t="str">
            <v>PCA10</v>
          </cell>
          <cell r="D166">
            <v>40664</v>
          </cell>
          <cell r="AA166">
            <v>3385750</v>
          </cell>
          <cell r="AB166">
            <v>177837.32692307807</v>
          </cell>
        </row>
        <row r="167">
          <cell r="A167" t="str">
            <v>PCA10</v>
          </cell>
          <cell r="D167">
            <v>40695</v>
          </cell>
          <cell r="AA167">
            <v>3385750</v>
          </cell>
          <cell r="AB167">
            <v>177837.32692307807</v>
          </cell>
        </row>
        <row r="168">
          <cell r="A168" t="str">
            <v>PCA10</v>
          </cell>
          <cell r="D168">
            <v>40725</v>
          </cell>
          <cell r="AA168">
            <v>3385750</v>
          </cell>
          <cell r="AB168">
            <v>177837.32692307807</v>
          </cell>
        </row>
        <row r="169">
          <cell r="A169" t="str">
            <v>PCA10</v>
          </cell>
          <cell r="D169">
            <v>40756</v>
          </cell>
          <cell r="AA169">
            <v>3385750</v>
          </cell>
          <cell r="AB169">
            <v>177837.32692307807</v>
          </cell>
        </row>
        <row r="170">
          <cell r="A170" t="str">
            <v>PCA10</v>
          </cell>
          <cell r="D170">
            <v>40787</v>
          </cell>
          <cell r="AA170">
            <v>3385750</v>
          </cell>
          <cell r="AB170">
            <v>177837.32692307807</v>
          </cell>
        </row>
        <row r="171">
          <cell r="A171" t="str">
            <v>PCA10</v>
          </cell>
          <cell r="D171">
            <v>40817</v>
          </cell>
          <cell r="AA171">
            <v>3385750</v>
          </cell>
          <cell r="AB171">
            <v>177837.32692307807</v>
          </cell>
        </row>
        <row r="172">
          <cell r="A172" t="str">
            <v>PCA10</v>
          </cell>
          <cell r="D172">
            <v>40848</v>
          </cell>
          <cell r="AA172">
            <v>3385750</v>
          </cell>
          <cell r="AB172">
            <v>177837.32692307807</v>
          </cell>
        </row>
        <row r="173">
          <cell r="A173" t="str">
            <v>PCA10</v>
          </cell>
          <cell r="D173">
            <v>40878</v>
          </cell>
          <cell r="AA173">
            <v>3385750</v>
          </cell>
          <cell r="AB173">
            <v>177837.32692307807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 PPAs Contracts"/>
      <sheetName val="#REF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8">
        <row r="3">
          <cell r="D3" t="str">
            <v>System Load</v>
          </cell>
          <cell r="E3">
            <v>2169059.4329818</v>
          </cell>
          <cell r="F3">
            <v>1828113.09075708</v>
          </cell>
          <cell r="G3">
            <v>1879661.32709383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1482934.45913102</v>
          </cell>
          <cell r="L3">
            <v>1515097.78186169</v>
          </cell>
          <cell r="M3">
            <v>1496389.61866799</v>
          </cell>
          <cell r="N3">
            <v>1722035.105688</v>
          </cell>
          <cell r="O3">
            <v>1876095.69033931</v>
          </cell>
          <cell r="P3">
            <v>2190998.16123006</v>
          </cell>
        </row>
        <row r="4">
          <cell r="D4" t="str">
            <v>New Turbines</v>
          </cell>
          <cell r="E4">
            <v>8461.47460639118</v>
          </cell>
          <cell r="F4">
            <v>7857.06598038689</v>
          </cell>
          <cell r="G4">
            <v>7453.2269189113</v>
          </cell>
          <cell r="H4">
            <v>3687.07729645045</v>
          </cell>
          <cell r="I4">
            <v>1067.12344125654</v>
          </cell>
          <cell r="J4">
            <v>1567.05374239131</v>
          </cell>
          <cell r="K4">
            <v>16483.8817527416</v>
          </cell>
          <cell r="L4">
            <v>20462.0824179683</v>
          </cell>
          <cell r="M4">
            <v>25301.4048550936</v>
          </cell>
          <cell r="N4">
            <v>33521.1363336184</v>
          </cell>
          <cell r="O4">
            <v>20368.928977153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98750.7447685908</v>
          </cell>
          <cell r="F7">
            <v>85741.5958919533</v>
          </cell>
          <cell r="G7">
            <v>96655.0533095064</v>
          </cell>
          <cell r="H7">
            <v>73857.0766084874</v>
          </cell>
          <cell r="I7">
            <v>58807.5119798328</v>
          </cell>
          <cell r="J7">
            <v>64533.640530937</v>
          </cell>
          <cell r="K7">
            <v>106250.291992776</v>
          </cell>
          <cell r="L7">
            <v>114686.546744746</v>
          </cell>
          <cell r="M7">
            <v>112845.606482456</v>
          </cell>
          <cell r="N7">
            <v>110591.627486719</v>
          </cell>
          <cell r="O7">
            <v>97347.8128559496</v>
          </cell>
          <cell r="P7">
            <v>96427.5058996681</v>
          </cell>
        </row>
        <row r="8">
          <cell r="D8" t="str">
            <v>CT Total for Load</v>
          </cell>
          <cell r="E8">
            <v>16743.17249288</v>
          </cell>
          <cell r="F8">
            <v>15522.7778898842</v>
          </cell>
          <cell r="G8">
            <v>13731.8301860421</v>
          </cell>
          <cell r="H8">
            <v>7373.27045063083</v>
          </cell>
          <cell r="I8">
            <v>0</v>
          </cell>
          <cell r="J8">
            <v>1764.67665193272</v>
          </cell>
          <cell r="K8">
            <v>46644.9855165112</v>
          </cell>
          <cell r="L8">
            <v>62265.0795522021</v>
          </cell>
          <cell r="M8">
            <v>80835.8620151669</v>
          </cell>
          <cell r="N8">
            <v>114280.638406006</v>
          </cell>
          <cell r="O8">
            <v>62896.8090585472</v>
          </cell>
          <cell r="P8">
            <v>50345.6063422809</v>
          </cell>
        </row>
        <row r="9">
          <cell r="D9" t="str">
            <v>PSPL Hydro</v>
          </cell>
          <cell r="E9">
            <v>111434.44784132</v>
          </cell>
          <cell r="F9">
            <v>101367.394418512</v>
          </cell>
          <cell r="G9">
            <v>113457.899713867</v>
          </cell>
          <cell r="H9">
            <v>97592.2461868</v>
          </cell>
          <cell r="I9">
            <v>128521.354983667</v>
          </cell>
          <cell r="J9">
            <v>156598.904126333</v>
          </cell>
          <cell r="K9">
            <v>148927.155065</v>
          </cell>
          <cell r="L9">
            <v>87823.7827908</v>
          </cell>
          <cell r="M9">
            <v>52673.504</v>
          </cell>
          <cell r="N9">
            <v>90601.804</v>
          </cell>
          <cell r="O9">
            <v>134578.1243236</v>
          </cell>
          <cell r="P9">
            <v>138751.6796556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2455.2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10012.8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3703.83333333333</v>
          </cell>
          <cell r="O18">
            <v>3452.93333333333</v>
          </cell>
          <cell r="P18">
            <v>1942.475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</v>
          </cell>
          <cell r="G20">
            <v>98699.2</v>
          </cell>
          <cell r="H20">
            <v>78194.4</v>
          </cell>
          <cell r="I20">
            <v>76808</v>
          </cell>
          <cell r="J20">
            <v>74920</v>
          </cell>
          <cell r="K20">
            <v>94923.2</v>
          </cell>
          <cell r="L20">
            <v>82751.2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</v>
          </cell>
          <cell r="F21">
            <v>133</v>
          </cell>
          <cell r="G21">
            <v>503</v>
          </cell>
          <cell r="H21">
            <v>1350</v>
          </cell>
          <cell r="I21">
            <v>3583.33333333333</v>
          </cell>
          <cell r="J21">
            <v>8683.66666666667</v>
          </cell>
          <cell r="K21">
            <v>6824.33333333333</v>
          </cell>
          <cell r="L21">
            <v>3325</v>
          </cell>
          <cell r="M21">
            <v>1128.77222222222</v>
          </cell>
          <cell r="N21">
            <v>1744</v>
          </cell>
          <cell r="O21">
            <v>3958.55962962963</v>
          </cell>
          <cell r="P21">
            <v>2678.66666666667</v>
          </cell>
        </row>
        <row r="22">
          <cell r="D22" t="str">
            <v>QF March Point Cogen Phase 1</v>
          </cell>
          <cell r="E22">
            <v>63113.52</v>
          </cell>
          <cell r="F22">
            <v>55781.76</v>
          </cell>
          <cell r="G22">
            <v>63113.52</v>
          </cell>
          <cell r="H22">
            <v>59037.6</v>
          </cell>
          <cell r="I22">
            <v>49853.52</v>
          </cell>
          <cell r="J22">
            <v>61077.6</v>
          </cell>
          <cell r="K22">
            <v>63113.52</v>
          </cell>
          <cell r="L22">
            <v>61889.52</v>
          </cell>
          <cell r="M22">
            <v>61077.6</v>
          </cell>
          <cell r="N22">
            <v>63113.52</v>
          </cell>
          <cell r="O22">
            <v>61077.6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</v>
          </cell>
          <cell r="F23">
            <v>33598.9370361768</v>
          </cell>
          <cell r="G23">
            <v>37830.7546333429</v>
          </cell>
          <cell r="H23">
            <v>34461.591989947</v>
          </cell>
          <cell r="I23">
            <v>32211.3142857143</v>
          </cell>
          <cell r="J23">
            <v>35928</v>
          </cell>
          <cell r="K23">
            <v>38504.8462796595</v>
          </cell>
          <cell r="L23">
            <v>38905.4965106786</v>
          </cell>
          <cell r="M23">
            <v>39209.8374784686</v>
          </cell>
          <cell r="N23">
            <v>41268.6803084002</v>
          </cell>
          <cell r="O23">
            <v>38187.7519283833</v>
          </cell>
          <cell r="P23">
            <v>38848.8750596487</v>
          </cell>
        </row>
        <row r="24">
          <cell r="D24" t="str">
            <v>QF Port Townsend Hydro</v>
          </cell>
          <cell r="E24">
            <v>248.92</v>
          </cell>
          <cell r="F24">
            <v>225.659925925926</v>
          </cell>
          <cell r="G24">
            <v>274.800074074074</v>
          </cell>
          <cell r="H24">
            <v>258.06</v>
          </cell>
          <cell r="I24">
            <v>246.34</v>
          </cell>
          <cell r="J24">
            <v>259.273333333333</v>
          </cell>
          <cell r="K24">
            <v>258.813333333333</v>
          </cell>
          <cell r="L24">
            <v>262.486666666667</v>
          </cell>
          <cell r="M24">
            <v>167.746666666667</v>
          </cell>
          <cell r="N24">
            <v>166.766666666667</v>
          </cell>
          <cell r="O24">
            <v>161.891111111111</v>
          </cell>
          <cell r="P24">
            <v>162.767407407407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48.723</v>
          </cell>
          <cell r="H25">
            <v>137.284</v>
          </cell>
          <cell r="I25">
            <v>209.811</v>
          </cell>
          <cell r="J25">
            <v>374.701</v>
          </cell>
          <cell r="K25">
            <v>282.743</v>
          </cell>
          <cell r="L25">
            <v>281.776</v>
          </cell>
          <cell r="M25">
            <v>0</v>
          </cell>
          <cell r="N25">
            <v>25.204</v>
          </cell>
          <cell r="O25">
            <v>190.742</v>
          </cell>
          <cell r="P25">
            <v>58.034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</v>
          </cell>
          <cell r="F28">
            <v>54826.4938214916</v>
          </cell>
          <cell r="G28">
            <v>63344.1857438774</v>
          </cell>
          <cell r="H28">
            <v>38225.0904979396</v>
          </cell>
          <cell r="I28">
            <v>27273.1586670872</v>
          </cell>
          <cell r="J28">
            <v>25787.0410950464</v>
          </cell>
          <cell r="K28">
            <v>74572.9302870183</v>
          </cell>
          <cell r="L28">
            <v>84858.994806611</v>
          </cell>
          <cell r="M28">
            <v>84644.2485452319</v>
          </cell>
          <cell r="N28">
            <v>80614.0946928175</v>
          </cell>
          <cell r="O28">
            <v>66561.0175921833</v>
          </cell>
          <cell r="P28">
            <v>63912.4759386389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120063.991834918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</v>
          </cell>
          <cell r="K30">
            <v>137872.391878534</v>
          </cell>
          <cell r="L30">
            <v>157546.856102751</v>
          </cell>
          <cell r="M30">
            <v>157448.394698906</v>
          </cell>
          <cell r="N30">
            <v>149865.71757899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7581.27272727273</v>
          </cell>
          <cell r="F31">
            <v>6831.63636363636</v>
          </cell>
          <cell r="G31">
            <v>6760.36363636364</v>
          </cell>
          <cell r="H31">
            <v>8090.45454545455</v>
          </cell>
          <cell r="I31">
            <v>11196.4545454545</v>
          </cell>
          <cell r="J31">
            <v>9688.90909090909</v>
          </cell>
          <cell r="K31">
            <v>4124.72727272727</v>
          </cell>
          <cell r="L31">
            <v>575.818181818182</v>
          </cell>
          <cell r="M31">
            <v>189</v>
          </cell>
          <cell r="N31">
            <v>1933.36363636364</v>
          </cell>
          <cell r="O31">
            <v>4917.27272727273</v>
          </cell>
          <cell r="P31">
            <v>8057.18181818182</v>
          </cell>
        </row>
        <row r="32">
          <cell r="D32" t="str">
            <v>QF Weeks Falls</v>
          </cell>
          <cell r="E32">
            <v>1157.8</v>
          </cell>
          <cell r="F32">
            <v>1188.34545454545</v>
          </cell>
          <cell r="G32">
            <v>1036.76363636364</v>
          </cell>
          <cell r="H32">
            <v>1387.01818181818</v>
          </cell>
          <cell r="I32">
            <v>2139.07272727273</v>
          </cell>
          <cell r="J32">
            <v>1896.23636363636</v>
          </cell>
          <cell r="K32">
            <v>756.654545454545</v>
          </cell>
          <cell r="L32">
            <v>283.454545454546</v>
          </cell>
          <cell r="M32">
            <v>11.5818181818182</v>
          </cell>
          <cell r="N32">
            <v>341.218181818182</v>
          </cell>
          <cell r="O32">
            <v>918.145454545455</v>
          </cell>
          <cell r="P32">
            <v>1424.69090909091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1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1058853.4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</v>
          </cell>
          <cell r="J4">
            <v>619351.2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</v>
          </cell>
          <cell r="F6">
            <v>2990430.05936192</v>
          </cell>
          <cell r="G6">
            <v>3264615.20652476</v>
          </cell>
          <cell r="H6">
            <v>2565083.67104557</v>
          </cell>
          <cell r="I6">
            <v>2071943.7297099</v>
          </cell>
          <cell r="J6">
            <v>2269514.75883152</v>
          </cell>
          <cell r="K6">
            <v>3622147.63539617</v>
          </cell>
          <cell r="L6">
            <v>3894503.07977683</v>
          </cell>
          <cell r="M6">
            <v>3851761.38344585</v>
          </cell>
          <cell r="N6">
            <v>3765543.64583212</v>
          </cell>
          <cell r="O6">
            <v>3425510.31993601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</v>
          </cell>
          <cell r="F13">
            <v>5833285.570405451</v>
          </cell>
          <cell r="G13">
            <v>7003827.660265209</v>
          </cell>
          <cell r="H13">
            <v>6007029.24705238</v>
          </cell>
          <cell r="I13">
            <v>7264500.779863418</v>
          </cell>
          <cell r="J13">
            <v>18673362.79721654</v>
          </cell>
          <cell r="K13">
            <v>5935161.583685115</v>
          </cell>
          <cell r="L13">
            <v>6263462.658296717</v>
          </cell>
          <cell r="M13">
            <v>5624115.019626379</v>
          </cell>
          <cell r="N13">
            <v>5484387.720806082</v>
          </cell>
          <cell r="O13">
            <v>5903328.299862825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268140.8</v>
          </cell>
          <cell r="J18">
            <v>649798.8</v>
          </cell>
          <cell r="K18">
            <v>511552</v>
          </cell>
          <cell r="L18">
            <v>249242</v>
          </cell>
          <cell r="M18">
            <v>84612.8</v>
          </cell>
          <cell r="N18">
            <v>130730.2</v>
          </cell>
          <cell r="O18">
            <v>296733.6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5002.4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</v>
          </cell>
          <cell r="F23">
            <v>70152.1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71394.4</v>
          </cell>
          <cell r="L23">
            <v>75496.2</v>
          </cell>
          <cell r="M23">
            <v>76480.6</v>
          </cell>
          <cell r="N23">
            <v>79299.3</v>
          </cell>
          <cell r="O23">
            <v>77030.9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1319307.4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</v>
          </cell>
          <cell r="F25">
            <v>6091341.2</v>
          </cell>
          <cell r="G25">
            <v>6917109.4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5404617.6</v>
          </cell>
          <cell r="M25">
            <v>7485468.7</v>
          </cell>
          <cell r="N25">
            <v>7534459.8</v>
          </cell>
          <cell r="O25">
            <v>6822689.8</v>
          </cell>
          <cell r="P25">
            <v>6843202.8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11192767.2</v>
          </cell>
          <cell r="F27">
            <v>9875802.9</v>
          </cell>
          <cell r="G27">
            <v>10832995</v>
          </cell>
          <cell r="H27">
            <v>8996303.2</v>
          </cell>
          <cell r="I27">
            <v>980007.2</v>
          </cell>
          <cell r="J27">
            <v>8475232.7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11453445.7</v>
          </cell>
          <cell r="O27">
            <v>11069403.2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</v>
          </cell>
          <cell r="M28">
            <v>14175</v>
          </cell>
          <cell r="N28">
            <v>145002.3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68860.9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23237.8333333333</v>
          </cell>
          <cell r="F36">
            <v>23237.8333333333</v>
          </cell>
          <cell r="G36">
            <v>23237.8333333333</v>
          </cell>
          <cell r="H36">
            <v>23237.8333333333</v>
          </cell>
          <cell r="I36">
            <v>23237.8333333333</v>
          </cell>
          <cell r="J36">
            <v>23237.8333333333</v>
          </cell>
          <cell r="K36">
            <v>23237.8333333333</v>
          </cell>
          <cell r="L36">
            <v>23237.8333333333</v>
          </cell>
          <cell r="M36">
            <v>23237.8333333333</v>
          </cell>
          <cell r="N36">
            <v>23237.8333333333</v>
          </cell>
          <cell r="O36">
            <v>23237.8333333333</v>
          </cell>
          <cell r="P36">
            <v>23237.8333333333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3276770.315</v>
          </cell>
          <cell r="J38">
            <v>3261664.62</v>
          </cell>
          <cell r="K38">
            <v>3444121.775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3455758.2805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</v>
          </cell>
          <cell r="F40">
            <v>284082.4</v>
          </cell>
          <cell r="G40">
            <v>284082.4</v>
          </cell>
          <cell r="H40">
            <v>284082.4</v>
          </cell>
          <cell r="I40">
            <v>284082.4</v>
          </cell>
          <cell r="J40">
            <v>284082.4</v>
          </cell>
          <cell r="K40">
            <v>284082.4</v>
          </cell>
          <cell r="L40">
            <v>284082.4</v>
          </cell>
          <cell r="M40">
            <v>284082.4</v>
          </cell>
          <cell r="N40">
            <v>284082.4</v>
          </cell>
          <cell r="O40">
            <v>284082.4</v>
          </cell>
          <cell r="P40">
            <v>284082.4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</v>
          </cell>
          <cell r="F44">
            <v>11979.1666666667</v>
          </cell>
          <cell r="G44">
            <v>11979.1666666667</v>
          </cell>
          <cell r="H44">
            <v>11979.1666666667</v>
          </cell>
          <cell r="I44">
            <v>11979.1666666667</v>
          </cell>
          <cell r="J44">
            <v>11979.1666666667</v>
          </cell>
          <cell r="K44">
            <v>11979.1666666667</v>
          </cell>
          <cell r="L44">
            <v>11979.1666666667</v>
          </cell>
          <cell r="M44">
            <v>11979.1666666667</v>
          </cell>
          <cell r="N44">
            <v>11979.1666666667</v>
          </cell>
          <cell r="O44">
            <v>11979.1666666667</v>
          </cell>
          <cell r="P44">
            <v>11979.1666666667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590706.533333333</v>
          </cell>
          <cell r="F49">
            <v>590706.533333333</v>
          </cell>
          <cell r="G49">
            <v>590706.533333333</v>
          </cell>
          <cell r="H49">
            <v>590706.533333333</v>
          </cell>
          <cell r="I49">
            <v>590706.533333333</v>
          </cell>
          <cell r="J49">
            <v>590706.533333333</v>
          </cell>
          <cell r="K49">
            <v>590706.533333333</v>
          </cell>
          <cell r="L49">
            <v>590706.533333333</v>
          </cell>
          <cell r="M49">
            <v>590706.533333333</v>
          </cell>
          <cell r="N49">
            <v>590706.533333333</v>
          </cell>
          <cell r="O49">
            <v>590706.533333333</v>
          </cell>
          <cell r="P49">
            <v>590706.533333333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7">
        <row r="77">
          <cell r="A77" t="str">
            <v>Line 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I Debt from 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1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JHS-4"/>
      <sheetName val="JHS-4 Adjstmts"/>
      <sheetName val="JHS-5"/>
      <sheetName val="JHS-5 compare"/>
      <sheetName val="JHS-5 Ex A-2 (TRB)"/>
      <sheetName val="JHS-5 Ex A-3 (C)"/>
      <sheetName val="JHS-5 Ex A-4 (ProdAdj)"/>
      <sheetName val="JHS-5 Ex A-5 (PwrCsts)"/>
      <sheetName val="JHS-5 Ex D"/>
      <sheetName val="JHS-6"/>
      <sheetName val="Golden-RevReq"/>
      <sheetName val="DWH-4"/>
      <sheetName val="Pwr Csts"/>
      <sheetName val="RY Pwr Cst"/>
      <sheetName val="PC TY"/>
      <sheetName val="(C) Production OM"/>
      <sheetName val="PC Recon"/>
      <sheetName val="Beg Prod Plant"/>
      <sheetName val="Beg Prod Ratebase"/>
      <sheetName val="EB&amp;Taxes"/>
      <sheetName val="557"/>
      <sheetName val="ProdFctr"/>
      <sheetName val="Rlfwd"/>
      <sheetName val="Diff"/>
      <sheetName val="JHS-4 Orig"/>
      <sheetName val="JHS-6 Change"/>
      <sheetName val="Change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>
        <row r="11">
          <cell r="B11">
            <v>38315912.89</v>
          </cell>
          <cell r="D11">
            <v>38617570.92</v>
          </cell>
        </row>
        <row r="35">
          <cell r="B35">
            <v>3291140.23</v>
          </cell>
          <cell r="D35">
            <v>2850009.59</v>
          </cell>
        </row>
      </sheetData>
      <sheetData sheetId="2">
        <row r="11">
          <cell r="B11">
            <v>114544123.58</v>
          </cell>
          <cell r="D11">
            <v>115427962.81</v>
          </cell>
        </row>
        <row r="35">
          <cell r="B35">
            <v>9477596.22</v>
          </cell>
          <cell r="D35">
            <v>8390085.57</v>
          </cell>
        </row>
      </sheetData>
      <sheetData sheetId="4">
        <row r="13">
          <cell r="B13">
            <v>442274679.98</v>
          </cell>
          <cell r="D13">
            <v>456053669.91</v>
          </cell>
        </row>
        <row r="36">
          <cell r="B36">
            <v>30680704.5</v>
          </cell>
          <cell r="D36">
            <v>28211360.78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27">
        <row r="11">
          <cell r="B11">
            <v>11862537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</sheetNames>
    <sheetDataSet>
      <sheetData sheetId="1">
        <row r="6">
          <cell r="A6" t="str">
            <v>                                                                                        FOR THE TWELVE MONTHS ENDING SEPTEMBER 30, 2006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11">
        <row r="7">
          <cell r="A7" t="str">
            <v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41877.2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70764.9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33811.2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91955.2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294159.6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25292.8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19498.1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22635.6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144.2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n0003b_contractstatus"/>
      <sheetName val="Sheet1"/>
      <sheetName val="Sheet2"/>
    </sheetNames>
    <sheetDataSet>
      <sheetData sheetId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Trans RB Exh. A-2"/>
      <sheetName val="Plant Balances"/>
      <sheetName val="Accum. Deprec."/>
      <sheetName val="FERCAdj.line 48"/>
      <sheetName val="DFIT"/>
      <sheetName val="DFIT.Colstrip T &amp; D.Mike"/>
      <sheetName val="Transmission 2005"/>
      <sheetName val="Transmission 2004"/>
      <sheetName val="BS"/>
      <sheetName val="Sheet1"/>
      <sheetName val="DWNLD"/>
      <sheetName val="3_2005 Colstrip T&amp;D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-ED"/>
      <sheetName val="Adjustment-GD"/>
      <sheetName val="Adjustment-GD-OR"/>
      <sheetName val="GP Allocations"/>
      <sheetName val="Rate Comparison"/>
      <sheetName val="Depreciation Exp"/>
      <sheetName val="Parameters"/>
      <sheetName val="Results of Ops"/>
      <sheetName val="ADJUSTED"/>
      <sheetName val="Journal Entries"/>
      <sheetName val="FA Subledger"/>
    </sheetNames>
    <sheetDataSet>
      <sheetData sheetId="8">
        <row r="258">
          <cell r="R258">
            <v>1487193.9338461538</v>
          </cell>
        </row>
        <row r="259">
          <cell r="R259">
            <v>8983607.096153844</v>
          </cell>
        </row>
        <row r="260">
          <cell r="R260">
            <v>13958757.340769231</v>
          </cell>
        </row>
        <row r="261">
          <cell r="R261">
            <v>162041923.8669231</v>
          </cell>
        </row>
        <row r="262">
          <cell r="R262">
            <v>17073360.049230773</v>
          </cell>
        </row>
        <row r="263">
          <cell r="R263">
            <v>109622871.27692309</v>
          </cell>
        </row>
        <row r="264">
          <cell r="R264">
            <v>83138548.98692307</v>
          </cell>
        </row>
        <row r="265">
          <cell r="R265">
            <v>561147.87</v>
          </cell>
        </row>
        <row r="266">
          <cell r="R266">
            <v>1317910.34</v>
          </cell>
        </row>
        <row r="267">
          <cell r="R267">
            <v>1826844.3599999996</v>
          </cell>
        </row>
        <row r="272">
          <cell r="R272">
            <v>7509556.453846155</v>
          </cell>
        </row>
        <row r="276">
          <cell r="R276">
            <v>51308826.653076924</v>
          </cell>
        </row>
        <row r="280">
          <cell r="R280">
            <v>109675953.07230769</v>
          </cell>
        </row>
        <row r="284">
          <cell r="R284">
            <v>70293796.05307692</v>
          </cell>
        </row>
        <row r="288">
          <cell r="R288">
            <v>38121128.61307692</v>
          </cell>
        </row>
        <row r="292">
          <cell r="R292">
            <v>64673741.70923077</v>
          </cell>
        </row>
        <row r="296">
          <cell r="R296">
            <v>92476648.99846154</v>
          </cell>
        </row>
        <row r="300">
          <cell r="R300">
            <v>26476468.296153843</v>
          </cell>
        </row>
        <row r="302">
          <cell r="R302">
            <v>1498835.9292307696</v>
          </cell>
        </row>
        <row r="306">
          <cell r="R306">
            <v>34915335.51846154</v>
          </cell>
        </row>
        <row r="310">
          <cell r="R310">
            <v>15181830.096153844</v>
          </cell>
        </row>
        <row r="313">
          <cell r="R313">
            <v>3119188.090769231</v>
          </cell>
        </row>
        <row r="316">
          <cell r="R316">
            <v>1136632.2307692308</v>
          </cell>
        </row>
        <row r="319">
          <cell r="R319">
            <v>3233827.1423076917</v>
          </cell>
        </row>
        <row r="322">
          <cell r="R322">
            <v>6626314.251538462</v>
          </cell>
        </row>
        <row r="489">
          <cell r="R489">
            <v>533131.1784615384</v>
          </cell>
        </row>
        <row r="493">
          <cell r="R493">
            <v>171048867.9407692</v>
          </cell>
        </row>
        <row r="497">
          <cell r="R497">
            <v>3571756.367692308</v>
          </cell>
        </row>
        <row r="501">
          <cell r="R501">
            <v>1721454.7392307692</v>
          </cell>
        </row>
        <row r="504">
          <cell r="R504">
            <v>120741193.27769232</v>
          </cell>
        </row>
        <row r="507">
          <cell r="R507">
            <v>41013028.545384616</v>
          </cell>
        </row>
        <row r="510">
          <cell r="R510">
            <v>2313940.1823076922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Layout" workbookViewId="0" topLeftCell="C8">
      <selection activeCell="F17" sqref="F17"/>
    </sheetView>
  </sheetViews>
  <sheetFormatPr defaultColWidth="9.140625" defaultRowHeight="12.75"/>
  <cols>
    <col min="2" max="2" width="42.7109375" style="0" bestFit="1" customWidth="1"/>
    <col min="3" max="3" width="15.28125" style="61" customWidth="1"/>
    <col min="4" max="4" width="0.9921875" style="61" customWidth="1"/>
    <col min="5" max="5" width="6.421875" style="62" customWidth="1"/>
    <col min="6" max="6" width="12.7109375" style="61" bestFit="1" customWidth="1"/>
    <col min="7" max="7" width="0.9921875" style="61" customWidth="1"/>
    <col min="8" max="8" width="9.7109375" style="0" customWidth="1"/>
    <col min="9" max="9" width="15.00390625" style="0" customWidth="1"/>
    <col min="10" max="10" width="10.8515625" style="0" customWidth="1"/>
    <col min="11" max="11" width="9.7109375" style="0" customWidth="1"/>
  </cols>
  <sheetData>
    <row r="1" spans="1:10" ht="15.75">
      <c r="A1" s="102" t="s">
        <v>138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>
      <c r="A2" s="102" t="s">
        <v>139</v>
      </c>
      <c r="B2" s="102"/>
      <c r="C2" s="102"/>
      <c r="D2" s="102"/>
      <c r="E2" s="102"/>
      <c r="F2" s="102"/>
      <c r="G2" s="102"/>
      <c r="H2" s="102"/>
      <c r="I2" s="102"/>
      <c r="J2" s="102"/>
    </row>
    <row r="4" spans="3:10" s="6" customFormat="1" ht="12.75">
      <c r="C4" s="51" t="s">
        <v>13</v>
      </c>
      <c r="D4" s="51"/>
      <c r="E4" s="52" t="s">
        <v>14</v>
      </c>
      <c r="F4" s="51" t="s">
        <v>137</v>
      </c>
      <c r="G4" s="51"/>
      <c r="H4" s="6" t="s">
        <v>16</v>
      </c>
      <c r="I4" s="6" t="s">
        <v>17</v>
      </c>
      <c r="J4" s="6" t="s">
        <v>18</v>
      </c>
    </row>
    <row r="5" spans="1:10" s="57" customFormat="1" ht="38.25">
      <c r="A5" s="53" t="s">
        <v>78</v>
      </c>
      <c r="B5" s="53" t="s">
        <v>46</v>
      </c>
      <c r="C5" s="54" t="s">
        <v>79</v>
      </c>
      <c r="D5" s="55"/>
      <c r="E5" s="56" t="s">
        <v>134</v>
      </c>
      <c r="F5" s="54" t="s">
        <v>150</v>
      </c>
      <c r="G5" s="55"/>
      <c r="H5" s="57" t="s">
        <v>135</v>
      </c>
      <c r="I5" s="57" t="s">
        <v>136</v>
      </c>
      <c r="J5" s="57" t="s">
        <v>140</v>
      </c>
    </row>
    <row r="6" spans="3:7" s="58" customFormat="1" ht="12" customHeight="1">
      <c r="C6" s="59" t="s">
        <v>80</v>
      </c>
      <c r="D6" s="59"/>
      <c r="E6" s="60" t="s">
        <v>81</v>
      </c>
      <c r="F6" s="59" t="s">
        <v>80</v>
      </c>
      <c r="G6" s="59"/>
    </row>
    <row r="8" ht="12.75">
      <c r="A8" t="s">
        <v>85</v>
      </c>
    </row>
    <row r="9" spans="1:11" ht="12.75">
      <c r="A9">
        <v>350.3</v>
      </c>
      <c r="B9" t="s">
        <v>82</v>
      </c>
      <c r="C9" s="61">
        <f>ROUND('[42]ADJUSTED'!R258,0)</f>
        <v>1487194</v>
      </c>
      <c r="E9" s="62">
        <v>1.26</v>
      </c>
      <c r="F9" s="61">
        <f aca="true" t="shared" si="0" ref="F9:F18">C9*E9/100</f>
        <v>18738.6444</v>
      </c>
      <c r="H9" s="77">
        <f>'Sch 5'!J12</f>
        <v>0.012582409657696015</v>
      </c>
      <c r="I9" s="76">
        <f>+C9*H9</f>
        <v>18712.484148467567</v>
      </c>
      <c r="J9" s="76">
        <f>+I9-F9</f>
        <v>-26.160251532433904</v>
      </c>
      <c r="K9" s="74"/>
    </row>
    <row r="10" spans="1:11" ht="12.75">
      <c r="A10" s="63">
        <v>350.4</v>
      </c>
      <c r="B10" t="s">
        <v>86</v>
      </c>
      <c r="C10" s="61">
        <f>ROUND('[42]ADJUSTED'!R259,0)</f>
        <v>8983607</v>
      </c>
      <c r="E10" s="62">
        <v>1.28</v>
      </c>
      <c r="F10" s="61">
        <f t="shared" si="0"/>
        <v>114990.16960000001</v>
      </c>
      <c r="H10" s="77">
        <f>'Sch 5'!J13</f>
        <v>0.012824838953893592</v>
      </c>
      <c r="I10" s="76">
        <f aca="true" t="shared" si="1" ref="I10:I18">+C10*H10</f>
        <v>115213.31300007115</v>
      </c>
      <c r="J10" s="76">
        <f aca="true" t="shared" si="2" ref="J10:J18">+I10-F10</f>
        <v>223.14340007114515</v>
      </c>
      <c r="K10" s="74"/>
    </row>
    <row r="11" spans="1:11" ht="12.75">
      <c r="A11" s="63">
        <v>352</v>
      </c>
      <c r="B11" t="s">
        <v>83</v>
      </c>
      <c r="C11" s="61">
        <f>ROUND('[42]ADJUSTED'!R260,0)</f>
        <v>13958757</v>
      </c>
      <c r="E11" s="62">
        <v>1.61</v>
      </c>
      <c r="F11" s="61">
        <f t="shared" si="0"/>
        <v>224735.9877</v>
      </c>
      <c r="H11" s="77">
        <f>'Sch 5'!J14</f>
        <v>0.015113202361330349</v>
      </c>
      <c r="I11" s="76">
        <f t="shared" si="1"/>
        <v>210961.51925363654</v>
      </c>
      <c r="J11" s="76">
        <f t="shared" si="2"/>
        <v>-13774.468446363462</v>
      </c>
      <c r="K11" s="74"/>
    </row>
    <row r="12" spans="1:11" ht="12.75">
      <c r="A12" s="63">
        <v>353</v>
      </c>
      <c r="B12" t="s">
        <v>87</v>
      </c>
      <c r="C12" s="61">
        <f>ROUND('[42]ADJUSTED'!R261,0)</f>
        <v>162041924</v>
      </c>
      <c r="E12" s="62">
        <v>2.39</v>
      </c>
      <c r="F12" s="61">
        <f t="shared" si="0"/>
        <v>3872801.9836</v>
      </c>
      <c r="H12" s="77">
        <f>'Sch 5'!J15</f>
        <v>0.01975255056837535</v>
      </c>
      <c r="I12" s="76">
        <f t="shared" si="1"/>
        <v>3200741.2980068354</v>
      </c>
      <c r="J12" s="76">
        <f t="shared" si="2"/>
        <v>-672060.6855931645</v>
      </c>
      <c r="K12" s="74"/>
    </row>
    <row r="13" spans="1:11" ht="12.75">
      <c r="A13" s="63">
        <v>354</v>
      </c>
      <c r="B13" t="s">
        <v>88</v>
      </c>
      <c r="C13" s="61">
        <f>ROUND('[42]ADJUSTED'!R262,0)</f>
        <v>17073360</v>
      </c>
      <c r="E13" s="62">
        <v>1.87</v>
      </c>
      <c r="F13" s="61">
        <f t="shared" si="0"/>
        <v>319271.83200000005</v>
      </c>
      <c r="H13" s="77">
        <f>'Sch 5'!J16</f>
        <v>0.01460692851018216</v>
      </c>
      <c r="I13" s="76">
        <f t="shared" si="1"/>
        <v>249389.3489486037</v>
      </c>
      <c r="J13" s="76">
        <f t="shared" si="2"/>
        <v>-69882.48305139635</v>
      </c>
      <c r="K13" s="74"/>
    </row>
    <row r="14" spans="1:11" ht="12.75">
      <c r="A14" s="63">
        <v>355</v>
      </c>
      <c r="B14" t="s">
        <v>89</v>
      </c>
      <c r="C14" s="61">
        <f>ROUND('[42]ADJUSTED'!R263,0)</f>
        <v>109622871</v>
      </c>
      <c r="E14" s="62">
        <v>1.84</v>
      </c>
      <c r="F14" s="61">
        <f t="shared" si="0"/>
        <v>2017060.8264000001</v>
      </c>
      <c r="H14" s="77">
        <f>'Sch 5'!J17</f>
        <v>0.01257805981961553</v>
      </c>
      <c r="I14" s="76">
        <f t="shared" si="1"/>
        <v>1378843.0290359966</v>
      </c>
      <c r="J14" s="76">
        <f t="shared" si="2"/>
        <v>-638217.7973640035</v>
      </c>
      <c r="K14" s="74"/>
    </row>
    <row r="15" spans="1:11" ht="12.75">
      <c r="A15" s="63">
        <v>356</v>
      </c>
      <c r="B15" t="s">
        <v>90</v>
      </c>
      <c r="C15" s="61">
        <f>ROUND('[42]ADJUSTED'!R264,0)</f>
        <v>83138549</v>
      </c>
      <c r="E15" s="62">
        <v>1.93</v>
      </c>
      <c r="F15" s="61">
        <f t="shared" si="0"/>
        <v>1604573.9956999999</v>
      </c>
      <c r="H15" s="77">
        <f>'Sch 5'!J18</f>
        <v>0.017585319737511776</v>
      </c>
      <c r="I15" s="76">
        <f t="shared" si="1"/>
        <v>1462017.9666777898</v>
      </c>
      <c r="J15" s="76">
        <f t="shared" si="2"/>
        <v>-142556.02902221004</v>
      </c>
      <c r="K15" s="74"/>
    </row>
    <row r="16" spans="1:11" ht="12.75">
      <c r="A16" s="63">
        <v>357</v>
      </c>
      <c r="B16" t="s">
        <v>91</v>
      </c>
      <c r="C16" s="61">
        <f>ROUND('[42]ADJUSTED'!R265,0)</f>
        <v>561148</v>
      </c>
      <c r="E16" s="62">
        <v>1.58</v>
      </c>
      <c r="F16" s="61">
        <f t="shared" si="0"/>
        <v>8866.138400000002</v>
      </c>
      <c r="H16" s="77">
        <f>'Sch 5'!J19</f>
        <v>0.015816069778888837</v>
      </c>
      <c r="I16" s="76">
        <f t="shared" si="1"/>
        <v>8875.155924283914</v>
      </c>
      <c r="J16" s="76">
        <f t="shared" si="2"/>
        <v>9.01752428391228</v>
      </c>
      <c r="K16" s="74"/>
    </row>
    <row r="17" spans="1:11" ht="12.75">
      <c r="A17" s="63">
        <v>358</v>
      </c>
      <c r="B17" t="s">
        <v>92</v>
      </c>
      <c r="C17" s="61">
        <f>ROUND('[42]ADJUSTED'!R266,0)</f>
        <v>1317910</v>
      </c>
      <c r="E17" s="62">
        <v>1.73</v>
      </c>
      <c r="F17" s="61">
        <f t="shared" si="0"/>
        <v>22799.842999999997</v>
      </c>
      <c r="H17" s="77">
        <f>'Sch 5'!J20</f>
        <v>0.017340052093845235</v>
      </c>
      <c r="I17" s="76">
        <f t="shared" si="1"/>
        <v>22852.628054999575</v>
      </c>
      <c r="J17" s="76">
        <f t="shared" si="2"/>
        <v>52.78505499957828</v>
      </c>
      <c r="K17" s="74"/>
    </row>
    <row r="18" spans="1:11" ht="12.75">
      <c r="A18" s="63">
        <v>359</v>
      </c>
      <c r="B18" t="s">
        <v>93</v>
      </c>
      <c r="C18" s="61">
        <f>ROUND('[42]ADJUSTED'!R267,0)</f>
        <v>1826844</v>
      </c>
      <c r="E18" s="62">
        <v>1.65</v>
      </c>
      <c r="F18" s="61">
        <f t="shared" si="0"/>
        <v>30142.925999999996</v>
      </c>
      <c r="H18" s="77">
        <f>'Sch 5'!J21</f>
        <v>0.016532765777682857</v>
      </c>
      <c r="I18" s="76">
        <f t="shared" si="1"/>
        <v>30202.783964365262</v>
      </c>
      <c r="J18" s="76">
        <f t="shared" si="2"/>
        <v>59.857964365266525</v>
      </c>
      <c r="K18" s="74"/>
    </row>
    <row r="19" spans="2:11" ht="12.75">
      <c r="B19" t="s">
        <v>84</v>
      </c>
      <c r="C19" s="65">
        <f>SUM(C9:C18)</f>
        <v>400012164</v>
      </c>
      <c r="D19" s="64"/>
      <c r="F19" s="65">
        <f>SUM(F9:F18)</f>
        <v>8233982.3468</v>
      </c>
      <c r="G19" s="64"/>
      <c r="H19" s="78"/>
      <c r="I19" s="65">
        <f>SUM(I9:I18)</f>
        <v>6697809.52701505</v>
      </c>
      <c r="J19" s="79">
        <f>SUM(J9:J18)</f>
        <v>-1536172.8197849505</v>
      </c>
      <c r="K19" s="75"/>
    </row>
    <row r="23" ht="12.75">
      <c r="A23" t="s">
        <v>103</v>
      </c>
    </row>
    <row r="24" spans="1:10" ht="12.75">
      <c r="A24" s="63">
        <v>361</v>
      </c>
      <c r="B24" t="s">
        <v>83</v>
      </c>
      <c r="C24" s="61">
        <f>ROUND('[42]ADJUSTED'!R272,0)</f>
        <v>7509556</v>
      </c>
      <c r="E24" s="62">
        <v>1.8</v>
      </c>
      <c r="F24" s="61">
        <f aca="true" t="shared" si="3" ref="F24:F38">C24*E24/100</f>
        <v>135172.008</v>
      </c>
      <c r="H24" s="78">
        <f>'Sch 5'!J27</f>
        <v>0.015630161538204804</v>
      </c>
      <c r="I24" s="7">
        <f>+H24*C24</f>
        <v>117375.5733601951</v>
      </c>
      <c r="J24" s="61">
        <f>+I24-F24</f>
        <v>-17796.434639804895</v>
      </c>
    </row>
    <row r="25" spans="1:10" ht="12.75">
      <c r="A25" s="63">
        <v>362</v>
      </c>
      <c r="B25" t="s">
        <v>87</v>
      </c>
      <c r="C25" s="61">
        <f>ROUND('[42]ADJUSTED'!R276,0)</f>
        <v>51308827</v>
      </c>
      <c r="E25" s="62">
        <v>2.6</v>
      </c>
      <c r="F25" s="61">
        <f t="shared" si="3"/>
        <v>1334029.502</v>
      </c>
      <c r="H25" s="78">
        <f>'Sch 5'!J28</f>
        <v>0.022911807762028242</v>
      </c>
      <c r="I25" s="7">
        <f aca="true" t="shared" si="4" ref="I25:I38">+H25*C25</f>
        <v>1175577.9807191642</v>
      </c>
      <c r="J25" s="61">
        <f aca="true" t="shared" si="5" ref="J25:J38">+I25-F25</f>
        <v>-158451.52128083585</v>
      </c>
    </row>
    <row r="26" spans="1:10" ht="12.75">
      <c r="A26" s="63">
        <v>364</v>
      </c>
      <c r="B26" t="s">
        <v>94</v>
      </c>
      <c r="C26" s="61">
        <f>ROUND('[42]ADJUSTED'!R280,0)</f>
        <v>109675953</v>
      </c>
      <c r="E26" s="62">
        <v>2.66</v>
      </c>
      <c r="F26" s="61">
        <f t="shared" si="3"/>
        <v>2917380.3498</v>
      </c>
      <c r="H26" s="78">
        <f>'Sch 5'!J29</f>
        <v>0.020052454456094704</v>
      </c>
      <c r="I26" s="7">
        <f t="shared" si="4"/>
        <v>2199272.0524612833</v>
      </c>
      <c r="J26" s="61">
        <f t="shared" si="5"/>
        <v>-718108.2973387167</v>
      </c>
    </row>
    <row r="27" spans="1:10" ht="12.75">
      <c r="A27" s="63">
        <v>365</v>
      </c>
      <c r="B27" t="s">
        <v>90</v>
      </c>
      <c r="C27" s="61">
        <f>ROUND('[42]ADJUSTED'!R284,0)</f>
        <v>70293796</v>
      </c>
      <c r="E27" s="62">
        <v>2.46</v>
      </c>
      <c r="F27" s="61">
        <f t="shared" si="3"/>
        <v>1729227.3816</v>
      </c>
      <c r="H27" s="78">
        <f>'Sch 5'!J30</f>
        <v>0.020458346691819406</v>
      </c>
      <c r="I27" s="7">
        <f t="shared" si="4"/>
        <v>1438094.8488520281</v>
      </c>
      <c r="J27" s="61">
        <f t="shared" si="5"/>
        <v>-291132.5327479718</v>
      </c>
    </row>
    <row r="28" spans="1:10" ht="12.75">
      <c r="A28" s="63">
        <v>366</v>
      </c>
      <c r="B28" t="s">
        <v>91</v>
      </c>
      <c r="C28" s="61">
        <f>ROUND('[42]ADJUSTED'!R288,0)</f>
        <v>38121129</v>
      </c>
      <c r="E28" s="62">
        <v>2.71</v>
      </c>
      <c r="F28" s="61">
        <f t="shared" si="3"/>
        <v>1033082.5959000001</v>
      </c>
      <c r="H28" s="78">
        <f>'Sch 5'!J31</f>
        <v>0.024386199534584662</v>
      </c>
      <c r="I28" s="7">
        <f t="shared" si="4"/>
        <v>929629.4582776419</v>
      </c>
      <c r="J28" s="61">
        <f t="shared" si="5"/>
        <v>-103453.13762235816</v>
      </c>
    </row>
    <row r="29" spans="1:10" ht="12.75">
      <c r="A29" s="63">
        <v>367</v>
      </c>
      <c r="B29" t="s">
        <v>92</v>
      </c>
      <c r="C29" s="61">
        <f>ROUND('[42]ADJUSTED'!R292,0)</f>
        <v>64673742</v>
      </c>
      <c r="E29" s="62">
        <v>6.38</v>
      </c>
      <c r="F29" s="61">
        <f t="shared" si="3"/>
        <v>4126184.7396</v>
      </c>
      <c r="H29" s="78">
        <f>'Sch 5'!J32</f>
        <v>0.054935552115132145</v>
      </c>
      <c r="I29" s="7">
        <f t="shared" si="4"/>
        <v>3552887.7241216106</v>
      </c>
      <c r="J29" s="61">
        <f t="shared" si="5"/>
        <v>-573297.0154783893</v>
      </c>
    </row>
    <row r="30" spans="1:10" ht="12.75">
      <c r="A30" s="63">
        <v>368</v>
      </c>
      <c r="B30" t="s">
        <v>95</v>
      </c>
      <c r="C30" s="61">
        <f>ROUND('[42]ADJUSTED'!R296,0)</f>
        <v>92476649</v>
      </c>
      <c r="E30" s="62">
        <v>2</v>
      </c>
      <c r="F30" s="61">
        <f t="shared" si="3"/>
        <v>1849532.98</v>
      </c>
      <c r="H30" s="78">
        <f>'Sch 5'!J33</f>
        <v>0.018506216847755465</v>
      </c>
      <c r="I30" s="7">
        <f t="shared" si="4"/>
        <v>1711392.9197477687</v>
      </c>
      <c r="J30" s="61">
        <f t="shared" si="5"/>
        <v>-138140.0602522313</v>
      </c>
    </row>
    <row r="31" spans="1:10" ht="12.75">
      <c r="A31" s="63">
        <v>369.1</v>
      </c>
      <c r="B31" t="s">
        <v>96</v>
      </c>
      <c r="C31" s="61">
        <f>ROUND('[42]ADJUSTED'!R300,0)</f>
        <v>26476468</v>
      </c>
      <c r="E31" s="62">
        <v>1.69</v>
      </c>
      <c r="F31" s="61">
        <f t="shared" si="3"/>
        <v>447452.3092</v>
      </c>
      <c r="H31" s="78">
        <f>'Sch 5'!J34</f>
        <v>0.014206487375804766</v>
      </c>
      <c r="I31" s="7">
        <f t="shared" si="4"/>
        <v>376137.60839789885</v>
      </c>
      <c r="J31" s="61">
        <f t="shared" si="5"/>
        <v>-71314.70080210117</v>
      </c>
    </row>
    <row r="32" spans="1:10" ht="12.75">
      <c r="A32" s="63">
        <v>369.2</v>
      </c>
      <c r="B32" t="s">
        <v>104</v>
      </c>
      <c r="C32" s="61">
        <f>ROUND('[42]ADJUSTED'!R302,0)</f>
        <v>1498836</v>
      </c>
      <c r="E32" s="62">
        <v>1.59</v>
      </c>
      <c r="F32" s="61">
        <f t="shared" si="3"/>
        <v>23831.492400000003</v>
      </c>
      <c r="H32" s="78">
        <f>'Sch 5'!J35</f>
        <v>0.013433821978136244</v>
      </c>
      <c r="I32" s="7">
        <f t="shared" si="4"/>
        <v>20135.095998421817</v>
      </c>
      <c r="J32" s="61">
        <f t="shared" si="5"/>
        <v>-3696.3964015781858</v>
      </c>
    </row>
    <row r="33" spans="1:10" ht="12.75">
      <c r="A33" s="63">
        <v>369.3</v>
      </c>
      <c r="B33" t="s">
        <v>97</v>
      </c>
      <c r="C33" s="61">
        <f>ROUND('[42]ADJUSTED'!R306,0)</f>
        <v>34915336</v>
      </c>
      <c r="E33" s="62">
        <v>1.59</v>
      </c>
      <c r="F33" s="61">
        <f t="shared" si="3"/>
        <v>555153.8424</v>
      </c>
      <c r="H33" s="78">
        <f>'Sch 5'!J36</f>
        <v>0.013387482903623552</v>
      </c>
      <c r="I33" s="7">
        <f t="shared" si="4"/>
        <v>467428.46377427195</v>
      </c>
      <c r="J33" s="61">
        <f t="shared" si="5"/>
        <v>-87725.37862572802</v>
      </c>
    </row>
    <row r="34" spans="1:10" ht="12.75">
      <c r="A34" s="63">
        <v>370</v>
      </c>
      <c r="B34" t="s">
        <v>98</v>
      </c>
      <c r="C34" s="61">
        <f>ROUND('[42]ADJUSTED'!R310,0)</f>
        <v>15181830</v>
      </c>
      <c r="E34" s="62">
        <v>2.39</v>
      </c>
      <c r="F34" s="61">
        <f t="shared" si="3"/>
        <v>362845.737</v>
      </c>
      <c r="H34" s="78">
        <f>'Sch 5'!J37</f>
        <v>0.02392812312591967</v>
      </c>
      <c r="I34" s="7">
        <f t="shared" si="4"/>
        <v>363272.69751678105</v>
      </c>
      <c r="J34" s="61">
        <f t="shared" si="5"/>
        <v>426.9605167810223</v>
      </c>
    </row>
    <row r="35" spans="1:10" ht="12.75">
      <c r="A35" s="63">
        <v>373.1</v>
      </c>
      <c r="B35" t="s">
        <v>99</v>
      </c>
      <c r="C35" s="61">
        <f>ROUND('[42]ADJUSTED'!R313,0)</f>
        <v>3119188</v>
      </c>
      <c r="E35" s="62">
        <v>1.08</v>
      </c>
      <c r="F35" s="61">
        <f t="shared" si="3"/>
        <v>33687.2304</v>
      </c>
      <c r="H35" s="78">
        <f>'Sch 5'!J38</f>
        <v>0.006453386618649397</v>
      </c>
      <c r="I35" s="7">
        <f t="shared" si="4"/>
        <v>20129.326100251776</v>
      </c>
      <c r="J35" s="61">
        <f t="shared" si="5"/>
        <v>-13557.904299748225</v>
      </c>
    </row>
    <row r="36" spans="1:10" ht="12.75">
      <c r="A36" s="63">
        <v>373.2</v>
      </c>
      <c r="B36" t="s">
        <v>100</v>
      </c>
      <c r="C36" s="61">
        <f>ROUND('[42]ADJUSTED'!R316,0)</f>
        <v>1136632</v>
      </c>
      <c r="E36" s="62">
        <v>1.23</v>
      </c>
      <c r="F36" s="61">
        <f t="shared" si="3"/>
        <v>13980.573599999998</v>
      </c>
      <c r="H36" s="78">
        <f>'Sch 5'!J39</f>
        <v>0.00815583975529777</v>
      </c>
      <c r="I36" s="7">
        <f t="shared" si="4"/>
        <v>9270.188452743616</v>
      </c>
      <c r="J36" s="61">
        <f t="shared" si="5"/>
        <v>-4710.385147256382</v>
      </c>
    </row>
    <row r="37" spans="1:10" ht="12.75">
      <c r="A37" s="63">
        <v>373.3</v>
      </c>
      <c r="B37" t="s">
        <v>101</v>
      </c>
      <c r="C37" s="61">
        <f>ROUND('[42]ADJUSTED'!R319,0)</f>
        <v>3233827</v>
      </c>
      <c r="E37" s="62">
        <v>1.02</v>
      </c>
      <c r="F37" s="61">
        <f t="shared" si="3"/>
        <v>32985.0354</v>
      </c>
      <c r="H37" s="78">
        <f>'Sch 5'!J40</f>
        <v>0.008539083295564636</v>
      </c>
      <c r="I37" s="7">
        <f t="shared" si="4"/>
        <v>27613.9181164459</v>
      </c>
      <c r="J37" s="61">
        <f t="shared" si="5"/>
        <v>-5371.1172835541</v>
      </c>
    </row>
    <row r="38" spans="1:10" ht="12.75">
      <c r="A38">
        <v>373.4</v>
      </c>
      <c r="B38" t="s">
        <v>102</v>
      </c>
      <c r="C38" s="61">
        <f>ROUND('[42]ADJUSTED'!R322,0)</f>
        <v>6626314</v>
      </c>
      <c r="E38" s="62">
        <v>2.82</v>
      </c>
      <c r="F38" s="61">
        <f t="shared" si="3"/>
        <v>186862.0548</v>
      </c>
      <c r="H38" s="78">
        <f>'Sch 5'!J41</f>
        <v>0.02646847479113785</v>
      </c>
      <c r="I38" s="7">
        <f t="shared" si="4"/>
        <v>175388.4250671638</v>
      </c>
      <c r="J38" s="61">
        <f t="shared" si="5"/>
        <v>-11473.629732836212</v>
      </c>
    </row>
    <row r="39" spans="2:10" ht="12.75">
      <c r="B39" t="s">
        <v>84</v>
      </c>
      <c r="C39" s="65">
        <f>SUM(C24:C38)</f>
        <v>526248083</v>
      </c>
      <c r="D39" s="64"/>
      <c r="F39" s="65">
        <f>SUM(F24:F38)</f>
        <v>14781407.832099998</v>
      </c>
      <c r="G39" s="64"/>
      <c r="I39" s="65">
        <f>SUM(I24:I38)</f>
        <v>12583606.28096367</v>
      </c>
      <c r="J39" s="65">
        <f>SUM(J24:J38)</f>
        <v>-2197801.5511363293</v>
      </c>
    </row>
    <row r="41" spans="3:7" ht="12.75">
      <c r="C41" s="64"/>
      <c r="D41" s="64"/>
      <c r="F41" s="64"/>
      <c r="G41" s="64"/>
    </row>
    <row r="42" spans="1:7" ht="12.75">
      <c r="A42" t="s">
        <v>57</v>
      </c>
      <c r="C42" s="64"/>
      <c r="D42" s="64"/>
      <c r="F42" s="64"/>
      <c r="G42" s="64"/>
    </row>
    <row r="43" spans="1:7" ht="12.75">
      <c r="A43" s="63"/>
      <c r="C43" s="64"/>
      <c r="D43" s="64"/>
      <c r="F43" s="64"/>
      <c r="G43" s="64"/>
    </row>
    <row r="44" spans="1:7" ht="12.75">
      <c r="A44" s="63"/>
      <c r="B44" t="s">
        <v>58</v>
      </c>
      <c r="C44" s="64"/>
      <c r="D44" s="64"/>
      <c r="F44" s="64"/>
      <c r="G44" s="64"/>
    </row>
    <row r="45" spans="1:10" ht="12.75">
      <c r="A45" s="63">
        <v>375</v>
      </c>
      <c r="B45" t="s">
        <v>83</v>
      </c>
      <c r="C45" s="61">
        <f>ROUND('[42]ADJUSTED'!R489,0)</f>
        <v>533131</v>
      </c>
      <c r="D45" s="64"/>
      <c r="E45" s="62">
        <v>1.96</v>
      </c>
      <c r="F45" s="61">
        <f aca="true" t="shared" si="6" ref="F45:F51">C45*E45/100</f>
        <v>10449.3676</v>
      </c>
      <c r="H45" s="78">
        <f>'Sch 5'!J51</f>
        <v>0.018382099067121925</v>
      </c>
      <c r="I45" s="7">
        <f aca="true" t="shared" si="7" ref="I45:I51">+H45*C45</f>
        <v>9800.06685775378</v>
      </c>
      <c r="J45" s="61">
        <f aca="true" t="shared" si="8" ref="J45:J51">+I45-F45</f>
        <v>-649.3007422462197</v>
      </c>
    </row>
    <row r="46" spans="1:10" ht="12.75">
      <c r="A46" s="63">
        <v>376</v>
      </c>
      <c r="B46" t="s">
        <v>105</v>
      </c>
      <c r="C46" s="61">
        <f>ROUND('[42]ADJUSTED'!R493,0)</f>
        <v>171048868</v>
      </c>
      <c r="D46" s="64"/>
      <c r="E46" s="62">
        <v>1.81</v>
      </c>
      <c r="F46" s="61">
        <f t="shared" si="6"/>
        <v>3095984.5108</v>
      </c>
      <c r="H46" s="78">
        <f>'Sch 5'!J52</f>
        <v>0.01347126605419468</v>
      </c>
      <c r="I46" s="7">
        <f t="shared" si="7"/>
        <v>2304244.8090968267</v>
      </c>
      <c r="J46" s="61">
        <f t="shared" si="8"/>
        <v>-791739.7017031731</v>
      </c>
    </row>
    <row r="47" spans="1:10" ht="12.75">
      <c r="A47" s="63">
        <v>378</v>
      </c>
      <c r="B47" t="s">
        <v>106</v>
      </c>
      <c r="C47" s="61">
        <f>ROUND('[42]ADJUSTED'!R497,0)</f>
        <v>3571756</v>
      </c>
      <c r="D47" s="64"/>
      <c r="E47" s="62">
        <v>3.06</v>
      </c>
      <c r="F47" s="61">
        <f t="shared" si="6"/>
        <v>109295.73359999999</v>
      </c>
      <c r="H47" s="78">
        <f>'Sch 5'!J53</f>
        <v>0.029224553871840402</v>
      </c>
      <c r="I47" s="7">
        <f t="shared" si="7"/>
        <v>104382.97563906919</v>
      </c>
      <c r="J47" s="61">
        <f t="shared" si="8"/>
        <v>-4912.757960930801</v>
      </c>
    </row>
    <row r="48" spans="1:10" ht="12.75">
      <c r="A48" s="63">
        <v>379</v>
      </c>
      <c r="B48" t="s">
        <v>107</v>
      </c>
      <c r="C48" s="61">
        <f>ROUND('[42]ADJUSTED'!R501,0)</f>
        <v>1721455</v>
      </c>
      <c r="D48" s="64"/>
      <c r="E48" s="62">
        <v>3.08</v>
      </c>
      <c r="F48" s="61">
        <f t="shared" si="6"/>
        <v>53020.814000000006</v>
      </c>
      <c r="H48" s="78">
        <f>'Sch 5'!J54</f>
        <v>0.029206549033488717</v>
      </c>
      <c r="I48" s="7">
        <f t="shared" si="7"/>
        <v>50277.75986644432</v>
      </c>
      <c r="J48" s="61">
        <f t="shared" si="8"/>
        <v>-2743.0541335556845</v>
      </c>
    </row>
    <row r="49" spans="1:10" ht="12.75">
      <c r="A49" s="63">
        <v>380</v>
      </c>
      <c r="B49" t="s">
        <v>108</v>
      </c>
      <c r="C49" s="61">
        <f>ROUND('[42]ADJUSTED'!R504,0)</f>
        <v>120741193</v>
      </c>
      <c r="D49" s="64"/>
      <c r="E49" s="62">
        <v>2.77</v>
      </c>
      <c r="F49" s="61">
        <f t="shared" si="6"/>
        <v>3344531.0461</v>
      </c>
      <c r="H49" s="78">
        <f>'Sch 5'!J55</f>
        <v>0.020620824093224792</v>
      </c>
      <c r="I49" s="7">
        <f t="shared" si="7"/>
        <v>2489782.9016591045</v>
      </c>
      <c r="J49" s="61">
        <f t="shared" si="8"/>
        <v>-854748.1444408954</v>
      </c>
    </row>
    <row r="50" spans="1:10" ht="12.75">
      <c r="A50" s="63">
        <v>381</v>
      </c>
      <c r="B50" t="s">
        <v>98</v>
      </c>
      <c r="C50" s="61">
        <f>ROUND('[42]ADJUSTED'!R507,0)</f>
        <v>41013029</v>
      </c>
      <c r="D50" s="64"/>
      <c r="E50" s="62">
        <v>3.22</v>
      </c>
      <c r="F50" s="61">
        <f t="shared" si="6"/>
        <v>1320619.5338</v>
      </c>
      <c r="H50" s="78">
        <f>'Sch 5'!J56</f>
        <v>0.028501087164365797</v>
      </c>
      <c r="I50" s="7">
        <f t="shared" si="7"/>
        <v>1168915.914403662</v>
      </c>
      <c r="J50" s="61">
        <f t="shared" si="8"/>
        <v>-151703.619396338</v>
      </c>
    </row>
    <row r="51" spans="1:10" ht="12.75">
      <c r="A51" s="63">
        <v>385</v>
      </c>
      <c r="B51" t="s">
        <v>109</v>
      </c>
      <c r="C51" s="61">
        <f>ROUND('[42]ADJUSTED'!R510,0)</f>
        <v>2313940</v>
      </c>
      <c r="D51" s="64"/>
      <c r="E51" s="62">
        <v>1.85</v>
      </c>
      <c r="F51" s="61">
        <f t="shared" si="6"/>
        <v>42807.89</v>
      </c>
      <c r="H51" s="78">
        <f>'Sch 5'!J57</f>
        <v>0.017535443293757287</v>
      </c>
      <c r="I51" s="7">
        <f t="shared" si="7"/>
        <v>40575.96365515674</v>
      </c>
      <c r="J51" s="61">
        <f t="shared" si="8"/>
        <v>-2231.926344843261</v>
      </c>
    </row>
    <row r="52" spans="1:10" ht="12.75">
      <c r="A52" s="63"/>
      <c r="B52" t="s">
        <v>84</v>
      </c>
      <c r="C52" s="65">
        <f>SUM(C45:C51)</f>
        <v>340943372</v>
      </c>
      <c r="D52" s="64"/>
      <c r="F52" s="65">
        <f>SUM(F45:F51)</f>
        <v>7976708.895899999</v>
      </c>
      <c r="G52" s="64"/>
      <c r="I52" s="65">
        <f>SUM(I45:I51)</f>
        <v>6167980.3911780175</v>
      </c>
      <c r="J52" s="65">
        <f>SUM(J45:J51)</f>
        <v>-1808728.5047219826</v>
      </c>
    </row>
    <row r="53" spans="1:7" ht="12.75">
      <c r="A53" s="63"/>
      <c r="C53" s="64"/>
      <c r="D53" s="64"/>
      <c r="F53" s="64"/>
      <c r="G53" s="64"/>
    </row>
  </sheetData>
  <sheetProtection/>
  <mergeCells count="2">
    <mergeCell ref="A1:J1"/>
    <mergeCell ref="A2:J2"/>
  </mergeCells>
  <printOptions horizontalCentered="1"/>
  <pageMargins left="0.75" right="0.75" top="1" bottom="1" header="0.5" footer="0.5"/>
  <pageSetup fitToHeight="14" fitToWidth="1" horizontalDpi="600" verticalDpi="600" orientation="portrait" scale="68" r:id="rId1"/>
  <headerFooter alignWithMargins="0">
    <oddHeader>&amp;RDockets No. UE-080416 and UG-080417
Exhibit No.___(CWK-4)
Schedule 1
Page 1 of 5</oddHeader>
    <oddFooter>&amp;L&amp;A&amp;C&amp;F&amp;R&amp;P of &amp;N</oddFooter>
  </headerFooter>
  <rowBreaks count="2" manualBreakCount="2">
    <brk id="7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Layout" workbookViewId="0" topLeftCell="C1">
      <selection activeCell="F17" sqref="F17"/>
    </sheetView>
  </sheetViews>
  <sheetFormatPr defaultColWidth="9.140625" defaultRowHeight="12.75"/>
  <cols>
    <col min="1" max="1" width="6.57421875" style="0" bestFit="1" customWidth="1"/>
    <col min="2" max="2" width="48.421875" style="0" bestFit="1" customWidth="1"/>
    <col min="3" max="3" width="16.57421875" style="0" bestFit="1" customWidth="1"/>
    <col min="5" max="5" width="12.8515625" style="0" bestFit="1" customWidth="1"/>
    <col min="7" max="7" width="14.00390625" style="0" bestFit="1" customWidth="1"/>
    <col min="8" max="8" width="10.28125" style="0" bestFit="1" customWidth="1"/>
    <col min="9" max="9" width="10.8515625" style="0" bestFit="1" customWidth="1"/>
  </cols>
  <sheetData>
    <row r="1" spans="1:8" ht="15.75">
      <c r="A1" s="102" t="s">
        <v>50</v>
      </c>
      <c r="B1" s="102"/>
      <c r="C1" s="102"/>
      <c r="D1" s="102"/>
      <c r="E1" s="102"/>
      <c r="F1" s="102"/>
      <c r="G1" s="102"/>
      <c r="H1" s="102"/>
    </row>
    <row r="2" spans="1:8" ht="15.75">
      <c r="A2" s="102" t="s">
        <v>51</v>
      </c>
      <c r="B2" s="102"/>
      <c r="C2" s="102"/>
      <c r="D2" s="102"/>
      <c r="E2" s="102"/>
      <c r="F2" s="102"/>
      <c r="G2" s="102"/>
      <c r="H2" s="102"/>
    </row>
    <row r="4" spans="2:9" ht="12.75">
      <c r="B4" s="6"/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</row>
    <row r="5" spans="3:9" ht="12.75">
      <c r="C5" s="6" t="s">
        <v>20</v>
      </c>
      <c r="D5" s="6" t="s">
        <v>69</v>
      </c>
      <c r="E5" s="6" t="s">
        <v>21</v>
      </c>
      <c r="F5" s="6" t="s">
        <v>22</v>
      </c>
      <c r="G5" s="6" t="s">
        <v>23</v>
      </c>
      <c r="H5" s="6" t="s">
        <v>66</v>
      </c>
      <c r="I5" s="6" t="s">
        <v>24</v>
      </c>
    </row>
    <row r="6" spans="3:8" ht="12.75">
      <c r="C6" s="13">
        <v>38352</v>
      </c>
      <c r="D6" s="6" t="s">
        <v>25</v>
      </c>
      <c r="E6" s="6" t="s">
        <v>26</v>
      </c>
      <c r="F6" s="6" t="s">
        <v>27</v>
      </c>
      <c r="G6" s="6" t="s">
        <v>25</v>
      </c>
      <c r="H6" s="6" t="s">
        <v>67</v>
      </c>
    </row>
    <row r="7" spans="1:8" ht="12.75">
      <c r="A7" s="14"/>
      <c r="B7" s="15"/>
      <c r="C7" s="16"/>
      <c r="D7" s="6" t="s">
        <v>28</v>
      </c>
      <c r="E7" s="6" t="s">
        <v>29</v>
      </c>
      <c r="F7" s="6" t="s">
        <v>30</v>
      </c>
      <c r="G7" s="6" t="s">
        <v>31</v>
      </c>
      <c r="H7" s="6" t="s">
        <v>21</v>
      </c>
    </row>
    <row r="8" spans="1:8" ht="12.75">
      <c r="A8" s="40" t="s">
        <v>56</v>
      </c>
      <c r="B8" s="15"/>
      <c r="C8" s="16"/>
      <c r="D8" s="6"/>
      <c r="E8" s="6"/>
      <c r="F8" s="6"/>
      <c r="G8" s="6"/>
      <c r="H8" s="6" t="s">
        <v>26</v>
      </c>
    </row>
    <row r="9" spans="1:8" ht="12.75">
      <c r="A9" s="14"/>
      <c r="B9" s="15"/>
      <c r="C9" s="16"/>
      <c r="D9" s="6"/>
      <c r="E9" s="6"/>
      <c r="F9" s="6"/>
      <c r="G9" s="6"/>
      <c r="H9" s="6"/>
    </row>
    <row r="10" spans="1:7" ht="12.75">
      <c r="A10" s="17"/>
      <c r="B10" s="18" t="s">
        <v>32</v>
      </c>
      <c r="C10" s="19"/>
      <c r="D10" s="6"/>
      <c r="E10" s="6"/>
      <c r="F10" s="6"/>
      <c r="G10" s="6"/>
    </row>
    <row r="11" spans="1:10" ht="12.75">
      <c r="A11" s="17"/>
      <c r="B11" s="18"/>
      <c r="C11" s="85"/>
      <c r="D11" s="86"/>
      <c r="E11" s="86"/>
      <c r="F11" s="86"/>
      <c r="G11" s="86"/>
      <c r="H11" s="86"/>
      <c r="I11" s="87"/>
      <c r="J11" s="87"/>
    </row>
    <row r="12" spans="1:10" ht="12.75">
      <c r="A12" s="17">
        <v>352</v>
      </c>
      <c r="B12" s="67" t="s">
        <v>59</v>
      </c>
      <c r="C12" s="88">
        <v>10923252.99</v>
      </c>
      <c r="D12" s="89">
        <v>0.05</v>
      </c>
      <c r="E12" s="90">
        <f>+C12*D12</f>
        <v>546162.6495</v>
      </c>
      <c r="F12" s="86">
        <v>60</v>
      </c>
      <c r="G12" s="90">
        <f>+E12/F12</f>
        <v>9102.710825</v>
      </c>
      <c r="H12" s="86">
        <v>167</v>
      </c>
      <c r="I12" s="91">
        <f aca="true" t="shared" si="0" ref="I12:I37">+G12-H12</f>
        <v>8935.710825</v>
      </c>
      <c r="J12" s="87"/>
    </row>
    <row r="13" spans="1:10" ht="12.75">
      <c r="A13" s="17">
        <v>353</v>
      </c>
      <c r="B13" s="21" t="s">
        <v>33</v>
      </c>
      <c r="C13" s="92">
        <v>135782917.57</v>
      </c>
      <c r="D13" s="93">
        <v>0.15</v>
      </c>
      <c r="E13" s="90">
        <f>+C13*D13</f>
        <v>20367437.6355</v>
      </c>
      <c r="F13" s="86">
        <v>47</v>
      </c>
      <c r="G13" s="90">
        <f>+E13/F13</f>
        <v>433349.7369255319</v>
      </c>
      <c r="H13" s="94">
        <v>22414</v>
      </c>
      <c r="I13" s="91">
        <f t="shared" si="0"/>
        <v>410935.7369255319</v>
      </c>
      <c r="J13" s="87"/>
    </row>
    <row r="14" spans="1:10" ht="12.75">
      <c r="A14" s="17">
        <v>354</v>
      </c>
      <c r="B14" s="21" t="s">
        <v>34</v>
      </c>
      <c r="C14" s="92">
        <v>17069239.13</v>
      </c>
      <c r="D14" s="93">
        <v>0.2</v>
      </c>
      <c r="E14" s="90">
        <f>+C14*D14</f>
        <v>3413847.826</v>
      </c>
      <c r="F14" s="86">
        <v>70</v>
      </c>
      <c r="G14" s="90">
        <f>+E14/F14</f>
        <v>48769.254657142854</v>
      </c>
      <c r="H14" s="94">
        <v>0</v>
      </c>
      <c r="I14" s="91">
        <f t="shared" si="0"/>
        <v>48769.254657142854</v>
      </c>
      <c r="J14" s="87"/>
    </row>
    <row r="15" spans="1:10" ht="12.75">
      <c r="A15" s="17">
        <v>355</v>
      </c>
      <c r="B15" s="21" t="s">
        <v>35</v>
      </c>
      <c r="C15" s="92">
        <v>89425620.7</v>
      </c>
      <c r="D15" s="93">
        <v>0.3</v>
      </c>
      <c r="E15" s="90">
        <f>+C15*D15</f>
        <v>26827686.21</v>
      </c>
      <c r="F15" s="86">
        <v>60</v>
      </c>
      <c r="G15" s="90">
        <f>+E15/F15</f>
        <v>447128.1035</v>
      </c>
      <c r="H15" s="94">
        <v>13917</v>
      </c>
      <c r="I15" s="91">
        <f t="shared" si="0"/>
        <v>433211.1035</v>
      </c>
      <c r="J15" s="87"/>
    </row>
    <row r="16" spans="1:10" ht="12.75">
      <c r="A16" s="17">
        <v>356</v>
      </c>
      <c r="B16" s="21" t="s">
        <v>36</v>
      </c>
      <c r="C16" s="92">
        <v>68173980.15</v>
      </c>
      <c r="D16" s="93">
        <v>0.25</v>
      </c>
      <c r="E16" s="90">
        <f>+C16*D16</f>
        <v>17043495.0375</v>
      </c>
      <c r="F16" s="86">
        <v>60</v>
      </c>
      <c r="G16" s="90">
        <f>+E16/F16</f>
        <v>284058.25062500004</v>
      </c>
      <c r="H16" s="94">
        <v>15778</v>
      </c>
      <c r="I16" s="91">
        <f t="shared" si="0"/>
        <v>268280.25062500004</v>
      </c>
      <c r="J16" s="87"/>
    </row>
    <row r="17" spans="1:10" ht="12.75">
      <c r="A17" s="17"/>
      <c r="B17" s="21"/>
      <c r="C17" s="92"/>
      <c r="D17" s="93"/>
      <c r="E17" s="95"/>
      <c r="F17" s="86"/>
      <c r="G17" s="95"/>
      <c r="H17" s="94"/>
      <c r="I17" s="91">
        <f t="shared" si="0"/>
        <v>0</v>
      </c>
      <c r="J17" s="87"/>
    </row>
    <row r="18" spans="1:10" ht="12.75">
      <c r="A18" s="17"/>
      <c r="B18" s="22" t="s">
        <v>52</v>
      </c>
      <c r="C18" s="96">
        <f>SUM(C12:C16)</f>
        <v>321375010.53999996</v>
      </c>
      <c r="D18" s="93"/>
      <c r="E18" s="96">
        <f>SUM(E12:E16)</f>
        <v>68198629.3585</v>
      </c>
      <c r="F18" s="86"/>
      <c r="G18" s="96">
        <f>SUM(G12:G16)</f>
        <v>1222408.056532675</v>
      </c>
      <c r="H18" s="96">
        <f>SUM(H12:H16)</f>
        <v>52276</v>
      </c>
      <c r="I18" s="96">
        <f>SUM(I12:I16)</f>
        <v>1170132.056532675</v>
      </c>
      <c r="J18" s="87"/>
    </row>
    <row r="19" spans="1:10" ht="12.75">
      <c r="A19" s="17"/>
      <c r="B19" s="22"/>
      <c r="C19" s="97"/>
      <c r="D19" s="98"/>
      <c r="E19" s="95"/>
      <c r="F19" s="86"/>
      <c r="G19" s="87"/>
      <c r="H19" s="99"/>
      <c r="I19" s="91">
        <f t="shared" si="0"/>
        <v>0</v>
      </c>
      <c r="J19" s="87"/>
    </row>
    <row r="20" spans="1:10" ht="12.75">
      <c r="A20" s="17"/>
      <c r="B20" s="21"/>
      <c r="C20" s="97"/>
      <c r="D20" s="98"/>
      <c r="E20" s="95"/>
      <c r="F20" s="86"/>
      <c r="G20" s="87"/>
      <c r="H20" s="99"/>
      <c r="I20" s="91">
        <f t="shared" si="0"/>
        <v>0</v>
      </c>
      <c r="J20" s="87"/>
    </row>
    <row r="21" spans="1:10" ht="12.75">
      <c r="A21" s="17"/>
      <c r="B21" s="18" t="s">
        <v>38</v>
      </c>
      <c r="C21" s="97"/>
      <c r="D21" s="98"/>
      <c r="E21" s="95"/>
      <c r="F21" s="86"/>
      <c r="G21" s="87"/>
      <c r="H21" s="99"/>
      <c r="I21" s="91">
        <f t="shared" si="0"/>
        <v>0</v>
      </c>
      <c r="J21" s="87"/>
    </row>
    <row r="22" spans="1:10" ht="12.75">
      <c r="A22" s="17"/>
      <c r="B22" s="20"/>
      <c r="C22" s="97"/>
      <c r="D22" s="98"/>
      <c r="E22" s="87"/>
      <c r="F22" s="86"/>
      <c r="G22" s="87"/>
      <c r="H22" s="99"/>
      <c r="I22" s="91">
        <f t="shared" si="0"/>
        <v>0</v>
      </c>
      <c r="J22" s="87"/>
    </row>
    <row r="23" spans="1:10" ht="12.75">
      <c r="A23" s="17">
        <v>361</v>
      </c>
      <c r="B23" s="21" t="s">
        <v>49</v>
      </c>
      <c r="C23" s="97">
        <v>10243069.11</v>
      </c>
      <c r="D23" s="98">
        <v>0.1</v>
      </c>
      <c r="E23" s="100">
        <f aca="true" t="shared" si="1" ref="E23:E33">+C23*D23</f>
        <v>1024306.911</v>
      </c>
      <c r="F23" s="86">
        <v>55</v>
      </c>
      <c r="G23" s="100">
        <f aca="true" t="shared" si="2" ref="G23:G33">+E23/F23</f>
        <v>18623.762018181817</v>
      </c>
      <c r="H23" s="99">
        <v>0</v>
      </c>
      <c r="I23" s="91">
        <f t="shared" si="0"/>
        <v>18623.762018181817</v>
      </c>
      <c r="J23" s="87"/>
    </row>
    <row r="24" spans="1:10" ht="12.75">
      <c r="A24" s="17">
        <v>362</v>
      </c>
      <c r="B24" s="21" t="s">
        <v>33</v>
      </c>
      <c r="C24" s="97">
        <v>71839160.77</v>
      </c>
      <c r="D24" s="98">
        <v>0.1</v>
      </c>
      <c r="E24" s="100">
        <f t="shared" si="1"/>
        <v>7183916.077</v>
      </c>
      <c r="F24" s="86">
        <v>42</v>
      </c>
      <c r="G24" s="100">
        <f t="shared" si="2"/>
        <v>171045.62088095237</v>
      </c>
      <c r="H24" s="99">
        <v>16664</v>
      </c>
      <c r="I24" s="91">
        <f t="shared" si="0"/>
        <v>154381.62088095237</v>
      </c>
      <c r="J24" s="87"/>
    </row>
    <row r="25" spans="1:10" ht="12.75">
      <c r="A25" s="17">
        <v>364</v>
      </c>
      <c r="B25" s="21" t="s">
        <v>39</v>
      </c>
      <c r="C25" s="97">
        <v>161910621.25</v>
      </c>
      <c r="D25" s="98">
        <v>0.25</v>
      </c>
      <c r="E25" s="100">
        <f t="shared" si="1"/>
        <v>40477655.3125</v>
      </c>
      <c r="F25" s="86">
        <v>50</v>
      </c>
      <c r="G25" s="100">
        <f t="shared" si="2"/>
        <v>809553.10625</v>
      </c>
      <c r="H25" s="99">
        <v>30649</v>
      </c>
      <c r="I25" s="91">
        <f t="shared" si="0"/>
        <v>778904.10625</v>
      </c>
      <c r="J25" s="87"/>
    </row>
    <row r="26" spans="1:10" ht="12.75">
      <c r="A26" s="17">
        <v>365</v>
      </c>
      <c r="B26" s="21" t="s">
        <v>36</v>
      </c>
      <c r="C26" s="97">
        <v>108829175.14</v>
      </c>
      <c r="D26" s="98">
        <v>0.15</v>
      </c>
      <c r="E26" s="100">
        <f t="shared" si="1"/>
        <v>16324376.271</v>
      </c>
      <c r="F26" s="86">
        <v>50</v>
      </c>
      <c r="G26" s="100">
        <f t="shared" si="2"/>
        <v>326487.52542</v>
      </c>
      <c r="H26" s="99">
        <v>29583</v>
      </c>
      <c r="I26" s="91">
        <f t="shared" si="0"/>
        <v>296904.52542</v>
      </c>
      <c r="J26" s="87"/>
    </row>
    <row r="27" spans="1:10" ht="12.75">
      <c r="A27" s="17">
        <v>366</v>
      </c>
      <c r="B27" s="21" t="s">
        <v>40</v>
      </c>
      <c r="C27" s="97">
        <v>54575634.67</v>
      </c>
      <c r="D27" s="98">
        <v>0.1</v>
      </c>
      <c r="E27" s="100">
        <f t="shared" si="1"/>
        <v>5457563.467</v>
      </c>
      <c r="F27" s="86">
        <v>45</v>
      </c>
      <c r="G27" s="100">
        <f t="shared" si="2"/>
        <v>121279.18815555556</v>
      </c>
      <c r="H27" s="99">
        <v>2548</v>
      </c>
      <c r="I27" s="91">
        <f t="shared" si="0"/>
        <v>118731.18815555556</v>
      </c>
      <c r="J27" s="87"/>
    </row>
    <row r="28" spans="1:10" ht="12.75">
      <c r="A28" s="17">
        <v>367</v>
      </c>
      <c r="B28" s="21" t="s">
        <v>37</v>
      </c>
      <c r="C28" s="97">
        <v>86696938.47</v>
      </c>
      <c r="D28" s="98">
        <v>0.15</v>
      </c>
      <c r="E28" s="100">
        <f t="shared" si="1"/>
        <v>13004540.770499999</v>
      </c>
      <c r="F28" s="86">
        <v>28</v>
      </c>
      <c r="G28" s="100">
        <f t="shared" si="2"/>
        <v>464447.88466071425</v>
      </c>
      <c r="H28" s="99">
        <v>2023</v>
      </c>
      <c r="I28" s="91">
        <f t="shared" si="0"/>
        <v>462424.88466071425</v>
      </c>
      <c r="J28" s="87"/>
    </row>
    <row r="29" spans="1:10" ht="12.75">
      <c r="A29" s="17">
        <v>368</v>
      </c>
      <c r="B29" s="21" t="s">
        <v>41</v>
      </c>
      <c r="C29" s="97">
        <v>125446341.5</v>
      </c>
      <c r="D29" s="98">
        <v>0.05</v>
      </c>
      <c r="E29" s="100">
        <f t="shared" si="1"/>
        <v>6272317.075</v>
      </c>
      <c r="F29" s="86">
        <v>44</v>
      </c>
      <c r="G29" s="100">
        <f t="shared" si="2"/>
        <v>142552.66079545455</v>
      </c>
      <c r="H29" s="99">
        <v>19394</v>
      </c>
      <c r="I29" s="91">
        <f t="shared" si="0"/>
        <v>123158.66079545455</v>
      </c>
      <c r="J29" s="87"/>
    </row>
    <row r="30" spans="1:10" ht="12.75">
      <c r="A30" s="17">
        <v>369</v>
      </c>
      <c r="B30" s="21" t="s">
        <v>42</v>
      </c>
      <c r="C30" s="97">
        <v>90262715.88</v>
      </c>
      <c r="D30" s="98">
        <v>0.25</v>
      </c>
      <c r="E30" s="100">
        <f t="shared" si="1"/>
        <v>22565678.97</v>
      </c>
      <c r="F30" s="86">
        <v>60</v>
      </c>
      <c r="G30" s="100">
        <f t="shared" si="2"/>
        <v>376094.6495</v>
      </c>
      <c r="H30" s="99">
        <v>8578</v>
      </c>
      <c r="I30" s="91">
        <f t="shared" si="0"/>
        <v>367516.6495</v>
      </c>
      <c r="J30" s="87"/>
    </row>
    <row r="31" spans="1:10" ht="12.75">
      <c r="A31" s="17">
        <v>370</v>
      </c>
      <c r="B31" s="21" t="s">
        <v>43</v>
      </c>
      <c r="C31" s="97">
        <v>24850469.3</v>
      </c>
      <c r="D31" s="98">
        <v>0</v>
      </c>
      <c r="E31" s="100">
        <f t="shared" si="1"/>
        <v>0</v>
      </c>
      <c r="F31" s="86">
        <v>38</v>
      </c>
      <c r="G31" s="100">
        <f t="shared" si="2"/>
        <v>0</v>
      </c>
      <c r="H31" s="99">
        <v>1813</v>
      </c>
      <c r="I31" s="91">
        <f t="shared" si="0"/>
        <v>-1813</v>
      </c>
      <c r="J31" s="87"/>
    </row>
    <row r="32" spans="1:10" ht="12.75">
      <c r="A32" s="17">
        <v>373</v>
      </c>
      <c r="B32" s="21" t="s">
        <v>44</v>
      </c>
      <c r="C32" s="97">
        <f>21853569-C33</f>
        <v>11521216.61</v>
      </c>
      <c r="D32" s="98">
        <v>0.15</v>
      </c>
      <c r="E32" s="100">
        <f t="shared" si="1"/>
        <v>1728182.4914999998</v>
      </c>
      <c r="F32" s="86">
        <v>32</v>
      </c>
      <c r="G32" s="100">
        <f t="shared" si="2"/>
        <v>54005.70285937499</v>
      </c>
      <c r="H32" s="99">
        <v>2590</v>
      </c>
      <c r="I32" s="91">
        <f t="shared" si="0"/>
        <v>51415.70285937499</v>
      </c>
      <c r="J32" s="87"/>
    </row>
    <row r="33" spans="1:9" ht="12.75">
      <c r="A33" s="17">
        <v>373.4</v>
      </c>
      <c r="B33" s="21" t="s">
        <v>53</v>
      </c>
      <c r="C33" s="37">
        <v>10332352.39</v>
      </c>
      <c r="D33" s="23">
        <v>0.05</v>
      </c>
      <c r="E33" s="25">
        <f t="shared" si="1"/>
        <v>516617.61950000003</v>
      </c>
      <c r="F33" s="6">
        <v>32</v>
      </c>
      <c r="G33" s="25">
        <f t="shared" si="2"/>
        <v>16144.300609375001</v>
      </c>
      <c r="H33" s="24">
        <v>498</v>
      </c>
      <c r="I33" s="8">
        <f t="shared" si="0"/>
        <v>15646.300609375001</v>
      </c>
    </row>
    <row r="34" spans="1:9" ht="12.75">
      <c r="A34" s="17"/>
      <c r="B34" s="21"/>
      <c r="C34" s="36"/>
      <c r="D34" s="23"/>
      <c r="F34" s="6"/>
      <c r="H34" s="24"/>
      <c r="I34" s="8">
        <f t="shared" si="0"/>
        <v>0</v>
      </c>
    </row>
    <row r="35" spans="1:9" ht="12.75">
      <c r="A35" s="17"/>
      <c r="B35" s="22" t="s">
        <v>54</v>
      </c>
      <c r="C35" s="38">
        <f>SUM(C23:C33)</f>
        <v>756507695.0899999</v>
      </c>
      <c r="E35" s="26">
        <f>SUM(E23:E33)</f>
        <v>114555154.965</v>
      </c>
      <c r="F35" s="6"/>
      <c r="G35" s="26">
        <f>SUM(G23:G33)</f>
        <v>2500234.4011496087</v>
      </c>
      <c r="H35" s="27">
        <f>+SUM(H23:H32)</f>
        <v>113842</v>
      </c>
      <c r="I35" s="44">
        <f t="shared" si="0"/>
        <v>2386392.4011496087</v>
      </c>
    </row>
    <row r="36" spans="3:9" ht="12.75">
      <c r="C36" s="7"/>
      <c r="F36" s="6"/>
      <c r="I36" s="44">
        <f t="shared" si="0"/>
        <v>0</v>
      </c>
    </row>
    <row r="37" spans="2:9" ht="12.75">
      <c r="B37" s="39" t="s">
        <v>55</v>
      </c>
      <c r="C37" s="27">
        <f>+C18+C35</f>
        <v>1077882705.6299999</v>
      </c>
      <c r="E37" s="28">
        <f>+E18+E35</f>
        <v>182753784.3235</v>
      </c>
      <c r="F37" s="6"/>
      <c r="G37" s="28">
        <f>+G18+G35</f>
        <v>3722642.4576822836</v>
      </c>
      <c r="H37" s="28">
        <f>+H18+H35</f>
        <v>166118</v>
      </c>
      <c r="I37" s="44">
        <f t="shared" si="0"/>
        <v>3556524.4576822836</v>
      </c>
    </row>
    <row r="38" spans="3:6" ht="12.75">
      <c r="C38" s="7"/>
      <c r="F38" s="6"/>
    </row>
    <row r="39" spans="1:6" ht="12.75">
      <c r="A39" s="40" t="s">
        <v>57</v>
      </c>
      <c r="C39" s="7"/>
      <c r="F39" s="6"/>
    </row>
    <row r="40" spans="1:6" ht="12.75">
      <c r="A40" s="40"/>
      <c r="C40" s="7"/>
      <c r="F40" s="6"/>
    </row>
    <row r="41" spans="1:6" ht="12.75">
      <c r="A41" s="40"/>
      <c r="B41" s="41" t="s">
        <v>58</v>
      </c>
      <c r="C41" s="7"/>
      <c r="F41" s="6"/>
    </row>
    <row r="42" ht="12.75">
      <c r="F42" s="6"/>
    </row>
    <row r="43" spans="1:9" ht="12.75">
      <c r="A43" s="42">
        <v>375</v>
      </c>
      <c r="B43" t="s">
        <v>59</v>
      </c>
      <c r="C43" s="7">
        <v>462233.21</v>
      </c>
      <c r="D43" s="4">
        <v>0.05</v>
      </c>
      <c r="E43" s="25">
        <f aca="true" t="shared" si="3" ref="E43:E49">+C43*D43</f>
        <v>23111.6605</v>
      </c>
      <c r="F43" s="6">
        <v>50</v>
      </c>
      <c r="G43" s="25">
        <f aca="true" t="shared" si="4" ref="G43:G49">+E43/F43</f>
        <v>462.23321000000004</v>
      </c>
      <c r="H43" s="7">
        <v>130</v>
      </c>
      <c r="I43" s="8">
        <f aca="true" t="shared" si="5" ref="I43:I49">+G43-H43</f>
        <v>332.23321000000004</v>
      </c>
    </row>
    <row r="44" spans="1:9" ht="12.75">
      <c r="A44">
        <v>376</v>
      </c>
      <c r="B44" t="s">
        <v>60</v>
      </c>
      <c r="C44" s="7">
        <v>150417092.24</v>
      </c>
      <c r="D44" s="4">
        <v>0.25</v>
      </c>
      <c r="E44" s="25">
        <f t="shared" si="3"/>
        <v>37604273.06</v>
      </c>
      <c r="F44" s="6">
        <v>65</v>
      </c>
      <c r="G44" s="25">
        <f t="shared" si="4"/>
        <v>578527.2778461538</v>
      </c>
      <c r="H44" s="7">
        <v>45050</v>
      </c>
      <c r="I44" s="8">
        <f t="shared" si="5"/>
        <v>533477.2778461538</v>
      </c>
    </row>
    <row r="45" spans="1:9" ht="12.75">
      <c r="A45">
        <v>378</v>
      </c>
      <c r="B45" t="s">
        <v>61</v>
      </c>
      <c r="C45" s="7">
        <v>3305957.37</v>
      </c>
      <c r="D45" s="4">
        <v>0.05</v>
      </c>
      <c r="E45" s="25">
        <f t="shared" si="3"/>
        <v>165297.8685</v>
      </c>
      <c r="F45" s="6">
        <v>36</v>
      </c>
      <c r="G45" s="25">
        <f t="shared" si="4"/>
        <v>4591.607458333334</v>
      </c>
      <c r="H45" s="7">
        <v>3512</v>
      </c>
      <c r="I45" s="8">
        <f>+G45+G46-H45</f>
        <v>3050.5146388888897</v>
      </c>
    </row>
    <row r="46" spans="1:9" ht="12.75">
      <c r="A46">
        <v>379</v>
      </c>
      <c r="B46" t="s">
        <v>118</v>
      </c>
      <c r="C46" s="7">
        <v>1419053.17</v>
      </c>
      <c r="D46" s="4">
        <v>0.05</v>
      </c>
      <c r="E46" s="25">
        <f t="shared" si="3"/>
        <v>70952.6585</v>
      </c>
      <c r="F46" s="6">
        <v>36</v>
      </c>
      <c r="G46" s="25">
        <f t="shared" si="4"/>
        <v>1970.9071805555557</v>
      </c>
      <c r="H46" s="7"/>
      <c r="I46" s="8"/>
    </row>
    <row r="47" spans="1:9" ht="12.75">
      <c r="A47">
        <v>380</v>
      </c>
      <c r="B47" t="s">
        <v>62</v>
      </c>
      <c r="C47" s="7">
        <v>113999912.27</v>
      </c>
      <c r="D47" s="4">
        <v>0.25</v>
      </c>
      <c r="E47" s="25">
        <f t="shared" si="3"/>
        <v>28499978.0675</v>
      </c>
      <c r="F47" s="6">
        <v>45</v>
      </c>
      <c r="G47" s="25">
        <f t="shared" si="4"/>
        <v>633332.8459444444</v>
      </c>
      <c r="H47" s="7">
        <v>70564</v>
      </c>
      <c r="I47" s="8">
        <f t="shared" si="5"/>
        <v>562768.8459444444</v>
      </c>
    </row>
    <row r="48" spans="1:9" ht="12.75">
      <c r="A48">
        <v>381</v>
      </c>
      <c r="B48" t="s">
        <v>63</v>
      </c>
      <c r="C48" s="7">
        <v>29929367.48</v>
      </c>
      <c r="D48" s="4">
        <v>0.1</v>
      </c>
      <c r="E48" s="25">
        <f t="shared" si="3"/>
        <v>2992936.748</v>
      </c>
      <c r="F48" s="6">
        <v>40</v>
      </c>
      <c r="G48" s="25">
        <f t="shared" si="4"/>
        <v>74823.41870000001</v>
      </c>
      <c r="H48" s="7">
        <v>58331</v>
      </c>
      <c r="I48" s="8">
        <f t="shared" si="5"/>
        <v>16492.41870000001</v>
      </c>
    </row>
    <row r="49" spans="1:9" ht="12.75">
      <c r="A49">
        <v>385</v>
      </c>
      <c r="B49" t="s">
        <v>64</v>
      </c>
      <c r="C49" s="43">
        <v>2183854</v>
      </c>
      <c r="D49" s="4">
        <v>0.05</v>
      </c>
      <c r="E49" s="25">
        <f t="shared" si="3"/>
        <v>109192.70000000001</v>
      </c>
      <c r="F49" s="6">
        <v>45</v>
      </c>
      <c r="G49" s="25">
        <f t="shared" si="4"/>
        <v>2426.5044444444447</v>
      </c>
      <c r="H49" s="7">
        <v>0</v>
      </c>
      <c r="I49" s="8">
        <f t="shared" si="5"/>
        <v>2426.5044444444447</v>
      </c>
    </row>
    <row r="50" spans="8:9" ht="12.75">
      <c r="H50" s="7"/>
      <c r="I50" s="7"/>
    </row>
    <row r="51" spans="2:10" ht="12.75">
      <c r="B51" s="39" t="s">
        <v>65</v>
      </c>
      <c r="C51" s="44">
        <f>+SUM(C43:C49)</f>
        <v>301717469.74</v>
      </c>
      <c r="D51" s="39"/>
      <c r="E51" s="44">
        <f>+SUM(E43:E49)</f>
        <v>69465742.763</v>
      </c>
      <c r="F51" s="39"/>
      <c r="G51" s="44">
        <f>+SUM(G43:G49)</f>
        <v>1296134.7947839317</v>
      </c>
      <c r="H51" s="44">
        <f>+SUM(H43:H49)</f>
        <v>177587</v>
      </c>
      <c r="I51" s="44">
        <f>+SUM(I43:I49)</f>
        <v>1118547.7947839317</v>
      </c>
      <c r="J51" s="12"/>
    </row>
  </sheetData>
  <sheetProtection/>
  <mergeCells count="2">
    <mergeCell ref="A1:H1"/>
    <mergeCell ref="A2:H2"/>
  </mergeCells>
  <printOptions horizontalCentered="1"/>
  <pageMargins left="0.75" right="0.75" top="1" bottom="1" header="0.5" footer="0.5"/>
  <pageSetup fitToHeight="1" fitToWidth="1" horizontalDpi="600" verticalDpi="600" orientation="landscape" scale="73" r:id="rId1"/>
  <headerFooter alignWithMargins="0">
    <oddHeader>&amp;RDockets No. UE-080416 and UG-080417
Exhibit No.___(CWK-4)
Schedule 2
Page 2 of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Layout" workbookViewId="0" topLeftCell="A1">
      <selection activeCell="J1" sqref="J1"/>
    </sheetView>
  </sheetViews>
  <sheetFormatPr defaultColWidth="9.140625" defaultRowHeight="12.75"/>
  <cols>
    <col min="1" max="1" width="4.8515625" style="0" customWidth="1"/>
    <col min="2" max="2" width="11.421875" style="0" bestFit="1" customWidth="1"/>
    <col min="3" max="3" width="11.28125" style="0" bestFit="1" customWidth="1"/>
    <col min="4" max="4" width="10.28125" style="0" bestFit="1" customWidth="1"/>
    <col min="5" max="5" width="4.7109375" style="0" customWidth="1"/>
    <col min="6" max="6" width="13.28125" style="0" bestFit="1" customWidth="1"/>
    <col min="7" max="8" width="11.28125" style="0" customWidth="1"/>
    <col min="9" max="9" width="11.28125" style="0" bestFit="1" customWidth="1"/>
    <col min="10" max="10" width="10.28125" style="0" customWidth="1"/>
  </cols>
  <sheetData>
    <row r="1" ht="12.75">
      <c r="A1" t="s">
        <v>0</v>
      </c>
    </row>
    <row r="2" spans="1:3" ht="12.75">
      <c r="A2" t="s">
        <v>1</v>
      </c>
      <c r="C2">
        <v>20</v>
      </c>
    </row>
    <row r="3" spans="1:3" ht="12.75">
      <c r="A3" t="s">
        <v>9</v>
      </c>
      <c r="C3" s="3">
        <v>2000</v>
      </c>
    </row>
    <row r="4" spans="1:3" ht="12.75">
      <c r="A4" t="s">
        <v>3</v>
      </c>
      <c r="C4" s="5">
        <v>0.03</v>
      </c>
    </row>
    <row r="5" spans="1:3" ht="12.75">
      <c r="A5" t="s">
        <v>8</v>
      </c>
      <c r="C5" s="2">
        <f>C3*1/1.03^20</f>
        <v>1107.35150837267</v>
      </c>
    </row>
    <row r="6" ht="12.75">
      <c r="C6" s="5"/>
    </row>
    <row r="7" spans="2:8" ht="12.75">
      <c r="B7" s="103" t="s">
        <v>6</v>
      </c>
      <c r="C7" s="103"/>
      <c r="F7" s="6" t="s">
        <v>5</v>
      </c>
      <c r="G7" s="103" t="s">
        <v>141</v>
      </c>
      <c r="H7" s="103"/>
    </row>
    <row r="8" spans="1:10" ht="12.75">
      <c r="A8" s="6" t="s">
        <v>4</v>
      </c>
      <c r="B8" s="6" t="s">
        <v>7</v>
      </c>
      <c r="C8" s="6" t="s">
        <v>142</v>
      </c>
      <c r="D8" t="s">
        <v>144</v>
      </c>
      <c r="F8" s="6" t="s">
        <v>146</v>
      </c>
      <c r="G8" s="6" t="s">
        <v>11</v>
      </c>
      <c r="H8" s="6" t="s">
        <v>12</v>
      </c>
      <c r="I8" s="6" t="s">
        <v>10</v>
      </c>
      <c r="J8" s="6" t="s">
        <v>147</v>
      </c>
    </row>
    <row r="9" spans="1:10" ht="12.75">
      <c r="A9" s="6"/>
      <c r="B9" s="6"/>
      <c r="C9" s="6" t="s">
        <v>143</v>
      </c>
      <c r="D9" s="6" t="s">
        <v>145</v>
      </c>
      <c r="F9" s="6" t="s">
        <v>26</v>
      </c>
      <c r="J9" s="6" t="s">
        <v>29</v>
      </c>
    </row>
    <row r="10" spans="1:4" ht="12.75">
      <c r="A10" s="6"/>
      <c r="C10" s="10"/>
      <c r="D10" s="9"/>
    </row>
    <row r="11" spans="1:10" ht="12.75">
      <c r="A11" s="6">
        <v>1</v>
      </c>
      <c r="B11" s="2">
        <v>100</v>
      </c>
      <c r="C11" s="10">
        <f aca="true" t="shared" si="0" ref="C11:C20">C12*1.03</f>
        <v>1.7798086438732588</v>
      </c>
      <c r="D11" s="2">
        <f aca="true" t="shared" si="1" ref="D11:D20">B11*C11</f>
        <v>177.98086438732588</v>
      </c>
      <c r="F11" s="1">
        <f>+C5/20</f>
        <v>55.3675754186335</v>
      </c>
      <c r="G11" s="11">
        <f aca="true" t="shared" si="2" ref="G11:H20">G12*(1/1.03)</f>
        <v>1107.35150837267</v>
      </c>
      <c r="H11" s="11">
        <f t="shared" si="2"/>
        <v>1140.57205362385</v>
      </c>
      <c r="I11" s="2">
        <f aca="true" t="shared" si="3" ref="I11:I20">H11-G11</f>
        <v>33.220545251180056</v>
      </c>
      <c r="J11" s="11">
        <f aca="true" t="shared" si="4" ref="J11:J20">F11+I11</f>
        <v>88.58812066981355</v>
      </c>
    </row>
    <row r="12" spans="1:10" ht="12.75">
      <c r="A12" s="6">
        <f>A11+1</f>
        <v>2</v>
      </c>
      <c r="B12" s="42">
        <v>100</v>
      </c>
      <c r="C12" s="10">
        <f t="shared" si="0"/>
        <v>1.7279695571585036</v>
      </c>
      <c r="D12" s="81">
        <f t="shared" si="1"/>
        <v>172.79695571585037</v>
      </c>
      <c r="F12" s="1">
        <f aca="true" t="shared" si="5" ref="F12:F30">$F$11</f>
        <v>55.3675754186335</v>
      </c>
      <c r="G12" s="1">
        <f t="shared" si="2"/>
        <v>1140.57205362385</v>
      </c>
      <c r="H12" s="1">
        <f t="shared" si="2"/>
        <v>1174.7892152325655</v>
      </c>
      <c r="I12" s="1">
        <f t="shared" si="3"/>
        <v>34.217161608715514</v>
      </c>
      <c r="J12" s="1">
        <f t="shared" si="4"/>
        <v>89.58473702734901</v>
      </c>
    </row>
    <row r="13" spans="1:10" ht="12.75">
      <c r="A13" s="6">
        <f aca="true" t="shared" si="6" ref="A13:A31">A12+1</f>
        <v>3</v>
      </c>
      <c r="B13" s="42">
        <v>100</v>
      </c>
      <c r="C13" s="10">
        <f t="shared" si="0"/>
        <v>1.6776403467558287</v>
      </c>
      <c r="D13" s="81">
        <f t="shared" si="1"/>
        <v>167.76403467558288</v>
      </c>
      <c r="F13" s="1">
        <f t="shared" si="5"/>
        <v>55.3675754186335</v>
      </c>
      <c r="G13" s="1">
        <f t="shared" si="2"/>
        <v>1174.7892152325655</v>
      </c>
      <c r="H13" s="1">
        <f t="shared" si="2"/>
        <v>1210.0328916895426</v>
      </c>
      <c r="I13" s="1">
        <f t="shared" si="3"/>
        <v>35.24367645697703</v>
      </c>
      <c r="J13" s="1">
        <f t="shared" si="4"/>
        <v>90.61125187561052</v>
      </c>
    </row>
    <row r="14" spans="1:10" ht="12.75">
      <c r="A14" s="6">
        <f t="shared" si="6"/>
        <v>4</v>
      </c>
      <c r="B14" s="42">
        <v>100</v>
      </c>
      <c r="C14" s="10">
        <f t="shared" si="0"/>
        <v>1.6287770356852707</v>
      </c>
      <c r="D14" s="81">
        <f t="shared" si="1"/>
        <v>162.87770356852707</v>
      </c>
      <c r="F14" s="1">
        <f t="shared" si="5"/>
        <v>55.3675754186335</v>
      </c>
      <c r="G14" s="1">
        <f t="shared" si="2"/>
        <v>1210.0328916895426</v>
      </c>
      <c r="H14" s="1">
        <f t="shared" si="2"/>
        <v>1246.3338784402288</v>
      </c>
      <c r="I14" s="1">
        <f t="shared" si="3"/>
        <v>36.30098675068621</v>
      </c>
      <c r="J14" s="1">
        <f t="shared" si="4"/>
        <v>91.6685621693197</v>
      </c>
    </row>
    <row r="15" spans="1:10" ht="12.75">
      <c r="A15" s="6">
        <f t="shared" si="6"/>
        <v>5</v>
      </c>
      <c r="B15" s="42">
        <v>100</v>
      </c>
      <c r="C15" s="10">
        <f t="shared" si="0"/>
        <v>1.5813369278497773</v>
      </c>
      <c r="D15" s="81">
        <f t="shared" si="1"/>
        <v>158.13369278497774</v>
      </c>
      <c r="F15" s="1">
        <f t="shared" si="5"/>
        <v>55.3675754186335</v>
      </c>
      <c r="G15" s="1">
        <f t="shared" si="2"/>
        <v>1246.3338784402288</v>
      </c>
      <c r="H15" s="1">
        <f t="shared" si="2"/>
        <v>1283.7238947934356</v>
      </c>
      <c r="I15" s="1">
        <f t="shared" si="3"/>
        <v>37.390016353206875</v>
      </c>
      <c r="J15" s="1">
        <f t="shared" si="4"/>
        <v>92.75759177184037</v>
      </c>
    </row>
    <row r="16" spans="1:10" ht="12.75">
      <c r="A16" s="6">
        <f t="shared" si="6"/>
        <v>6</v>
      </c>
      <c r="B16" s="42">
        <v>100</v>
      </c>
      <c r="C16" s="10">
        <f t="shared" si="0"/>
        <v>1.535278570727939</v>
      </c>
      <c r="D16" s="81">
        <f t="shared" si="1"/>
        <v>153.5278570727939</v>
      </c>
      <c r="F16" s="1">
        <f t="shared" si="5"/>
        <v>55.3675754186335</v>
      </c>
      <c r="G16" s="1">
        <f t="shared" si="2"/>
        <v>1283.7238947934356</v>
      </c>
      <c r="H16" s="1">
        <f t="shared" si="2"/>
        <v>1322.2356116372387</v>
      </c>
      <c r="I16" s="1">
        <f t="shared" si="3"/>
        <v>38.511716843803015</v>
      </c>
      <c r="J16" s="1">
        <f t="shared" si="4"/>
        <v>93.87929226243651</v>
      </c>
    </row>
    <row r="17" spans="1:10" ht="12.75">
      <c r="A17" s="6">
        <f t="shared" si="6"/>
        <v>7</v>
      </c>
      <c r="B17" s="42">
        <v>100</v>
      </c>
      <c r="C17" s="10">
        <f t="shared" si="0"/>
        <v>1.490561719153339</v>
      </c>
      <c r="D17" s="81">
        <f t="shared" si="1"/>
        <v>149.0561719153339</v>
      </c>
      <c r="F17" s="1">
        <f t="shared" si="5"/>
        <v>55.3675754186335</v>
      </c>
      <c r="G17" s="1">
        <f t="shared" si="2"/>
        <v>1322.2356116372387</v>
      </c>
      <c r="H17" s="1">
        <f t="shared" si="2"/>
        <v>1361.902679986356</v>
      </c>
      <c r="I17" s="1">
        <f t="shared" si="3"/>
        <v>39.667068349117244</v>
      </c>
      <c r="J17" s="1">
        <f t="shared" si="4"/>
        <v>95.03464376775074</v>
      </c>
    </row>
    <row r="18" spans="1:10" ht="12.75">
      <c r="A18" s="6">
        <f t="shared" si="6"/>
        <v>8</v>
      </c>
      <c r="B18" s="42">
        <v>100</v>
      </c>
      <c r="C18" s="10">
        <f t="shared" si="0"/>
        <v>1.4471473001488726</v>
      </c>
      <c r="D18" s="81">
        <f t="shared" si="1"/>
        <v>144.71473001488727</v>
      </c>
      <c r="F18" s="1">
        <f t="shared" si="5"/>
        <v>55.3675754186335</v>
      </c>
      <c r="G18" s="1">
        <f t="shared" si="2"/>
        <v>1361.902679986356</v>
      </c>
      <c r="H18" s="1">
        <f t="shared" si="2"/>
        <v>1402.7597603859465</v>
      </c>
      <c r="I18" s="1">
        <f t="shared" si="3"/>
        <v>40.857080399590586</v>
      </c>
      <c r="J18" s="1">
        <f t="shared" si="4"/>
        <v>96.22465581822408</v>
      </c>
    </row>
    <row r="19" spans="1:10" ht="12.75">
      <c r="A19" s="6">
        <f t="shared" si="6"/>
        <v>9</v>
      </c>
      <c r="B19" s="42">
        <v>100</v>
      </c>
      <c r="C19" s="10">
        <f t="shared" si="0"/>
        <v>1.4049973787853132</v>
      </c>
      <c r="D19" s="81">
        <f t="shared" si="1"/>
        <v>140.4997378785313</v>
      </c>
      <c r="F19" s="1">
        <f t="shared" si="5"/>
        <v>55.3675754186335</v>
      </c>
      <c r="G19" s="1">
        <f t="shared" si="2"/>
        <v>1402.7597603859465</v>
      </c>
      <c r="H19" s="1">
        <f t="shared" si="2"/>
        <v>1444.842553197525</v>
      </c>
      <c r="I19" s="1">
        <f t="shared" si="3"/>
        <v>42.08279281157843</v>
      </c>
      <c r="J19" s="1">
        <f t="shared" si="4"/>
        <v>97.45036823021192</v>
      </c>
    </row>
    <row r="20" spans="1:10" ht="12.75">
      <c r="A20" s="6">
        <f t="shared" si="6"/>
        <v>10</v>
      </c>
      <c r="B20" s="42">
        <v>100</v>
      </c>
      <c r="C20" s="10">
        <f t="shared" si="0"/>
        <v>1.3640751250342846</v>
      </c>
      <c r="D20" s="81">
        <f t="shared" si="1"/>
        <v>136.40751250342845</v>
      </c>
      <c r="F20" s="1">
        <f t="shared" si="5"/>
        <v>55.3675754186335</v>
      </c>
      <c r="G20" s="1">
        <f t="shared" si="2"/>
        <v>1444.842553197525</v>
      </c>
      <c r="H20" s="1">
        <f t="shared" si="2"/>
        <v>1488.1878297934506</v>
      </c>
      <c r="I20" s="1">
        <f t="shared" si="3"/>
        <v>43.345276595925725</v>
      </c>
      <c r="J20" s="1">
        <f t="shared" si="4"/>
        <v>98.71285201455922</v>
      </c>
    </row>
    <row r="21" spans="1:12" ht="12.75">
      <c r="A21" s="6">
        <f t="shared" si="6"/>
        <v>11</v>
      </c>
      <c r="B21" s="42">
        <v>100</v>
      </c>
      <c r="C21" s="10">
        <f aca="true" t="shared" si="7" ref="C21:C28">C22*1.03</f>
        <v>1.324344781586684</v>
      </c>
      <c r="D21" s="81">
        <f>B21*C21</f>
        <v>132.4344781586684</v>
      </c>
      <c r="F21" s="1">
        <f t="shared" si="5"/>
        <v>55.3675754186335</v>
      </c>
      <c r="G21" s="1">
        <f aca="true" t="shared" si="8" ref="G21:G28">G22*(1/1.03)</f>
        <v>1488.1878297934506</v>
      </c>
      <c r="H21" s="1">
        <f aca="true" t="shared" si="9" ref="H21:H29">H22*(1/1.03)</f>
        <v>1532.833464687254</v>
      </c>
      <c r="I21" s="1">
        <f>H21-G21</f>
        <v>44.64563489380339</v>
      </c>
      <c r="J21" s="1">
        <f aca="true" t="shared" si="10" ref="J21:J30">F21+I21</f>
        <v>100.01321031243688</v>
      </c>
      <c r="L21" s="12"/>
    </row>
    <row r="22" spans="1:12" ht="12.75">
      <c r="A22" s="6">
        <f t="shared" si="6"/>
        <v>12</v>
      </c>
      <c r="B22" s="42">
        <v>100</v>
      </c>
      <c r="C22" s="10">
        <f t="shared" si="7"/>
        <v>1.285771632608431</v>
      </c>
      <c r="D22" s="81">
        <f aca="true" t="shared" si="11" ref="D22:D30">B22*C22</f>
        <v>128.5771632608431</v>
      </c>
      <c r="F22" s="1">
        <f t="shared" si="5"/>
        <v>55.3675754186335</v>
      </c>
      <c r="G22" s="1">
        <f t="shared" si="8"/>
        <v>1532.833464687254</v>
      </c>
      <c r="H22" s="1">
        <f t="shared" si="9"/>
        <v>1578.8184686278717</v>
      </c>
      <c r="I22" s="1">
        <f aca="true" t="shared" si="12" ref="I22:I30">H22-G22</f>
        <v>45.98500394061762</v>
      </c>
      <c r="J22" s="1">
        <f t="shared" si="10"/>
        <v>101.35257935925111</v>
      </c>
      <c r="L22" s="12"/>
    </row>
    <row r="23" spans="1:12" ht="12.75">
      <c r="A23" s="6">
        <f t="shared" si="6"/>
        <v>13</v>
      </c>
      <c r="B23" s="42">
        <v>100</v>
      </c>
      <c r="C23" s="10">
        <f t="shared" si="7"/>
        <v>1.2483219734062436</v>
      </c>
      <c r="D23" s="81">
        <f t="shared" si="11"/>
        <v>124.83219734062436</v>
      </c>
      <c r="F23" s="1">
        <f t="shared" si="5"/>
        <v>55.3675754186335</v>
      </c>
      <c r="G23" s="1">
        <f t="shared" si="8"/>
        <v>1578.8184686278717</v>
      </c>
      <c r="H23" s="1">
        <f t="shared" si="9"/>
        <v>1626.1830226867078</v>
      </c>
      <c r="I23" s="1">
        <f t="shared" si="12"/>
        <v>47.36455405883612</v>
      </c>
      <c r="J23" s="1">
        <f t="shared" si="10"/>
        <v>102.73212947746961</v>
      </c>
      <c r="L23" s="12"/>
    </row>
    <row r="24" spans="1:12" ht="12.75">
      <c r="A24" s="6">
        <f t="shared" si="6"/>
        <v>14</v>
      </c>
      <c r="B24" s="42">
        <v>100</v>
      </c>
      <c r="C24" s="10">
        <f t="shared" si="7"/>
        <v>1.2119630809769355</v>
      </c>
      <c r="D24" s="81">
        <f t="shared" si="11"/>
        <v>121.19630809769355</v>
      </c>
      <c r="F24" s="1">
        <f t="shared" si="5"/>
        <v>55.3675754186335</v>
      </c>
      <c r="G24" s="1">
        <f t="shared" si="8"/>
        <v>1626.1830226867078</v>
      </c>
      <c r="H24" s="1">
        <f t="shared" si="9"/>
        <v>1674.968513367309</v>
      </c>
      <c r="I24" s="1">
        <f t="shared" si="12"/>
        <v>48.78549068060124</v>
      </c>
      <c r="J24" s="1">
        <f t="shared" si="10"/>
        <v>104.15306609923474</v>
      </c>
      <c r="L24" s="12"/>
    </row>
    <row r="25" spans="1:12" ht="12.75">
      <c r="A25" s="6">
        <f t="shared" si="6"/>
        <v>15</v>
      </c>
      <c r="B25" s="42">
        <v>100</v>
      </c>
      <c r="C25" s="10">
        <f t="shared" si="7"/>
        <v>1.1766631854145004</v>
      </c>
      <c r="D25" s="81">
        <f t="shared" si="11"/>
        <v>117.66631854145004</v>
      </c>
      <c r="F25" s="1">
        <f t="shared" si="5"/>
        <v>55.3675754186335</v>
      </c>
      <c r="G25" s="1">
        <f t="shared" si="8"/>
        <v>1674.968513367309</v>
      </c>
      <c r="H25" s="1">
        <f t="shared" si="9"/>
        <v>1725.2175687683282</v>
      </c>
      <c r="I25" s="1">
        <f t="shared" si="12"/>
        <v>50.24905540101918</v>
      </c>
      <c r="J25" s="1">
        <f t="shared" si="10"/>
        <v>105.61663081965267</v>
      </c>
      <c r="L25" s="12"/>
    </row>
    <row r="26" spans="1:12" ht="12.75">
      <c r="A26" s="6">
        <f t="shared" si="6"/>
        <v>16</v>
      </c>
      <c r="B26" s="42">
        <v>100</v>
      </c>
      <c r="C26" s="10">
        <f t="shared" si="7"/>
        <v>1.1423914421500003</v>
      </c>
      <c r="D26" s="81">
        <f t="shared" si="11"/>
        <v>114.23914421500004</v>
      </c>
      <c r="F26" s="1">
        <f t="shared" si="5"/>
        <v>55.3675754186335</v>
      </c>
      <c r="G26" s="1">
        <f t="shared" si="8"/>
        <v>1725.2175687683282</v>
      </c>
      <c r="H26" s="1">
        <f t="shared" si="9"/>
        <v>1776.974095831378</v>
      </c>
      <c r="I26" s="1">
        <f t="shared" si="12"/>
        <v>51.756527063049816</v>
      </c>
      <c r="J26" s="1">
        <f t="shared" si="10"/>
        <v>107.12410248168331</v>
      </c>
      <c r="L26" s="12"/>
    </row>
    <row r="27" spans="1:12" ht="12.75">
      <c r="A27" s="6">
        <f t="shared" si="6"/>
        <v>17</v>
      </c>
      <c r="B27" s="42">
        <v>100</v>
      </c>
      <c r="C27" s="10">
        <f t="shared" si="7"/>
        <v>1.1091179050000002</v>
      </c>
      <c r="D27" s="81">
        <f t="shared" si="11"/>
        <v>110.91179050000002</v>
      </c>
      <c r="F27" s="1">
        <f t="shared" si="5"/>
        <v>55.3675754186335</v>
      </c>
      <c r="G27" s="1">
        <f t="shared" si="8"/>
        <v>1776.974095831378</v>
      </c>
      <c r="H27" s="1">
        <f t="shared" si="9"/>
        <v>1830.2833187063193</v>
      </c>
      <c r="I27" s="1">
        <f t="shared" si="12"/>
        <v>53.30922287494127</v>
      </c>
      <c r="J27" s="1">
        <f t="shared" si="10"/>
        <v>108.67679829357476</v>
      </c>
      <c r="L27" s="12"/>
    </row>
    <row r="28" spans="1:12" ht="12.75">
      <c r="A28" s="6">
        <f t="shared" si="6"/>
        <v>18</v>
      </c>
      <c r="B28" s="42">
        <v>100</v>
      </c>
      <c r="C28" s="10">
        <f t="shared" si="7"/>
        <v>1.0768135</v>
      </c>
      <c r="D28" s="81">
        <f t="shared" si="11"/>
        <v>107.68135000000001</v>
      </c>
      <c r="F28" s="1">
        <f t="shared" si="5"/>
        <v>55.3675754186335</v>
      </c>
      <c r="G28" s="1">
        <f t="shared" si="8"/>
        <v>1830.2833187063193</v>
      </c>
      <c r="H28" s="1">
        <f t="shared" si="9"/>
        <v>1885.1918182675088</v>
      </c>
      <c r="I28" s="1">
        <f t="shared" si="12"/>
        <v>54.9084995611895</v>
      </c>
      <c r="J28" s="1">
        <f t="shared" si="10"/>
        <v>110.276074979823</v>
      </c>
      <c r="L28" s="12"/>
    </row>
    <row r="29" spans="1:12" ht="12.75">
      <c r="A29" s="6">
        <f t="shared" si="6"/>
        <v>19</v>
      </c>
      <c r="B29" s="42">
        <v>100</v>
      </c>
      <c r="C29" s="10">
        <f>C30*1.03</f>
        <v>1.04545</v>
      </c>
      <c r="D29" s="81">
        <f t="shared" si="11"/>
        <v>104.545</v>
      </c>
      <c r="F29" s="1">
        <f t="shared" si="5"/>
        <v>55.3675754186335</v>
      </c>
      <c r="G29" s="1">
        <f>G30*(1/1.03)</f>
        <v>1885.1918182675088</v>
      </c>
      <c r="H29" s="1">
        <f t="shared" si="9"/>
        <v>1941.747572815534</v>
      </c>
      <c r="I29" s="1">
        <f t="shared" si="12"/>
        <v>56.555754548025334</v>
      </c>
      <c r="J29" s="1">
        <f t="shared" si="10"/>
        <v>111.92332996665883</v>
      </c>
      <c r="L29" s="12"/>
    </row>
    <row r="30" spans="1:12" ht="12.75">
      <c r="A30" s="6">
        <f t="shared" si="6"/>
        <v>20</v>
      </c>
      <c r="B30" s="80">
        <v>100</v>
      </c>
      <c r="C30" s="10">
        <f>1*1.015</f>
        <v>1.015</v>
      </c>
      <c r="D30" s="82">
        <f t="shared" si="11"/>
        <v>101.49999999999999</v>
      </c>
      <c r="F30" s="1">
        <f t="shared" si="5"/>
        <v>55.3675754186335</v>
      </c>
      <c r="G30" s="1">
        <f>2000*(1/1.03)</f>
        <v>1941.747572815534</v>
      </c>
      <c r="H30" s="1">
        <v>2000</v>
      </c>
      <c r="I30" s="1">
        <f t="shared" si="12"/>
        <v>58.25242718446589</v>
      </c>
      <c r="J30" s="1">
        <f t="shared" si="10"/>
        <v>113.62000260309938</v>
      </c>
      <c r="L30" s="12"/>
    </row>
    <row r="31" spans="1:10" ht="12.75">
      <c r="A31" s="6">
        <f t="shared" si="6"/>
        <v>21</v>
      </c>
      <c r="B31" s="2">
        <f>+SUM(B11:B30)</f>
        <v>2000</v>
      </c>
      <c r="C31" s="2"/>
      <c r="D31" s="2">
        <f>+SUM(D11:D30)</f>
        <v>2727.343010631518</v>
      </c>
      <c r="F31" s="2">
        <f>+SUM(F11:F30)</f>
        <v>1107.35150837267</v>
      </c>
      <c r="G31" s="2"/>
      <c r="H31" s="2"/>
      <c r="I31" s="2">
        <f>+SUM(I11:I30)</f>
        <v>892.64849162733</v>
      </c>
      <c r="J31" s="2">
        <f>+SUM(J11:J30)</f>
        <v>2000.0000000000005</v>
      </c>
    </row>
    <row r="32" ht="12.75">
      <c r="A32" s="6"/>
    </row>
  </sheetData>
  <sheetProtection/>
  <mergeCells count="2">
    <mergeCell ref="B7:C7"/>
    <mergeCell ref="G7:H7"/>
  </mergeCells>
  <printOptions/>
  <pageMargins left="0.75" right="0.75" top="1" bottom="1" header="0.5" footer="0.5"/>
  <pageSetup fitToHeight="0" fitToWidth="1" horizontalDpi="600" verticalDpi="600" orientation="portrait" scale="91" r:id="rId1"/>
  <headerFooter alignWithMargins="0">
    <oddHeader>&amp;RDockets No. UE-080416 and UG-080417
Exhibit No.___(CWK-4)
Schedule 3
Page 3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view="pageLayout" workbookViewId="0" topLeftCell="A1">
      <selection activeCell="F17" sqref="F17"/>
    </sheetView>
  </sheetViews>
  <sheetFormatPr defaultColWidth="9.140625" defaultRowHeight="12.75"/>
  <cols>
    <col min="1" max="1" width="9.140625" style="29" customWidth="1"/>
    <col min="2" max="2" width="44.28125" style="29" bestFit="1" customWidth="1"/>
    <col min="3" max="3" width="17.7109375" style="29" bestFit="1" customWidth="1"/>
    <col min="4" max="4" width="12.421875" style="29" customWidth="1"/>
    <col min="5" max="5" width="7.57421875" style="29" customWidth="1"/>
    <col min="6" max="7" width="9.140625" style="29" customWidth="1"/>
    <col min="8" max="8" width="12.8515625" style="29" bestFit="1" customWidth="1"/>
    <col min="9" max="9" width="11.28125" style="29" bestFit="1" customWidth="1"/>
    <col min="10" max="10" width="9.7109375" style="29" bestFit="1" customWidth="1"/>
    <col min="11" max="11" width="9.28125" style="29" bestFit="1" customWidth="1"/>
    <col min="12" max="16384" width="9.140625" style="29" customWidth="1"/>
  </cols>
  <sheetData>
    <row r="1" spans="1:12" ht="15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5.75">
      <c r="A2" s="102" t="s">
        <v>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.75">
      <c r="A3" s="102" t="s">
        <v>45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5" spans="3:12" ht="12.75">
      <c r="C5" s="30" t="s">
        <v>13</v>
      </c>
      <c r="D5" s="30" t="s">
        <v>14</v>
      </c>
      <c r="E5" s="30" t="s">
        <v>137</v>
      </c>
      <c r="F5" s="30" t="s">
        <v>16</v>
      </c>
      <c r="G5" s="30" t="s">
        <v>17</v>
      </c>
      <c r="H5" s="30" t="s">
        <v>18</v>
      </c>
      <c r="I5" s="30" t="s">
        <v>19</v>
      </c>
      <c r="J5" s="30" t="s">
        <v>148</v>
      </c>
      <c r="K5" s="30" t="s">
        <v>151</v>
      </c>
      <c r="L5" s="30" t="s">
        <v>152</v>
      </c>
    </row>
    <row r="6" spans="5:6" ht="12.75">
      <c r="E6" s="30"/>
      <c r="F6" s="30"/>
    </row>
    <row r="7" spans="1:12" ht="12.75">
      <c r="A7" s="30"/>
      <c r="B7" s="30"/>
      <c r="C7" s="31" t="s">
        <v>68</v>
      </c>
      <c r="D7" s="31" t="s">
        <v>69</v>
      </c>
      <c r="E7" s="30" t="s">
        <v>22</v>
      </c>
      <c r="F7" s="30" t="s">
        <v>70</v>
      </c>
      <c r="G7" s="30" t="s">
        <v>71</v>
      </c>
      <c r="H7" s="30" t="s">
        <v>72</v>
      </c>
      <c r="I7" s="30" t="s">
        <v>5</v>
      </c>
      <c r="J7" s="30" t="s">
        <v>75</v>
      </c>
      <c r="K7" s="30" t="s">
        <v>10</v>
      </c>
      <c r="L7" s="30" t="s">
        <v>21</v>
      </c>
    </row>
    <row r="8" spans="1:12" ht="12.75">
      <c r="A8" s="30"/>
      <c r="B8" s="30" t="s">
        <v>46</v>
      </c>
      <c r="C8" s="30" t="s">
        <v>47</v>
      </c>
      <c r="D8" s="30" t="s">
        <v>2</v>
      </c>
      <c r="E8" s="30" t="s">
        <v>27</v>
      </c>
      <c r="F8" s="30" t="s">
        <v>30</v>
      </c>
      <c r="G8" s="30" t="s">
        <v>30</v>
      </c>
      <c r="H8" s="30" t="s">
        <v>21</v>
      </c>
      <c r="I8" s="30" t="s">
        <v>74</v>
      </c>
      <c r="J8" s="30" t="s">
        <v>4</v>
      </c>
      <c r="K8" s="30" t="s">
        <v>26</v>
      </c>
      <c r="L8" s="30" t="s">
        <v>26</v>
      </c>
    </row>
    <row r="9" spans="1:12" ht="12.75">
      <c r="A9" s="30"/>
      <c r="B9" s="30"/>
      <c r="C9" s="30"/>
      <c r="D9" s="30" t="s">
        <v>73</v>
      </c>
      <c r="E9" s="30" t="s">
        <v>30</v>
      </c>
      <c r="F9" s="30"/>
      <c r="H9" s="30" t="s">
        <v>26</v>
      </c>
      <c r="I9" s="30" t="s">
        <v>26</v>
      </c>
      <c r="J9" s="30" t="s">
        <v>10</v>
      </c>
      <c r="K9" s="30"/>
      <c r="L9" s="30" t="s">
        <v>29</v>
      </c>
    </row>
    <row r="10" spans="1:11" ht="12.75">
      <c r="A10" s="40" t="s">
        <v>56</v>
      </c>
      <c r="B10" s="15"/>
      <c r="C10" s="16"/>
      <c r="D10" s="16"/>
      <c r="E10" s="24"/>
      <c r="F10" s="33"/>
      <c r="H10" s="48" t="s">
        <v>76</v>
      </c>
      <c r="J10" s="30" t="s">
        <v>48</v>
      </c>
      <c r="K10" s="30"/>
    </row>
    <row r="11" spans="1:6" ht="12.75">
      <c r="A11" s="14"/>
      <c r="B11" s="15"/>
      <c r="C11" s="16"/>
      <c r="D11" s="16"/>
      <c r="E11" s="24"/>
      <c r="F11" s="33"/>
    </row>
    <row r="12" spans="1:6" ht="12.75">
      <c r="A12" s="14"/>
      <c r="B12" s="18" t="s">
        <v>32</v>
      </c>
      <c r="C12" s="16"/>
      <c r="D12" s="16"/>
      <c r="E12" s="24"/>
      <c r="F12" s="33"/>
    </row>
    <row r="13" spans="1:6" ht="12.75">
      <c r="A13" s="14"/>
      <c r="B13" s="18"/>
      <c r="C13" s="16"/>
      <c r="D13" s="16"/>
      <c r="E13" s="24"/>
      <c r="F13" s="33"/>
    </row>
    <row r="14" spans="1:6" ht="12.75">
      <c r="A14" s="17">
        <v>350.3</v>
      </c>
      <c r="B14" t="s">
        <v>111</v>
      </c>
      <c r="C14" s="66">
        <v>1486031.92</v>
      </c>
      <c r="D14" s="16"/>
      <c r="E14" s="24"/>
      <c r="F14" s="33"/>
    </row>
    <row r="15" spans="1:6" ht="12.75">
      <c r="A15" s="17">
        <v>350.4</v>
      </c>
      <c r="B15" s="67" t="s">
        <v>112</v>
      </c>
      <c r="C15" s="66">
        <v>8444339.7</v>
      </c>
      <c r="D15" s="19"/>
      <c r="E15" s="24"/>
      <c r="F15" s="33"/>
    </row>
    <row r="16" spans="1:12" ht="12.75">
      <c r="A16" s="17">
        <v>352</v>
      </c>
      <c r="B16" s="67" t="s">
        <v>59</v>
      </c>
      <c r="C16" s="66">
        <v>10923252.99</v>
      </c>
      <c r="D16" s="83">
        <f>+C16*0.05</f>
        <v>546162.6495</v>
      </c>
      <c r="E16" s="71">
        <v>60</v>
      </c>
      <c r="F16" s="46">
        <v>48.6</v>
      </c>
      <c r="G16" s="47">
        <f>E16-F16</f>
        <v>11.399999999999999</v>
      </c>
      <c r="H16" s="32">
        <f>D16*1.03^1/G16</f>
        <v>49346.27447236844</v>
      </c>
      <c r="I16" s="32">
        <f>+H16/E16</f>
        <v>822.4379078728073</v>
      </c>
      <c r="J16" s="49">
        <f>(1.03^(1/G16)-1.03^(1/(G16-1)))*-1</f>
        <v>0.0002499935782847018</v>
      </c>
      <c r="K16" s="32">
        <f>D16*J16</f>
        <v>136.53715507395842</v>
      </c>
      <c r="L16" s="50">
        <f>+I16+K16</f>
        <v>958.9750629467657</v>
      </c>
    </row>
    <row r="17" spans="1:12" ht="12.75">
      <c r="A17" s="17">
        <v>353</v>
      </c>
      <c r="B17" s="21" t="s">
        <v>33</v>
      </c>
      <c r="C17" s="92">
        <v>135782917.57</v>
      </c>
      <c r="D17" s="34">
        <f>'Sch 2'!E13</f>
        <v>20367437.6355</v>
      </c>
      <c r="E17" s="6">
        <v>47</v>
      </c>
      <c r="F17" s="46">
        <v>33.6</v>
      </c>
      <c r="G17" s="47">
        <f>E17-F17</f>
        <v>13.399999999999999</v>
      </c>
      <c r="H17" s="32">
        <f>D17*1.03^1/G17</f>
        <v>1565556.773475</v>
      </c>
      <c r="I17" s="32">
        <f>+H17/E17</f>
        <v>33309.71858457447</v>
      </c>
      <c r="J17" s="49">
        <f>(1.03^(1/G17)-1.03^(1/(G17-1)))*-1</f>
        <v>0.00017830231419257991</v>
      </c>
      <c r="K17" s="32">
        <f>D17*J17</f>
        <v>3631.5612645826977</v>
      </c>
      <c r="L17" s="50">
        <f>+I17+K17</f>
        <v>36941.27984915717</v>
      </c>
    </row>
    <row r="18" spans="1:12" ht="12.75">
      <c r="A18" s="17">
        <v>354</v>
      </c>
      <c r="B18" s="21" t="s">
        <v>34</v>
      </c>
      <c r="C18" s="34">
        <v>17069239.13</v>
      </c>
      <c r="D18" s="34">
        <f>'Sch 2'!E14</f>
        <v>3413847.826</v>
      </c>
      <c r="E18" s="6">
        <v>70</v>
      </c>
      <c r="F18" s="46">
        <v>47.5</v>
      </c>
      <c r="G18" s="47">
        <f>E18-F18</f>
        <v>22.5</v>
      </c>
      <c r="H18" s="32">
        <f aca="true" t="shared" si="0" ref="H18:H62">D18*1.03^1/G18</f>
        <v>156278.3671457778</v>
      </c>
      <c r="I18" s="32">
        <f aca="true" t="shared" si="1" ref="I18:I62">+H18/E18</f>
        <v>2232.54810208254</v>
      </c>
      <c r="J18" s="49">
        <f aca="true" t="shared" si="2" ref="J18:J62">(1.03^(1/G18)-1.03^(1/(G18-1)))*-1</f>
        <v>6.118566235113754E-05</v>
      </c>
      <c r="K18" s="32">
        <f aca="true" t="shared" si="3" ref="K18:K62">D18*J18</f>
        <v>208.87854039980093</v>
      </c>
      <c r="L18" s="50">
        <f aca="true" t="shared" si="4" ref="L18:L62">+I18+K18</f>
        <v>2441.426642482341</v>
      </c>
    </row>
    <row r="19" spans="1:12" ht="12.75">
      <c r="A19" s="17">
        <v>355</v>
      </c>
      <c r="B19" s="21" t="s">
        <v>35</v>
      </c>
      <c r="C19" s="34">
        <v>89425620.7</v>
      </c>
      <c r="D19" s="34">
        <f>'Sch 2'!E15</f>
        <v>26827686.21</v>
      </c>
      <c r="E19" s="6">
        <v>60</v>
      </c>
      <c r="F19" s="46">
        <v>47.7</v>
      </c>
      <c r="G19" s="47">
        <f>E19-F19</f>
        <v>12.299999999999997</v>
      </c>
      <c r="H19" s="32">
        <f t="shared" si="0"/>
        <v>2246546.0810000007</v>
      </c>
      <c r="I19" s="32">
        <f t="shared" si="1"/>
        <v>37442.43468333335</v>
      </c>
      <c r="J19" s="49">
        <f t="shared" si="2"/>
        <v>0.00021320291341897502</v>
      </c>
      <c r="K19" s="32">
        <f t="shared" si="3"/>
        <v>5719.74086026206</v>
      </c>
      <c r="L19" s="50">
        <f t="shared" si="4"/>
        <v>43162.17554359541</v>
      </c>
    </row>
    <row r="20" spans="1:12" ht="12.75">
      <c r="A20" s="17">
        <v>356</v>
      </c>
      <c r="B20" s="21" t="s">
        <v>36</v>
      </c>
      <c r="C20" s="34">
        <v>68173980.15</v>
      </c>
      <c r="D20" s="34">
        <f>'Sch 2'!E16</f>
        <v>17043495.0375</v>
      </c>
      <c r="E20" s="6">
        <v>60</v>
      </c>
      <c r="F20" s="46">
        <v>37.9</v>
      </c>
      <c r="G20" s="47">
        <f>E20-F20</f>
        <v>22.1</v>
      </c>
      <c r="H20" s="32">
        <f t="shared" si="0"/>
        <v>794334.8365893667</v>
      </c>
      <c r="I20" s="32">
        <f t="shared" si="1"/>
        <v>13238.91394315611</v>
      </c>
      <c r="J20" s="49">
        <f t="shared" si="2"/>
        <v>6.347558873187609E-05</v>
      </c>
      <c r="K20" s="32">
        <f t="shared" si="3"/>
        <v>1081.8458815541212</v>
      </c>
      <c r="L20" s="50">
        <f t="shared" si="4"/>
        <v>14320.759824710232</v>
      </c>
    </row>
    <row r="21" spans="1:12" ht="12.75">
      <c r="A21" s="17">
        <v>357</v>
      </c>
      <c r="B21" s="21" t="s">
        <v>113</v>
      </c>
      <c r="C21" s="34">
        <v>561147.87</v>
      </c>
      <c r="D21" s="34"/>
      <c r="E21" s="6"/>
      <c r="F21" s="46"/>
      <c r="G21" s="47"/>
      <c r="H21" s="32"/>
      <c r="I21" s="32"/>
      <c r="J21" s="49"/>
      <c r="K21" s="32"/>
      <c r="L21" s="50"/>
    </row>
    <row r="22" spans="1:12" ht="12.75">
      <c r="A22" s="17">
        <v>358</v>
      </c>
      <c r="B22" s="21" t="s">
        <v>114</v>
      </c>
      <c r="C22" s="34">
        <v>1317910.34</v>
      </c>
      <c r="D22" s="34"/>
      <c r="E22" s="6"/>
      <c r="F22" s="46"/>
      <c r="G22" s="47"/>
      <c r="H22" s="32"/>
      <c r="I22" s="32"/>
      <c r="J22" s="49"/>
      <c r="K22" s="32"/>
      <c r="L22" s="50"/>
    </row>
    <row r="23" spans="1:12" ht="12.75">
      <c r="A23" s="17">
        <v>359</v>
      </c>
      <c r="B23" s="21" t="s">
        <v>115</v>
      </c>
      <c r="C23" s="34">
        <v>1826844</v>
      </c>
      <c r="D23" s="34"/>
      <c r="E23" s="6"/>
      <c r="F23" s="46"/>
      <c r="G23" s="47"/>
      <c r="H23" s="32"/>
      <c r="I23" s="32"/>
      <c r="J23" s="49"/>
      <c r="K23" s="32"/>
      <c r="L23" s="50"/>
    </row>
    <row r="24" spans="1:12" ht="12.75">
      <c r="A24" s="17"/>
      <c r="B24" s="21"/>
      <c r="C24" s="34"/>
      <c r="D24" s="34">
        <f>'Sch 2'!E17</f>
        <v>0</v>
      </c>
      <c r="E24" s="6"/>
      <c r="F24" s="46"/>
      <c r="H24" s="32"/>
      <c r="I24" s="32"/>
      <c r="J24" s="49"/>
      <c r="K24" s="32"/>
      <c r="L24" s="50"/>
    </row>
    <row r="25" spans="1:12" ht="12.75">
      <c r="A25" s="17"/>
      <c r="B25" s="22" t="s">
        <v>52</v>
      </c>
      <c r="C25" s="35">
        <f>+SUM(C14:C23)</f>
        <v>335011284.36999995</v>
      </c>
      <c r="D25" s="35">
        <f>'Sch 2'!E18</f>
        <v>68198629.3585</v>
      </c>
      <c r="E25" s="6"/>
      <c r="F25" s="46"/>
      <c r="H25" s="32"/>
      <c r="I25" s="32"/>
      <c r="J25" s="49"/>
      <c r="K25" s="32"/>
      <c r="L25" s="50"/>
    </row>
    <row r="26" spans="1:12" ht="12.75">
      <c r="A26" s="17"/>
      <c r="B26" s="22"/>
      <c r="C26" s="36"/>
      <c r="D26" s="36">
        <f>'Sch 2'!E19</f>
        <v>0</v>
      </c>
      <c r="E26" s="6"/>
      <c r="F26" s="46"/>
      <c r="H26" s="32"/>
      <c r="I26" s="32"/>
      <c r="J26" s="49"/>
      <c r="K26" s="32"/>
      <c r="L26" s="50"/>
    </row>
    <row r="27" spans="1:12" ht="12.75">
      <c r="A27" s="17"/>
      <c r="B27" s="21"/>
      <c r="C27" s="36"/>
      <c r="D27" s="36">
        <f>'Sch 2'!E20</f>
        <v>0</v>
      </c>
      <c r="E27" s="6"/>
      <c r="F27" s="46"/>
      <c r="H27" s="32"/>
      <c r="I27" s="32"/>
      <c r="J27" s="49"/>
      <c r="K27" s="32"/>
      <c r="L27" s="50"/>
    </row>
    <row r="28" spans="1:12" ht="12.75">
      <c r="A28" s="17"/>
      <c r="B28" s="18" t="s">
        <v>38</v>
      </c>
      <c r="C28" s="36"/>
      <c r="D28" s="36">
        <f>'Sch 2'!E21</f>
        <v>0</v>
      </c>
      <c r="E28" s="6"/>
      <c r="F28" s="46"/>
      <c r="H28" s="32"/>
      <c r="I28" s="32"/>
      <c r="J28" s="49"/>
      <c r="K28" s="32"/>
      <c r="L28" s="50"/>
    </row>
    <row r="29" spans="1:12" ht="12.75">
      <c r="A29" s="17"/>
      <c r="B29" s="20"/>
      <c r="C29" s="36"/>
      <c r="D29" s="36">
        <f>'Sch 2'!E22</f>
        <v>0</v>
      </c>
      <c r="E29" s="6"/>
      <c r="F29" s="46"/>
      <c r="H29" s="32"/>
      <c r="I29" s="32"/>
      <c r="J29" s="49"/>
      <c r="K29" s="32"/>
      <c r="L29" s="50"/>
    </row>
    <row r="30" spans="1:12" ht="12.75">
      <c r="A30" s="17">
        <v>361</v>
      </c>
      <c r="B30" s="21" t="s">
        <v>49</v>
      </c>
      <c r="C30" s="36">
        <v>10243069.11</v>
      </c>
      <c r="D30" s="36">
        <f>'Sch 2'!E23</f>
        <v>1024306.911</v>
      </c>
      <c r="E30" s="6">
        <v>55</v>
      </c>
      <c r="F30" s="46">
        <v>40.8</v>
      </c>
      <c r="G30" s="47">
        <f aca="true" t="shared" si="5" ref="G30:G44">E30-F30</f>
        <v>14.200000000000003</v>
      </c>
      <c r="H30" s="32">
        <f t="shared" si="0"/>
        <v>74298.3181922535</v>
      </c>
      <c r="I30" s="32">
        <f t="shared" si="1"/>
        <v>1350.8785125864272</v>
      </c>
      <c r="J30" s="49">
        <f t="shared" si="2"/>
        <v>0.00015803847499440415</v>
      </c>
      <c r="K30" s="32">
        <f t="shared" si="3"/>
        <v>161.87990214066886</v>
      </c>
      <c r="L30" s="50">
        <f t="shared" si="4"/>
        <v>1512.7584147270961</v>
      </c>
    </row>
    <row r="31" spans="1:12" ht="12.75">
      <c r="A31" s="17">
        <v>362</v>
      </c>
      <c r="B31" s="21" t="s">
        <v>33</v>
      </c>
      <c r="C31" s="36">
        <v>71839160.77</v>
      </c>
      <c r="D31" s="36">
        <f>'Sch 2'!E24</f>
        <v>7183916.077</v>
      </c>
      <c r="E31" s="6">
        <v>42</v>
      </c>
      <c r="F31" s="46">
        <v>30.1</v>
      </c>
      <c r="G31" s="47">
        <f t="shared" si="5"/>
        <v>11.899999999999999</v>
      </c>
      <c r="H31" s="32">
        <f t="shared" si="0"/>
        <v>621801.1394378152</v>
      </c>
      <c r="I31" s="32">
        <f t="shared" si="1"/>
        <v>14804.789034233694</v>
      </c>
      <c r="J31" s="49">
        <f t="shared" si="2"/>
        <v>0.0002284765415638823</v>
      </c>
      <c r="K31" s="32">
        <f t="shared" si="3"/>
        <v>1641.3563001581326</v>
      </c>
      <c r="L31" s="50">
        <f t="shared" si="4"/>
        <v>16446.145334391826</v>
      </c>
    </row>
    <row r="32" spans="1:12" ht="12.75">
      <c r="A32" s="17">
        <v>364</v>
      </c>
      <c r="B32" s="21" t="s">
        <v>39</v>
      </c>
      <c r="C32" s="36">
        <v>161910621.25</v>
      </c>
      <c r="D32" s="36">
        <f>'Sch 2'!E25</f>
        <v>40477655.3125</v>
      </c>
      <c r="E32" s="6">
        <v>50</v>
      </c>
      <c r="F32" s="46">
        <v>35.6</v>
      </c>
      <c r="G32" s="47">
        <f t="shared" si="5"/>
        <v>14.399999999999999</v>
      </c>
      <c r="H32" s="32">
        <f t="shared" si="0"/>
        <v>2895276.734157987</v>
      </c>
      <c r="I32" s="32">
        <f t="shared" si="1"/>
        <v>57905.53468315974</v>
      </c>
      <c r="J32" s="49">
        <f t="shared" si="2"/>
        <v>0.00015351268925911654</v>
      </c>
      <c r="K32" s="32">
        <f t="shared" si="3"/>
        <v>6213.83372192544</v>
      </c>
      <c r="L32" s="50">
        <f t="shared" si="4"/>
        <v>64119.36840508518</v>
      </c>
    </row>
    <row r="33" spans="1:12" ht="12.75">
      <c r="A33" s="17">
        <v>365</v>
      </c>
      <c r="B33" s="21" t="s">
        <v>36</v>
      </c>
      <c r="C33" s="36">
        <v>108829175.14</v>
      </c>
      <c r="D33" s="36">
        <f>'Sch 2'!E26</f>
        <v>16324376.271</v>
      </c>
      <c r="E33" s="6">
        <v>50</v>
      </c>
      <c r="F33" s="46">
        <v>34.7</v>
      </c>
      <c r="G33" s="47">
        <f t="shared" si="5"/>
        <v>15.299999999999997</v>
      </c>
      <c r="H33" s="32">
        <f t="shared" si="0"/>
        <v>1098961.2783745101</v>
      </c>
      <c r="I33" s="32">
        <f t="shared" si="1"/>
        <v>21979.2255674902</v>
      </c>
      <c r="J33" s="49">
        <f t="shared" si="2"/>
        <v>0.00013537165396804163</v>
      </c>
      <c r="K33" s="32">
        <f t="shared" si="3"/>
        <v>2209.857815801922</v>
      </c>
      <c r="L33" s="50">
        <f t="shared" si="4"/>
        <v>24189.083383292123</v>
      </c>
    </row>
    <row r="34" spans="1:12" ht="12.75">
      <c r="A34" s="17">
        <v>366</v>
      </c>
      <c r="B34" s="21" t="s">
        <v>40</v>
      </c>
      <c r="C34" s="36">
        <v>54575634.67</v>
      </c>
      <c r="D34" s="36">
        <f>'Sch 2'!E27</f>
        <v>5457563.467</v>
      </c>
      <c r="E34" s="6">
        <v>45</v>
      </c>
      <c r="F34" s="46">
        <v>34.4</v>
      </c>
      <c r="G34" s="47">
        <f t="shared" si="5"/>
        <v>10.600000000000001</v>
      </c>
      <c r="H34" s="32">
        <f t="shared" si="0"/>
        <v>530310.4123594338</v>
      </c>
      <c r="I34" s="32">
        <f t="shared" si="1"/>
        <v>11784.67583020964</v>
      </c>
      <c r="J34" s="49">
        <f t="shared" si="2"/>
        <v>0.00029132910194662465</v>
      </c>
      <c r="K34" s="32">
        <f t="shared" si="3"/>
        <v>1589.9470636578174</v>
      </c>
      <c r="L34" s="50">
        <f t="shared" si="4"/>
        <v>13374.622893867458</v>
      </c>
    </row>
    <row r="35" spans="1:12" ht="12.75">
      <c r="A35" s="17">
        <v>367</v>
      </c>
      <c r="B35" s="21" t="s">
        <v>37</v>
      </c>
      <c r="C35" s="36">
        <v>86696938.47</v>
      </c>
      <c r="D35" s="36">
        <f>'Sch 2'!E28</f>
        <v>13004540.770499999</v>
      </c>
      <c r="E35" s="6">
        <v>28</v>
      </c>
      <c r="F35" s="46">
        <v>16.2</v>
      </c>
      <c r="G35" s="47">
        <f t="shared" si="5"/>
        <v>11.8</v>
      </c>
      <c r="H35" s="32">
        <f t="shared" si="0"/>
        <v>1135142.118102966</v>
      </c>
      <c r="I35" s="32">
        <f t="shared" si="1"/>
        <v>40540.78993224879</v>
      </c>
      <c r="J35" s="49">
        <f t="shared" si="2"/>
        <v>0.0002325516023515828</v>
      </c>
      <c r="K35" s="32">
        <f t="shared" si="3"/>
        <v>3024.226794026262</v>
      </c>
      <c r="L35" s="50">
        <f t="shared" si="4"/>
        <v>43565.01672627505</v>
      </c>
    </row>
    <row r="36" spans="1:12" ht="12.75">
      <c r="A36" s="17">
        <v>368</v>
      </c>
      <c r="B36" s="21" t="s">
        <v>41</v>
      </c>
      <c r="C36" s="36">
        <v>125446341.5</v>
      </c>
      <c r="D36" s="36">
        <f>'Sch 2'!E29</f>
        <v>6272317.075</v>
      </c>
      <c r="E36" s="6">
        <v>44</v>
      </c>
      <c r="F36" s="46">
        <v>32.1</v>
      </c>
      <c r="G36" s="47">
        <f t="shared" si="5"/>
        <v>11.899999999999999</v>
      </c>
      <c r="H36" s="32">
        <f t="shared" si="0"/>
        <v>542898.0325420169</v>
      </c>
      <c r="I36" s="32">
        <f t="shared" si="1"/>
        <v>12338.591648682203</v>
      </c>
      <c r="J36" s="49">
        <f t="shared" si="2"/>
        <v>0.0002284765415638823</v>
      </c>
      <c r="K36" s="32">
        <f t="shared" si="3"/>
        <v>1433.0773128880862</v>
      </c>
      <c r="L36" s="50">
        <f t="shared" si="4"/>
        <v>13771.668961570289</v>
      </c>
    </row>
    <row r="37" spans="1:12" ht="12.75">
      <c r="A37" s="17">
        <v>369.1</v>
      </c>
      <c r="B37" s="21" t="s">
        <v>121</v>
      </c>
      <c r="C37" s="36">
        <v>40429723.5</v>
      </c>
      <c r="D37" s="36">
        <f>+C37*0.25</f>
        <v>10107430.875</v>
      </c>
      <c r="E37" s="6">
        <v>60</v>
      </c>
      <c r="F37" s="46">
        <v>45.4</v>
      </c>
      <c r="G37" s="47">
        <f t="shared" si="5"/>
        <v>14.600000000000001</v>
      </c>
      <c r="H37" s="32">
        <f t="shared" si="0"/>
        <v>713058.4795376711</v>
      </c>
      <c r="I37" s="32">
        <f t="shared" si="1"/>
        <v>11884.307992294518</v>
      </c>
      <c r="J37" s="49">
        <f t="shared" si="2"/>
        <v>0.00014917864426289285</v>
      </c>
      <c r="K37" s="32">
        <f t="shared" si="3"/>
        <v>1507.8128349134047</v>
      </c>
      <c r="L37" s="50">
        <f t="shared" si="4"/>
        <v>13392.120827207922</v>
      </c>
    </row>
    <row r="38" spans="1:12" ht="12.75">
      <c r="A38" s="17">
        <v>369.2</v>
      </c>
      <c r="B38" s="21" t="s">
        <v>122</v>
      </c>
      <c r="C38" s="36">
        <v>993814.81</v>
      </c>
      <c r="D38" s="36">
        <f>+C38*0.25</f>
        <v>248453.7025</v>
      </c>
      <c r="E38" s="6">
        <v>60</v>
      </c>
      <c r="F38" s="46">
        <v>47.7</v>
      </c>
      <c r="G38" s="47">
        <f t="shared" si="5"/>
        <v>12.299999999999997</v>
      </c>
      <c r="H38" s="32">
        <f t="shared" si="0"/>
        <v>20805.47264837399</v>
      </c>
      <c r="I38" s="32">
        <f t="shared" si="1"/>
        <v>346.75787747289985</v>
      </c>
      <c r="J38" s="49">
        <f t="shared" si="2"/>
        <v>0.00021320291341897502</v>
      </c>
      <c r="K38" s="32">
        <f t="shared" si="3"/>
        <v>52.97105322273128</v>
      </c>
      <c r="L38" s="50">
        <f t="shared" si="4"/>
        <v>399.7289306956311</v>
      </c>
    </row>
    <row r="39" spans="1:12" ht="12.75">
      <c r="A39" s="17">
        <v>369</v>
      </c>
      <c r="B39" s="21" t="s">
        <v>123</v>
      </c>
      <c r="C39" s="36">
        <v>48839177.57</v>
      </c>
      <c r="D39" s="36">
        <f>+C39*0.25</f>
        <v>12209794.3925</v>
      </c>
      <c r="E39" s="6">
        <v>60</v>
      </c>
      <c r="F39" s="46">
        <v>48.7</v>
      </c>
      <c r="G39" s="47">
        <f t="shared" si="5"/>
        <v>11.299999999999997</v>
      </c>
      <c r="H39" s="32">
        <f t="shared" si="0"/>
        <v>1112928.1614402658</v>
      </c>
      <c r="I39" s="32">
        <f t="shared" si="1"/>
        <v>18548.8026906711</v>
      </c>
      <c r="J39" s="49">
        <f t="shared" si="2"/>
        <v>0.0002546609471274497</v>
      </c>
      <c r="K39" s="32">
        <f t="shared" si="3"/>
        <v>3109.3578042254744</v>
      </c>
      <c r="L39" s="50">
        <f t="shared" si="4"/>
        <v>21658.160494896572</v>
      </c>
    </row>
    <row r="40" spans="1:12" ht="12.75">
      <c r="A40" s="17">
        <v>370</v>
      </c>
      <c r="B40" s="21" t="s">
        <v>43</v>
      </c>
      <c r="C40" s="36">
        <v>24850469.3</v>
      </c>
      <c r="D40" s="36"/>
      <c r="E40" s="6">
        <v>38</v>
      </c>
      <c r="F40" s="46">
        <v>25.8</v>
      </c>
      <c r="G40" s="47">
        <f t="shared" si="5"/>
        <v>12.2</v>
      </c>
      <c r="H40" s="32">
        <f t="shared" si="0"/>
        <v>0</v>
      </c>
      <c r="I40" s="32"/>
      <c r="J40" s="49">
        <f t="shared" si="2"/>
        <v>0.00021687434755168766</v>
      </c>
      <c r="K40" s="32"/>
      <c r="L40" s="50"/>
    </row>
    <row r="41" spans="1:12" ht="12.75">
      <c r="A41" s="17">
        <v>373.1</v>
      </c>
      <c r="B41" s="21" t="s">
        <v>124</v>
      </c>
      <c r="C41" s="36">
        <v>4850480.53</v>
      </c>
      <c r="D41" s="36">
        <f>+C41*0.15</f>
        <v>727572.0795</v>
      </c>
      <c r="E41" s="6">
        <v>32</v>
      </c>
      <c r="F41" s="46">
        <v>27</v>
      </c>
      <c r="G41" s="47">
        <f t="shared" si="5"/>
        <v>5</v>
      </c>
      <c r="H41" s="32">
        <f t="shared" si="0"/>
        <v>149879.84837700002</v>
      </c>
      <c r="I41" s="32">
        <f t="shared" si="1"/>
        <v>4683.7452617812505</v>
      </c>
      <c r="J41" s="49">
        <f t="shared" si="2"/>
        <v>0.0014878023877396007</v>
      </c>
      <c r="K41" s="32">
        <f>D41*J41</f>
        <v>1082.4834771327667</v>
      </c>
      <c r="L41" s="50">
        <f>+I41+K41</f>
        <v>5766.228738914017</v>
      </c>
    </row>
    <row r="42" spans="1:12" ht="12.75">
      <c r="A42" s="17">
        <v>373.2</v>
      </c>
      <c r="B42" s="21" t="s">
        <v>125</v>
      </c>
      <c r="C42" s="36">
        <v>2273422</v>
      </c>
      <c r="D42" s="36">
        <f>+C42*0.15</f>
        <v>341013.3</v>
      </c>
      <c r="E42" s="6">
        <v>32</v>
      </c>
      <c r="F42" s="46">
        <v>27.4</v>
      </c>
      <c r="G42" s="47">
        <f t="shared" si="5"/>
        <v>4.600000000000001</v>
      </c>
      <c r="H42" s="32">
        <f t="shared" si="0"/>
        <v>76357.3258695652</v>
      </c>
      <c r="I42" s="32">
        <f t="shared" si="1"/>
        <v>2386.1664334239126</v>
      </c>
      <c r="J42" s="49">
        <f t="shared" si="2"/>
        <v>0.0017980627979063968</v>
      </c>
      <c r="K42" s="32">
        <f t="shared" si="3"/>
        <v>613.1633283212934</v>
      </c>
      <c r="L42" s="50">
        <f t="shared" si="4"/>
        <v>2999.3297617452063</v>
      </c>
    </row>
    <row r="43" spans="1:12" ht="12.75">
      <c r="A43" s="17">
        <v>373.3</v>
      </c>
      <c r="B43" s="21" t="s">
        <v>126</v>
      </c>
      <c r="C43" s="36">
        <v>4397313.99</v>
      </c>
      <c r="D43" s="36">
        <f>+C43*0.15</f>
        <v>659597.0985</v>
      </c>
      <c r="E43" s="6">
        <v>32</v>
      </c>
      <c r="F43" s="46">
        <v>29.6</v>
      </c>
      <c r="G43" s="47">
        <f t="shared" si="5"/>
        <v>2.3999999999999986</v>
      </c>
      <c r="H43" s="32">
        <f t="shared" si="0"/>
        <v>283077.08810625016</v>
      </c>
      <c r="I43" s="32">
        <f t="shared" si="1"/>
        <v>8846.159003320317</v>
      </c>
      <c r="J43" s="49">
        <f t="shared" si="2"/>
        <v>0.008945571677996922</v>
      </c>
      <c r="K43" s="32">
        <f t="shared" si="3"/>
        <v>5900.473123230546</v>
      </c>
      <c r="L43" s="50">
        <f t="shared" si="4"/>
        <v>14746.632126550863</v>
      </c>
    </row>
    <row r="44" spans="1:12" ht="12.75">
      <c r="A44" s="17">
        <v>373.4</v>
      </c>
      <c r="B44" s="21" t="s">
        <v>53</v>
      </c>
      <c r="C44" s="37">
        <v>10332352.39</v>
      </c>
      <c r="D44" s="36">
        <f>'Sch 2'!$E$33</f>
        <v>516617.61950000003</v>
      </c>
      <c r="E44" s="6">
        <v>32</v>
      </c>
      <c r="F44" s="46">
        <v>24.7</v>
      </c>
      <c r="G44" s="47">
        <f t="shared" si="5"/>
        <v>7.300000000000001</v>
      </c>
      <c r="H44" s="32">
        <f t="shared" si="0"/>
        <v>72892.62302534246</v>
      </c>
      <c r="I44" s="32">
        <f t="shared" si="1"/>
        <v>2277.894469541952</v>
      </c>
      <c r="J44" s="49">
        <f t="shared" si="2"/>
        <v>0.0006455375641760686</v>
      </c>
      <c r="K44" s="32">
        <f t="shared" si="3"/>
        <v>333.49607970246905</v>
      </c>
      <c r="L44" s="50">
        <f t="shared" si="4"/>
        <v>2611.390549244421</v>
      </c>
    </row>
    <row r="45" spans="1:12" ht="12.75">
      <c r="A45" s="17"/>
      <c r="B45" s="21"/>
      <c r="C45" s="36"/>
      <c r="D45" s="36">
        <f>'Sch 2'!E34</f>
        <v>0</v>
      </c>
      <c r="E45" s="6"/>
      <c r="F45" s="46"/>
      <c r="H45" s="32"/>
      <c r="I45" s="32"/>
      <c r="J45" s="49"/>
      <c r="K45" s="32"/>
      <c r="L45" s="50"/>
    </row>
    <row r="46" spans="1:12" ht="12.75">
      <c r="A46" s="17"/>
      <c r="B46" s="22" t="s">
        <v>54</v>
      </c>
      <c r="C46" s="38">
        <f>SUM(C30:C44)</f>
        <v>756507694.9999999</v>
      </c>
      <c r="D46" s="38">
        <f>'Sch 2'!E35</f>
        <v>114555154.965</v>
      </c>
      <c r="E46" s="6"/>
      <c r="F46" s="46"/>
      <c r="H46" s="32"/>
      <c r="I46" s="32"/>
      <c r="J46" s="49"/>
      <c r="K46" s="32"/>
      <c r="L46" s="50"/>
    </row>
    <row r="47" spans="1:12" ht="12.75">
      <c r="A47"/>
      <c r="B47"/>
      <c r="C47" s="7"/>
      <c r="D47" s="7">
        <f>'Sch 2'!E36</f>
        <v>0</v>
      </c>
      <c r="E47" s="6"/>
      <c r="F47" s="46"/>
      <c r="H47" s="32"/>
      <c r="I47" s="32"/>
      <c r="J47" s="49"/>
      <c r="K47" s="32"/>
      <c r="L47" s="50"/>
    </row>
    <row r="48" spans="1:12" ht="12.75">
      <c r="A48"/>
      <c r="B48" s="39" t="s">
        <v>55</v>
      </c>
      <c r="C48" s="27">
        <f>+C25+C46</f>
        <v>1091518979.37</v>
      </c>
      <c r="D48" s="27">
        <f>'Sch 2'!E37</f>
        <v>182753784.3235</v>
      </c>
      <c r="E48" s="6"/>
      <c r="F48" s="46"/>
      <c r="H48" s="32"/>
      <c r="I48" s="32"/>
      <c r="J48" s="49"/>
      <c r="K48" s="32"/>
      <c r="L48" s="50"/>
    </row>
    <row r="49" spans="1:12" ht="12.75">
      <c r="A49"/>
      <c r="B49"/>
      <c r="C49" s="7"/>
      <c r="D49" s="7"/>
      <c r="E49" s="6"/>
      <c r="F49" s="46"/>
      <c r="H49" s="32"/>
      <c r="I49" s="32"/>
      <c r="J49" s="49"/>
      <c r="K49" s="32"/>
      <c r="L49" s="50"/>
    </row>
    <row r="50" spans="1:12" ht="12.75">
      <c r="A50" s="40" t="s">
        <v>57</v>
      </c>
      <c r="B50"/>
      <c r="C50" s="7"/>
      <c r="D50" s="7"/>
      <c r="E50" s="6"/>
      <c r="F50" s="46"/>
      <c r="H50" s="32"/>
      <c r="I50" s="32"/>
      <c r="J50" s="49"/>
      <c r="K50" s="32"/>
      <c r="L50" s="50"/>
    </row>
    <row r="51" spans="1:12" ht="12.75">
      <c r="A51" s="40"/>
      <c r="B51"/>
      <c r="C51" s="7"/>
      <c r="D51" s="7"/>
      <c r="E51" s="6"/>
      <c r="F51" s="46"/>
      <c r="H51" s="32"/>
      <c r="I51" s="32"/>
      <c r="J51" s="49"/>
      <c r="K51" s="32"/>
      <c r="L51" s="50"/>
    </row>
    <row r="52" spans="1:12" ht="12.75">
      <c r="A52" s="40"/>
      <c r="B52" s="41" t="s">
        <v>58</v>
      </c>
      <c r="C52" s="7"/>
      <c r="D52" s="7"/>
      <c r="E52" s="6"/>
      <c r="F52" s="46"/>
      <c r="H52" s="32"/>
      <c r="I52" s="32"/>
      <c r="J52" s="49"/>
      <c r="K52" s="32"/>
      <c r="L52" s="50"/>
    </row>
    <row r="53" spans="1:12" ht="12.75">
      <c r="A53" s="40"/>
      <c r="B53" s="69"/>
      <c r="C53" s="7"/>
      <c r="D53" s="7"/>
      <c r="E53" s="6"/>
      <c r="F53" s="46"/>
      <c r="H53" s="32"/>
      <c r="I53" s="32"/>
      <c r="J53" s="49"/>
      <c r="K53" s="32"/>
      <c r="L53" s="50"/>
    </row>
    <row r="54" spans="1:12" ht="12.75">
      <c r="A54" s="40"/>
      <c r="B54" s="69"/>
      <c r="C54" s="7"/>
      <c r="D54" s="7"/>
      <c r="E54" s="6"/>
      <c r="F54" s="46"/>
      <c r="H54" s="32"/>
      <c r="I54" s="32"/>
      <c r="J54" s="49"/>
      <c r="K54" s="32"/>
      <c r="L54" s="50"/>
    </row>
    <row r="55" spans="1:12" ht="12.75">
      <c r="A55"/>
      <c r="B55"/>
      <c r="C55"/>
      <c r="D55"/>
      <c r="E55" s="6"/>
      <c r="F55" s="46"/>
      <c r="H55" s="32"/>
      <c r="I55" s="32"/>
      <c r="J55" s="49"/>
      <c r="K55" s="32"/>
      <c r="L55" s="50"/>
    </row>
    <row r="56" spans="1:12" ht="12.75">
      <c r="A56" s="42">
        <v>375</v>
      </c>
      <c r="B56" t="s">
        <v>59</v>
      </c>
      <c r="C56" s="7">
        <v>462233.21</v>
      </c>
      <c r="D56" s="7">
        <f>'Sch 2'!E43</f>
        <v>23111.6605</v>
      </c>
      <c r="E56" s="6">
        <v>50</v>
      </c>
      <c r="F56" s="46">
        <v>38</v>
      </c>
      <c r="G56" s="47">
        <f aca="true" t="shared" si="6" ref="G56:G62">E56-F56</f>
        <v>12</v>
      </c>
      <c r="H56" s="32">
        <f t="shared" si="0"/>
        <v>1983.7508595833335</v>
      </c>
      <c r="I56" s="32">
        <f t="shared" si="1"/>
        <v>39.67501719166667</v>
      </c>
      <c r="J56" s="49">
        <f t="shared" si="2"/>
        <v>0.00022450772869664348</v>
      </c>
      <c r="K56" s="32">
        <f t="shared" si="3"/>
        <v>5.188746405262932</v>
      </c>
      <c r="L56" s="50">
        <f t="shared" si="4"/>
        <v>44.8637635969296</v>
      </c>
    </row>
    <row r="57" spans="1:12" ht="12.75">
      <c r="A57">
        <v>376</v>
      </c>
      <c r="B57" t="s">
        <v>60</v>
      </c>
      <c r="C57" s="7">
        <v>150417092.24</v>
      </c>
      <c r="D57" s="7">
        <f>'Sch 2'!E44</f>
        <v>37604273.06</v>
      </c>
      <c r="E57" s="6">
        <v>65</v>
      </c>
      <c r="F57" s="46">
        <v>50.7</v>
      </c>
      <c r="G57" s="47">
        <f t="shared" si="6"/>
        <v>14.299999999999997</v>
      </c>
      <c r="H57" s="32">
        <f t="shared" si="0"/>
        <v>2708559.528097903</v>
      </c>
      <c r="I57" s="32">
        <f t="shared" si="1"/>
        <v>41670.146586121584</v>
      </c>
      <c r="J57" s="49">
        <f t="shared" si="2"/>
        <v>0.0001557509163170323</v>
      </c>
      <c r="K57" s="32">
        <f t="shared" si="3"/>
        <v>5856.899986530892</v>
      </c>
      <c r="L57" s="50">
        <f t="shared" si="4"/>
        <v>47527.04657265248</v>
      </c>
    </row>
    <row r="58" spans="1:12" ht="12.75">
      <c r="A58">
        <v>378</v>
      </c>
      <c r="B58" t="s">
        <v>61</v>
      </c>
      <c r="C58" s="7">
        <v>3305957.37</v>
      </c>
      <c r="D58" s="7">
        <f>'Sch 2'!E45</f>
        <v>165297.8685</v>
      </c>
      <c r="E58" s="6">
        <v>36</v>
      </c>
      <c r="F58" s="46">
        <v>30.1</v>
      </c>
      <c r="G58" s="47">
        <f t="shared" si="6"/>
        <v>5.899999999999999</v>
      </c>
      <c r="H58" s="32">
        <f t="shared" si="0"/>
        <v>28857.08551779662</v>
      </c>
      <c r="I58" s="32">
        <f t="shared" si="1"/>
        <v>801.5857088276839</v>
      </c>
      <c r="J58" s="49">
        <f t="shared" si="2"/>
        <v>0.0010281028912313417</v>
      </c>
      <c r="K58" s="32">
        <f t="shared" si="3"/>
        <v>169.94321651922814</v>
      </c>
      <c r="L58" s="50">
        <f t="shared" si="4"/>
        <v>971.528925346912</v>
      </c>
    </row>
    <row r="59" spans="1:12" ht="12.75">
      <c r="A59">
        <v>379</v>
      </c>
      <c r="B59" t="s">
        <v>118</v>
      </c>
      <c r="C59" s="7">
        <v>1419053.17</v>
      </c>
      <c r="D59" s="7">
        <f>'Sch 2'!E46</f>
        <v>70952.6585</v>
      </c>
      <c r="E59" s="6">
        <v>36</v>
      </c>
      <c r="F59" s="46">
        <v>28</v>
      </c>
      <c r="G59" s="47">
        <f t="shared" si="6"/>
        <v>8</v>
      </c>
      <c r="H59" s="32">
        <f t="shared" si="0"/>
        <v>9135.154781875</v>
      </c>
      <c r="I59" s="32">
        <f>+H59/E59</f>
        <v>253.75429949652778</v>
      </c>
      <c r="J59" s="49">
        <f>(1.03^(1/G59)-1.03^(1/(G59-1)))*-1</f>
        <v>0.000529929481384972</v>
      </c>
      <c r="K59" s="32">
        <f>D59*J59</f>
        <v>37.59990552179003</v>
      </c>
      <c r="L59" s="50">
        <f>+I59+K59</f>
        <v>291.3542050183178</v>
      </c>
    </row>
    <row r="60" spans="1:12" ht="12.75">
      <c r="A60">
        <v>380</v>
      </c>
      <c r="B60" t="s">
        <v>62</v>
      </c>
      <c r="C60" s="7">
        <v>113999912.27</v>
      </c>
      <c r="D60" s="7">
        <f>'Sch 2'!E47</f>
        <v>28499978.0675</v>
      </c>
      <c r="E60" s="6">
        <v>45</v>
      </c>
      <c r="F60" s="46">
        <v>32.8</v>
      </c>
      <c r="G60" s="47">
        <f t="shared" si="6"/>
        <v>12.200000000000003</v>
      </c>
      <c r="H60" s="32">
        <f t="shared" si="0"/>
        <v>2406145.6893053274</v>
      </c>
      <c r="I60" s="32">
        <f t="shared" si="1"/>
        <v>53469.90420678505</v>
      </c>
      <c r="J60" s="49">
        <f t="shared" si="2"/>
        <v>0.00021687434755168766</v>
      </c>
      <c r="K60" s="32">
        <f t="shared" si="3"/>
        <v>6180.914148626471</v>
      </c>
      <c r="L60" s="50">
        <f t="shared" si="4"/>
        <v>59650.818355411524</v>
      </c>
    </row>
    <row r="61" spans="1:12" ht="12.75">
      <c r="A61">
        <v>381</v>
      </c>
      <c r="B61" t="s">
        <v>63</v>
      </c>
      <c r="C61" s="7">
        <v>29929367.48</v>
      </c>
      <c r="D61" s="7">
        <f>'Sch 2'!E48</f>
        <v>2992936.748</v>
      </c>
      <c r="E61" s="6">
        <v>40</v>
      </c>
      <c r="F61" s="46">
        <v>25.6</v>
      </c>
      <c r="G61" s="47">
        <f t="shared" si="6"/>
        <v>14.399999999999999</v>
      </c>
      <c r="H61" s="32">
        <f t="shared" si="0"/>
        <v>214078.11461388893</v>
      </c>
      <c r="I61" s="32">
        <f t="shared" si="1"/>
        <v>5351.952865347223</v>
      </c>
      <c r="J61" s="49">
        <f t="shared" si="2"/>
        <v>0.00015351268925911654</v>
      </c>
      <c r="K61" s="32">
        <f t="shared" si="3"/>
        <v>459.4537689679148</v>
      </c>
      <c r="L61" s="50">
        <f t="shared" si="4"/>
        <v>5811.406634315138</v>
      </c>
    </row>
    <row r="62" spans="1:12" ht="12.75">
      <c r="A62">
        <v>385</v>
      </c>
      <c r="B62" t="s">
        <v>64</v>
      </c>
      <c r="C62" s="43">
        <v>2183854</v>
      </c>
      <c r="D62" s="45">
        <f>'Sch 2'!E49</f>
        <v>109192.70000000001</v>
      </c>
      <c r="E62" s="6">
        <v>45</v>
      </c>
      <c r="F62" s="46">
        <v>39.5</v>
      </c>
      <c r="G62" s="47">
        <f t="shared" si="6"/>
        <v>5.5</v>
      </c>
      <c r="H62" s="32">
        <f t="shared" si="0"/>
        <v>20448.81472727273</v>
      </c>
      <c r="I62" s="32">
        <f t="shared" si="1"/>
        <v>454.4181050505051</v>
      </c>
      <c r="J62" s="49">
        <f t="shared" si="2"/>
        <v>0.001201448150521145</v>
      </c>
      <c r="K62" s="32">
        <f t="shared" si="3"/>
        <v>131.18936746541024</v>
      </c>
      <c r="L62" s="50">
        <f t="shared" si="4"/>
        <v>585.6074725159153</v>
      </c>
    </row>
    <row r="63" spans="1:6" ht="12.75">
      <c r="A63"/>
      <c r="B63"/>
      <c r="C63"/>
      <c r="D63">
        <f>'Sch 2'!E50</f>
        <v>0</v>
      </c>
      <c r="F63" s="47"/>
    </row>
    <row r="64" spans="1:6" ht="12.75">
      <c r="A64"/>
      <c r="B64" s="39" t="s">
        <v>65</v>
      </c>
      <c r="C64" s="44">
        <f>+SUM(C56:C62)</f>
        <v>301717469.74</v>
      </c>
      <c r="D64" s="44">
        <f>'Sch 2'!E51</f>
        <v>69465742.763</v>
      </c>
      <c r="F64" s="47"/>
    </row>
  </sheetData>
  <sheetProtection/>
  <mergeCells count="3">
    <mergeCell ref="A1:L1"/>
    <mergeCell ref="A2:L2"/>
    <mergeCell ref="A3:L3"/>
  </mergeCells>
  <printOptions horizontalCentered="1"/>
  <pageMargins left="0.75" right="0.75" top="1.24" bottom="1" header="0.5" footer="0.5"/>
  <pageSetup fitToHeight="1" fitToWidth="1" horizontalDpi="600" verticalDpi="600" orientation="landscape" scale="55" r:id="rId1"/>
  <headerFooter alignWithMargins="0">
    <oddHeader>&amp;RDockets No. UE-080416 and UG-080417
Exhibit No.___(CWK-4)
Schedule 4
Page 4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view="pageLayout" workbookViewId="0" topLeftCell="C1">
      <selection activeCell="F17" sqref="F17"/>
    </sheetView>
  </sheetViews>
  <sheetFormatPr defaultColWidth="9.140625" defaultRowHeight="12.75"/>
  <cols>
    <col min="1" max="1" width="6.57421875" style="0" customWidth="1"/>
    <col min="2" max="2" width="44.8515625" style="0" customWidth="1"/>
    <col min="3" max="3" width="15.00390625" style="0" bestFit="1" customWidth="1"/>
    <col min="4" max="4" width="12.8515625" style="0" bestFit="1" customWidth="1"/>
    <col min="5" max="5" width="14.00390625" style="0" bestFit="1" customWidth="1"/>
    <col min="6" max="6" width="9.7109375" style="0" bestFit="1" customWidth="1"/>
    <col min="7" max="7" width="15.00390625" style="0" bestFit="1" customWidth="1"/>
    <col min="8" max="8" width="9.421875" style="0" customWidth="1"/>
    <col min="9" max="9" width="11.28125" style="0" customWidth="1"/>
    <col min="10" max="10" width="11.28125" style="0" bestFit="1" customWidth="1"/>
  </cols>
  <sheetData>
    <row r="1" spans="1:10" ht="15.75">
      <c r="A1" s="102" t="s">
        <v>138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>
      <c r="A2" s="102" t="s">
        <v>149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3" ht="12.75">
      <c r="A3" s="29"/>
      <c r="B3" s="29"/>
      <c r="C3" s="29"/>
    </row>
    <row r="4" spans="1:10" ht="12.75">
      <c r="A4" s="29"/>
      <c r="B4" s="29"/>
      <c r="C4" s="30" t="s">
        <v>13</v>
      </c>
      <c r="D4" s="6" t="s">
        <v>14</v>
      </c>
      <c r="E4" s="6" t="s">
        <v>137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148</v>
      </c>
    </row>
    <row r="5" spans="1:10" ht="12.75">
      <c r="A5" s="30"/>
      <c r="B5" s="30"/>
      <c r="C5" s="31" t="s">
        <v>68</v>
      </c>
      <c r="D5" s="6" t="s">
        <v>116</v>
      </c>
      <c r="E5" s="6" t="s">
        <v>119</v>
      </c>
      <c r="F5" s="6" t="s">
        <v>70</v>
      </c>
      <c r="G5" s="6" t="s">
        <v>5</v>
      </c>
      <c r="H5" s="6" t="s">
        <v>25</v>
      </c>
      <c r="I5" s="6" t="s">
        <v>110</v>
      </c>
      <c r="J5" s="6" t="s">
        <v>5</v>
      </c>
    </row>
    <row r="6" spans="1:10" ht="12.75">
      <c r="A6" s="30"/>
      <c r="B6" s="30" t="s">
        <v>46</v>
      </c>
      <c r="C6" s="30" t="s">
        <v>47</v>
      </c>
      <c r="D6" s="6" t="s">
        <v>117</v>
      </c>
      <c r="E6" s="30" t="s">
        <v>120</v>
      </c>
      <c r="F6" s="30" t="s">
        <v>30</v>
      </c>
      <c r="G6" s="30" t="s">
        <v>127</v>
      </c>
      <c r="H6" s="30" t="s">
        <v>128</v>
      </c>
      <c r="I6" s="30" t="s">
        <v>127</v>
      </c>
      <c r="J6" s="30" t="s">
        <v>129</v>
      </c>
    </row>
    <row r="7" spans="1:10" ht="12.75">
      <c r="A7" s="30"/>
      <c r="B7" s="30"/>
      <c r="C7" s="30"/>
      <c r="D7" s="6"/>
      <c r="E7" s="6"/>
      <c r="F7" s="6"/>
      <c r="G7" s="6"/>
      <c r="H7" s="6" t="s">
        <v>29</v>
      </c>
      <c r="I7" s="6"/>
      <c r="J7" s="6"/>
    </row>
    <row r="8" spans="1:3" ht="12.75">
      <c r="A8" s="40" t="s">
        <v>56</v>
      </c>
      <c r="B8" s="15"/>
      <c r="C8" s="16"/>
    </row>
    <row r="9" spans="1:3" ht="12.75">
      <c r="A9" s="14"/>
      <c r="B9" s="15"/>
      <c r="C9" s="16"/>
    </row>
    <row r="10" spans="1:3" ht="12.75">
      <c r="A10" s="17"/>
      <c r="B10" s="18" t="s">
        <v>32</v>
      </c>
      <c r="C10" s="19"/>
    </row>
    <row r="11" spans="1:3" ht="12.75">
      <c r="A11" s="17"/>
      <c r="B11" s="18"/>
      <c r="C11" s="19"/>
    </row>
    <row r="12" spans="1:10" ht="12.75">
      <c r="A12" s="17">
        <v>350.3</v>
      </c>
      <c r="B12" t="s">
        <v>111</v>
      </c>
      <c r="C12" s="66">
        <v>1486031.92</v>
      </c>
      <c r="D12" s="7">
        <v>496915</v>
      </c>
      <c r="E12" s="8">
        <f>+C12-D12</f>
        <v>989116.9199999999</v>
      </c>
      <c r="F12">
        <v>52.9</v>
      </c>
      <c r="G12" s="7">
        <f>+E12/F12</f>
        <v>18697.862381852552</v>
      </c>
      <c r="I12" s="8">
        <f>+G12+H12</f>
        <v>18697.862381852552</v>
      </c>
      <c r="J12" s="73">
        <f>+I12/C12</f>
        <v>0.012582409657696015</v>
      </c>
    </row>
    <row r="13" spans="1:10" ht="12.75">
      <c r="A13" s="17">
        <v>350.4</v>
      </c>
      <c r="B13" s="67" t="s">
        <v>112</v>
      </c>
      <c r="C13" s="66">
        <v>8444339.7</v>
      </c>
      <c r="D13" s="7">
        <v>2823710</v>
      </c>
      <c r="E13" s="8">
        <f aca="true" t="shared" si="0" ref="E13:E59">+C13-D13</f>
        <v>5620629.699999999</v>
      </c>
      <c r="F13">
        <v>51.9</v>
      </c>
      <c r="G13" s="7">
        <f aca="true" t="shared" si="1" ref="G13:G57">+E13/F13</f>
        <v>108297.29672447013</v>
      </c>
      <c r="I13" s="7">
        <f aca="true" t="shared" si="2" ref="I13:I21">+G13+H13</f>
        <v>108297.29672447013</v>
      </c>
      <c r="J13" s="73">
        <f aca="true" t="shared" si="3" ref="J13:J59">+I13/C13</f>
        <v>0.012824838953893592</v>
      </c>
    </row>
    <row r="14" spans="1:10" ht="12.75">
      <c r="A14" s="17">
        <v>352</v>
      </c>
      <c r="B14" s="67" t="s">
        <v>59</v>
      </c>
      <c r="C14" s="66">
        <v>10923252.99</v>
      </c>
      <c r="D14" s="7">
        <v>2946712</v>
      </c>
      <c r="E14" s="8">
        <f t="shared" si="0"/>
        <v>7976540.99</v>
      </c>
      <c r="F14">
        <v>48.6</v>
      </c>
      <c r="G14" s="7">
        <f t="shared" si="1"/>
        <v>164126.35781893003</v>
      </c>
      <c r="H14" s="72">
        <f>+'Sch 4'!L16</f>
        <v>958.9750629467657</v>
      </c>
      <c r="I14" s="7">
        <f t="shared" si="2"/>
        <v>165085.3328818768</v>
      </c>
      <c r="J14" s="73">
        <f t="shared" si="3"/>
        <v>0.015113202361330349</v>
      </c>
    </row>
    <row r="15" spans="1:10" ht="12.75">
      <c r="A15" s="17">
        <v>353</v>
      </c>
      <c r="B15" s="21" t="s">
        <v>33</v>
      </c>
      <c r="C15" s="34">
        <v>135782917.57</v>
      </c>
      <c r="D15" s="7">
        <v>46906964</v>
      </c>
      <c r="E15" s="8">
        <f t="shared" si="0"/>
        <v>88875953.57</v>
      </c>
      <c r="F15" s="46">
        <v>33.6</v>
      </c>
      <c r="G15" s="7">
        <f t="shared" si="1"/>
        <v>2645117.6657738094</v>
      </c>
      <c r="H15" s="7">
        <f>'Sch 4'!L17</f>
        <v>36941.27984915717</v>
      </c>
      <c r="I15" s="7">
        <f t="shared" si="2"/>
        <v>2682058.9456229666</v>
      </c>
      <c r="J15" s="73">
        <f t="shared" si="3"/>
        <v>0.01975255056837535</v>
      </c>
    </row>
    <row r="16" spans="1:10" ht="12.75">
      <c r="A16" s="17">
        <v>354</v>
      </c>
      <c r="B16" s="21" t="s">
        <v>34</v>
      </c>
      <c r="C16" s="34">
        <v>17069239.13</v>
      </c>
      <c r="D16" s="7">
        <v>5342072</v>
      </c>
      <c r="E16" s="8">
        <f t="shared" si="0"/>
        <v>11727167.129999999</v>
      </c>
      <c r="F16" s="46">
        <v>47.5</v>
      </c>
      <c r="G16" s="7">
        <f t="shared" si="1"/>
        <v>246887.72905263156</v>
      </c>
      <c r="H16" s="7">
        <f>'Sch 4'!L18</f>
        <v>2441.426642482341</v>
      </c>
      <c r="I16" s="7">
        <f t="shared" si="2"/>
        <v>249329.1556951139</v>
      </c>
      <c r="J16" s="73">
        <f t="shared" si="3"/>
        <v>0.01460692851018216</v>
      </c>
    </row>
    <row r="17" spans="1:10" ht="12.75">
      <c r="A17" s="17">
        <v>355</v>
      </c>
      <c r="B17" s="21" t="s">
        <v>35</v>
      </c>
      <c r="C17" s="34">
        <v>89425620.7</v>
      </c>
      <c r="D17" s="7">
        <v>37831458</v>
      </c>
      <c r="E17" s="8">
        <f t="shared" si="0"/>
        <v>51594162.7</v>
      </c>
      <c r="F17" s="46">
        <v>47.7</v>
      </c>
      <c r="G17" s="7">
        <f t="shared" si="1"/>
        <v>1081638.6310272536</v>
      </c>
      <c r="H17" s="7">
        <f>'Sch 4'!L19</f>
        <v>43162.17554359541</v>
      </c>
      <c r="I17" s="7">
        <f t="shared" si="2"/>
        <v>1124800.806570849</v>
      </c>
      <c r="J17" s="73">
        <f t="shared" si="3"/>
        <v>0.01257805981961553</v>
      </c>
    </row>
    <row r="18" spans="1:10" ht="12.75">
      <c r="A18" s="17">
        <v>356</v>
      </c>
      <c r="B18" s="21" t="s">
        <v>36</v>
      </c>
      <c r="C18" s="34">
        <v>68173980.15</v>
      </c>
      <c r="D18" s="7">
        <v>23279896</v>
      </c>
      <c r="E18" s="8">
        <f t="shared" si="0"/>
        <v>44894084.150000006</v>
      </c>
      <c r="F18" s="101">
        <v>37.9</v>
      </c>
      <c r="G18" s="7">
        <f t="shared" si="1"/>
        <v>1184540.4788918209</v>
      </c>
      <c r="H18" s="7">
        <f>'Sch 4'!L20</f>
        <v>14320.759824710232</v>
      </c>
      <c r="I18" s="7">
        <f t="shared" si="2"/>
        <v>1198861.238716531</v>
      </c>
      <c r="J18" s="73">
        <f t="shared" si="3"/>
        <v>0.017585319737511776</v>
      </c>
    </row>
    <row r="19" spans="1:10" ht="12.75">
      <c r="A19" s="17">
        <v>357</v>
      </c>
      <c r="B19" s="21" t="s">
        <v>113</v>
      </c>
      <c r="C19" s="34">
        <v>561147.87</v>
      </c>
      <c r="D19" s="7">
        <v>251405</v>
      </c>
      <c r="E19" s="8">
        <f t="shared" si="0"/>
        <v>309742.87</v>
      </c>
      <c r="F19" s="46">
        <v>34.9</v>
      </c>
      <c r="G19" s="7">
        <f t="shared" si="1"/>
        <v>8875.153868194842</v>
      </c>
      <c r="I19" s="7">
        <f t="shared" si="2"/>
        <v>8875.153868194842</v>
      </c>
      <c r="J19" s="73">
        <f t="shared" si="3"/>
        <v>0.015816069778888837</v>
      </c>
    </row>
    <row r="20" spans="1:10" ht="12.75">
      <c r="A20" s="17">
        <v>358</v>
      </c>
      <c r="B20" s="21" t="s">
        <v>114</v>
      </c>
      <c r="C20" s="34">
        <v>1317910.34</v>
      </c>
      <c r="D20" s="7">
        <v>577485</v>
      </c>
      <c r="E20" s="8">
        <f t="shared" si="0"/>
        <v>740425.3400000001</v>
      </c>
      <c r="F20" s="46">
        <v>32.4</v>
      </c>
      <c r="G20" s="7">
        <f t="shared" si="1"/>
        <v>22852.633950617288</v>
      </c>
      <c r="I20" s="7">
        <f t="shared" si="2"/>
        <v>22852.633950617288</v>
      </c>
      <c r="J20" s="73">
        <f t="shared" si="3"/>
        <v>0.017340052093845235</v>
      </c>
    </row>
    <row r="21" spans="1:10" ht="12.75">
      <c r="A21" s="17">
        <v>359</v>
      </c>
      <c r="B21" s="21" t="s">
        <v>115</v>
      </c>
      <c r="C21" s="34">
        <v>1826844</v>
      </c>
      <c r="D21" s="7">
        <v>470739</v>
      </c>
      <c r="E21" s="8">
        <f t="shared" si="0"/>
        <v>1356105</v>
      </c>
      <c r="F21" s="46">
        <v>44.9</v>
      </c>
      <c r="G21" s="7">
        <f t="shared" si="1"/>
        <v>30202.78396436526</v>
      </c>
      <c r="I21" s="7">
        <f t="shared" si="2"/>
        <v>30202.78396436526</v>
      </c>
      <c r="J21" s="73">
        <f t="shared" si="3"/>
        <v>0.016532765777682857</v>
      </c>
    </row>
    <row r="22" spans="1:10" ht="12.75">
      <c r="A22" s="17"/>
      <c r="B22" s="21"/>
      <c r="C22" s="34"/>
      <c r="D22" s="7"/>
      <c r="E22" s="8">
        <f t="shared" si="0"/>
        <v>0</v>
      </c>
      <c r="G22" s="7"/>
      <c r="J22" s="73"/>
    </row>
    <row r="23" spans="1:10" ht="12.75">
      <c r="A23" s="17"/>
      <c r="B23" s="22" t="s">
        <v>132</v>
      </c>
      <c r="C23" s="35">
        <f>+SUM(C12:C21)</f>
        <v>335011284.36999995</v>
      </c>
      <c r="D23" s="35">
        <f>+SUM(D12:D21)</f>
        <v>120927356</v>
      </c>
      <c r="E23" s="44">
        <f t="shared" si="0"/>
        <v>214083928.36999995</v>
      </c>
      <c r="G23" s="35">
        <f>+SUM(G12:G21)</f>
        <v>5511236.593453946</v>
      </c>
      <c r="H23" s="35">
        <f>+SUM(H12:H21)</f>
        <v>97824.61692289192</v>
      </c>
      <c r="I23" s="35">
        <f>+SUM(I12:I21)</f>
        <v>5609061.210376838</v>
      </c>
      <c r="J23" s="84">
        <f t="shared" si="3"/>
        <v>0.016742902320215476</v>
      </c>
    </row>
    <row r="24" spans="1:10" ht="12.75">
      <c r="A24" s="17"/>
      <c r="B24" s="21"/>
      <c r="C24" s="36"/>
      <c r="D24" s="7"/>
      <c r="E24" s="8">
        <f t="shared" si="0"/>
        <v>0</v>
      </c>
      <c r="G24" s="7"/>
      <c r="J24" s="73"/>
    </row>
    <row r="25" spans="1:10" ht="12.75">
      <c r="A25" s="17"/>
      <c r="B25" s="18" t="s">
        <v>38</v>
      </c>
      <c r="C25" s="36"/>
      <c r="D25" s="7"/>
      <c r="E25" s="8">
        <f t="shared" si="0"/>
        <v>0</v>
      </c>
      <c r="G25" s="7"/>
      <c r="J25" s="73"/>
    </row>
    <row r="26" spans="1:10" ht="12.75">
      <c r="A26" s="17"/>
      <c r="B26" s="20"/>
      <c r="C26" s="36"/>
      <c r="D26" s="7"/>
      <c r="E26" s="8">
        <f t="shared" si="0"/>
        <v>0</v>
      </c>
      <c r="F26" s="70"/>
      <c r="G26" s="7"/>
      <c r="J26" s="73"/>
    </row>
    <row r="27" spans="1:10" ht="12.75">
      <c r="A27" s="17">
        <v>361</v>
      </c>
      <c r="B27" s="21" t="s">
        <v>49</v>
      </c>
      <c r="C27" s="36">
        <v>10243069.11</v>
      </c>
      <c r="D27" s="7">
        <v>3772676</v>
      </c>
      <c r="E27" s="8">
        <f t="shared" si="0"/>
        <v>6470393.109999999</v>
      </c>
      <c r="F27" s="70">
        <v>40.8</v>
      </c>
      <c r="G27" s="7">
        <f t="shared" si="1"/>
        <v>158588.06642156863</v>
      </c>
      <c r="H27" s="7">
        <f>'Sch 4'!L30</f>
        <v>1512.7584147270961</v>
      </c>
      <c r="I27" s="7">
        <f aca="true" t="shared" si="4" ref="I27:I41">+G27+H27</f>
        <v>160100.8248362957</v>
      </c>
      <c r="J27" s="73">
        <f t="shared" si="3"/>
        <v>0.015630161538204804</v>
      </c>
    </row>
    <row r="28" spans="1:10" ht="12.75">
      <c r="A28" s="17">
        <v>362</v>
      </c>
      <c r="B28" s="21" t="s">
        <v>33</v>
      </c>
      <c r="C28" s="36">
        <v>71839160.77</v>
      </c>
      <c r="D28" s="7">
        <v>22790642</v>
      </c>
      <c r="E28" s="8">
        <f t="shared" si="0"/>
        <v>49048518.769999996</v>
      </c>
      <c r="F28" s="70">
        <v>30.1</v>
      </c>
      <c r="G28" s="7">
        <f t="shared" si="1"/>
        <v>1629518.8960132888</v>
      </c>
      <c r="H28" s="7">
        <f>'Sch 4'!L31</f>
        <v>16446.145334391826</v>
      </c>
      <c r="I28" s="7">
        <f t="shared" si="4"/>
        <v>1645965.0413476806</v>
      </c>
      <c r="J28" s="73">
        <f t="shared" si="3"/>
        <v>0.022911807762028242</v>
      </c>
    </row>
    <row r="29" spans="1:10" ht="12.75">
      <c r="A29" s="17">
        <v>364</v>
      </c>
      <c r="B29" s="21" t="s">
        <v>39</v>
      </c>
      <c r="C29" s="36">
        <v>161910621.25</v>
      </c>
      <c r="D29" s="7">
        <v>48610560</v>
      </c>
      <c r="E29" s="8">
        <f t="shared" si="0"/>
        <v>113300061.25</v>
      </c>
      <c r="F29" s="70">
        <v>35.6</v>
      </c>
      <c r="G29" s="7">
        <f t="shared" si="1"/>
        <v>3182585.9901685393</v>
      </c>
      <c r="H29" s="7">
        <f>'Sch 4'!L32</f>
        <v>64119.36840508518</v>
      </c>
      <c r="I29" s="7">
        <f t="shared" si="4"/>
        <v>3246705.3585736244</v>
      </c>
      <c r="J29" s="73">
        <f t="shared" si="3"/>
        <v>0.020052454456094704</v>
      </c>
    </row>
    <row r="30" spans="1:10" ht="12.75">
      <c r="A30" s="17">
        <v>365</v>
      </c>
      <c r="B30" s="21" t="s">
        <v>36</v>
      </c>
      <c r="C30" s="36">
        <v>108829175.14</v>
      </c>
      <c r="D30" s="7">
        <v>32410201</v>
      </c>
      <c r="E30" s="8">
        <f t="shared" si="0"/>
        <v>76418974.14</v>
      </c>
      <c r="F30" s="70">
        <v>34.7</v>
      </c>
      <c r="G30" s="7">
        <f t="shared" si="1"/>
        <v>2202275.911815562</v>
      </c>
      <c r="H30" s="7">
        <f>'Sch 4'!L33</f>
        <v>24189.083383292123</v>
      </c>
      <c r="I30" s="7">
        <f t="shared" si="4"/>
        <v>2226464.995198854</v>
      </c>
      <c r="J30" s="73">
        <f t="shared" si="3"/>
        <v>0.020458346691819406</v>
      </c>
    </row>
    <row r="31" spans="1:10" ht="12.75">
      <c r="A31" s="17">
        <v>366</v>
      </c>
      <c r="B31" s="21" t="s">
        <v>40</v>
      </c>
      <c r="C31" s="36">
        <v>54575634.67</v>
      </c>
      <c r="D31" s="7">
        <v>9253026</v>
      </c>
      <c r="E31" s="8">
        <f t="shared" si="0"/>
        <v>45322608.67</v>
      </c>
      <c r="F31" s="70">
        <v>34.4</v>
      </c>
      <c r="G31" s="7">
        <f t="shared" si="1"/>
        <v>1317517.693895349</v>
      </c>
      <c r="H31" s="7">
        <f>'Sch 4'!L34</f>
        <v>13374.622893867458</v>
      </c>
      <c r="I31" s="7">
        <f t="shared" si="4"/>
        <v>1330892.3167892166</v>
      </c>
      <c r="J31" s="73">
        <f t="shared" si="3"/>
        <v>0.024386199534584662</v>
      </c>
    </row>
    <row r="32" spans="1:10" ht="12.75">
      <c r="A32" s="17">
        <v>367</v>
      </c>
      <c r="B32" s="21" t="s">
        <v>37</v>
      </c>
      <c r="C32" s="36">
        <v>86696938.47</v>
      </c>
      <c r="D32" s="7">
        <v>10246236</v>
      </c>
      <c r="E32" s="8">
        <f t="shared" si="0"/>
        <v>76450702.47</v>
      </c>
      <c r="F32" s="70">
        <v>16.2</v>
      </c>
      <c r="G32" s="7">
        <f t="shared" si="1"/>
        <v>4719179.164814815</v>
      </c>
      <c r="H32" s="7">
        <f>'Sch 4'!L35</f>
        <v>43565.01672627505</v>
      </c>
      <c r="I32" s="7">
        <f t="shared" si="4"/>
        <v>4762744.18154109</v>
      </c>
      <c r="J32" s="73">
        <f t="shared" si="3"/>
        <v>0.054935552115132145</v>
      </c>
    </row>
    <row r="33" spans="1:10" ht="12.75">
      <c r="A33" s="17">
        <v>368</v>
      </c>
      <c r="B33" s="21" t="s">
        <v>41</v>
      </c>
      <c r="C33" s="36">
        <v>125446341.5</v>
      </c>
      <c r="D33" s="7">
        <v>51367068</v>
      </c>
      <c r="E33" s="8">
        <f t="shared" si="0"/>
        <v>74079273.5</v>
      </c>
      <c r="F33" s="70">
        <v>32.1</v>
      </c>
      <c r="G33" s="7">
        <f t="shared" si="1"/>
        <v>2307765.5295950156</v>
      </c>
      <c r="H33" s="7">
        <f>'Sch 4'!L36</f>
        <v>13771.668961570289</v>
      </c>
      <c r="I33" s="7">
        <f t="shared" si="4"/>
        <v>2321537.1985565857</v>
      </c>
      <c r="J33" s="73">
        <f t="shared" si="3"/>
        <v>0.018506216847755465</v>
      </c>
    </row>
    <row r="34" spans="1:10" ht="12.75">
      <c r="A34" s="17">
        <v>369.1</v>
      </c>
      <c r="B34" s="21" t="s">
        <v>121</v>
      </c>
      <c r="C34" s="36">
        <v>40429723.5</v>
      </c>
      <c r="D34" s="7">
        <v>14961584</v>
      </c>
      <c r="E34" s="8">
        <f t="shared" si="0"/>
        <v>25468139.5</v>
      </c>
      <c r="F34" s="70">
        <v>45.4</v>
      </c>
      <c r="G34" s="7">
        <f t="shared" si="1"/>
        <v>560972.2356828194</v>
      </c>
      <c r="H34" s="7">
        <f>'Sch 4'!L37</f>
        <v>13392.120827207922</v>
      </c>
      <c r="I34" s="7">
        <f t="shared" si="4"/>
        <v>574364.3565100273</v>
      </c>
      <c r="J34" s="73">
        <f t="shared" si="3"/>
        <v>0.014206487375804766</v>
      </c>
    </row>
    <row r="35" spans="1:10" ht="12.75">
      <c r="A35" s="17">
        <v>369.2</v>
      </c>
      <c r="B35" s="21" t="s">
        <v>122</v>
      </c>
      <c r="C35" s="36">
        <v>993814.81</v>
      </c>
      <c r="D35" s="7">
        <v>376052</v>
      </c>
      <c r="E35" s="8">
        <f t="shared" si="0"/>
        <v>617762.81</v>
      </c>
      <c r="F35" s="70">
        <v>47.7</v>
      </c>
      <c r="G35" s="7">
        <f t="shared" si="1"/>
        <v>12951.002306079665</v>
      </c>
      <c r="H35" s="7">
        <f>'Sch 4'!L38</f>
        <v>399.7289306956311</v>
      </c>
      <c r="I35" s="7">
        <f t="shared" si="4"/>
        <v>13350.731236775297</v>
      </c>
      <c r="J35" s="73">
        <f t="shared" si="3"/>
        <v>0.013433821978136244</v>
      </c>
    </row>
    <row r="36" spans="1:10" ht="12.75">
      <c r="A36" s="17">
        <v>369</v>
      </c>
      <c r="B36" s="21" t="s">
        <v>123</v>
      </c>
      <c r="C36" s="36">
        <v>48839177.57</v>
      </c>
      <c r="D36" s="7">
        <v>18052231</v>
      </c>
      <c r="E36" s="8">
        <f t="shared" si="0"/>
        <v>30786946.57</v>
      </c>
      <c r="F36" s="70">
        <v>48.7</v>
      </c>
      <c r="G36" s="7">
        <f t="shared" si="1"/>
        <v>632175.4942505133</v>
      </c>
      <c r="H36" s="7">
        <f>'Sch 4'!L39</f>
        <v>21658.160494896572</v>
      </c>
      <c r="I36" s="7">
        <f t="shared" si="4"/>
        <v>653833.6547454098</v>
      </c>
      <c r="J36" s="73">
        <f t="shared" si="3"/>
        <v>0.013387482903623552</v>
      </c>
    </row>
    <row r="37" spans="1:10" ht="12.75">
      <c r="A37" s="17">
        <v>370</v>
      </c>
      <c r="B37" s="21" t="s">
        <v>43</v>
      </c>
      <c r="C37" s="36">
        <v>24850469.3</v>
      </c>
      <c r="D37" s="7">
        <v>9509142</v>
      </c>
      <c r="E37" s="8">
        <f t="shared" si="0"/>
        <v>15341327.3</v>
      </c>
      <c r="F37" s="70">
        <v>25.8</v>
      </c>
      <c r="G37" s="7">
        <f t="shared" si="1"/>
        <v>594625.0891472868</v>
      </c>
      <c r="H37" s="7">
        <f>'Sch 4'!L40</f>
        <v>0</v>
      </c>
      <c r="I37" s="7">
        <f t="shared" si="4"/>
        <v>594625.0891472868</v>
      </c>
      <c r="J37" s="73">
        <f t="shared" si="3"/>
        <v>0.02392812312591967</v>
      </c>
    </row>
    <row r="38" spans="1:10" ht="12.75">
      <c r="A38" s="17">
        <v>373.1</v>
      </c>
      <c r="B38" s="21" t="s">
        <v>124</v>
      </c>
      <c r="C38" s="36">
        <v>4850480.53</v>
      </c>
      <c r="D38" s="7">
        <v>4161014</v>
      </c>
      <c r="E38" s="8">
        <f t="shared" si="0"/>
        <v>689466.5300000003</v>
      </c>
      <c r="F38" s="70">
        <v>27</v>
      </c>
      <c r="G38" s="7">
        <f t="shared" si="1"/>
        <v>25535.797407407415</v>
      </c>
      <c r="H38" s="7">
        <f>'Sch 4'!L41</f>
        <v>5766.228738914017</v>
      </c>
      <c r="I38" s="7">
        <f t="shared" si="4"/>
        <v>31302.026146321434</v>
      </c>
      <c r="J38" s="73">
        <f t="shared" si="3"/>
        <v>0.006453386618649397</v>
      </c>
    </row>
    <row r="39" spans="1:10" ht="12.75">
      <c r="A39" s="17">
        <v>373.2</v>
      </c>
      <c r="B39" s="21" t="s">
        <v>125</v>
      </c>
      <c r="C39" s="36">
        <v>2273422</v>
      </c>
      <c r="D39" s="7">
        <v>1847562</v>
      </c>
      <c r="E39" s="8">
        <f t="shared" si="0"/>
        <v>425860</v>
      </c>
      <c r="F39" s="70">
        <v>27.4</v>
      </c>
      <c r="G39" s="7">
        <f t="shared" si="1"/>
        <v>15542.335766423359</v>
      </c>
      <c r="H39" s="7">
        <f>'Sch 4'!L42</f>
        <v>2999.3297617452063</v>
      </c>
      <c r="I39" s="7">
        <f t="shared" si="4"/>
        <v>18541.665528168567</v>
      </c>
      <c r="J39" s="73">
        <f t="shared" si="3"/>
        <v>0.00815583975529777</v>
      </c>
    </row>
    <row r="40" spans="1:10" ht="12.75">
      <c r="A40" s="17">
        <v>373.3</v>
      </c>
      <c r="B40" s="21" t="s">
        <v>126</v>
      </c>
      <c r="C40" s="36">
        <v>4397313.99</v>
      </c>
      <c r="D40" s="7">
        <v>3722363</v>
      </c>
      <c r="E40" s="8">
        <f t="shared" si="0"/>
        <v>674950.9900000002</v>
      </c>
      <c r="F40" s="70">
        <v>29.6</v>
      </c>
      <c r="G40" s="7">
        <f t="shared" si="1"/>
        <v>22802.39831081082</v>
      </c>
      <c r="H40" s="7">
        <f>'Sch 4'!L43</f>
        <v>14746.632126550863</v>
      </c>
      <c r="I40" s="7">
        <f t="shared" si="4"/>
        <v>37549.03043736168</v>
      </c>
      <c r="J40" s="73">
        <f t="shared" si="3"/>
        <v>0.008539083295564636</v>
      </c>
    </row>
    <row r="41" spans="1:10" ht="12.75">
      <c r="A41" s="17">
        <v>373.4</v>
      </c>
      <c r="B41" s="21" t="s">
        <v>53</v>
      </c>
      <c r="C41" s="37">
        <v>10332352.39</v>
      </c>
      <c r="D41" s="7">
        <v>3641858</v>
      </c>
      <c r="E41" s="8">
        <f t="shared" si="0"/>
        <v>6690494.390000001</v>
      </c>
      <c r="F41" s="70">
        <v>24.7</v>
      </c>
      <c r="G41" s="7">
        <f t="shared" si="1"/>
        <v>270870.2182186235</v>
      </c>
      <c r="H41" s="7">
        <f>'Sch 4'!L44</f>
        <v>2611.390549244421</v>
      </c>
      <c r="I41" s="7">
        <f t="shared" si="4"/>
        <v>273481.6087678679</v>
      </c>
      <c r="J41" s="73">
        <f t="shared" si="3"/>
        <v>0.02646847479113785</v>
      </c>
    </row>
    <row r="42" spans="1:10" ht="12.75">
      <c r="A42" s="17"/>
      <c r="B42" s="21"/>
      <c r="C42" s="36"/>
      <c r="D42" s="7"/>
      <c r="E42" s="8">
        <f t="shared" si="0"/>
        <v>0</v>
      </c>
      <c r="F42" s="70"/>
      <c r="G42" s="7"/>
      <c r="J42" s="73"/>
    </row>
    <row r="43" spans="1:10" ht="12.75">
      <c r="A43" s="17"/>
      <c r="B43" s="22" t="s">
        <v>130</v>
      </c>
      <c r="C43" s="38">
        <f>SUM(C27:C41)</f>
        <v>756507694.9999999</v>
      </c>
      <c r="D43" s="38">
        <f>SUM(D27:D41)</f>
        <v>234722215</v>
      </c>
      <c r="E43" s="44">
        <f t="shared" si="0"/>
        <v>521785479.9999999</v>
      </c>
      <c r="F43" s="70"/>
      <c r="G43" s="38">
        <f>SUM(G27:G41)</f>
        <v>17652905.823814105</v>
      </c>
      <c r="H43" s="38">
        <f>SUM(H27:H41)</f>
        <v>238552.25554846364</v>
      </c>
      <c r="I43" s="38">
        <f>SUM(I27:I41)</f>
        <v>17891458.079362564</v>
      </c>
      <c r="J43" s="84">
        <f t="shared" si="3"/>
        <v>0.023650067537465784</v>
      </c>
    </row>
    <row r="44" spans="3:10" ht="12.75">
      <c r="C44" s="7"/>
      <c r="D44" s="7"/>
      <c r="E44" s="8">
        <f t="shared" si="0"/>
        <v>0</v>
      </c>
      <c r="F44" s="70"/>
      <c r="G44" s="7"/>
      <c r="H44" s="7"/>
      <c r="I44" s="7"/>
      <c r="J44" s="84"/>
    </row>
    <row r="45" spans="2:10" ht="12.75">
      <c r="B45" s="39" t="s">
        <v>131</v>
      </c>
      <c r="C45" s="27">
        <f>+C23+C43</f>
        <v>1091518979.37</v>
      </c>
      <c r="D45" s="7"/>
      <c r="E45" s="27">
        <f>+E23+E43</f>
        <v>735869408.3699999</v>
      </c>
      <c r="F45" s="70"/>
      <c r="G45" s="27">
        <f>+G23+G43</f>
        <v>23164142.417268053</v>
      </c>
      <c r="H45" s="27">
        <f>+H23+H43</f>
        <v>336376.87247135554</v>
      </c>
      <c r="I45" s="27">
        <f>+I23+I43</f>
        <v>23500519.2897394</v>
      </c>
      <c r="J45" s="84">
        <f t="shared" si="3"/>
        <v>0.021530105966002872</v>
      </c>
    </row>
    <row r="46" spans="3:10" ht="12.75">
      <c r="C46" s="7"/>
      <c r="D46" s="7"/>
      <c r="E46" s="8">
        <f t="shared" si="0"/>
        <v>0</v>
      </c>
      <c r="F46" s="70"/>
      <c r="G46" s="7"/>
      <c r="J46" s="73"/>
    </row>
    <row r="47" spans="1:10" ht="12.75">
      <c r="A47" s="40" t="s">
        <v>57</v>
      </c>
      <c r="C47" s="7"/>
      <c r="D47" s="7"/>
      <c r="E47" s="8">
        <f t="shared" si="0"/>
        <v>0</v>
      </c>
      <c r="F47" s="70"/>
      <c r="G47" s="7"/>
      <c r="J47" s="73"/>
    </row>
    <row r="48" spans="1:10" ht="12.75">
      <c r="A48" s="40"/>
      <c r="C48" s="7"/>
      <c r="D48" s="7"/>
      <c r="E48" s="8">
        <f t="shared" si="0"/>
        <v>0</v>
      </c>
      <c r="F48" s="70"/>
      <c r="G48" s="7"/>
      <c r="J48" s="73"/>
    </row>
    <row r="49" spans="1:10" ht="12.75">
      <c r="A49" s="40"/>
      <c r="B49" s="41" t="s">
        <v>58</v>
      </c>
      <c r="C49" s="7"/>
      <c r="D49" s="7"/>
      <c r="E49" s="8">
        <f t="shared" si="0"/>
        <v>0</v>
      </c>
      <c r="F49" s="70"/>
      <c r="G49" s="7"/>
      <c r="J49" s="73"/>
    </row>
    <row r="50" spans="1:10" ht="12.75">
      <c r="A50" s="40"/>
      <c r="B50" s="69"/>
      <c r="C50" s="7"/>
      <c r="D50" s="7"/>
      <c r="E50" s="8">
        <f t="shared" si="0"/>
        <v>0</v>
      </c>
      <c r="F50" s="70"/>
      <c r="G50" s="7"/>
      <c r="J50" s="73"/>
    </row>
    <row r="51" spans="1:10" ht="12.75">
      <c r="A51" s="42">
        <v>375</v>
      </c>
      <c r="B51" t="s">
        <v>59</v>
      </c>
      <c r="C51" s="7">
        <v>462233.21</v>
      </c>
      <c r="D51" s="7">
        <v>141059</v>
      </c>
      <c r="E51" s="8">
        <f t="shared" si="0"/>
        <v>321174.21</v>
      </c>
      <c r="F51" s="68">
        <v>38</v>
      </c>
      <c r="G51" s="7">
        <f t="shared" si="1"/>
        <v>8451.952894736844</v>
      </c>
      <c r="H51" s="7">
        <f>'Sch 4'!L56</f>
        <v>44.8637635969296</v>
      </c>
      <c r="I51" s="7">
        <f aca="true" t="shared" si="5" ref="I51:I57">+G51+H51</f>
        <v>8496.816658333773</v>
      </c>
      <c r="J51" s="73">
        <f t="shared" si="3"/>
        <v>0.018382099067121925</v>
      </c>
    </row>
    <row r="52" spans="1:10" ht="12.75">
      <c r="A52">
        <v>376</v>
      </c>
      <c r="B52" t="s">
        <v>60</v>
      </c>
      <c r="C52" s="7">
        <v>150417092.24</v>
      </c>
      <c r="D52" s="7">
        <v>50092864</v>
      </c>
      <c r="E52" s="8">
        <f t="shared" si="0"/>
        <v>100324228.24000001</v>
      </c>
      <c r="F52" s="68">
        <v>50.7</v>
      </c>
      <c r="G52" s="7">
        <f t="shared" si="1"/>
        <v>1978781.62209073</v>
      </c>
      <c r="H52" s="7">
        <f>'Sch 4'!L57</f>
        <v>47527.04657265248</v>
      </c>
      <c r="I52" s="7">
        <f t="shared" si="5"/>
        <v>2026308.6686633823</v>
      </c>
      <c r="J52" s="73">
        <f t="shared" si="3"/>
        <v>0.01347126605419468</v>
      </c>
    </row>
    <row r="53" spans="1:10" ht="12.75">
      <c r="A53">
        <v>378</v>
      </c>
      <c r="B53" t="s">
        <v>61</v>
      </c>
      <c r="C53" s="7">
        <v>3305957.37</v>
      </c>
      <c r="D53" s="7">
        <v>427085</v>
      </c>
      <c r="E53" s="8">
        <f t="shared" si="0"/>
        <v>2878872.37</v>
      </c>
      <c r="F53" s="68">
        <v>30.1</v>
      </c>
      <c r="G53" s="7">
        <f t="shared" si="1"/>
        <v>95643.6003322259</v>
      </c>
      <c r="H53" s="7">
        <f>'Sch 4'!L58</f>
        <v>971.528925346912</v>
      </c>
      <c r="I53" s="7">
        <f t="shared" si="5"/>
        <v>96615.12925757281</v>
      </c>
      <c r="J53" s="73">
        <f t="shared" si="3"/>
        <v>0.029224553871840402</v>
      </c>
    </row>
    <row r="54" spans="1:10" ht="12.75">
      <c r="A54">
        <v>379</v>
      </c>
      <c r="B54" t="s">
        <v>118</v>
      </c>
      <c r="C54" s="7">
        <v>1419053.17</v>
      </c>
      <c r="D54" s="7">
        <v>266733</v>
      </c>
      <c r="E54" s="8">
        <f t="shared" si="0"/>
        <v>1152320.17</v>
      </c>
      <c r="F54" s="68">
        <v>28</v>
      </c>
      <c r="G54" s="7">
        <f t="shared" si="1"/>
        <v>41154.29178571428</v>
      </c>
      <c r="H54" s="7">
        <f>'Sch 4'!L59</f>
        <v>291.3542050183178</v>
      </c>
      <c r="I54" s="7">
        <f t="shared" si="5"/>
        <v>41445.6459907326</v>
      </c>
      <c r="J54" s="73">
        <f t="shared" si="3"/>
        <v>0.029206549033488717</v>
      </c>
    </row>
    <row r="55" spans="1:10" ht="12.75">
      <c r="A55">
        <v>380</v>
      </c>
      <c r="B55" t="s">
        <v>62</v>
      </c>
      <c r="C55" s="7">
        <v>113999912.27</v>
      </c>
      <c r="D55" s="7">
        <v>38851133</v>
      </c>
      <c r="E55" s="8">
        <f t="shared" si="0"/>
        <v>75148779.27</v>
      </c>
      <c r="F55" s="68">
        <v>32.8</v>
      </c>
      <c r="G55" s="7">
        <f t="shared" si="1"/>
        <v>2291121.319207317</v>
      </c>
      <c r="H55" s="7">
        <f>'Sch 4'!L60</f>
        <v>59650.818355411524</v>
      </c>
      <c r="I55" s="7">
        <f t="shared" si="5"/>
        <v>2350772.1375627285</v>
      </c>
      <c r="J55" s="73">
        <f t="shared" si="3"/>
        <v>0.020620824093224792</v>
      </c>
    </row>
    <row r="56" spans="1:10" ht="12.75">
      <c r="A56">
        <v>381</v>
      </c>
      <c r="B56" t="s">
        <v>63</v>
      </c>
      <c r="C56" s="7">
        <v>29929367.48</v>
      </c>
      <c r="D56" s="7">
        <v>8240840</v>
      </c>
      <c r="E56" s="8">
        <f t="shared" si="0"/>
        <v>21688527.48</v>
      </c>
      <c r="F56" s="68">
        <v>25.6</v>
      </c>
      <c r="G56" s="7">
        <f t="shared" si="1"/>
        <v>847208.1046874999</v>
      </c>
      <c r="H56" s="7">
        <f>'Sch 4'!L61</f>
        <v>5811.406634315138</v>
      </c>
      <c r="I56" s="7">
        <f t="shared" si="5"/>
        <v>853019.5113218151</v>
      </c>
      <c r="J56" s="73">
        <f t="shared" si="3"/>
        <v>0.028501087164365797</v>
      </c>
    </row>
    <row r="57" spans="1:10" ht="12.75">
      <c r="A57">
        <v>385</v>
      </c>
      <c r="B57" t="s">
        <v>133</v>
      </c>
      <c r="C57" s="43">
        <v>2183854</v>
      </c>
      <c r="D57" s="7">
        <v>694339</v>
      </c>
      <c r="E57" s="8">
        <f t="shared" si="0"/>
        <v>1489515</v>
      </c>
      <c r="F57" s="68">
        <v>39.5</v>
      </c>
      <c r="G57" s="7">
        <f t="shared" si="1"/>
        <v>37709.240506329115</v>
      </c>
      <c r="H57" s="7">
        <f>'Sch 4'!L62</f>
        <v>585.6074725159153</v>
      </c>
      <c r="I57" s="7">
        <f t="shared" si="5"/>
        <v>38294.84797884503</v>
      </c>
      <c r="J57" s="73">
        <f t="shared" si="3"/>
        <v>0.017535443293757287</v>
      </c>
    </row>
    <row r="58" spans="5:6" ht="12.75">
      <c r="E58" s="8">
        <f t="shared" si="0"/>
        <v>0</v>
      </c>
      <c r="F58" s="7"/>
    </row>
    <row r="59" spans="2:10" ht="12.75">
      <c r="B59" s="39" t="s">
        <v>65</v>
      </c>
      <c r="C59" s="44">
        <f>+SUM(C51:C57)</f>
        <v>301717469.74</v>
      </c>
      <c r="D59" s="8">
        <f>+SUM(D51:D57)</f>
        <v>98714053</v>
      </c>
      <c r="E59" s="8">
        <f t="shared" si="0"/>
        <v>203003416.74</v>
      </c>
      <c r="F59" s="7"/>
      <c r="G59" s="44">
        <f>+SUM(G51:G57)</f>
        <v>5300070.131504553</v>
      </c>
      <c r="H59" s="44">
        <f>+SUM(H51:H57)</f>
        <v>114882.6259288572</v>
      </c>
      <c r="I59" s="44">
        <f>+SUM(I51:I57)</f>
        <v>5414952.757433411</v>
      </c>
      <c r="J59" s="84">
        <f t="shared" si="3"/>
        <v>0.017947097203551574</v>
      </c>
    </row>
    <row r="60" spans="4:6" ht="12.75">
      <c r="D60" s="7"/>
      <c r="F60" s="7"/>
    </row>
    <row r="61" spans="4:6" ht="12.75">
      <c r="D61" s="7"/>
      <c r="F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</sheetData>
  <sheetProtection/>
  <mergeCells count="2">
    <mergeCell ref="A2:J2"/>
    <mergeCell ref="A1:J1"/>
  </mergeCells>
  <printOptions/>
  <pageMargins left="0.75" right="0.75" top="1" bottom="1" header="0.5" footer="0.5"/>
  <pageSetup fitToHeight="1" fitToWidth="1" horizontalDpi="600" verticalDpi="600" orientation="landscape" scale="63" r:id="rId1"/>
  <headerFooter alignWithMargins="0">
    <oddHeader>&amp;RDockets No. UE-080416 and UG-080417
Exhibit No.___(CWK-4)
Schedule 5
Page 5 of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Snavely King Majoros O'Connor &amp; 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Snavely King Laptop</dc:creator>
  <cp:keywords/>
  <dc:description/>
  <cp:lastModifiedBy>StefanieJ</cp:lastModifiedBy>
  <cp:lastPrinted>2008-09-10T18:31:47Z</cp:lastPrinted>
  <dcterms:created xsi:type="dcterms:W3CDTF">2008-09-02T17:30:31Z</dcterms:created>
  <dcterms:modified xsi:type="dcterms:W3CDTF">2008-09-10T18:32:39Z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080416</vt:lpwstr>
  </property>
  <property fmtid="{D5CDD505-2E9C-101B-9397-08002B2CF9AE}" pid="6" name="IsConfidenti">
    <vt:lpwstr>0</vt:lpwstr>
  </property>
  <property fmtid="{D5CDD505-2E9C-101B-9397-08002B2CF9AE}" pid="7" name="Dat">
    <vt:lpwstr>2008-09-19T00:00:00Z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2008-03-04T00:00:00Z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