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rinterSettings/printerSettings2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240" yWindow="348" windowWidth="21072" windowHeight="8772" tabRatio="902" firstSheet="1" activeTab="1"/>
  </bookViews>
  <sheets>
    <sheet name="_com.sap.ip.bi.xl.hiddensheet" sheetId="32" state="veryHidden" r:id="rId1"/>
    <sheet name="Allocated (CBR)" sheetId="24" r:id="rId2"/>
    <sheet name="Unallocated Detail (CBR)" sheetId="30" r:id="rId3"/>
    <sheet name="Unallocated Summary (CBR)" sheetId="25" r:id="rId4"/>
    <sheet name="Common by Account (CBR)" sheetId="26" r:id="rId5"/>
    <sheet name="==&gt;" sheetId="33" r:id="rId6"/>
    <sheet name="Allocators (CBR)" sheetId="23" r:id="rId7"/>
    <sheet name="FM" sheetId="29" r:id="rId8"/>
    <sheet name="Dec YTD" sheetId="36" r:id="rId9"/>
  </sheets>
  <externalReferences>
    <externalReference r:id="rId10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8">{"'Sheet1'!$A$1:$J$121"}</definedName>
    <definedName name="HTML_Control" localSheetId="7">{"'Sheet1'!$A$1:$J$121"}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 localSheetId="8">MATCH(0.01,End_Bal,-1)+1</definedName>
    <definedName name="Number_of_Payments" localSheetId="7">MATCH(0.01,End_Bal,-1)+1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FM!$A$1:$J$246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 localSheetId="8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 localSheetId="8">IF(Loan_Amount*Interest_Rate*Loan_Years*Loan_Start&gt;0,1,0)</definedName>
    <definedName name="Values_Entered" localSheetId="7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E252" i="29" l="1"/>
  <c r="E253" i="29"/>
  <c r="E307" i="30"/>
  <c r="G307" i="30" s="1"/>
  <c r="F307" i="30"/>
  <c r="H307" i="30" s="1"/>
  <c r="D307" i="30"/>
  <c r="C307" i="30"/>
  <c r="B307" i="30"/>
  <c r="B133" i="30"/>
  <c r="C133" i="30"/>
  <c r="F133" i="30"/>
  <c r="D133" i="30"/>
  <c r="E133" i="30"/>
  <c r="C134" i="30"/>
  <c r="D134" i="30"/>
  <c r="E134" i="30"/>
  <c r="B134" i="30"/>
  <c r="G134" i="30" s="1"/>
  <c r="F134" i="30"/>
  <c r="C135" i="30"/>
  <c r="D135" i="30"/>
  <c r="E135" i="30"/>
  <c r="F135" i="30"/>
  <c r="B135" i="30"/>
  <c r="C136" i="30"/>
  <c r="D136" i="30"/>
  <c r="E136" i="30"/>
  <c r="F136" i="30"/>
  <c r="B136" i="30"/>
  <c r="C137" i="30"/>
  <c r="F137" i="30"/>
  <c r="D137" i="30"/>
  <c r="E137" i="30"/>
  <c r="B137" i="30"/>
  <c r="G137" i="30" s="1"/>
  <c r="C138" i="30"/>
  <c r="D138" i="30"/>
  <c r="E138" i="30"/>
  <c r="B138" i="30"/>
  <c r="F138" i="30"/>
  <c r="C139" i="30"/>
  <c r="D139" i="30"/>
  <c r="E139" i="30"/>
  <c r="G139" i="30" s="1"/>
  <c r="F139" i="30"/>
  <c r="B139" i="30"/>
  <c r="C140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112" i="30"/>
  <c r="C113" i="30"/>
  <c r="C114" i="30"/>
  <c r="C115" i="30"/>
  <c r="C116" i="30"/>
  <c r="C117" i="30"/>
  <c r="C118" i="30"/>
  <c r="C119" i="30"/>
  <c r="C120" i="30"/>
  <c r="C121" i="30"/>
  <c r="C122" i="30"/>
  <c r="C123" i="30"/>
  <c r="C124" i="30"/>
  <c r="C125" i="30"/>
  <c r="C126" i="30"/>
  <c r="C127" i="30"/>
  <c r="C128" i="30"/>
  <c r="C129" i="30"/>
  <c r="C130" i="30"/>
  <c r="C131" i="30"/>
  <c r="C132" i="30"/>
  <c r="C141" i="30"/>
  <c r="C142" i="30"/>
  <c r="C143" i="30"/>
  <c r="C144" i="30"/>
  <c r="C145" i="30"/>
  <c r="D140" i="30"/>
  <c r="E140" i="30"/>
  <c r="F140" i="30"/>
  <c r="B140" i="30"/>
  <c r="F141" i="30"/>
  <c r="D141" i="30"/>
  <c r="E141" i="30"/>
  <c r="B141" i="30"/>
  <c r="D142" i="30"/>
  <c r="E142" i="30"/>
  <c r="B142" i="30"/>
  <c r="F142" i="30"/>
  <c r="D143" i="30"/>
  <c r="E143" i="30"/>
  <c r="F143" i="30"/>
  <c r="B143" i="30"/>
  <c r="F144" i="30"/>
  <c r="H144" i="30" s="1"/>
  <c r="D144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45" i="30"/>
  <c r="E144" i="30"/>
  <c r="B144" i="30"/>
  <c r="F145" i="30"/>
  <c r="E145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E103" i="30"/>
  <c r="E104" i="30"/>
  <c r="E105" i="30"/>
  <c r="E106" i="30"/>
  <c r="E107" i="30"/>
  <c r="E108" i="30"/>
  <c r="E109" i="30"/>
  <c r="E110" i="30"/>
  <c r="E111" i="30"/>
  <c r="E112" i="30"/>
  <c r="E113" i="30"/>
  <c r="E114" i="30"/>
  <c r="E115" i="30"/>
  <c r="E116" i="30"/>
  <c r="E117" i="30"/>
  <c r="E118" i="30"/>
  <c r="E119" i="30"/>
  <c r="E120" i="30"/>
  <c r="E121" i="30"/>
  <c r="E122" i="30"/>
  <c r="E123" i="30"/>
  <c r="E124" i="30"/>
  <c r="E125" i="30"/>
  <c r="E126" i="30"/>
  <c r="E127" i="30"/>
  <c r="E128" i="30"/>
  <c r="E129" i="30"/>
  <c r="E130" i="30"/>
  <c r="E131" i="30"/>
  <c r="E132" i="30"/>
  <c r="F70" i="30"/>
  <c r="F71" i="30"/>
  <c r="F72" i="30"/>
  <c r="H72" i="30"/>
  <c r="F73" i="30"/>
  <c r="F74" i="30"/>
  <c r="F75" i="30"/>
  <c r="F76" i="30"/>
  <c r="F77" i="30"/>
  <c r="F78" i="30"/>
  <c r="F79" i="30"/>
  <c r="F80" i="30"/>
  <c r="H80" i="30" s="1"/>
  <c r="F81" i="30"/>
  <c r="F82" i="30"/>
  <c r="F83" i="30"/>
  <c r="F84" i="30"/>
  <c r="F85" i="30"/>
  <c r="F86" i="30"/>
  <c r="F87" i="30"/>
  <c r="F88" i="30"/>
  <c r="H88" i="30" s="1"/>
  <c r="F89" i="30"/>
  <c r="F90" i="30"/>
  <c r="F91" i="30"/>
  <c r="F92" i="30"/>
  <c r="F93" i="30"/>
  <c r="F94" i="30"/>
  <c r="F95" i="30"/>
  <c r="F96" i="30"/>
  <c r="H96" i="30" s="1"/>
  <c r="F97" i="30"/>
  <c r="F98" i="30"/>
  <c r="F99" i="30"/>
  <c r="F100" i="30"/>
  <c r="H100" i="30" s="1"/>
  <c r="F101" i="30"/>
  <c r="H101" i="30" s="1"/>
  <c r="F102" i="30"/>
  <c r="F103" i="30"/>
  <c r="F104" i="30"/>
  <c r="H104" i="30" s="1"/>
  <c r="F105" i="30"/>
  <c r="F106" i="30"/>
  <c r="F107" i="30"/>
  <c r="F108" i="30"/>
  <c r="H108" i="30" s="1"/>
  <c r="F109" i="30"/>
  <c r="F110" i="30"/>
  <c r="F111" i="30"/>
  <c r="F112" i="30"/>
  <c r="H112" i="30" s="1"/>
  <c r="F113" i="30"/>
  <c r="F114" i="30"/>
  <c r="F115" i="30"/>
  <c r="F116" i="30"/>
  <c r="H116" i="30" s="1"/>
  <c r="F117" i="30"/>
  <c r="F118" i="30"/>
  <c r="F119" i="30"/>
  <c r="F120" i="30"/>
  <c r="H120" i="30" s="1"/>
  <c r="F121" i="30"/>
  <c r="F122" i="30"/>
  <c r="F123" i="30"/>
  <c r="F124" i="30"/>
  <c r="F125" i="30"/>
  <c r="F126" i="30"/>
  <c r="F127" i="30"/>
  <c r="F128" i="30"/>
  <c r="H128" i="30" s="1"/>
  <c r="F129" i="30"/>
  <c r="F130" i="30"/>
  <c r="F131" i="30"/>
  <c r="F132" i="30"/>
  <c r="B145" i="30"/>
  <c r="B70" i="30"/>
  <c r="B71" i="30"/>
  <c r="B72" i="30"/>
  <c r="B73" i="30"/>
  <c r="B74" i="30"/>
  <c r="B75" i="30"/>
  <c r="G75" i="30" s="1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G91" i="30" s="1"/>
  <c r="B92" i="30"/>
  <c r="B93" i="30"/>
  <c r="B94" i="30"/>
  <c r="B95" i="30"/>
  <c r="B96" i="30"/>
  <c r="B97" i="30"/>
  <c r="B98" i="30"/>
  <c r="B99" i="30"/>
  <c r="B100" i="30"/>
  <c r="B101" i="30"/>
  <c r="B102" i="30"/>
  <c r="B103" i="30"/>
  <c r="B104" i="30"/>
  <c r="B105" i="30"/>
  <c r="B106" i="30"/>
  <c r="B107" i="30"/>
  <c r="G107" i="30" s="1"/>
  <c r="B108" i="30"/>
  <c r="B109" i="30"/>
  <c r="G109" i="30" s="1"/>
  <c r="B110" i="30"/>
  <c r="G110" i="30" s="1"/>
  <c r="B111" i="30"/>
  <c r="B112" i="30"/>
  <c r="B113" i="30"/>
  <c r="B114" i="30"/>
  <c r="B115" i="30"/>
  <c r="G115" i="30" s="1"/>
  <c r="B116" i="30"/>
  <c r="G116" i="30" s="1"/>
  <c r="B117" i="30"/>
  <c r="B118" i="30"/>
  <c r="G118" i="30" s="1"/>
  <c r="B119" i="30"/>
  <c r="B120" i="30"/>
  <c r="B121" i="30"/>
  <c r="B122" i="30"/>
  <c r="B123" i="30"/>
  <c r="G123" i="30" s="1"/>
  <c r="B124" i="30"/>
  <c r="B125" i="30"/>
  <c r="B126" i="30"/>
  <c r="B127" i="30"/>
  <c r="B128" i="30"/>
  <c r="B129" i="30"/>
  <c r="B130" i="30"/>
  <c r="B131" i="30"/>
  <c r="G131" i="30" s="1"/>
  <c r="B132" i="30"/>
  <c r="G71" i="23"/>
  <c r="G78" i="26" s="1"/>
  <c r="G70" i="23"/>
  <c r="G69" i="23"/>
  <c r="G76" i="26" s="1"/>
  <c r="G68" i="23"/>
  <c r="G75" i="26" s="1"/>
  <c r="G67" i="23"/>
  <c r="F71" i="23"/>
  <c r="F78" i="26"/>
  <c r="F70" i="23"/>
  <c r="D245" i="30"/>
  <c r="F69" i="23"/>
  <c r="F29" i="23" s="1"/>
  <c r="K239" i="30" s="1"/>
  <c r="D239" i="30"/>
  <c r="M239" i="30" s="1"/>
  <c r="F68" i="23"/>
  <c r="F75" i="26" s="1"/>
  <c r="F67" i="23"/>
  <c r="D223" i="30"/>
  <c r="D259" i="30"/>
  <c r="D284" i="30"/>
  <c r="M284" i="30"/>
  <c r="C284" i="30"/>
  <c r="B284" i="30"/>
  <c r="D293" i="30"/>
  <c r="F293" i="30"/>
  <c r="C293" i="30"/>
  <c r="B293" i="30"/>
  <c r="B292" i="30"/>
  <c r="D292" i="30"/>
  <c r="F292" i="30"/>
  <c r="C292" i="30"/>
  <c r="D268" i="30"/>
  <c r="M268" i="30" s="1"/>
  <c r="D217" i="30"/>
  <c r="M217" i="30"/>
  <c r="D218" i="30"/>
  <c r="M218" i="30"/>
  <c r="M222" i="30"/>
  <c r="M231" i="30"/>
  <c r="M234" i="30"/>
  <c r="M250" i="30"/>
  <c r="M251" i="30"/>
  <c r="M252" i="30"/>
  <c r="M256" i="30"/>
  <c r="D257" i="30"/>
  <c r="M257" i="30"/>
  <c r="M261" i="30"/>
  <c r="M264" i="30"/>
  <c r="M273" i="30"/>
  <c r="M274" i="30"/>
  <c r="M277" i="30"/>
  <c r="M278" i="30"/>
  <c r="M282" i="30"/>
  <c r="M287" i="30"/>
  <c r="C245" i="30"/>
  <c r="B245" i="30"/>
  <c r="D266" i="30"/>
  <c r="M266" i="30" s="1"/>
  <c r="B266" i="30"/>
  <c r="F301" i="30"/>
  <c r="E301" i="30"/>
  <c r="D301" i="30"/>
  <c r="C301" i="30"/>
  <c r="B301" i="30"/>
  <c r="B3" i="26"/>
  <c r="B4" i="23"/>
  <c r="F319" i="30"/>
  <c r="E319" i="30"/>
  <c r="G319" i="30" s="1"/>
  <c r="F297" i="30"/>
  <c r="H297" i="30" s="1"/>
  <c r="C334" i="30"/>
  <c r="B334" i="30"/>
  <c r="C333" i="30"/>
  <c r="B333" i="30"/>
  <c r="C330" i="30"/>
  <c r="B330" i="30"/>
  <c r="C329" i="30"/>
  <c r="B329" i="30"/>
  <c r="C328" i="30"/>
  <c r="B328" i="30"/>
  <c r="C327" i="30"/>
  <c r="B327" i="30"/>
  <c r="C326" i="30"/>
  <c r="B326" i="30"/>
  <c r="C325" i="30"/>
  <c r="B325" i="30"/>
  <c r="C324" i="30"/>
  <c r="B324" i="30"/>
  <c r="C323" i="30"/>
  <c r="B323" i="30"/>
  <c r="C322" i="30"/>
  <c r="B322" i="30"/>
  <c r="C319" i="30"/>
  <c r="B319" i="30"/>
  <c r="C318" i="30"/>
  <c r="B318" i="30"/>
  <c r="C317" i="30"/>
  <c r="B317" i="30"/>
  <c r="C316" i="30"/>
  <c r="B316" i="30"/>
  <c r="C315" i="30"/>
  <c r="B315" i="30"/>
  <c r="C314" i="30"/>
  <c r="B314" i="30"/>
  <c r="C313" i="30"/>
  <c r="B313" i="30"/>
  <c r="C312" i="30"/>
  <c r="B312" i="30"/>
  <c r="C311" i="30"/>
  <c r="B311" i="30"/>
  <c r="C310" i="30"/>
  <c r="B310" i="30"/>
  <c r="C309" i="30"/>
  <c r="B309" i="30"/>
  <c r="C308" i="30"/>
  <c r="B308" i="30"/>
  <c r="C306" i="30"/>
  <c r="B306" i="30"/>
  <c r="C305" i="30"/>
  <c r="B305" i="30"/>
  <c r="C304" i="30"/>
  <c r="B304" i="30"/>
  <c r="C303" i="30"/>
  <c r="B303" i="30"/>
  <c r="C302" i="30"/>
  <c r="B302" i="30"/>
  <c r="C300" i="30"/>
  <c r="B300" i="30"/>
  <c r="C299" i="30"/>
  <c r="B299" i="30"/>
  <c r="C298" i="30"/>
  <c r="B298" i="30"/>
  <c r="C297" i="30"/>
  <c r="B297" i="30"/>
  <c r="C296" i="30"/>
  <c r="B296" i="30"/>
  <c r="C285" i="30"/>
  <c r="B285" i="30"/>
  <c r="C283" i="30"/>
  <c r="B283" i="30"/>
  <c r="C280" i="30"/>
  <c r="B280" i="30"/>
  <c r="C279" i="30"/>
  <c r="B279" i="30"/>
  <c r="C275" i="30"/>
  <c r="C276" i="30" s="1"/>
  <c r="C34" i="25" s="1"/>
  <c r="B275" i="30"/>
  <c r="B276" i="30" s="1"/>
  <c r="B34" i="25" s="1"/>
  <c r="C270" i="30"/>
  <c r="B270" i="30"/>
  <c r="C269" i="30"/>
  <c r="B269" i="30"/>
  <c r="C268" i="30"/>
  <c r="B268" i="30"/>
  <c r="C267" i="30"/>
  <c r="B267" i="30"/>
  <c r="C266" i="30"/>
  <c r="C265" i="30"/>
  <c r="B265" i="30"/>
  <c r="C262" i="30"/>
  <c r="C263" i="30" s="1"/>
  <c r="C32" i="25" s="1"/>
  <c r="B262" i="30"/>
  <c r="B263" i="30" s="1"/>
  <c r="B32" i="25" s="1"/>
  <c r="C259" i="30"/>
  <c r="B259" i="30"/>
  <c r="C258" i="30"/>
  <c r="B258" i="30"/>
  <c r="C257" i="30"/>
  <c r="B257" i="30"/>
  <c r="C254" i="30"/>
  <c r="B254" i="30"/>
  <c r="C253" i="30"/>
  <c r="B253" i="30"/>
  <c r="C247" i="30"/>
  <c r="B247" i="30"/>
  <c r="C246" i="30"/>
  <c r="B246" i="30"/>
  <c r="C244" i="30"/>
  <c r="B244" i="30"/>
  <c r="C243" i="30"/>
  <c r="B243" i="30"/>
  <c r="C242" i="30"/>
  <c r="B242" i="30"/>
  <c r="C241" i="30"/>
  <c r="B241" i="30"/>
  <c r="C240" i="30"/>
  <c r="B240" i="30"/>
  <c r="C239" i="30"/>
  <c r="B239" i="30"/>
  <c r="C238" i="30"/>
  <c r="B238" i="30"/>
  <c r="C237" i="30"/>
  <c r="B237" i="30"/>
  <c r="C236" i="30"/>
  <c r="B236" i="30"/>
  <c r="C235" i="30"/>
  <c r="B235" i="30"/>
  <c r="C232" i="30"/>
  <c r="C233" i="30" s="1"/>
  <c r="C28" i="25" s="1"/>
  <c r="B232" i="30"/>
  <c r="B233" i="30" s="1"/>
  <c r="B28" i="25" s="1"/>
  <c r="C229" i="30"/>
  <c r="B229" i="30"/>
  <c r="C228" i="30"/>
  <c r="B228" i="30"/>
  <c r="C227" i="30"/>
  <c r="B227" i="30"/>
  <c r="C226" i="30"/>
  <c r="B226" i="30"/>
  <c r="C225" i="30"/>
  <c r="B225" i="30"/>
  <c r="C224" i="30"/>
  <c r="B224" i="30"/>
  <c r="C223" i="30"/>
  <c r="B223" i="30"/>
  <c r="C220" i="30"/>
  <c r="B220" i="30"/>
  <c r="C219" i="30"/>
  <c r="B219" i="30"/>
  <c r="B221" i="30" s="1"/>
  <c r="B26" i="25" s="1"/>
  <c r="C218" i="30"/>
  <c r="B218" i="30"/>
  <c r="C217" i="30"/>
  <c r="B217" i="30"/>
  <c r="C216" i="30"/>
  <c r="B216" i="30"/>
  <c r="C213" i="30"/>
  <c r="B213" i="30"/>
  <c r="C212" i="30"/>
  <c r="B212" i="30"/>
  <c r="C211" i="30"/>
  <c r="B211" i="30"/>
  <c r="C210" i="30"/>
  <c r="B210" i="30"/>
  <c r="C209" i="30"/>
  <c r="B209" i="30"/>
  <c r="C208" i="30"/>
  <c r="B208" i="30"/>
  <c r="C207" i="30"/>
  <c r="B207" i="30"/>
  <c r="C206" i="30"/>
  <c r="B206" i="30"/>
  <c r="C205" i="30"/>
  <c r="B205" i="30"/>
  <c r="C204" i="30"/>
  <c r="B204" i="30"/>
  <c r="C203" i="30"/>
  <c r="B203" i="30"/>
  <c r="C202" i="30"/>
  <c r="B202" i="30"/>
  <c r="C201" i="30"/>
  <c r="B201" i="30"/>
  <c r="C200" i="30"/>
  <c r="B200" i="30"/>
  <c r="C199" i="30"/>
  <c r="B199" i="30"/>
  <c r="C198" i="30"/>
  <c r="B198" i="30"/>
  <c r="C197" i="30"/>
  <c r="B197" i="30"/>
  <c r="C196" i="30"/>
  <c r="B196" i="30"/>
  <c r="C195" i="30"/>
  <c r="B195" i="30"/>
  <c r="C194" i="30"/>
  <c r="B194" i="30"/>
  <c r="C193" i="30"/>
  <c r="B193" i="30"/>
  <c r="C192" i="30"/>
  <c r="B192" i="30"/>
  <c r="C191" i="30"/>
  <c r="B191" i="30"/>
  <c r="C190" i="30"/>
  <c r="B190" i="30"/>
  <c r="C189" i="30"/>
  <c r="B189" i="30"/>
  <c r="C188" i="30"/>
  <c r="B188" i="30"/>
  <c r="C187" i="30"/>
  <c r="B187" i="30"/>
  <c r="C186" i="30"/>
  <c r="B186" i="30"/>
  <c r="C185" i="30"/>
  <c r="B185" i="30"/>
  <c r="C184" i="30"/>
  <c r="B184" i="30"/>
  <c r="C183" i="30"/>
  <c r="B183" i="30"/>
  <c r="C182" i="30"/>
  <c r="B182" i="30"/>
  <c r="C181" i="30"/>
  <c r="B181" i="30"/>
  <c r="C180" i="30"/>
  <c r="B180" i="30"/>
  <c r="C179" i="30"/>
  <c r="B179" i="30"/>
  <c r="C178" i="30"/>
  <c r="B178" i="30"/>
  <c r="C175" i="30"/>
  <c r="B175" i="30"/>
  <c r="C174" i="30"/>
  <c r="B174" i="30"/>
  <c r="C173" i="30"/>
  <c r="B173" i="30"/>
  <c r="C172" i="30"/>
  <c r="B172" i="30"/>
  <c r="C171" i="30"/>
  <c r="B171" i="30"/>
  <c r="C170" i="30"/>
  <c r="B170" i="30"/>
  <c r="C169" i="30"/>
  <c r="B169" i="30"/>
  <c r="C168" i="30"/>
  <c r="B168" i="30"/>
  <c r="C167" i="30"/>
  <c r="B167" i="30"/>
  <c r="C166" i="30"/>
  <c r="B166" i="30"/>
  <c r="C165" i="30"/>
  <c r="B165" i="30"/>
  <c r="C164" i="30"/>
  <c r="B164" i="30"/>
  <c r="C163" i="30"/>
  <c r="B163" i="30"/>
  <c r="C162" i="30"/>
  <c r="B162" i="30"/>
  <c r="C161" i="30"/>
  <c r="B161" i="30"/>
  <c r="C160" i="30"/>
  <c r="B160" i="30"/>
  <c r="C159" i="30"/>
  <c r="B159" i="30"/>
  <c r="C158" i="30"/>
  <c r="B158" i="30"/>
  <c r="C157" i="30"/>
  <c r="B157" i="30"/>
  <c r="C156" i="30"/>
  <c r="B156" i="30"/>
  <c r="C155" i="30"/>
  <c r="B155" i="30"/>
  <c r="C154" i="30"/>
  <c r="B154" i="30"/>
  <c r="C153" i="30"/>
  <c r="B153" i="30"/>
  <c r="C152" i="30"/>
  <c r="B152" i="30"/>
  <c r="C151" i="30"/>
  <c r="B151" i="30"/>
  <c r="C150" i="30"/>
  <c r="B150" i="30"/>
  <c r="C149" i="30"/>
  <c r="B149" i="30"/>
  <c r="C148" i="30"/>
  <c r="B148" i="30"/>
  <c r="C61" i="30"/>
  <c r="C62" i="30" s="1"/>
  <c r="C20" i="25" s="1"/>
  <c r="B61" i="30"/>
  <c r="B62" i="30" s="1"/>
  <c r="B20" i="25" s="1"/>
  <c r="C58" i="30"/>
  <c r="C59" i="30" s="1"/>
  <c r="C19" i="25" s="1"/>
  <c r="B58" i="30"/>
  <c r="C55" i="30"/>
  <c r="B55" i="30"/>
  <c r="C54" i="30"/>
  <c r="B54" i="30"/>
  <c r="C53" i="30"/>
  <c r="B53" i="30"/>
  <c r="C52" i="30"/>
  <c r="B52" i="30"/>
  <c r="C51" i="30"/>
  <c r="B51" i="30"/>
  <c r="C50" i="30"/>
  <c r="B50" i="30"/>
  <c r="C49" i="30"/>
  <c r="B49" i="30"/>
  <c r="C46" i="30"/>
  <c r="B46" i="30"/>
  <c r="B47" i="30" s="1"/>
  <c r="C45" i="30"/>
  <c r="B45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4" i="30"/>
  <c r="B24" i="30"/>
  <c r="C23" i="30"/>
  <c r="B23" i="30"/>
  <c r="C20" i="30"/>
  <c r="C21" i="30" s="1"/>
  <c r="C9" i="25" s="1"/>
  <c r="B20" i="30"/>
  <c r="B21" i="30" s="1"/>
  <c r="B9" i="25" s="1"/>
  <c r="C17" i="30"/>
  <c r="B17" i="30"/>
  <c r="C16" i="30"/>
  <c r="B16" i="30"/>
  <c r="C15" i="30"/>
  <c r="B15" i="30"/>
  <c r="C14" i="30"/>
  <c r="B14" i="30"/>
  <c r="C13" i="30"/>
  <c r="B13" i="30"/>
  <c r="C12" i="30"/>
  <c r="B12" i="30"/>
  <c r="F334" i="30"/>
  <c r="E334" i="30"/>
  <c r="F333" i="30"/>
  <c r="E333" i="30"/>
  <c r="F330" i="30"/>
  <c r="H330" i="30" s="1"/>
  <c r="E330" i="30"/>
  <c r="G330" i="30" s="1"/>
  <c r="F329" i="30"/>
  <c r="H329" i="30" s="1"/>
  <c r="E329" i="30"/>
  <c r="F328" i="30"/>
  <c r="E328" i="30"/>
  <c r="G328" i="30" s="1"/>
  <c r="F327" i="30"/>
  <c r="E327" i="30"/>
  <c r="G327" i="30" s="1"/>
  <c r="F326" i="30"/>
  <c r="E326" i="30"/>
  <c r="F325" i="30"/>
  <c r="H325" i="30" s="1"/>
  <c r="E325" i="30"/>
  <c r="F324" i="30"/>
  <c r="E324" i="30"/>
  <c r="G324" i="30" s="1"/>
  <c r="F323" i="30"/>
  <c r="E323" i="30"/>
  <c r="F322" i="30"/>
  <c r="H322" i="30" s="1"/>
  <c r="E322" i="30"/>
  <c r="G322" i="30" s="1"/>
  <c r="F318" i="30"/>
  <c r="E318" i="30"/>
  <c r="G318" i="30" s="1"/>
  <c r="F317" i="30"/>
  <c r="E317" i="30"/>
  <c r="F316" i="30"/>
  <c r="E316" i="30"/>
  <c r="F315" i="30"/>
  <c r="H315" i="30" s="1"/>
  <c r="E315" i="30"/>
  <c r="G315" i="30" s="1"/>
  <c r="F314" i="30"/>
  <c r="H314" i="30" s="1"/>
  <c r="E314" i="30"/>
  <c r="F313" i="30"/>
  <c r="E313" i="30"/>
  <c r="F312" i="30"/>
  <c r="E312" i="30"/>
  <c r="G312" i="30" s="1"/>
  <c r="F311" i="30"/>
  <c r="H311" i="30" s="1"/>
  <c r="E311" i="30"/>
  <c r="G311" i="30" s="1"/>
  <c r="F310" i="30"/>
  <c r="E310" i="30"/>
  <c r="G310" i="30" s="1"/>
  <c r="F309" i="30"/>
  <c r="E309" i="30"/>
  <c r="F308" i="30"/>
  <c r="E308" i="30"/>
  <c r="F306" i="30"/>
  <c r="H306" i="30" s="1"/>
  <c r="E306" i="30"/>
  <c r="F305" i="30"/>
  <c r="E305" i="30"/>
  <c r="G305" i="30" s="1"/>
  <c r="F304" i="30"/>
  <c r="E304" i="30"/>
  <c r="F303" i="30"/>
  <c r="E303" i="30"/>
  <c r="F302" i="30"/>
  <c r="H302" i="30" s="1"/>
  <c r="E302" i="30"/>
  <c r="F300" i="30"/>
  <c r="E300" i="30"/>
  <c r="G300" i="30" s="1"/>
  <c r="F299" i="30"/>
  <c r="E299" i="30"/>
  <c r="F296" i="30"/>
  <c r="E296" i="30"/>
  <c r="G296" i="30" s="1"/>
  <c r="F285" i="30"/>
  <c r="E285" i="30"/>
  <c r="F280" i="30"/>
  <c r="D62" i="26" s="1"/>
  <c r="E280" i="30"/>
  <c r="C62" i="26" s="1"/>
  <c r="F279" i="30"/>
  <c r="E279" i="30"/>
  <c r="G279" i="30" s="1"/>
  <c r="F270" i="30"/>
  <c r="E270" i="30"/>
  <c r="C54" i="26" s="1"/>
  <c r="F269" i="30"/>
  <c r="D53" i="26" s="1"/>
  <c r="E269" i="30"/>
  <c r="C53" i="26" s="1"/>
  <c r="F267" i="30"/>
  <c r="D51" i="26" s="1"/>
  <c r="E267" i="30"/>
  <c r="C51" i="26" s="1"/>
  <c r="F265" i="30"/>
  <c r="D49" i="26" s="1"/>
  <c r="E265" i="30"/>
  <c r="F262" i="30"/>
  <c r="E262" i="30"/>
  <c r="F232" i="30"/>
  <c r="F233" i="30" s="1"/>
  <c r="E232" i="30"/>
  <c r="E233" i="30" s="1"/>
  <c r="F213" i="30"/>
  <c r="E213" i="30"/>
  <c r="F212" i="30"/>
  <c r="E212" i="30"/>
  <c r="G212" i="30" s="1"/>
  <c r="F211" i="30"/>
  <c r="E211" i="30"/>
  <c r="F210" i="30"/>
  <c r="E210" i="30"/>
  <c r="G210" i="30" s="1"/>
  <c r="F209" i="30"/>
  <c r="E209" i="30"/>
  <c r="F208" i="30"/>
  <c r="E208" i="30"/>
  <c r="F207" i="30"/>
  <c r="E207" i="30"/>
  <c r="F206" i="30"/>
  <c r="E206" i="30"/>
  <c r="G206" i="30" s="1"/>
  <c r="F205" i="30"/>
  <c r="E205" i="30"/>
  <c r="F204" i="30"/>
  <c r="E204" i="30"/>
  <c r="F203" i="30"/>
  <c r="E203" i="30"/>
  <c r="F202" i="30"/>
  <c r="E202" i="30"/>
  <c r="G202" i="30" s="1"/>
  <c r="F201" i="30"/>
  <c r="E201" i="30"/>
  <c r="F200" i="30"/>
  <c r="E200" i="30"/>
  <c r="G200" i="30" s="1"/>
  <c r="F199" i="30"/>
  <c r="E199" i="30"/>
  <c r="F198" i="30"/>
  <c r="E198" i="30"/>
  <c r="F197" i="30"/>
  <c r="E197" i="30"/>
  <c r="F196" i="30"/>
  <c r="E196" i="30"/>
  <c r="G196" i="30" s="1"/>
  <c r="F195" i="30"/>
  <c r="E195" i="30"/>
  <c r="F194" i="30"/>
  <c r="E194" i="30"/>
  <c r="G194" i="30" s="1"/>
  <c r="F193" i="30"/>
  <c r="E193" i="30"/>
  <c r="F192" i="30"/>
  <c r="E192" i="30"/>
  <c r="G192" i="30" s="1"/>
  <c r="F191" i="30"/>
  <c r="E191" i="30"/>
  <c r="F190" i="30"/>
  <c r="E190" i="30"/>
  <c r="F189" i="30"/>
  <c r="E189" i="30"/>
  <c r="F188" i="30"/>
  <c r="E188" i="30"/>
  <c r="G188" i="30" s="1"/>
  <c r="F187" i="30"/>
  <c r="E187" i="30"/>
  <c r="F186" i="30"/>
  <c r="E186" i="30"/>
  <c r="G186" i="30" s="1"/>
  <c r="F185" i="30"/>
  <c r="E185" i="30"/>
  <c r="F184" i="30"/>
  <c r="E184" i="30"/>
  <c r="F183" i="30"/>
  <c r="E183" i="30"/>
  <c r="F182" i="30"/>
  <c r="E182" i="30"/>
  <c r="F181" i="30"/>
  <c r="E181" i="30"/>
  <c r="F180" i="30"/>
  <c r="E180" i="30"/>
  <c r="F179" i="30"/>
  <c r="E179" i="30"/>
  <c r="F178" i="30"/>
  <c r="E178" i="30"/>
  <c r="G178" i="30" s="1"/>
  <c r="F175" i="30"/>
  <c r="E175" i="30"/>
  <c r="F174" i="30"/>
  <c r="E174" i="30"/>
  <c r="F173" i="30"/>
  <c r="E173" i="30"/>
  <c r="F172" i="30"/>
  <c r="E172" i="30"/>
  <c r="G172" i="30" s="1"/>
  <c r="F171" i="30"/>
  <c r="E171" i="30"/>
  <c r="F170" i="30"/>
  <c r="E170" i="30"/>
  <c r="F169" i="30"/>
  <c r="E169" i="30"/>
  <c r="F168" i="30"/>
  <c r="E168" i="30"/>
  <c r="G168" i="30" s="1"/>
  <c r="F167" i="30"/>
  <c r="E167" i="30"/>
  <c r="F166" i="30"/>
  <c r="E166" i="30"/>
  <c r="F165" i="30"/>
  <c r="E165" i="30"/>
  <c r="F164" i="30"/>
  <c r="E164" i="30"/>
  <c r="G164" i="30" s="1"/>
  <c r="F163" i="30"/>
  <c r="E163" i="30"/>
  <c r="F162" i="30"/>
  <c r="E162" i="30"/>
  <c r="F161" i="30"/>
  <c r="E161" i="30"/>
  <c r="F160" i="30"/>
  <c r="E160" i="30"/>
  <c r="G160" i="30" s="1"/>
  <c r="F159" i="30"/>
  <c r="E159" i="30"/>
  <c r="F158" i="30"/>
  <c r="E158" i="30"/>
  <c r="F157" i="30"/>
  <c r="E157" i="30"/>
  <c r="F156" i="30"/>
  <c r="E156" i="30"/>
  <c r="G156" i="30" s="1"/>
  <c r="F155" i="30"/>
  <c r="E155" i="30"/>
  <c r="F154" i="30"/>
  <c r="E154" i="30"/>
  <c r="G154" i="30" s="1"/>
  <c r="F153" i="30"/>
  <c r="E153" i="30"/>
  <c r="F152" i="30"/>
  <c r="E152" i="30"/>
  <c r="G152" i="30" s="1"/>
  <c r="F151" i="30"/>
  <c r="E151" i="30"/>
  <c r="F150" i="30"/>
  <c r="E150" i="30"/>
  <c r="G150" i="30" s="1"/>
  <c r="F149" i="30"/>
  <c r="E149" i="30"/>
  <c r="F148" i="30"/>
  <c r="E148" i="30"/>
  <c r="G148" i="30" s="1"/>
  <c r="G86" i="30"/>
  <c r="F61" i="30"/>
  <c r="F62" i="30" s="1"/>
  <c r="E61" i="30"/>
  <c r="E62" i="30" s="1"/>
  <c r="F58" i="30"/>
  <c r="E58" i="30"/>
  <c r="E59" i="30" s="1"/>
  <c r="F55" i="30"/>
  <c r="E55" i="30"/>
  <c r="F54" i="30"/>
  <c r="H54" i="30" s="1"/>
  <c r="E54" i="30"/>
  <c r="F53" i="30"/>
  <c r="E53" i="30"/>
  <c r="F52" i="30"/>
  <c r="E52" i="30"/>
  <c r="F51" i="30"/>
  <c r="E51" i="30"/>
  <c r="F50" i="30"/>
  <c r="E50" i="30"/>
  <c r="F49" i="30"/>
  <c r="E49" i="30"/>
  <c r="F46" i="30"/>
  <c r="E46" i="30"/>
  <c r="G46" i="30" s="1"/>
  <c r="F45" i="30"/>
  <c r="E45" i="30"/>
  <c r="F39" i="30"/>
  <c r="H39" i="30" s="1"/>
  <c r="E39" i="30"/>
  <c r="F38" i="30"/>
  <c r="E38" i="30"/>
  <c r="F37" i="30"/>
  <c r="E37" i="30"/>
  <c r="F36" i="30"/>
  <c r="E36" i="30"/>
  <c r="F35" i="30"/>
  <c r="H35" i="30" s="1"/>
  <c r="E35" i="30"/>
  <c r="F34" i="30"/>
  <c r="E34" i="30"/>
  <c r="F33" i="30"/>
  <c r="E33" i="30"/>
  <c r="F32" i="30"/>
  <c r="H32" i="30" s="1"/>
  <c r="E32" i="30"/>
  <c r="F31" i="30"/>
  <c r="H31" i="30" s="1"/>
  <c r="E31" i="30"/>
  <c r="F30" i="30"/>
  <c r="E30" i="30"/>
  <c r="F29" i="30"/>
  <c r="E29" i="30"/>
  <c r="F28" i="30"/>
  <c r="E28" i="30"/>
  <c r="F27" i="30"/>
  <c r="H27" i="30" s="1"/>
  <c r="E27" i="30"/>
  <c r="G27" i="30" s="1"/>
  <c r="F24" i="30"/>
  <c r="E24" i="30"/>
  <c r="F23" i="30"/>
  <c r="E23" i="30"/>
  <c r="F20" i="30"/>
  <c r="F21" i="30" s="1"/>
  <c r="E20" i="30"/>
  <c r="E21" i="30" s="1"/>
  <c r="F17" i="30"/>
  <c r="E17" i="30"/>
  <c r="F16" i="30"/>
  <c r="E16" i="30"/>
  <c r="F15" i="30"/>
  <c r="E15" i="30"/>
  <c r="G15" i="30" s="1"/>
  <c r="F14" i="30"/>
  <c r="E14" i="30"/>
  <c r="G14" i="30" s="1"/>
  <c r="F13" i="30"/>
  <c r="E13" i="30"/>
  <c r="F12" i="30"/>
  <c r="E12" i="30"/>
  <c r="D334" i="30"/>
  <c r="D333" i="30"/>
  <c r="D330" i="30"/>
  <c r="D329" i="30"/>
  <c r="D328" i="30"/>
  <c r="D327" i="30"/>
  <c r="D326" i="30"/>
  <c r="D325" i="30"/>
  <c r="D324" i="30"/>
  <c r="D323" i="30"/>
  <c r="D322" i="30"/>
  <c r="D319" i="30"/>
  <c r="D318" i="30"/>
  <c r="D317" i="30"/>
  <c r="D316" i="30"/>
  <c r="D315" i="30"/>
  <c r="D314" i="30"/>
  <c r="D313" i="30"/>
  <c r="D312" i="30"/>
  <c r="D311" i="30"/>
  <c r="D310" i="30"/>
  <c r="D309" i="30"/>
  <c r="D308" i="30"/>
  <c r="D306" i="30"/>
  <c r="D305" i="30"/>
  <c r="D304" i="30"/>
  <c r="D303" i="30"/>
  <c r="D302" i="30"/>
  <c r="D300" i="30"/>
  <c r="D299" i="30"/>
  <c r="D298" i="30"/>
  <c r="D297" i="30"/>
  <c r="D296" i="30"/>
  <c r="D285" i="30"/>
  <c r="M285" i="30" s="1"/>
  <c r="D283" i="30"/>
  <c r="M283" i="30" s="1"/>
  <c r="D280" i="30"/>
  <c r="M280" i="30" s="1"/>
  <c r="D279" i="30"/>
  <c r="M279" i="30" s="1"/>
  <c r="D275" i="30"/>
  <c r="D276" i="30" s="1"/>
  <c r="D34" i="25" s="1"/>
  <c r="D270" i="30"/>
  <c r="M270" i="30" s="1"/>
  <c r="D269" i="30"/>
  <c r="M269" i="30" s="1"/>
  <c r="D267" i="30"/>
  <c r="M267" i="30" s="1"/>
  <c r="D265" i="30"/>
  <c r="M265" i="30" s="1"/>
  <c r="D262" i="30"/>
  <c r="M262" i="30" s="1"/>
  <c r="M259" i="30"/>
  <c r="D258" i="30"/>
  <c r="M258" i="30" s="1"/>
  <c r="D254" i="30"/>
  <c r="M254" i="30" s="1"/>
  <c r="D253" i="30"/>
  <c r="D247" i="30"/>
  <c r="M247" i="30" s="1"/>
  <c r="D246" i="30"/>
  <c r="M246" i="30" s="1"/>
  <c r="D244" i="30"/>
  <c r="D243" i="30"/>
  <c r="M243" i="30" s="1"/>
  <c r="D242" i="30"/>
  <c r="M242" i="30" s="1"/>
  <c r="D241" i="30"/>
  <c r="M241" i="30" s="1"/>
  <c r="D240" i="30"/>
  <c r="M240" i="30" s="1"/>
  <c r="D238" i="30"/>
  <c r="D237" i="30"/>
  <c r="M237" i="30" s="1"/>
  <c r="D236" i="30"/>
  <c r="M236" i="30" s="1"/>
  <c r="D235" i="30"/>
  <c r="M235" i="30" s="1"/>
  <c r="D232" i="30"/>
  <c r="M232" i="30" s="1"/>
  <c r="D229" i="30"/>
  <c r="M229" i="30" s="1"/>
  <c r="D228" i="30"/>
  <c r="M228" i="30" s="1"/>
  <c r="D227" i="30"/>
  <c r="M227" i="30" s="1"/>
  <c r="D226" i="30"/>
  <c r="M226" i="30" s="1"/>
  <c r="D225" i="30"/>
  <c r="M225" i="30" s="1"/>
  <c r="D224" i="30"/>
  <c r="M224" i="30" s="1"/>
  <c r="D220" i="30"/>
  <c r="M220" i="30" s="1"/>
  <c r="D219" i="30"/>
  <c r="M219" i="30" s="1"/>
  <c r="D216" i="30"/>
  <c r="M216" i="30" s="1"/>
  <c r="D213" i="30"/>
  <c r="D212" i="30"/>
  <c r="D211" i="30"/>
  <c r="D210" i="30"/>
  <c r="D209" i="30"/>
  <c r="D208" i="30"/>
  <c r="D207" i="30"/>
  <c r="D206" i="30"/>
  <c r="D205" i="30"/>
  <c r="D204" i="30"/>
  <c r="D203" i="30"/>
  <c r="D202" i="30"/>
  <c r="D201" i="30"/>
  <c r="D200" i="30"/>
  <c r="D199" i="30"/>
  <c r="D198" i="30"/>
  <c r="D197" i="30"/>
  <c r="D196" i="30"/>
  <c r="D195" i="30"/>
  <c r="D194" i="30"/>
  <c r="D193" i="30"/>
  <c r="D192" i="30"/>
  <c r="D191" i="30"/>
  <c r="D190" i="30"/>
  <c r="D189" i="30"/>
  <c r="D188" i="30"/>
  <c r="D187" i="30"/>
  <c r="D186" i="30"/>
  <c r="D185" i="30"/>
  <c r="D184" i="30"/>
  <c r="D183" i="30"/>
  <c r="D182" i="30"/>
  <c r="D181" i="30"/>
  <c r="D180" i="30"/>
  <c r="D179" i="30"/>
  <c r="D178" i="30"/>
  <c r="D175" i="30"/>
  <c r="D174" i="30"/>
  <c r="D173" i="30"/>
  <c r="D172" i="30"/>
  <c r="D171" i="30"/>
  <c r="D170" i="30"/>
  <c r="D169" i="30"/>
  <c r="D168" i="30"/>
  <c r="D167" i="30"/>
  <c r="D166" i="30"/>
  <c r="D165" i="30"/>
  <c r="D164" i="30"/>
  <c r="D163" i="30"/>
  <c r="D162" i="30"/>
  <c r="D161" i="30"/>
  <c r="D160" i="30"/>
  <c r="D159" i="30"/>
  <c r="D158" i="30"/>
  <c r="D157" i="30"/>
  <c r="D156" i="30"/>
  <c r="D155" i="30"/>
  <c r="D154" i="30"/>
  <c r="D153" i="30"/>
  <c r="D152" i="30"/>
  <c r="D151" i="30"/>
  <c r="D150" i="30"/>
  <c r="D149" i="30"/>
  <c r="D148" i="30"/>
  <c r="D61" i="30"/>
  <c r="D62" i="30" s="1"/>
  <c r="D20" i="25" s="1"/>
  <c r="D58" i="30"/>
  <c r="D59" i="30" s="1"/>
  <c r="D19" i="25" s="1"/>
  <c r="D55" i="30"/>
  <c r="D54" i="30"/>
  <c r="D53" i="30"/>
  <c r="D52" i="30"/>
  <c r="D51" i="30"/>
  <c r="D50" i="30"/>
  <c r="D49" i="30"/>
  <c r="D46" i="30"/>
  <c r="D45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4" i="30"/>
  <c r="D23" i="30"/>
  <c r="D20" i="30"/>
  <c r="D21" i="30" s="1"/>
  <c r="D9" i="25" s="1"/>
  <c r="D17" i="30"/>
  <c r="D16" i="30"/>
  <c r="D15" i="30"/>
  <c r="D14" i="30"/>
  <c r="D13" i="30"/>
  <c r="D12" i="30"/>
  <c r="E298" i="30"/>
  <c r="G298" i="30" s="1"/>
  <c r="E297" i="30"/>
  <c r="F298" i="30"/>
  <c r="H298" i="30" s="1"/>
  <c r="C294" i="30"/>
  <c r="C42" i="25"/>
  <c r="C46" i="25"/>
  <c r="G29" i="23"/>
  <c r="L239" i="30" s="1"/>
  <c r="F10" i="23"/>
  <c r="K217" i="30"/>
  <c r="E217" i="30" s="1"/>
  <c r="G20" i="23"/>
  <c r="L227" i="30" s="1"/>
  <c r="G28" i="23"/>
  <c r="L238" i="30" s="1"/>
  <c r="B4" i="26"/>
  <c r="E37" i="25"/>
  <c r="E39" i="25"/>
  <c r="E21" i="25"/>
  <c r="E12" i="25"/>
  <c r="A3" i="25"/>
  <c r="A3" i="30"/>
  <c r="B3" i="23"/>
  <c r="D294" i="30"/>
  <c r="D42" i="25"/>
  <c r="D46" i="25"/>
  <c r="E292" i="30"/>
  <c r="G292" i="30"/>
  <c r="H319" i="30"/>
  <c r="H292" i="30"/>
  <c r="I292" i="30"/>
  <c r="G301" i="30"/>
  <c r="H301" i="30"/>
  <c r="G83" i="30"/>
  <c r="G99" i="30"/>
  <c r="G132" i="30"/>
  <c r="G85" i="30"/>
  <c r="G78" i="30"/>
  <c r="B281" i="30"/>
  <c r="B35" i="25" s="1"/>
  <c r="G76" i="30"/>
  <c r="G84" i="30"/>
  <c r="G100" i="30"/>
  <c r="G89" i="30"/>
  <c r="G113" i="30"/>
  <c r="G121" i="30"/>
  <c r="G129" i="30"/>
  <c r="G93" i="30"/>
  <c r="B335" i="30"/>
  <c r="G49" i="23"/>
  <c r="L266" i="30" s="1"/>
  <c r="F266" i="30" s="1"/>
  <c r="G36" i="23"/>
  <c r="L246" i="30" s="1"/>
  <c r="G50" i="23"/>
  <c r="G26" i="23"/>
  <c r="L236" i="30" s="1"/>
  <c r="G35" i="23"/>
  <c r="L245" i="30" s="1"/>
  <c r="F245" i="30" s="1"/>
  <c r="H245" i="30" s="1"/>
  <c r="G12" i="23"/>
  <c r="L219" i="30" s="1"/>
  <c r="G37" i="23"/>
  <c r="L247" i="30" s="1"/>
  <c r="F247" i="30" s="1"/>
  <c r="G32" i="23"/>
  <c r="L242" i="30" s="1"/>
  <c r="F242" i="30" s="1"/>
  <c r="H242" i="30" s="1"/>
  <c r="G40" i="23"/>
  <c r="L253" i="30" s="1"/>
  <c r="G56" i="23"/>
  <c r="G53" i="23"/>
  <c r="G60" i="23"/>
  <c r="L284" i="30" s="1"/>
  <c r="F284" i="30" s="1"/>
  <c r="G25" i="23"/>
  <c r="L235" i="30" s="1"/>
  <c r="G77" i="26"/>
  <c r="G33" i="23"/>
  <c r="L243" i="30" s="1"/>
  <c r="G45" i="23"/>
  <c r="L258" i="30" s="1"/>
  <c r="F258" i="30" s="1"/>
  <c r="D45" i="26" s="1"/>
  <c r="G27" i="23"/>
  <c r="L237" i="30" s="1"/>
  <c r="G34" i="23"/>
  <c r="L244" i="30" s="1"/>
  <c r="G46" i="23"/>
  <c r="L259" i="30" s="1"/>
  <c r="F259" i="30" s="1"/>
  <c r="D46" i="26" s="1"/>
  <c r="G44" i="23"/>
  <c r="L257" i="30" s="1"/>
  <c r="F257" i="30" s="1"/>
  <c r="G41" i="23"/>
  <c r="L254" i="30" s="1"/>
  <c r="G59" i="23"/>
  <c r="L283" i="30" s="1"/>
  <c r="F33" i="23"/>
  <c r="K243" i="30" s="1"/>
  <c r="F60" i="23"/>
  <c r="K284" i="30" s="1"/>
  <c r="E284" i="30" s="1"/>
  <c r="F77" i="26"/>
  <c r="F56" i="23"/>
  <c r="F37" i="23"/>
  <c r="K247" i="30" s="1"/>
  <c r="G17" i="23"/>
  <c r="L224" i="30" s="1"/>
  <c r="F224" i="30" s="1"/>
  <c r="G16" i="23"/>
  <c r="L223" i="30" s="1"/>
  <c r="F223" i="30" s="1"/>
  <c r="G11" i="23"/>
  <c r="L218" i="30" s="1"/>
  <c r="F218" i="30" s="1"/>
  <c r="G30" i="23"/>
  <c r="L240" i="30" s="1"/>
  <c r="G18" i="23"/>
  <c r="L225" i="30" s="1"/>
  <c r="F225" i="30" s="1"/>
  <c r="H225" i="30" s="1"/>
  <c r="G22" i="23"/>
  <c r="L229" i="30" s="1"/>
  <c r="G9" i="23"/>
  <c r="L216" i="30" s="1"/>
  <c r="G74" i="26"/>
  <c r="G13" i="23"/>
  <c r="G21" i="23"/>
  <c r="L228" i="30" s="1"/>
  <c r="F228" i="30" s="1"/>
  <c r="D21" i="26" s="1"/>
  <c r="G19" i="23"/>
  <c r="L226" i="30" s="1"/>
  <c r="F18" i="23"/>
  <c r="K225" i="30" s="1"/>
  <c r="E225" i="30" s="1"/>
  <c r="C18" i="26" s="1"/>
  <c r="F13" i="23"/>
  <c r="F11" i="23"/>
  <c r="K218" i="30" s="1"/>
  <c r="E218" i="30" s="1"/>
  <c r="F74" i="26"/>
  <c r="F21" i="23"/>
  <c r="K228" i="30" s="1"/>
  <c r="F20" i="23"/>
  <c r="K227" i="30" s="1"/>
  <c r="F76" i="26"/>
  <c r="F31" i="23"/>
  <c r="K241" i="30" s="1"/>
  <c r="F28" i="23"/>
  <c r="K238" i="30" s="1"/>
  <c r="F49" i="23"/>
  <c r="K266" i="30" s="1"/>
  <c r="E266" i="30" s="1"/>
  <c r="C221" i="30"/>
  <c r="C26" i="25" s="1"/>
  <c r="H293" i="30"/>
  <c r="G124" i="30"/>
  <c r="G108" i="30"/>
  <c r="G92" i="30"/>
  <c r="G105" i="30"/>
  <c r="G142" i="30"/>
  <c r="H141" i="30"/>
  <c r="G138" i="30"/>
  <c r="H135" i="30"/>
  <c r="G102" i="30"/>
  <c r="B294" i="30"/>
  <c r="B42" i="25"/>
  <c r="B46" i="25"/>
  <c r="H334" i="30"/>
  <c r="C281" i="30"/>
  <c r="C35" i="25" s="1"/>
  <c r="H294" i="30"/>
  <c r="G122" i="30"/>
  <c r="G90" i="30"/>
  <c r="I116" i="30"/>
  <c r="H84" i="30"/>
  <c r="H126" i="30"/>
  <c r="H118" i="30"/>
  <c r="H110" i="30"/>
  <c r="H102" i="30"/>
  <c r="H94" i="30"/>
  <c r="H86" i="30"/>
  <c r="H78" i="30"/>
  <c r="H324" i="30"/>
  <c r="H328" i="30"/>
  <c r="C255" i="30"/>
  <c r="C30" i="25" s="1"/>
  <c r="B331" i="30"/>
  <c r="G314" i="30"/>
  <c r="I314" i="30" s="1"/>
  <c r="H318" i="30"/>
  <c r="H125" i="30"/>
  <c r="H117" i="30"/>
  <c r="H109" i="30"/>
  <c r="I109" i="30" s="1"/>
  <c r="H93" i="30"/>
  <c r="H85" i="30"/>
  <c r="H77" i="30"/>
  <c r="G325" i="30"/>
  <c r="G329" i="30"/>
  <c r="I329" i="30" s="1"/>
  <c r="G130" i="30"/>
  <c r="G114" i="30"/>
  <c r="G106" i="30"/>
  <c r="G98" i="30"/>
  <c r="G82" i="30"/>
  <c r="G74" i="30"/>
  <c r="G97" i="30"/>
  <c r="G81" i="30"/>
  <c r="G73" i="30"/>
  <c r="G140" i="30"/>
  <c r="G136" i="30"/>
  <c r="M223" i="30"/>
  <c r="H326" i="30"/>
  <c r="G87" i="30"/>
  <c r="G79" i="30"/>
  <c r="G71" i="30"/>
  <c r="H132" i="30"/>
  <c r="H124" i="30"/>
  <c r="H92" i="30"/>
  <c r="H76" i="30"/>
  <c r="G126" i="30"/>
  <c r="G94" i="30"/>
  <c r="G70" i="30"/>
  <c r="H139" i="30"/>
  <c r="H131" i="30"/>
  <c r="I131" i="30" s="1"/>
  <c r="H123" i="30"/>
  <c r="I123" i="30" s="1"/>
  <c r="H115" i="30"/>
  <c r="I115" i="30" s="1"/>
  <c r="H107" i="30"/>
  <c r="I107" i="30" s="1"/>
  <c r="H99" i="30"/>
  <c r="H91" i="30"/>
  <c r="I91" i="30" s="1"/>
  <c r="H83" i="30"/>
  <c r="H75" i="30"/>
  <c r="I75" i="30" s="1"/>
  <c r="G308" i="30"/>
  <c r="G323" i="30"/>
  <c r="G333" i="30"/>
  <c r="H129" i="30"/>
  <c r="H121" i="30"/>
  <c r="H113" i="30"/>
  <c r="H89" i="30"/>
  <c r="G55" i="30"/>
  <c r="G267" i="30"/>
  <c r="G28" i="30"/>
  <c r="G51" i="30"/>
  <c r="H52" i="30"/>
  <c r="H296" i="30"/>
  <c r="H300" i="30"/>
  <c r="H308" i="30"/>
  <c r="H312" i="30"/>
  <c r="H316" i="30"/>
  <c r="H280" i="30"/>
  <c r="H142" i="30"/>
  <c r="G135" i="30"/>
  <c r="C47" i="30"/>
  <c r="H143" i="30"/>
  <c r="E281" i="30"/>
  <c r="G17" i="30"/>
  <c r="G184" i="30"/>
  <c r="G166" i="30"/>
  <c r="G174" i="30"/>
  <c r="G180" i="30"/>
  <c r="G198" i="30"/>
  <c r="G204" i="30"/>
  <c r="H145" i="30"/>
  <c r="G50" i="30"/>
  <c r="G334" i="30"/>
  <c r="D286" i="30"/>
  <c r="D36" i="25" s="1"/>
  <c r="H303" i="30"/>
  <c r="H305" i="30"/>
  <c r="G32" i="30"/>
  <c r="H160" i="30"/>
  <c r="H162" i="30"/>
  <c r="H166" i="30"/>
  <c r="H170" i="30"/>
  <c r="H174" i="30"/>
  <c r="H184" i="30"/>
  <c r="H196" i="30"/>
  <c r="H51" i="26"/>
  <c r="C61" i="26"/>
  <c r="I307" i="30"/>
  <c r="G20" i="30"/>
  <c r="F263" i="30"/>
  <c r="E331" i="30"/>
  <c r="C260" i="30"/>
  <c r="C31" i="25" s="1"/>
  <c r="H179" i="30"/>
  <c r="H140" i="30"/>
  <c r="H136" i="30"/>
  <c r="G144" i="30"/>
  <c r="G158" i="30"/>
  <c r="G162" i="30"/>
  <c r="C49" i="26"/>
  <c r="H49" i="26" s="1"/>
  <c r="G265" i="30"/>
  <c r="G45" i="30"/>
  <c r="M244" i="30"/>
  <c r="G182" i="30"/>
  <c r="G141" i="30"/>
  <c r="H134" i="30"/>
  <c r="H133" i="30"/>
  <c r="G208" i="30"/>
  <c r="M245" i="30"/>
  <c r="H138" i="30"/>
  <c r="I138" i="30" s="1"/>
  <c r="H106" i="30"/>
  <c r="G36" i="30"/>
  <c r="H310" i="30"/>
  <c r="F294" i="30"/>
  <c r="G170" i="30"/>
  <c r="G190" i="30"/>
  <c r="G13" i="30"/>
  <c r="E293" i="30"/>
  <c r="G293" i="30"/>
  <c r="E294" i="30"/>
  <c r="E42" i="25"/>
  <c r="I293" i="30"/>
  <c r="I294" i="30"/>
  <c r="G294" i="30"/>
  <c r="F42" i="25"/>
  <c r="I298" i="30" l="1"/>
  <c r="F47" i="30"/>
  <c r="I170" i="30"/>
  <c r="F237" i="30"/>
  <c r="D27" i="26" s="1"/>
  <c r="H152" i="30"/>
  <c r="H168" i="30"/>
  <c r="H186" i="30"/>
  <c r="I186" i="30" s="1"/>
  <c r="H198" i="30"/>
  <c r="G304" i="30"/>
  <c r="G317" i="30"/>
  <c r="D35" i="26"/>
  <c r="I132" i="30"/>
  <c r="I126" i="30"/>
  <c r="H62" i="26"/>
  <c r="H63" i="26" s="1"/>
  <c r="F18" i="30"/>
  <c r="F56" i="30"/>
  <c r="C25" i="30"/>
  <c r="C10" i="25" s="1"/>
  <c r="H30" i="30"/>
  <c r="H155" i="30"/>
  <c r="H193" i="30"/>
  <c r="C230" i="30"/>
  <c r="C27" i="25" s="1"/>
  <c r="I330" i="30"/>
  <c r="M286" i="30"/>
  <c r="I142" i="30"/>
  <c r="I296" i="30"/>
  <c r="I86" i="30"/>
  <c r="H15" i="30"/>
  <c r="I15" i="30" s="1"/>
  <c r="H33" i="30"/>
  <c r="H37" i="30"/>
  <c r="H46" i="30"/>
  <c r="H58" i="30"/>
  <c r="H59" i="30" s="1"/>
  <c r="C20" i="24" s="1"/>
  <c r="E214" i="30"/>
  <c r="I32" i="30"/>
  <c r="G232" i="30"/>
  <c r="G233" i="30" s="1"/>
  <c r="B29" i="24" s="1"/>
  <c r="H61" i="30"/>
  <c r="H62" i="30" s="1"/>
  <c r="C21" i="24" s="1"/>
  <c r="H151" i="30"/>
  <c r="H159" i="30"/>
  <c r="H163" i="30"/>
  <c r="H167" i="30"/>
  <c r="H171" i="30"/>
  <c r="H175" i="30"/>
  <c r="H181" i="30"/>
  <c r="H185" i="30"/>
  <c r="H189" i="30"/>
  <c r="H197" i="30"/>
  <c r="H201" i="30"/>
  <c r="H205" i="30"/>
  <c r="H209" i="30"/>
  <c r="H213" i="30"/>
  <c r="I334" i="30"/>
  <c r="I84" i="30"/>
  <c r="H148" i="30"/>
  <c r="I148" i="30" s="1"/>
  <c r="H156" i="30"/>
  <c r="I156" i="30" s="1"/>
  <c r="H164" i="30"/>
  <c r="I164" i="30" s="1"/>
  <c r="H172" i="30"/>
  <c r="I172" i="30" s="1"/>
  <c r="H178" i="30"/>
  <c r="H182" i="30"/>
  <c r="I182" i="30" s="1"/>
  <c r="H190" i="30"/>
  <c r="I190" i="30" s="1"/>
  <c r="H194" i="30"/>
  <c r="I194" i="30" s="1"/>
  <c r="H202" i="30"/>
  <c r="I202" i="30" s="1"/>
  <c r="H206" i="30"/>
  <c r="I206" i="30" s="1"/>
  <c r="H210" i="30"/>
  <c r="I210" i="30" s="1"/>
  <c r="F214" i="30"/>
  <c r="D146" i="30"/>
  <c r="D23" i="25" s="1"/>
  <c r="I144" i="30"/>
  <c r="H130" i="30"/>
  <c r="I130" i="30" s="1"/>
  <c r="H122" i="30"/>
  <c r="I122" i="30" s="1"/>
  <c r="H114" i="30"/>
  <c r="H98" i="30"/>
  <c r="I98" i="30" s="1"/>
  <c r="H90" i="30"/>
  <c r="I90" i="30" s="1"/>
  <c r="I139" i="30"/>
  <c r="G133" i="30"/>
  <c r="I133" i="30" s="1"/>
  <c r="I94" i="30"/>
  <c r="F25" i="30"/>
  <c r="F41" i="30" s="1"/>
  <c r="G149" i="30"/>
  <c r="G157" i="30"/>
  <c r="G173" i="30"/>
  <c r="B214" i="30"/>
  <c r="B25" i="25" s="1"/>
  <c r="G187" i="30"/>
  <c r="G207" i="30"/>
  <c r="G211" i="30"/>
  <c r="B255" i="30"/>
  <c r="B30" i="25" s="1"/>
  <c r="B260" i="30"/>
  <c r="C286" i="30"/>
  <c r="C36" i="25" s="1"/>
  <c r="I324" i="30"/>
  <c r="F335" i="30"/>
  <c r="H14" i="30"/>
  <c r="I14" i="30" s="1"/>
  <c r="C40" i="30"/>
  <c r="H36" i="30"/>
  <c r="I36" i="30" s="1"/>
  <c r="H45" i="30"/>
  <c r="I45" i="30" s="1"/>
  <c r="H51" i="30"/>
  <c r="H55" i="30"/>
  <c r="I198" i="30"/>
  <c r="D233" i="30"/>
  <c r="M233" i="30" s="1"/>
  <c r="I106" i="30"/>
  <c r="I312" i="30"/>
  <c r="F229" i="30"/>
  <c r="D22" i="26" s="1"/>
  <c r="E243" i="30"/>
  <c r="C33" i="26" s="1"/>
  <c r="I99" i="30"/>
  <c r="F281" i="30"/>
  <c r="H150" i="30"/>
  <c r="I150" i="30" s="1"/>
  <c r="H158" i="30"/>
  <c r="I158" i="30" s="1"/>
  <c r="H204" i="30"/>
  <c r="I204" i="30" s="1"/>
  <c r="G12" i="30"/>
  <c r="G167" i="30"/>
  <c r="G171" i="30"/>
  <c r="G201" i="30"/>
  <c r="I114" i="30"/>
  <c r="H247" i="30"/>
  <c r="D37" i="26"/>
  <c r="B25" i="30"/>
  <c r="B10" i="25" s="1"/>
  <c r="G29" i="30"/>
  <c r="G33" i="30"/>
  <c r="G37" i="30"/>
  <c r="I37" i="30" s="1"/>
  <c r="G52" i="30"/>
  <c r="I52" i="30" s="1"/>
  <c r="H153" i="30"/>
  <c r="H157" i="30"/>
  <c r="H161" i="30"/>
  <c r="H165" i="30"/>
  <c r="H169" i="30"/>
  <c r="H173" i="30"/>
  <c r="C214" i="30"/>
  <c r="C25" i="25" s="1"/>
  <c r="H183" i="30"/>
  <c r="H187" i="30"/>
  <c r="H191" i="30"/>
  <c r="H199" i="30"/>
  <c r="H203" i="30"/>
  <c r="H207" i="30"/>
  <c r="H211" i="30"/>
  <c r="I211" i="30" s="1"/>
  <c r="C248" i="30"/>
  <c r="C29" i="25" s="1"/>
  <c r="G127" i="30"/>
  <c r="G119" i="30"/>
  <c r="G111" i="30"/>
  <c r="G95" i="30"/>
  <c r="G143" i="30"/>
  <c r="I143" i="30" s="1"/>
  <c r="H105" i="30"/>
  <c r="I105" i="30" s="1"/>
  <c r="H97" i="30"/>
  <c r="I97" i="30" s="1"/>
  <c r="H81" i="30"/>
  <c r="I81" i="30" s="1"/>
  <c r="E47" i="30"/>
  <c r="H50" i="30"/>
  <c r="H28" i="30"/>
  <c r="I28" i="30" s="1"/>
  <c r="F240" i="30"/>
  <c r="H240" i="30" s="1"/>
  <c r="F227" i="30"/>
  <c r="I310" i="30"/>
  <c r="I160" i="30"/>
  <c r="I141" i="30"/>
  <c r="D271" i="30"/>
  <c r="D33" i="25" s="1"/>
  <c r="E239" i="30"/>
  <c r="C29" i="26" s="1"/>
  <c r="E228" i="30"/>
  <c r="C21" i="26" s="1"/>
  <c r="H21" i="26" s="1"/>
  <c r="F283" i="30"/>
  <c r="H283" i="30" s="1"/>
  <c r="D47" i="30"/>
  <c r="D17" i="25" s="1"/>
  <c r="C56" i="30"/>
  <c r="C18" i="25" s="1"/>
  <c r="I110" i="30"/>
  <c r="F40" i="30"/>
  <c r="G280" i="30"/>
  <c r="I280" i="30" s="1"/>
  <c r="G169" i="30"/>
  <c r="I169" i="30" s="1"/>
  <c r="D335" i="30"/>
  <c r="H53" i="26"/>
  <c r="H285" i="30"/>
  <c r="I311" i="30"/>
  <c r="F20" i="25"/>
  <c r="G213" i="30"/>
  <c r="G225" i="30"/>
  <c r="I225" i="30" s="1"/>
  <c r="B248" i="30"/>
  <c r="B29" i="25" s="1"/>
  <c r="I108" i="30"/>
  <c r="C320" i="30"/>
  <c r="G112" i="30"/>
  <c r="I112" i="30" s="1"/>
  <c r="G72" i="30"/>
  <c r="I72" i="30" s="1"/>
  <c r="H20" i="30"/>
  <c r="H21" i="30" s="1"/>
  <c r="C10" i="24" s="1"/>
  <c r="I136" i="30"/>
  <c r="B18" i="30"/>
  <c r="B8" i="25" s="1"/>
  <c r="E18" i="30"/>
  <c r="G16" i="30"/>
  <c r="E40" i="30"/>
  <c r="G34" i="30"/>
  <c r="G38" i="30"/>
  <c r="G49" i="30"/>
  <c r="G53" i="30"/>
  <c r="H154" i="30"/>
  <c r="I154" i="30" s="1"/>
  <c r="I196" i="30"/>
  <c r="G39" i="30"/>
  <c r="I39" i="30" s="1"/>
  <c r="C331" i="30"/>
  <c r="G80" i="30"/>
  <c r="I80" i="30" s="1"/>
  <c r="I51" i="30"/>
  <c r="E247" i="30"/>
  <c r="G247" i="30" s="1"/>
  <c r="G10" i="23"/>
  <c r="L217" i="30" s="1"/>
  <c r="F217" i="30" s="1"/>
  <c r="H23" i="30"/>
  <c r="I308" i="30"/>
  <c r="I121" i="30"/>
  <c r="I318" i="30"/>
  <c r="I328" i="30"/>
  <c r="H12" i="30"/>
  <c r="H16" i="30"/>
  <c r="H24" i="30"/>
  <c r="H34" i="30"/>
  <c r="H38" i="30"/>
  <c r="H49" i="30"/>
  <c r="H53" i="30"/>
  <c r="H180" i="30"/>
  <c r="I180" i="30" s="1"/>
  <c r="H188" i="30"/>
  <c r="I188" i="30" s="1"/>
  <c r="H192" i="30"/>
  <c r="I192" i="30" s="1"/>
  <c r="H200" i="30"/>
  <c r="I200" i="30" s="1"/>
  <c r="H262" i="30"/>
  <c r="H263" i="30" s="1"/>
  <c r="C33" i="24" s="1"/>
  <c r="I140" i="30"/>
  <c r="C63" i="26"/>
  <c r="G269" i="30"/>
  <c r="C17" i="25"/>
  <c r="I85" i="30"/>
  <c r="E241" i="30"/>
  <c r="C31" i="26" s="1"/>
  <c r="I93" i="30"/>
  <c r="F244" i="30"/>
  <c r="H244" i="30" s="1"/>
  <c r="H208" i="30"/>
  <c r="I208" i="30" s="1"/>
  <c r="H212" i="30"/>
  <c r="I212" i="30" s="1"/>
  <c r="E335" i="30"/>
  <c r="G284" i="30"/>
  <c r="C67" i="26"/>
  <c r="D44" i="26"/>
  <c r="H257" i="30"/>
  <c r="F34" i="25"/>
  <c r="H269" i="30"/>
  <c r="I325" i="30"/>
  <c r="E263" i="30"/>
  <c r="G262" i="30"/>
  <c r="F35" i="23"/>
  <c r="K245" i="30" s="1"/>
  <c r="E245" i="30" s="1"/>
  <c r="F36" i="23"/>
  <c r="K246" i="30" s="1"/>
  <c r="E246" i="30" s="1"/>
  <c r="C36" i="26" s="1"/>
  <c r="F40" i="23"/>
  <c r="K253" i="30" s="1"/>
  <c r="E253" i="30" s="1"/>
  <c r="F53" i="23"/>
  <c r="F46" i="23"/>
  <c r="K259" i="30" s="1"/>
  <c r="E259" i="30" s="1"/>
  <c r="F50" i="23"/>
  <c r="F44" i="23"/>
  <c r="K257" i="30" s="1"/>
  <c r="E257" i="30" s="1"/>
  <c r="F45" i="23"/>
  <c r="K258" i="30" s="1"/>
  <c r="E258" i="30" s="1"/>
  <c r="F25" i="23"/>
  <c r="K235" i="30" s="1"/>
  <c r="E235" i="30" s="1"/>
  <c r="F32" i="23"/>
  <c r="K242" i="30" s="1"/>
  <c r="E242" i="30" s="1"/>
  <c r="F26" i="23"/>
  <c r="K236" i="30" s="1"/>
  <c r="E236" i="30" s="1"/>
  <c r="F27" i="23"/>
  <c r="K237" i="30" s="1"/>
  <c r="E237" i="30" s="1"/>
  <c r="C27" i="26" s="1"/>
  <c r="E146" i="30"/>
  <c r="H73" i="30"/>
  <c r="C146" i="30"/>
  <c r="C23" i="25" s="1"/>
  <c r="C37" i="26"/>
  <c r="B56" i="30"/>
  <c r="B18" i="25" s="1"/>
  <c r="B40" i="30"/>
  <c r="D221" i="30"/>
  <c r="D26" i="25" s="1"/>
  <c r="F26" i="25" s="1"/>
  <c r="I168" i="30"/>
  <c r="H265" i="30"/>
  <c r="I265" i="30" s="1"/>
  <c r="F243" i="30"/>
  <c r="H243" i="30" s="1"/>
  <c r="F246" i="30"/>
  <c r="G181" i="30"/>
  <c r="G189" i="30"/>
  <c r="I189" i="30" s="1"/>
  <c r="G197" i="30"/>
  <c r="I197" i="30" s="1"/>
  <c r="C18" i="30"/>
  <c r="C8" i="25" s="1"/>
  <c r="H13" i="30"/>
  <c r="I13" i="30" s="1"/>
  <c r="H17" i="30"/>
  <c r="I17" i="30" s="1"/>
  <c r="F16" i="23"/>
  <c r="K223" i="30" s="1"/>
  <c r="E223" i="30" s="1"/>
  <c r="C16" i="26" s="1"/>
  <c r="F19" i="23"/>
  <c r="K226" i="30" s="1"/>
  <c r="E226" i="30" s="1"/>
  <c r="F30" i="23"/>
  <c r="K240" i="30" s="1"/>
  <c r="E240" i="30" s="1"/>
  <c r="C30" i="26" s="1"/>
  <c r="F17" i="23"/>
  <c r="K224" i="30" s="1"/>
  <c r="E224" i="30" s="1"/>
  <c r="F22" i="23"/>
  <c r="K229" i="30" s="1"/>
  <c r="E229" i="30" s="1"/>
  <c r="F9" i="23"/>
  <c r="K216" i="30" s="1"/>
  <c r="E216" i="30" s="1"/>
  <c r="I124" i="30"/>
  <c r="F320" i="30"/>
  <c r="G61" i="30"/>
  <c r="G281" i="30"/>
  <c r="G270" i="30"/>
  <c r="D263" i="30"/>
  <c r="F59" i="23"/>
  <c r="K283" i="30" s="1"/>
  <c r="E283" i="30" s="1"/>
  <c r="G283" i="30" s="1"/>
  <c r="I113" i="30"/>
  <c r="F41" i="23"/>
  <c r="K254" i="30" s="1"/>
  <c r="G175" i="30"/>
  <c r="G185" i="30"/>
  <c r="G193" i="30"/>
  <c r="G30" i="30"/>
  <c r="H232" i="30"/>
  <c r="F331" i="30"/>
  <c r="I315" i="30"/>
  <c r="G31" i="23"/>
  <c r="L241" i="30" s="1"/>
  <c r="F241" i="30" s="1"/>
  <c r="H241" i="30" s="1"/>
  <c r="F238" i="30"/>
  <c r="D28" i="26" s="1"/>
  <c r="G209" i="30"/>
  <c r="I209" i="30" s="1"/>
  <c r="H327" i="30"/>
  <c r="I327" i="30" s="1"/>
  <c r="I129" i="30"/>
  <c r="I50" i="30"/>
  <c r="D18" i="26"/>
  <c r="H18" i="26" s="1"/>
  <c r="H266" i="30"/>
  <c r="D50" i="26"/>
  <c r="D320" i="30"/>
  <c r="D331" i="30"/>
  <c r="F59" i="30"/>
  <c r="F63" i="30" s="1"/>
  <c r="D61" i="26"/>
  <c r="D63" i="26" s="1"/>
  <c r="H279" i="30"/>
  <c r="H281" i="30" s="1"/>
  <c r="C36" i="24" s="1"/>
  <c r="B176" i="30"/>
  <c r="B24" i="25" s="1"/>
  <c r="G153" i="30"/>
  <c r="G191" i="30"/>
  <c r="I191" i="30" s="1"/>
  <c r="B230" i="30"/>
  <c r="B27" i="25" s="1"/>
  <c r="C271" i="30"/>
  <c r="C33" i="25" s="1"/>
  <c r="H267" i="30"/>
  <c r="I267" i="30" s="1"/>
  <c r="G285" i="30"/>
  <c r="I285" i="30" s="1"/>
  <c r="B286" i="30"/>
  <c r="B36" i="25" s="1"/>
  <c r="F36" i="25" s="1"/>
  <c r="G299" i="30"/>
  <c r="G309" i="30"/>
  <c r="G313" i="30"/>
  <c r="B59" i="30"/>
  <c r="B19" i="25" s="1"/>
  <c r="F19" i="25" s="1"/>
  <c r="G58" i="30"/>
  <c r="G59" i="30" s="1"/>
  <c r="B20" i="24" s="1"/>
  <c r="C176" i="30"/>
  <c r="C24" i="25" s="1"/>
  <c r="H149" i="30"/>
  <c r="H259" i="30"/>
  <c r="H333" i="30"/>
  <c r="H335" i="30" s="1"/>
  <c r="C335" i="30"/>
  <c r="D32" i="26"/>
  <c r="F235" i="30"/>
  <c r="I46" i="30"/>
  <c r="D67" i="26"/>
  <c r="H284" i="30"/>
  <c r="G195" i="30"/>
  <c r="G199" i="30"/>
  <c r="I199" i="30" s="1"/>
  <c r="G203" i="30"/>
  <c r="H29" i="30"/>
  <c r="G104" i="30"/>
  <c r="I104" i="30" s="1"/>
  <c r="G96" i="30"/>
  <c r="I96" i="30" s="1"/>
  <c r="G88" i="30"/>
  <c r="I88" i="30" s="1"/>
  <c r="I27" i="30"/>
  <c r="D214" i="30"/>
  <c r="D25" i="25" s="1"/>
  <c r="F220" i="30"/>
  <c r="E220" i="30"/>
  <c r="I152" i="30"/>
  <c r="D230" i="30"/>
  <c r="D27" i="25" s="1"/>
  <c r="F219" i="30"/>
  <c r="D12" i="26" s="1"/>
  <c r="G23" i="30"/>
  <c r="I76" i="30"/>
  <c r="G47" i="30"/>
  <c r="B18" i="24" s="1"/>
  <c r="D281" i="30"/>
  <c r="I174" i="30"/>
  <c r="I92" i="30"/>
  <c r="F12" i="23"/>
  <c r="K219" i="30" s="1"/>
  <c r="E219" i="30" s="1"/>
  <c r="F34" i="23"/>
  <c r="K244" i="30" s="1"/>
  <c r="E244" i="30" s="1"/>
  <c r="D56" i="30"/>
  <c r="D18" i="25" s="1"/>
  <c r="G302" i="30"/>
  <c r="I302" i="30" s="1"/>
  <c r="G306" i="30"/>
  <c r="I306" i="30" s="1"/>
  <c r="I322" i="30"/>
  <c r="I162" i="30"/>
  <c r="I135" i="30"/>
  <c r="I78" i="30"/>
  <c r="D18" i="30"/>
  <c r="D8" i="25" s="1"/>
  <c r="D25" i="30"/>
  <c r="D10" i="25" s="1"/>
  <c r="G31" i="30"/>
  <c r="G35" i="30"/>
  <c r="I35" i="30" s="1"/>
  <c r="E56" i="30"/>
  <c r="G54" i="30"/>
  <c r="I54" i="30" s="1"/>
  <c r="F176" i="30"/>
  <c r="G165" i="30"/>
  <c r="H323" i="30"/>
  <c r="I323" i="30" s="1"/>
  <c r="G125" i="30"/>
  <c r="I125" i="30" s="1"/>
  <c r="G117" i="30"/>
  <c r="I117" i="30" s="1"/>
  <c r="G101" i="30"/>
  <c r="I101" i="30" s="1"/>
  <c r="G77" i="30"/>
  <c r="I77" i="30" s="1"/>
  <c r="H119" i="30"/>
  <c r="H111" i="30"/>
  <c r="I111" i="30" s="1"/>
  <c r="H103" i="30"/>
  <c r="H95" i="30"/>
  <c r="H87" i="30"/>
  <c r="I87" i="30" s="1"/>
  <c r="H79" i="30"/>
  <c r="I79" i="30" s="1"/>
  <c r="H71" i="30"/>
  <c r="I71" i="30" s="1"/>
  <c r="H137" i="30"/>
  <c r="I137" i="30" s="1"/>
  <c r="I83" i="30"/>
  <c r="I102" i="30"/>
  <c r="G241" i="30"/>
  <c r="I89" i="30"/>
  <c r="E227" i="30"/>
  <c r="G179" i="30"/>
  <c r="I179" i="30" s="1"/>
  <c r="G183" i="30"/>
  <c r="H299" i="30"/>
  <c r="H304" i="30"/>
  <c r="H309" i="30"/>
  <c r="H313" i="30"/>
  <c r="H317" i="30"/>
  <c r="I317" i="30" s="1"/>
  <c r="G239" i="30"/>
  <c r="G151" i="30"/>
  <c r="I151" i="30" s="1"/>
  <c r="G155" i="30"/>
  <c r="I155" i="30" s="1"/>
  <c r="G205" i="30"/>
  <c r="G316" i="30"/>
  <c r="I316" i="30" s="1"/>
  <c r="G326" i="30"/>
  <c r="I326" i="30" s="1"/>
  <c r="G128" i="30"/>
  <c r="I128" i="30" s="1"/>
  <c r="G120" i="30"/>
  <c r="I120" i="30" s="1"/>
  <c r="H82" i="30"/>
  <c r="I82" i="30" s="1"/>
  <c r="H74" i="30"/>
  <c r="I74" i="30" s="1"/>
  <c r="I193" i="30"/>
  <c r="I305" i="30"/>
  <c r="I118" i="30"/>
  <c r="G159" i="30"/>
  <c r="I159" i="30" s="1"/>
  <c r="G163" i="30"/>
  <c r="I58" i="30"/>
  <c r="I59" i="30" s="1"/>
  <c r="D36" i="26"/>
  <c r="H246" i="30"/>
  <c r="C10" i="26"/>
  <c r="G217" i="30"/>
  <c r="G24" i="30"/>
  <c r="E25" i="30"/>
  <c r="I20" i="30"/>
  <c r="I21" i="30" s="1"/>
  <c r="G21" i="30"/>
  <c r="B10" i="24" s="1"/>
  <c r="B31" i="25"/>
  <c r="C66" i="26"/>
  <c r="D47" i="26"/>
  <c r="D16" i="26"/>
  <c r="H223" i="30"/>
  <c r="H228" i="30"/>
  <c r="G228" i="30"/>
  <c r="C50" i="26"/>
  <c r="G266" i="30"/>
  <c r="H235" i="30"/>
  <c r="D25" i="26"/>
  <c r="B17" i="25"/>
  <c r="G18" i="30"/>
  <c r="G226" i="30"/>
  <c r="C19" i="26"/>
  <c r="G297" i="30"/>
  <c r="E320" i="30"/>
  <c r="D176" i="30"/>
  <c r="D24" i="25" s="1"/>
  <c r="G218" i="30"/>
  <c r="C11" i="26"/>
  <c r="D33" i="26"/>
  <c r="D40" i="30"/>
  <c r="D11" i="25" s="1"/>
  <c r="I29" i="30"/>
  <c r="I178" i="30"/>
  <c r="C11" i="25"/>
  <c r="L275" i="30"/>
  <c r="F275" i="30" s="1"/>
  <c r="L268" i="30"/>
  <c r="F268" i="30" s="1"/>
  <c r="B271" i="30"/>
  <c r="B33" i="25" s="1"/>
  <c r="F33" i="25" s="1"/>
  <c r="G103" i="30"/>
  <c r="B146" i="30"/>
  <c r="I166" i="30"/>
  <c r="I184" i="30"/>
  <c r="I300" i="30"/>
  <c r="M275" i="30"/>
  <c r="G161" i="30"/>
  <c r="E176" i="30"/>
  <c r="I134" i="30"/>
  <c r="D11" i="26"/>
  <c r="H218" i="30"/>
  <c r="M238" i="30"/>
  <c r="E238" i="30"/>
  <c r="F253" i="30"/>
  <c r="D255" i="30"/>
  <c r="M253" i="30"/>
  <c r="H258" i="30"/>
  <c r="I55" i="30"/>
  <c r="I73" i="30"/>
  <c r="C44" i="26"/>
  <c r="F9" i="25"/>
  <c r="F260" i="30"/>
  <c r="H224" i="30"/>
  <c r="D17" i="26"/>
  <c r="G335" i="30"/>
  <c r="G246" i="30"/>
  <c r="F216" i="30"/>
  <c r="I100" i="30"/>
  <c r="I301" i="30"/>
  <c r="H270" i="30"/>
  <c r="D54" i="26"/>
  <c r="H54" i="26" s="1"/>
  <c r="F254" i="30"/>
  <c r="H70" i="30"/>
  <c r="F146" i="30"/>
  <c r="H127" i="30"/>
  <c r="F226" i="30"/>
  <c r="F230" i="30" s="1"/>
  <c r="F239" i="30"/>
  <c r="E254" i="30"/>
  <c r="D260" i="30"/>
  <c r="D31" i="25" s="1"/>
  <c r="F236" i="30"/>
  <c r="I319" i="30"/>
  <c r="G145" i="30"/>
  <c r="I145" i="30" s="1"/>
  <c r="D248" i="30"/>
  <c r="D29" i="25" s="1"/>
  <c r="B320" i="30"/>
  <c r="B337" i="30" s="1"/>
  <c r="G303" i="30"/>
  <c r="I303" i="30" s="1"/>
  <c r="H195" i="30"/>
  <c r="I33" i="30" l="1"/>
  <c r="I181" i="30"/>
  <c r="I47" i="30"/>
  <c r="D20" i="24"/>
  <c r="H33" i="26"/>
  <c r="F33" i="26" s="1"/>
  <c r="H237" i="30"/>
  <c r="H56" i="30"/>
  <c r="I149" i="30"/>
  <c r="I185" i="30"/>
  <c r="H37" i="26"/>
  <c r="F37" i="26" s="1"/>
  <c r="I201" i="30"/>
  <c r="H61" i="26"/>
  <c r="I269" i="30"/>
  <c r="I167" i="30"/>
  <c r="G56" i="30"/>
  <c r="B19" i="24" s="1"/>
  <c r="I95" i="30"/>
  <c r="I53" i="30"/>
  <c r="H229" i="30"/>
  <c r="I161" i="30"/>
  <c r="B63" i="30"/>
  <c r="G237" i="30"/>
  <c r="E41" i="30"/>
  <c r="I241" i="30"/>
  <c r="H36" i="26"/>
  <c r="I213" i="30"/>
  <c r="I187" i="30"/>
  <c r="C12" i="25"/>
  <c r="E337" i="30"/>
  <c r="I304" i="30"/>
  <c r="G223" i="30"/>
  <c r="I270" i="30"/>
  <c r="I175" i="30"/>
  <c r="I171" i="30"/>
  <c r="I30" i="30"/>
  <c r="I12" i="30"/>
  <c r="H47" i="30"/>
  <c r="C18" i="24" s="1"/>
  <c r="D18" i="24" s="1"/>
  <c r="I247" i="30"/>
  <c r="F25" i="25"/>
  <c r="G243" i="30"/>
  <c r="I243" i="30" s="1"/>
  <c r="I173" i="30"/>
  <c r="F29" i="25"/>
  <c r="H214" i="30"/>
  <c r="C26" i="24" s="1"/>
  <c r="I31" i="30"/>
  <c r="I34" i="30"/>
  <c r="I23" i="30"/>
  <c r="I207" i="30"/>
  <c r="I127" i="30"/>
  <c r="D34" i="26"/>
  <c r="I183" i="30"/>
  <c r="E63" i="30"/>
  <c r="E65" i="30" s="1"/>
  <c r="I153" i="30"/>
  <c r="I24" i="30"/>
  <c r="I163" i="30"/>
  <c r="F18" i="25"/>
  <c r="E286" i="30"/>
  <c r="I279" i="30"/>
  <c r="F8" i="25"/>
  <c r="I38" i="30"/>
  <c r="H40" i="30"/>
  <c r="C12" i="24" s="1"/>
  <c r="D28" i="25"/>
  <c r="F28" i="25" s="1"/>
  <c r="F24" i="25"/>
  <c r="I205" i="30"/>
  <c r="I119" i="30"/>
  <c r="C337" i="30"/>
  <c r="I299" i="30"/>
  <c r="H219" i="30"/>
  <c r="D10" i="24"/>
  <c r="F10" i="25"/>
  <c r="H320" i="30"/>
  <c r="C272" i="30"/>
  <c r="I157" i="30"/>
  <c r="C19" i="24"/>
  <c r="D31" i="26"/>
  <c r="H31" i="26" s="1"/>
  <c r="F31" i="26" s="1"/>
  <c r="C41" i="30"/>
  <c r="C26" i="26"/>
  <c r="G236" i="30"/>
  <c r="G219" i="30"/>
  <c r="C12" i="26"/>
  <c r="H12" i="26" s="1"/>
  <c r="G12" i="26" s="1"/>
  <c r="I281" i="30"/>
  <c r="H286" i="30"/>
  <c r="C37" i="24" s="1"/>
  <c r="F337" i="30"/>
  <c r="D30" i="26"/>
  <c r="H30" i="26" s="1"/>
  <c r="I49" i="30"/>
  <c r="B36" i="24"/>
  <c r="D36" i="24" s="1"/>
  <c r="D21" i="25"/>
  <c r="H238" i="30"/>
  <c r="H25" i="30"/>
  <c r="C11" i="24" s="1"/>
  <c r="F286" i="30"/>
  <c r="D66" i="26"/>
  <c r="D68" i="26" s="1"/>
  <c r="H217" i="30"/>
  <c r="I217" i="30" s="1"/>
  <c r="D10" i="26"/>
  <c r="I165" i="30"/>
  <c r="I203" i="30"/>
  <c r="C21" i="25"/>
  <c r="C37" i="25" s="1"/>
  <c r="I16" i="30"/>
  <c r="I195" i="30"/>
  <c r="D63" i="30"/>
  <c r="I218" i="30"/>
  <c r="H176" i="30"/>
  <c r="C25" i="24" s="1"/>
  <c r="I283" i="30"/>
  <c r="C63" i="30"/>
  <c r="H227" i="30"/>
  <c r="D20" i="26"/>
  <c r="C34" i="26"/>
  <c r="H34" i="26" s="1"/>
  <c r="F34" i="26" s="1"/>
  <c r="G244" i="30"/>
  <c r="I244" i="30" s="1"/>
  <c r="G253" i="30"/>
  <c r="C40" i="26"/>
  <c r="G227" i="30"/>
  <c r="C20" i="26"/>
  <c r="I284" i="30"/>
  <c r="H146" i="30"/>
  <c r="C24" i="24" s="1"/>
  <c r="M263" i="30"/>
  <c r="D32" i="25"/>
  <c r="F32" i="25" s="1"/>
  <c r="I309" i="30"/>
  <c r="D337" i="30"/>
  <c r="G62" i="30"/>
  <c r="B21" i="24" s="1"/>
  <c r="D21" i="24" s="1"/>
  <c r="I61" i="30"/>
  <c r="I62" i="30" s="1"/>
  <c r="G229" i="30"/>
  <c r="C22" i="26"/>
  <c r="H22" i="26" s="1"/>
  <c r="G245" i="30"/>
  <c r="I245" i="30" s="1"/>
  <c r="C35" i="26"/>
  <c r="H67" i="26"/>
  <c r="G263" i="30"/>
  <c r="B33" i="24" s="1"/>
  <c r="D33" i="24" s="1"/>
  <c r="I262" i="30"/>
  <c r="I263" i="30" s="1"/>
  <c r="C249" i="30"/>
  <c r="C13" i="26"/>
  <c r="G220" i="30"/>
  <c r="B11" i="25"/>
  <c r="B41" i="30"/>
  <c r="B65" i="30" s="1"/>
  <c r="K275" i="30"/>
  <c r="E275" i="30" s="1"/>
  <c r="C57" i="26" s="1"/>
  <c r="K268" i="30"/>
  <c r="E268" i="30" s="1"/>
  <c r="H331" i="30"/>
  <c r="I331" i="30"/>
  <c r="E44" i="25" s="1"/>
  <c r="F44" i="25" s="1"/>
  <c r="G257" i="30"/>
  <c r="E260" i="30"/>
  <c r="G240" i="30"/>
  <c r="I240" i="30" s="1"/>
  <c r="H220" i="30"/>
  <c r="D13" i="26"/>
  <c r="C46" i="26"/>
  <c r="G259" i="30"/>
  <c r="I259" i="30" s="1"/>
  <c r="G286" i="30"/>
  <c r="B37" i="24" s="1"/>
  <c r="I333" i="30"/>
  <c r="I335" i="30" s="1"/>
  <c r="E45" i="25" s="1"/>
  <c r="G25" i="30"/>
  <c r="B11" i="24" s="1"/>
  <c r="D12" i="25"/>
  <c r="B272" i="30"/>
  <c r="G214" i="30"/>
  <c r="B26" i="24" s="1"/>
  <c r="G331" i="30"/>
  <c r="I232" i="30"/>
  <c r="I233" i="30" s="1"/>
  <c r="H233" i="30"/>
  <c r="C29" i="24" s="1"/>
  <c r="D29" i="24" s="1"/>
  <c r="F27" i="25"/>
  <c r="G258" i="30"/>
  <c r="I258" i="30" s="1"/>
  <c r="C45" i="26"/>
  <c r="H45" i="26" s="1"/>
  <c r="G40" i="30"/>
  <c r="B12" i="24" s="1"/>
  <c r="H260" i="30"/>
  <c r="C32" i="24" s="1"/>
  <c r="F65" i="30"/>
  <c r="I103" i="30"/>
  <c r="D35" i="25"/>
  <c r="F35" i="25" s="1"/>
  <c r="M281" i="30"/>
  <c r="I313" i="30"/>
  <c r="G242" i="30"/>
  <c r="I242" i="30" s="1"/>
  <c r="C32" i="26"/>
  <c r="H18" i="30"/>
  <c r="H236" i="30"/>
  <c r="D26" i="26"/>
  <c r="H275" i="30"/>
  <c r="H276" i="30" s="1"/>
  <c r="C35" i="24" s="1"/>
  <c r="D57" i="26"/>
  <c r="F276" i="30"/>
  <c r="D9" i="26"/>
  <c r="F221" i="30"/>
  <c r="H216" i="30"/>
  <c r="D272" i="30"/>
  <c r="D30" i="25"/>
  <c r="F30" i="25" s="1"/>
  <c r="D40" i="26"/>
  <c r="H253" i="30"/>
  <c r="F255" i="30"/>
  <c r="B9" i="24"/>
  <c r="I237" i="30"/>
  <c r="G254" i="30"/>
  <c r="C41" i="26"/>
  <c r="I246" i="30"/>
  <c r="C28" i="26"/>
  <c r="G238" i="30"/>
  <c r="B23" i="25"/>
  <c r="F23" i="25" s="1"/>
  <c r="B249" i="30"/>
  <c r="D249" i="30"/>
  <c r="H16" i="26"/>
  <c r="G16" i="26" s="1"/>
  <c r="F31" i="25"/>
  <c r="H27" i="26"/>
  <c r="G27" i="26" s="1"/>
  <c r="H10" i="26"/>
  <c r="G10" i="26" s="1"/>
  <c r="G224" i="30"/>
  <c r="I224" i="30" s="1"/>
  <c r="E230" i="30"/>
  <c r="C17" i="26"/>
  <c r="H44" i="26"/>
  <c r="F44" i="26" s="1"/>
  <c r="C25" i="26"/>
  <c r="E248" i="30"/>
  <c r="G235" i="30"/>
  <c r="I223" i="30"/>
  <c r="I70" i="30"/>
  <c r="I266" i="30"/>
  <c r="G146" i="30"/>
  <c r="E255" i="30"/>
  <c r="C9" i="26"/>
  <c r="E221" i="30"/>
  <c r="G216" i="30"/>
  <c r="H254" i="30"/>
  <c r="D41" i="26"/>
  <c r="H239" i="30"/>
  <c r="I239" i="30" s="1"/>
  <c r="D29" i="26"/>
  <c r="D41" i="30"/>
  <c r="G33" i="26"/>
  <c r="B21" i="25"/>
  <c r="F17" i="25"/>
  <c r="C68" i="26"/>
  <c r="D26" i="24"/>
  <c r="H226" i="30"/>
  <c r="I226" i="30" s="1"/>
  <c r="D19" i="26"/>
  <c r="H19" i="26" s="1"/>
  <c r="G31" i="26"/>
  <c r="D52" i="26"/>
  <c r="H268" i="30"/>
  <c r="H271" i="30" s="1"/>
  <c r="C34" i="24" s="1"/>
  <c r="F271" i="30"/>
  <c r="G176" i="30"/>
  <c r="B25" i="24" s="1"/>
  <c r="D25" i="24" s="1"/>
  <c r="H11" i="26"/>
  <c r="G11" i="26" s="1"/>
  <c r="I297" i="30"/>
  <c r="G320" i="30"/>
  <c r="F248" i="30"/>
  <c r="H50" i="26"/>
  <c r="F50" i="26" s="1"/>
  <c r="I228" i="30"/>
  <c r="G37" i="26"/>
  <c r="B22" i="24"/>
  <c r="C39" i="25" l="1"/>
  <c r="C48" i="25" s="1"/>
  <c r="I56" i="30"/>
  <c r="I18" i="30"/>
  <c r="C22" i="24"/>
  <c r="D65" i="30"/>
  <c r="I63" i="30"/>
  <c r="I25" i="30"/>
  <c r="F21" i="25"/>
  <c r="F37" i="25" s="1"/>
  <c r="I229" i="30"/>
  <c r="I40" i="30"/>
  <c r="I320" i="30"/>
  <c r="E43" i="25" s="1"/>
  <c r="C42" i="26"/>
  <c r="D19" i="24"/>
  <c r="D22" i="24" s="1"/>
  <c r="I176" i="30"/>
  <c r="H221" i="30"/>
  <c r="C27" i="24" s="1"/>
  <c r="G337" i="30"/>
  <c r="H337" i="30"/>
  <c r="I286" i="30"/>
  <c r="H63" i="30"/>
  <c r="G30" i="26"/>
  <c r="F30" i="26"/>
  <c r="B288" i="30"/>
  <c r="B339" i="30" s="1"/>
  <c r="I227" i="30"/>
  <c r="I230" i="30" s="1"/>
  <c r="C65" i="30"/>
  <c r="C288" i="30" s="1"/>
  <c r="C339" i="30" s="1"/>
  <c r="I214" i="30"/>
  <c r="C47" i="26"/>
  <c r="I219" i="30"/>
  <c r="H66" i="26"/>
  <c r="H68" i="26" s="1"/>
  <c r="D12" i="24"/>
  <c r="F249" i="30"/>
  <c r="H248" i="30"/>
  <c r="C30" i="24" s="1"/>
  <c r="D11" i="24"/>
  <c r="D37" i="24"/>
  <c r="I220" i="30"/>
  <c r="E276" i="30"/>
  <c r="I236" i="30"/>
  <c r="G275" i="30"/>
  <c r="I275" i="30" s="1"/>
  <c r="I276" i="30" s="1"/>
  <c r="G34" i="26"/>
  <c r="I238" i="30"/>
  <c r="G41" i="30"/>
  <c r="H13" i="26"/>
  <c r="F12" i="26"/>
  <c r="H20" i="26"/>
  <c r="G20" i="26" s="1"/>
  <c r="C9" i="24"/>
  <c r="D9" i="24" s="1"/>
  <c r="H41" i="30"/>
  <c r="F27" i="26"/>
  <c r="I257" i="30"/>
  <c r="I260" i="30" s="1"/>
  <c r="G260" i="30"/>
  <c r="B32" i="24" s="1"/>
  <c r="D32" i="24" s="1"/>
  <c r="H35" i="26"/>
  <c r="G35" i="26" s="1"/>
  <c r="G252" i="29" s="1"/>
  <c r="F11" i="25"/>
  <c r="F12" i="25" s="1"/>
  <c r="B12" i="25"/>
  <c r="I146" i="30"/>
  <c r="F11" i="26"/>
  <c r="E249" i="30"/>
  <c r="D37" i="25"/>
  <c r="D39" i="25" s="1"/>
  <c r="D48" i="25" s="1"/>
  <c r="D38" i="26"/>
  <c r="H46" i="26"/>
  <c r="G46" i="26" s="1"/>
  <c r="H32" i="26"/>
  <c r="G32" i="26" s="1"/>
  <c r="D23" i="26"/>
  <c r="G63" i="30"/>
  <c r="C52" i="26"/>
  <c r="C55" i="26" s="1"/>
  <c r="G268" i="30"/>
  <c r="E271" i="30"/>
  <c r="E272" i="30" s="1"/>
  <c r="G230" i="30"/>
  <c r="B28" i="24" s="1"/>
  <c r="D288" i="30"/>
  <c r="D339" i="30" s="1"/>
  <c r="F272" i="30"/>
  <c r="G221" i="30"/>
  <c r="B27" i="24" s="1"/>
  <c r="I216" i="30"/>
  <c r="H28" i="26"/>
  <c r="G28" i="26" s="1"/>
  <c r="D58" i="26"/>
  <c r="H41" i="26"/>
  <c r="F41" i="26" s="1"/>
  <c r="H26" i="26"/>
  <c r="F26" i="26" s="1"/>
  <c r="B24" i="24"/>
  <c r="D24" i="24" s="1"/>
  <c r="B37" i="25"/>
  <c r="I235" i="30"/>
  <c r="G248" i="30"/>
  <c r="B30" i="24" s="1"/>
  <c r="F16" i="26"/>
  <c r="C58" i="26"/>
  <c r="H57" i="26"/>
  <c r="H58" i="26" s="1"/>
  <c r="H29" i="26"/>
  <c r="F29" i="26" s="1"/>
  <c r="G29" i="26"/>
  <c r="C23" i="26"/>
  <c r="H17" i="26"/>
  <c r="G17" i="26" s="1"/>
  <c r="H255" i="30"/>
  <c r="I253" i="30"/>
  <c r="G50" i="26"/>
  <c r="I254" i="30"/>
  <c r="G255" i="30"/>
  <c r="D42" i="26"/>
  <c r="D55" i="26"/>
  <c r="H40" i="26"/>
  <c r="G40" i="26" s="1"/>
  <c r="F10" i="26"/>
  <c r="B13" i="24"/>
  <c r="H230" i="30"/>
  <c r="C28" i="24" s="1"/>
  <c r="D14" i="26"/>
  <c r="C38" i="26"/>
  <c r="H25" i="26"/>
  <c r="F25" i="26" s="1"/>
  <c r="C14" i="26"/>
  <c r="H9" i="26"/>
  <c r="F9" i="26" s="1"/>
  <c r="G44" i="26"/>
  <c r="G9" i="26" l="1"/>
  <c r="H52" i="26"/>
  <c r="H55" i="26" s="1"/>
  <c r="I41" i="30"/>
  <c r="I65" i="30" s="1"/>
  <c r="I337" i="30"/>
  <c r="F28" i="26"/>
  <c r="H65" i="30"/>
  <c r="C13" i="24"/>
  <c r="D27" i="24"/>
  <c r="D30" i="24"/>
  <c r="I248" i="30"/>
  <c r="F288" i="30"/>
  <c r="F339" i="30" s="1"/>
  <c r="F39" i="25"/>
  <c r="I221" i="30"/>
  <c r="I249" i="30" s="1"/>
  <c r="G65" i="30"/>
  <c r="H14" i="26"/>
  <c r="D13" i="24"/>
  <c r="G276" i="30"/>
  <c r="B35" i="24" s="1"/>
  <c r="D35" i="24" s="1"/>
  <c r="F32" i="26"/>
  <c r="D28" i="24"/>
  <c r="F35" i="26"/>
  <c r="F252" i="29" s="1"/>
  <c r="F253" i="29" s="1"/>
  <c r="H253" i="29" s="1"/>
  <c r="G41" i="26"/>
  <c r="I268" i="30"/>
  <c r="I271" i="30" s="1"/>
  <c r="G271" i="30"/>
  <c r="B34" i="24" s="1"/>
  <c r="D34" i="24" s="1"/>
  <c r="F46" i="26"/>
  <c r="G253" i="29"/>
  <c r="I253" i="29" s="1"/>
  <c r="I252" i="29"/>
  <c r="F20" i="26"/>
  <c r="B39" i="25"/>
  <c r="B48" i="25" s="1"/>
  <c r="F17" i="26"/>
  <c r="H47" i="26"/>
  <c r="C70" i="26"/>
  <c r="E288" i="30"/>
  <c r="E339" i="30" s="1"/>
  <c r="I255" i="30"/>
  <c r="G26" i="26"/>
  <c r="E46" i="25"/>
  <c r="E48" i="25" s="1"/>
  <c r="F43" i="25"/>
  <c r="F46" i="25" s="1"/>
  <c r="H249" i="30"/>
  <c r="B31" i="24"/>
  <c r="G272" i="30"/>
  <c r="H38" i="26"/>
  <c r="G25" i="26"/>
  <c r="H272" i="30"/>
  <c r="C31" i="24"/>
  <c r="C38" i="24" s="1"/>
  <c r="F57" i="26"/>
  <c r="G249" i="30"/>
  <c r="D70" i="26"/>
  <c r="H42" i="26"/>
  <c r="F40" i="26"/>
  <c r="H23" i="26"/>
  <c r="G57" i="26"/>
  <c r="C40" i="24" l="1"/>
  <c r="H252" i="29"/>
  <c r="J252" i="29" s="1"/>
  <c r="B38" i="24"/>
  <c r="B40" i="24" s="1"/>
  <c r="H288" i="30"/>
  <c r="H339" i="30" s="1"/>
  <c r="F48" i="25"/>
  <c r="I272" i="30"/>
  <c r="H70" i="26"/>
  <c r="G288" i="30"/>
  <c r="G339" i="30" s="1"/>
  <c r="I288" i="30"/>
  <c r="I339" i="30" s="1"/>
  <c r="J253" i="29"/>
  <c r="D31" i="24"/>
  <c r="D38" i="24" s="1"/>
  <c r="D40" i="24" s="1"/>
</calcChain>
</file>

<file path=xl/sharedStrings.xml><?xml version="1.0" encoding="utf-8"?>
<sst xmlns="http://schemas.openxmlformats.org/spreadsheetml/2006/main" count="2385" uniqueCount="1091">
  <si>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</si>
  <si>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</si>
  <si>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</si>
  <si>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</si>
  <si>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</si>
  <si>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</si>
  <si>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</si>
  <si>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</si>
  <si>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</si>
  <si>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</si>
  <si>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</si>
  <si>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</si>
  <si>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</si>
  <si>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</si>
  <si>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</si>
  <si>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</si>
  <si>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</si>
  <si>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</si>
  <si>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</si>
  <si>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</si>
  <si>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</si>
  <si>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</si>
  <si>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</si>
  <si>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</si>
  <si>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</si>
  <si>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</si>
  <si>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</si>
  <si>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</si>
  <si>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</si>
  <si>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</si>
  <si>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</si>
  <si>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</si>
  <si>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</si>
  <si>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</si>
  <si>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</si>
  <si>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</si>
  <si>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</si>
  <si>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</si>
  <si>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</si>
  <si>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</si>
  <si>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</si>
  <si>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</si>
  <si>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</si>
  <si>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</si>
  <si>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</si>
  <si>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</si>
  <si>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</si>
  <si>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</si>
  <si>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</si>
  <si>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</si>
  <si>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</si>
  <si>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</si>
  <si>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</si>
  <si>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</si>
  <si>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</si>
  <si>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</si>
  <si>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</si>
  <si>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</si>
  <si>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</si>
  <si>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</si>
  <si>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</si>
  <si>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</si>
  <si>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</si>
  <si>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</si>
  <si>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</si>
  <si>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</si>
  <si>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</si>
  <si>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</si>
  <si>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</si>
  <si>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</si>
  <si>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</si>
  <si>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</si>
  <si>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</si>
  <si>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</si>
  <si>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</si>
  <si>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</si>
  <si>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</si>
  <si>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</si>
  <si>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</si>
  <si>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</si>
  <si>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</si>
  <si>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</si>
  <si>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</si>
  <si>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</si>
  <si>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</si>
  <si>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</si>
  <si>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</si>
  <si>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</si>
  <si>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</si>
  <si>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</si>
  <si>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</si>
  <si>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</si>
  <si>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</si>
  <si>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</si>
  <si>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</si>
  <si>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</si>
  <si>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</si>
  <si>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</si>
  <si>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</si>
  <si>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</si>
  <si>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</si>
  <si>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</si>
  <si>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</si>
  <si>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</si>
  <si>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</si>
  <si>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</si>
  <si>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</si>
  <si>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</si>
  <si>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</si>
  <si>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</si>
  <si>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</si>
  <si>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</si>
  <si>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</si>
  <si>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</si>
  <si>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</si>
  <si>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</si>
  <si>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</si>
  <si>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</si>
  <si>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</si>
  <si>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</si>
  <si>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</si>
  <si>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</si>
  <si>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</si>
  <si>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</si>
  <si>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</si>
  <si>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</si>
  <si>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</si>
  <si>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</si>
  <si>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</si>
  <si>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</si>
  <si>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</si>
  <si>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</si>
  <si>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</si>
  <si>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</si>
  <si>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</si>
  <si>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</si>
  <si>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</si>
  <si>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</si>
  <si>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</si>
  <si>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</si>
  <si>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</si>
  <si>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</si>
  <si>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</si>
  <si>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</si>
  <si>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</si>
  <si>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</si>
  <si>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</si>
  <si>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</si>
  <si>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</si>
  <si>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</si>
  <si>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</si>
  <si>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</si>
  <si>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</si>
  <si>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</si>
  <si>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</si>
  <si>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</si>
  <si>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</si>
  <si>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</si>
  <si>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</si>
  <si>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</si>
  <si>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</si>
  <si>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</si>
  <si>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</si>
  <si>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</si>
  <si>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</si>
  <si>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</si>
  <si>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</si>
  <si>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</si>
  <si>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</si>
  <si>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</si>
  <si>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</si>
  <si>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</si>
  <si>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</si>
  <si>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</si>
  <si>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</si>
  <si>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</si>
  <si>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</si>
  <si>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</si>
  <si>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</si>
  <si>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</si>
  <si>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</si>
  <si>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</si>
  <si>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</si>
  <si>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</si>
  <si>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</si>
  <si>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</si>
  <si>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</si>
  <si>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</si>
  <si>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</si>
  <si>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</si>
  <si>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</si>
  <si>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</si>
  <si>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</si>
  <si>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</si>
  <si>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</si>
  <si>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</si>
  <si>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</si>
  <si>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</si>
  <si>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</si>
  <si>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</si>
  <si>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</si>
  <si>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</si>
  <si>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</si>
  <si>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</si>
  <si>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</si>
  <si>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</si>
  <si>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</si>
  <si>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</si>
  <si>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</si>
  <si>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</si>
  <si>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</si>
  <si>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</si>
  <si>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</si>
  <si>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</si>
  <si>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</si>
  <si>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</si>
  <si>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</si>
  <si>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</si>
  <si>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</si>
  <si>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</si>
  <si>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</si>
  <si>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</si>
  <si>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</si>
  <si>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</si>
  <si>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</si>
  <si>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</si>
  <si>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</si>
  <si>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</si>
  <si>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</si>
  <si>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</si>
  <si>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</si>
  <si>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</si>
  <si>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</si>
  <si>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</si>
  <si>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</si>
  <si>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</si>
  <si>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</si>
  <si>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</si>
  <si>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</si>
  <si>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</si>
  <si>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</si>
  <si>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</si>
  <si>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</si>
  <si>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</si>
  <si>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</si>
  <si>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</si>
  <si>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</si>
  <si>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</si>
  <si>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</si>
  <si>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</si>
  <si>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</si>
  <si>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</si>
  <si>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</si>
  <si>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</si>
  <si>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</si>
  <si>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</si>
  <si>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</si>
  <si>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</si>
  <si>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</si>
  <si>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</si>
  <si>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</si>
  <si>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</si>
  <si>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</si>
  <si>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</si>
  <si>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</si>
  <si>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</si>
  <si>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</si>
  <si>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</si>
  <si>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</si>
  <si>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</si>
  <si>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</si>
  <si>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</si>
  <si>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</si>
  <si>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</si>
  <si>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</si>
  <si>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</si>
  <si>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</si>
  <si>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</si>
  <si>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</si>
  <si>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</si>
  <si>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</si>
  <si>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</si>
  <si>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</si>
  <si>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</si>
  <si>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</si>
  <si>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</si>
  <si>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</si>
  <si>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</si>
  <si>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</si>
  <si>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</si>
  <si>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</si>
  <si>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</si>
  <si>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</si>
  <si>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</si>
  <si>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</si>
  <si>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</si>
  <si>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</si>
  <si>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</si>
  <si>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</si>
  <si>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</si>
  <si>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</si>
  <si>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</si>
  <si>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</si>
  <si>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</si>
  <si>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</si>
  <si>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</si>
  <si>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</si>
  <si>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</si>
  <si>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</si>
  <si>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</si>
  <si>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</si>
  <si>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</si>
  <si>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</si>
  <si>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</si>
  <si>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</si>
  <si>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</si>
  <si>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</si>
  <si>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</si>
  <si>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</si>
  <si>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</si>
  <si>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</si>
  <si>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</si>
  <si>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</si>
  <si>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</si>
  <si>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</si>
  <si>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</si>
  <si>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</si>
  <si>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</si>
  <si>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</si>
  <si>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</si>
  <si>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</si>
  <si>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</si>
  <si>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</si>
  <si>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</si>
  <si>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</si>
  <si>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</si>
  <si>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</si>
  <si>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</si>
  <si>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</si>
  <si>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</si>
  <si>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</si>
  <si>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</si>
  <si>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</si>
  <si>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</si>
  <si>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</si>
  <si>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</si>
  <si>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</si>
  <si>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</si>
  <si>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</si>
  <si>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</si>
  <si>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</si>
  <si>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</si>
  <si>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</si>
  <si>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</si>
  <si>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</si>
  <si>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</si>
  <si>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</si>
  <si>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</si>
  <si>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</si>
  <si>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</si>
  <si>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</si>
  <si>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</si>
  <si>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</si>
  <si>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</si>
  <si>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</si>
  <si>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</si>
  <si>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</si>
  <si>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</si>
  <si>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</si>
  <si>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</si>
  <si>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</si>
  <si>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</si>
  <si>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</si>
  <si>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</si>
  <si>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</si>
  <si>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</si>
  <si>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</si>
  <si>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</si>
  <si>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</si>
  <si>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</si>
  <si>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</si>
  <si>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</si>
  <si>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</si>
  <si>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</si>
  <si>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</si>
  <si>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</si>
  <si>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</si>
  <si>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</si>
  <si>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</si>
  <si>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</si>
  <si>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</si>
  <si>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</si>
  <si>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</si>
  <si>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</si>
  <si>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</si>
  <si>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</si>
  <si>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</si>
  <si>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</si>
  <si>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</si>
  <si>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</si>
  <si>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Reg Account</t>
  </si>
  <si>
    <t>Elec Direct</t>
  </si>
  <si>
    <t>Gas Direct</t>
  </si>
  <si>
    <t>Un Assigned Common ELEC</t>
  </si>
  <si>
    <t>Un Assigned Common GAS</t>
  </si>
  <si>
    <t>Elec
 Allocated</t>
  </si>
  <si>
    <t>ZW_WUTC_INCSTMT</t>
  </si>
  <si>
    <t>WUTC Income Statemen</t>
  </si>
  <si>
    <t>ZW_OPERATING_INCOME</t>
  </si>
  <si>
    <t>WUTC Operating Incom</t>
  </si>
  <si>
    <t>ZW_OPERATING_REVENUES</t>
  </si>
  <si>
    <t>WUTC Operating Reven</t>
  </si>
  <si>
    <t>ZW_SALES_CUSTOMERS</t>
  </si>
  <si>
    <t>WUTC Sales to Custom</t>
  </si>
  <si>
    <t>9440000</t>
  </si>
  <si>
    <t>El Residential Sales</t>
  </si>
  <si>
    <t>9442000</t>
  </si>
  <si>
    <t>El Comm &amp; Ind Sales</t>
  </si>
  <si>
    <t>9444000</t>
  </si>
  <si>
    <t>Publ St &amp; Hghwy Ltng</t>
  </si>
  <si>
    <t>9480000</t>
  </si>
  <si>
    <t>Gs Residential Sales</t>
  </si>
  <si>
    <t>9481000</t>
  </si>
  <si>
    <t>Gs Comm &amp; Ind Sales</t>
  </si>
  <si>
    <t>9489300</t>
  </si>
  <si>
    <t>Rev fr Transp Oth</t>
  </si>
  <si>
    <t>ZW_SALES_RESALE</t>
  </si>
  <si>
    <t>WUTC Sales for Resal</t>
  </si>
  <si>
    <t>9447030</t>
  </si>
  <si>
    <t>Elec Resale-Firm</t>
  </si>
  <si>
    <t>ZW_SALES_OTHER_UTIL</t>
  </si>
  <si>
    <t>WUTC Sales to Other</t>
  </si>
  <si>
    <t>9447010</t>
  </si>
  <si>
    <t>Elec Resale-Sales</t>
  </si>
  <si>
    <t>9447020</t>
  </si>
  <si>
    <t>Elec Resale-Purch</t>
  </si>
  <si>
    <t>ZW_OTHER_OPER_REV</t>
  </si>
  <si>
    <t>WUTC Other Operating</t>
  </si>
  <si>
    <t>9450000</t>
  </si>
  <si>
    <t>Elec Forfeited Disc</t>
  </si>
  <si>
    <t>9451000</t>
  </si>
  <si>
    <t>Misc Elec Serv Rev</t>
  </si>
  <si>
    <t>9454000</t>
  </si>
  <si>
    <t>Rent from Elec Prop</t>
  </si>
  <si>
    <t>9456100</t>
  </si>
  <si>
    <t>Rev frm Transm Other</t>
  </si>
  <si>
    <t>9456020</t>
  </si>
  <si>
    <t>Oth Electr Revenues</t>
  </si>
  <si>
    <t>9487000</t>
  </si>
  <si>
    <t>Gas Forfeited Disc</t>
  </si>
  <si>
    <t>9488000</t>
  </si>
  <si>
    <t>Misc Gas Serv Rev</t>
  </si>
  <si>
    <t>9489400</t>
  </si>
  <si>
    <t>Rev frm Storing Gas</t>
  </si>
  <si>
    <t>9493000</t>
  </si>
  <si>
    <t>Rent frm Gas Prop</t>
  </si>
  <si>
    <t>9495000</t>
  </si>
  <si>
    <t>Other Gas Revenues</t>
  </si>
  <si>
    <t>ZW_OPERATING_REV_DEDUCT</t>
  </si>
  <si>
    <t>ZW_PRODUCTION_EXP</t>
  </si>
  <si>
    <t>WUTC Production Expe</t>
  </si>
  <si>
    <t>ZW_FUEL</t>
  </si>
  <si>
    <t>WUTC Fuel</t>
  </si>
  <si>
    <t>9501000</t>
  </si>
  <si>
    <t>Stm Op Fuel</t>
  </si>
  <si>
    <t>9547000</t>
  </si>
  <si>
    <t>Oth Pwr Op Fuel</t>
  </si>
  <si>
    <t>ZW_PURCHASED_INTERCHANGE</t>
  </si>
  <si>
    <t>WUTC Purchased and I</t>
  </si>
  <si>
    <t>9555010</t>
  </si>
  <si>
    <t>Purch Pwr-Pur &amp; Int</t>
  </si>
  <si>
    <t>9557000</t>
  </si>
  <si>
    <t>Other Expenses</t>
  </si>
  <si>
    <t>9804000</t>
  </si>
  <si>
    <t>Nat Gas City G Purch</t>
  </si>
  <si>
    <t>9805000</t>
  </si>
  <si>
    <t>Other Gas Purchases</t>
  </si>
  <si>
    <t>9805100</t>
  </si>
  <si>
    <t>Purch Gas Cost Adj</t>
  </si>
  <si>
    <t>9808100</t>
  </si>
  <si>
    <t>Gas Withd fr Storage</t>
  </si>
  <si>
    <t>9808200</t>
  </si>
  <si>
    <t>Gas Deliv to Storage</t>
  </si>
  <si>
    <t>ZW_WHEELING</t>
  </si>
  <si>
    <t>WUTC Wheeling</t>
  </si>
  <si>
    <t>9565000</t>
  </si>
  <si>
    <t>Trm Op Electr by Oth</t>
  </si>
  <si>
    <t>ZW_RESIDENTIAL_EXCHANGE</t>
  </si>
  <si>
    <t>WUTC Residential Exc</t>
  </si>
  <si>
    <t>9555020</t>
  </si>
  <si>
    <t>Purch Pwr-Res Exch</t>
  </si>
  <si>
    <t>ZW_OPERATING_EXPENSES</t>
  </si>
  <si>
    <t>WUTC Operating Expen</t>
  </si>
  <si>
    <t>ZW_OTH_ENERGY_SUPPLY_EXP</t>
  </si>
  <si>
    <t>WUTC Other Energy Su</t>
  </si>
  <si>
    <t>9500000</t>
  </si>
  <si>
    <t>Stm Op Supv &amp; Eng</t>
  </si>
  <si>
    <t>9502000</t>
  </si>
  <si>
    <t>Stm Op Steam Exp</t>
  </si>
  <si>
    <t>9505000</t>
  </si>
  <si>
    <t>Stm Op Electric Exp</t>
  </si>
  <si>
    <t>9506000</t>
  </si>
  <si>
    <t>Stm Op Misc Pwr Exp</t>
  </si>
  <si>
    <t>9507000</t>
  </si>
  <si>
    <t>9510000</t>
  </si>
  <si>
    <t>Stm Mn Supv &amp; Eng</t>
  </si>
  <si>
    <t>9511000</t>
  </si>
  <si>
    <t>Stm Mn Structures</t>
  </si>
  <si>
    <t>9512000</t>
  </si>
  <si>
    <t>Stm Mn Boiler Plant</t>
  </si>
  <si>
    <t>9513000</t>
  </si>
  <si>
    <t>Stm Mn Electr Plant</t>
  </si>
  <si>
    <t>9514000</t>
  </si>
  <si>
    <t>Stm Mn Misc Plt Exp</t>
  </si>
  <si>
    <t>9535000</t>
  </si>
  <si>
    <t>Hyd Op Supv &amp; Eng</t>
  </si>
  <si>
    <t>9537000</t>
  </si>
  <si>
    <t>Hyd Op Hydraulic Exp</t>
  </si>
  <si>
    <t>9538000</t>
  </si>
  <si>
    <t>Hyd Op Electric Exp</t>
  </si>
  <si>
    <t>9539000</t>
  </si>
  <si>
    <t>Hyd Op Misc Pwr Exp</t>
  </si>
  <si>
    <t>9541000</t>
  </si>
  <si>
    <t>Hyd Mn Supv &amp; Eng</t>
  </si>
  <si>
    <t>9542000</t>
  </si>
  <si>
    <t>Hyd Mn Structures</t>
  </si>
  <si>
    <t>9543000</t>
  </si>
  <si>
    <t>Hyd Mn Resv Dams</t>
  </si>
  <si>
    <t>9544000</t>
  </si>
  <si>
    <t>Hyd Mn Electr Plant</t>
  </si>
  <si>
    <t>9545000</t>
  </si>
  <si>
    <t>Hyd Mn Misc Plt Exp</t>
  </si>
  <si>
    <t>9546000</t>
  </si>
  <si>
    <t>Oth Pwr Op Sup &amp; Eng</t>
  </si>
  <si>
    <t>9548000</t>
  </si>
  <si>
    <t>Oth Pwr Op Gen Exp</t>
  </si>
  <si>
    <t>9549000</t>
  </si>
  <si>
    <t>Oth Pwr Op Misc Exp</t>
  </si>
  <si>
    <t>9550000</t>
  </si>
  <si>
    <t>Oth Pwr Op Rents</t>
  </si>
  <si>
    <t>9551000</t>
  </si>
  <si>
    <t>Oth Pwr Mn Sup &amp; Eng</t>
  </si>
  <si>
    <t>9552000</t>
  </si>
  <si>
    <t>Oth Pwr Mn Structure</t>
  </si>
  <si>
    <t>9553000</t>
  </si>
  <si>
    <t>Oth Pwr Mn Equipment</t>
  </si>
  <si>
    <t>9554000</t>
  </si>
  <si>
    <t>Oth Pwr Mn Misc Exp</t>
  </si>
  <si>
    <t>9556000</t>
  </si>
  <si>
    <t>Syst Cntrl &amp; Ld Disp</t>
  </si>
  <si>
    <t>9717000</t>
  </si>
  <si>
    <t>Mfd Op Liq Petro Exp</t>
  </si>
  <si>
    <t>9807500</t>
  </si>
  <si>
    <t>Oth Purch Gas Exp</t>
  </si>
  <si>
    <t>9812000</t>
  </si>
  <si>
    <t>Gas Used fr Oth Util</t>
  </si>
  <si>
    <t>9813000</t>
  </si>
  <si>
    <t>Oth Gas Supply Exp</t>
  </si>
  <si>
    <t>9814000</t>
  </si>
  <si>
    <t>UGS Op Supv &amp; Eng</t>
  </si>
  <si>
    <t>9816000</t>
  </si>
  <si>
    <t>UGS Op Wells Expense</t>
  </si>
  <si>
    <t>9817000</t>
  </si>
  <si>
    <t>UGS Op Lines Expesne</t>
  </si>
  <si>
    <t>9818000</t>
  </si>
  <si>
    <t>UGS Op Compr Stn Exp</t>
  </si>
  <si>
    <t>9819000</t>
  </si>
  <si>
    <t>UGS Op Compr Stn F&amp;P</t>
  </si>
  <si>
    <t>9820000</t>
  </si>
  <si>
    <t>UGS Op Mea &amp; Reg Exp</t>
  </si>
  <si>
    <t>9824000</t>
  </si>
  <si>
    <t>UGS Op Other Expense</t>
  </si>
  <si>
    <t>9825000</t>
  </si>
  <si>
    <t>9830000</t>
  </si>
  <si>
    <t>UGS Mn Supv &amp; Eng</t>
  </si>
  <si>
    <t>9831000</t>
  </si>
  <si>
    <t>UGS Mn Stuctures</t>
  </si>
  <si>
    <t>9832000</t>
  </si>
  <si>
    <t>UGS Mn Reserv &amp; Well</t>
  </si>
  <si>
    <t>9833000</t>
  </si>
  <si>
    <t>9834000</t>
  </si>
  <si>
    <t>UGS Mn Compr Stn Eq</t>
  </si>
  <si>
    <t>9836000</t>
  </si>
  <si>
    <t>UGS Mn Purificat Equ</t>
  </si>
  <si>
    <t>9837000</t>
  </si>
  <si>
    <t>UGS Mn Oth Equipment</t>
  </si>
  <si>
    <t>9841000</t>
  </si>
  <si>
    <t>OS Op Labor &amp; Exp</t>
  </si>
  <si>
    <t>9844100</t>
  </si>
  <si>
    <t>LNG Op Supv &amp; Eng</t>
  </si>
  <si>
    <t>ZW_TRANSMISSION_EXP</t>
  </si>
  <si>
    <t>WUTC Transmission Ex</t>
  </si>
  <si>
    <t>9560000</t>
  </si>
  <si>
    <t>Transm Op Supv &amp; Eng</t>
  </si>
  <si>
    <t>9561100</t>
  </si>
  <si>
    <t>Load Disp-Reliabilit</t>
  </si>
  <si>
    <t>9561200</t>
  </si>
  <si>
    <t>Load Disp-Monit &amp; Op</t>
  </si>
  <si>
    <t>9561300</t>
  </si>
  <si>
    <t>Load Disp-Transm Svc</t>
  </si>
  <si>
    <t>9561500</t>
  </si>
  <si>
    <t>Reliab Plng &amp; Stndrd</t>
  </si>
  <si>
    <t>9561700</t>
  </si>
  <si>
    <t>Gen Interconn Study</t>
  </si>
  <si>
    <t>9561800</t>
  </si>
  <si>
    <t>Reliab Plng &amp; SD Svc</t>
  </si>
  <si>
    <t>9562000</t>
  </si>
  <si>
    <t>Trm Op Station Exp</t>
  </si>
  <si>
    <t>9563000</t>
  </si>
  <si>
    <t>Trm Op Ovhd Line Exp</t>
  </si>
  <si>
    <t>9566000</t>
  </si>
  <si>
    <t>Trm Op Misc Expenses</t>
  </si>
  <si>
    <t>9567000</t>
  </si>
  <si>
    <t>Trm Op Rents</t>
  </si>
  <si>
    <t>9568000</t>
  </si>
  <si>
    <t>Trm Mn Supv &amp; Eng</t>
  </si>
  <si>
    <t>9569000</t>
  </si>
  <si>
    <t>9569200</t>
  </si>
  <si>
    <t>Trm Mn Comp Software</t>
  </si>
  <si>
    <t>9570000</t>
  </si>
  <si>
    <t>Trm Mn Station Equip</t>
  </si>
  <si>
    <t>9571000</t>
  </si>
  <si>
    <t>Trm Mn Ovhd Lines</t>
  </si>
  <si>
    <t>9573000</t>
  </si>
  <si>
    <t>Trm Mn Misc Transm</t>
  </si>
  <si>
    <t>9862000</t>
  </si>
  <si>
    <t>ZW_DISTRIBUTION_EXP</t>
  </si>
  <si>
    <t>WUTC Distribution Ex</t>
  </si>
  <si>
    <t>9580000</t>
  </si>
  <si>
    <t>Dis Op Supv &amp; Eng</t>
  </si>
  <si>
    <t>9581000</t>
  </si>
  <si>
    <t>Dis Op Load Dispatch</t>
  </si>
  <si>
    <t>9582000</t>
  </si>
  <si>
    <t>Dis Op Station Exp</t>
  </si>
  <si>
    <t>9583000</t>
  </si>
  <si>
    <t>Dis Op Ovhd Line Exp</t>
  </si>
  <si>
    <t>9584000</t>
  </si>
  <si>
    <t>Dis Op Undg Line Exp</t>
  </si>
  <si>
    <t>9585000</t>
  </si>
  <si>
    <t>9586000</t>
  </si>
  <si>
    <t>Dis Op Meter Exp</t>
  </si>
  <si>
    <t>9587000</t>
  </si>
  <si>
    <t>Dis Op Cust Install</t>
  </si>
  <si>
    <t>9588000</t>
  </si>
  <si>
    <t>Dis Op Misc Expenses</t>
  </si>
  <si>
    <t>9589000</t>
  </si>
  <si>
    <t>Dis Op Rents</t>
  </si>
  <si>
    <t>9590000</t>
  </si>
  <si>
    <t>Dis Mn Supv &amp; Eng</t>
  </si>
  <si>
    <t>9592000</t>
  </si>
  <si>
    <t>Dis Mn Station Equip</t>
  </si>
  <si>
    <t>9593000</t>
  </si>
  <si>
    <t>Dis Mn Ovhd Lines</t>
  </si>
  <si>
    <t>9594000</t>
  </si>
  <si>
    <t>Dis Mn Undgrd Lines</t>
  </si>
  <si>
    <t>9595000</t>
  </si>
  <si>
    <t>Dis Mn Line Transfor</t>
  </si>
  <si>
    <t>9596000</t>
  </si>
  <si>
    <t>Dis Mn St Ltng &amp; Sig</t>
  </si>
  <si>
    <t>9597000</t>
  </si>
  <si>
    <t>Dis Mn Meters</t>
  </si>
  <si>
    <t>9870000</t>
  </si>
  <si>
    <t>9871000</t>
  </si>
  <si>
    <t>9874000</t>
  </si>
  <si>
    <t>Dis Op Mains &amp; Serv</t>
  </si>
  <si>
    <t>9875000</t>
  </si>
  <si>
    <t>Dis Op M &amp; R Stn-Gen</t>
  </si>
  <si>
    <t>9876000</t>
  </si>
  <si>
    <t>Dis Op M &amp; R Stn-Ind</t>
  </si>
  <si>
    <t>9878000</t>
  </si>
  <si>
    <t>Dis Op Mtr &amp; Hou Reg</t>
  </si>
  <si>
    <t>9879000</t>
  </si>
  <si>
    <t>9880000</t>
  </si>
  <si>
    <t>Dis Op Other Expense</t>
  </si>
  <si>
    <t>9881000</t>
  </si>
  <si>
    <t>9885000</t>
  </si>
  <si>
    <t>9886000</t>
  </si>
  <si>
    <t>Dis Mn Structures</t>
  </si>
  <si>
    <t>9887000</t>
  </si>
  <si>
    <t>Dis Mn Mains</t>
  </si>
  <si>
    <t>9889000</t>
  </si>
  <si>
    <t>Dis Mn M &amp; R Stn-Gen</t>
  </si>
  <si>
    <t>9890000</t>
  </si>
  <si>
    <t>Dis Mn M &amp; R Stn-Ind</t>
  </si>
  <si>
    <t>9892000</t>
  </si>
  <si>
    <t>Dis Mn Services</t>
  </si>
  <si>
    <t>9893000</t>
  </si>
  <si>
    <t>Dis Mn Mtr &amp; Hou Reg</t>
  </si>
  <si>
    <t>9894000</t>
  </si>
  <si>
    <t>Dis Mn Other Equipm</t>
  </si>
  <si>
    <t>ZW_CUSTOMER_ACCTS_EXP</t>
  </si>
  <si>
    <t>WUTC Customer Accoun</t>
  </si>
  <si>
    <t>9901000</t>
  </si>
  <si>
    <t>Customer Accts Supv</t>
  </si>
  <si>
    <t>9902000</t>
  </si>
  <si>
    <t>Meter Reading Exp</t>
  </si>
  <si>
    <t>9903000</t>
  </si>
  <si>
    <t>Customer Rec &amp; Coll</t>
  </si>
  <si>
    <t>9903100</t>
  </si>
  <si>
    <t>Cust Rec Col Exp-E</t>
  </si>
  <si>
    <t>9904000</t>
  </si>
  <si>
    <t>Uncollectible Accts</t>
  </si>
  <si>
    <t>ZW_CUSTOMER_SERV_EXP</t>
  </si>
  <si>
    <t>WUTC Customer Servic</t>
  </si>
  <si>
    <t>9908010</t>
  </si>
  <si>
    <t>Customer Serv Exp</t>
  </si>
  <si>
    <t>9909000</t>
  </si>
  <si>
    <t>Infor &amp; Inst Adv Exp</t>
  </si>
  <si>
    <t>9910000</t>
  </si>
  <si>
    <t>9912000</t>
  </si>
  <si>
    <t>Demonstr &amp; Sell Exp</t>
  </si>
  <si>
    <t>ZW_CONSERV_AMORTIZATION</t>
  </si>
  <si>
    <t>WUTC Conservation Am</t>
  </si>
  <si>
    <t>9908020</t>
  </si>
  <si>
    <t>Conserv Amortization</t>
  </si>
  <si>
    <t>ZW_ADMIN_GEN_EXP</t>
  </si>
  <si>
    <t>WUTC Admin &amp; General</t>
  </si>
  <si>
    <t>9920000</t>
  </si>
  <si>
    <t>Admin &amp; Gen Salaries</t>
  </si>
  <si>
    <t>9921000</t>
  </si>
  <si>
    <t>Office Suppies &amp; Exp</t>
  </si>
  <si>
    <t>9922000</t>
  </si>
  <si>
    <t>Admin Exp Transf-Cr</t>
  </si>
  <si>
    <t>9923000</t>
  </si>
  <si>
    <t>Outside Svc Employed</t>
  </si>
  <si>
    <t>9924000</t>
  </si>
  <si>
    <t>Property Insurance</t>
  </si>
  <si>
    <t>9925000</t>
  </si>
  <si>
    <t>Injuries and Damages</t>
  </si>
  <si>
    <t>9926000</t>
  </si>
  <si>
    <t>Employee Pen &amp; Ben</t>
  </si>
  <si>
    <t>9928000</t>
  </si>
  <si>
    <t>Reg Commission Exp</t>
  </si>
  <si>
    <t>9930200</t>
  </si>
  <si>
    <t>Misc General Exp</t>
  </si>
  <si>
    <t>9931000</t>
  </si>
  <si>
    <t>Rents</t>
  </si>
  <si>
    <t>9932000</t>
  </si>
  <si>
    <t>Gas Maint of Gen Plt</t>
  </si>
  <si>
    <t>9935000</t>
  </si>
  <si>
    <t>Ele Maint of Gen Plt</t>
  </si>
  <si>
    <t>ZW_DEPR_DEPL_AMORTIZ</t>
  </si>
  <si>
    <t>WUTC Depreciation, D</t>
  </si>
  <si>
    <t>ZW_DEPRECIATION</t>
  </si>
  <si>
    <t>WUTC Depreciation</t>
  </si>
  <si>
    <t>9403000</t>
  </si>
  <si>
    <t>Depreciation Expense</t>
  </si>
  <si>
    <t>9403100</t>
  </si>
  <si>
    <t>Dep Exp Asset Retire</t>
  </si>
  <si>
    <t>ZW_AMORTIZATION</t>
  </si>
  <si>
    <t>WUTC Amortization</t>
  </si>
  <si>
    <t>9404000</t>
  </si>
  <si>
    <t>Amort of Limitd-Term</t>
  </si>
  <si>
    <t>9406000</t>
  </si>
  <si>
    <t>Amor of Plnt Acq Adj</t>
  </si>
  <si>
    <t>9411000</t>
  </si>
  <si>
    <t>Accretion Expense</t>
  </si>
  <si>
    <t>9404300</t>
  </si>
  <si>
    <t>Amort of Lim-Ter Gas</t>
  </si>
  <si>
    <t>ZW_AMORTIZ_PROP_LOSS</t>
  </si>
  <si>
    <t>WUTC Amortization of</t>
  </si>
  <si>
    <t>9407000</t>
  </si>
  <si>
    <t>Amor of Prop Loss Un</t>
  </si>
  <si>
    <t>ZW_OTHER_OPERATING_EXP</t>
  </si>
  <si>
    <t>9407300</t>
  </si>
  <si>
    <t>Regulatory Debits</t>
  </si>
  <si>
    <t>9407400</t>
  </si>
  <si>
    <t>Regulatory Credits</t>
  </si>
  <si>
    <t>9411600</t>
  </si>
  <si>
    <t>Gns from Disposition</t>
  </si>
  <si>
    <t>9411700</t>
  </si>
  <si>
    <t>9411800</t>
  </si>
  <si>
    <t>ZW_ASC_815</t>
  </si>
  <si>
    <t>WUTC ASC 815</t>
  </si>
  <si>
    <t>9421010</t>
  </si>
  <si>
    <t>Msc NonOp FAS 133 Gn</t>
  </si>
  <si>
    <t>9426510</t>
  </si>
  <si>
    <t>FAS 133 Loss</t>
  </si>
  <si>
    <t>ZW_TAXES_OTHER_INC_TAX</t>
  </si>
  <si>
    <t>WUTC Taxes Other Tha</t>
  </si>
  <si>
    <t>9408100</t>
  </si>
  <si>
    <t>Other Taxes-Utl Oper</t>
  </si>
  <si>
    <t>ZW_INCOME_TAXES</t>
  </si>
  <si>
    <t>WUTC Income Taxes</t>
  </si>
  <si>
    <t>9409120</t>
  </si>
  <si>
    <t>ZW_DEFERRED_INC_TAXES</t>
  </si>
  <si>
    <t>WUTC Deferred Income</t>
  </si>
  <si>
    <t>9410100</t>
  </si>
  <si>
    <t>Prov Def Taxes-Utl</t>
  </si>
  <si>
    <t>9411100</t>
  </si>
  <si>
    <t>Prov Def Tx-Cr Util</t>
  </si>
  <si>
    <t>ZW_NON-OPERATING_INCOME</t>
  </si>
  <si>
    <t>WUTC Non-Operating I</t>
  </si>
  <si>
    <t>ZW_OTHER_INCOME</t>
  </si>
  <si>
    <t>WUTC Other Income</t>
  </si>
  <si>
    <t>9408200</t>
  </si>
  <si>
    <t>Other Taxes-Oth Inc</t>
  </si>
  <si>
    <t>9409200</t>
  </si>
  <si>
    <t>Inc Taxes-Other Inc</t>
  </si>
  <si>
    <t>9410200</t>
  </si>
  <si>
    <t>Prov Def Taxes-Oth</t>
  </si>
  <si>
    <t>9415000</t>
  </si>
  <si>
    <t>Rev frm Merch &amp; Job</t>
  </si>
  <si>
    <t>9416000</t>
  </si>
  <si>
    <t>Exp frm Merch &amp; Job</t>
  </si>
  <si>
    <t>9417000</t>
  </si>
  <si>
    <t>Rev frm Nonutil Oper</t>
  </si>
  <si>
    <t>9417100</t>
  </si>
  <si>
    <t>Exp frm Nonutil Oper</t>
  </si>
  <si>
    <t>9418000</t>
  </si>
  <si>
    <t>9418100</t>
  </si>
  <si>
    <t>9419000</t>
  </si>
  <si>
    <t>Inter &amp; Dividend Inc</t>
  </si>
  <si>
    <t>9419100</t>
  </si>
  <si>
    <t>Allow for Oth FUDC</t>
  </si>
  <si>
    <t>9421020</t>
  </si>
  <si>
    <t>Misc NonOper Income</t>
  </si>
  <si>
    <t>9421030</t>
  </si>
  <si>
    <t>Misc NonOp Inc-AFUDC</t>
  </si>
  <si>
    <t>9426100</t>
  </si>
  <si>
    <t>Donations</t>
  </si>
  <si>
    <t>9426200</t>
  </si>
  <si>
    <t>9426300</t>
  </si>
  <si>
    <t>9426400</t>
  </si>
  <si>
    <t>Exp Civic Politi Act</t>
  </si>
  <si>
    <t>9426520</t>
  </si>
  <si>
    <t>Other Deductions</t>
  </si>
  <si>
    <t>ZW_INTEREST</t>
  </si>
  <si>
    <t>WUTC Interest</t>
  </si>
  <si>
    <t>9427000</t>
  </si>
  <si>
    <t>Interest on LT Debt</t>
  </si>
  <si>
    <t>9428000</t>
  </si>
  <si>
    <t>Amort Debt Disp&amp;Exp</t>
  </si>
  <si>
    <t>9428100</t>
  </si>
  <si>
    <t>Amort Lss Reacq Debt</t>
  </si>
  <si>
    <t>9431000</t>
  </si>
  <si>
    <t>Oth Interest Expense</t>
  </si>
  <si>
    <t>9432000</t>
  </si>
  <si>
    <t>Allow for Borr FUDC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</si>
  <si>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</si>
  <si>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</si>
  <si>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</si>
  <si>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</si>
  <si>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</si>
  <si>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</si>
  <si>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</si>
  <si>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</si>
  <si>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</si>
  <si>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</si>
  <si>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</si>
  <si>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</si>
  <si>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</si>
  <si>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</si>
  <si>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</si>
  <si>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</si>
  <si>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</si>
  <si>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</si>
  <si>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</si>
  <si>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</si>
  <si>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</si>
  <si>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</si>
  <si>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</si>
  <si>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</si>
  <si>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</si>
  <si>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</si>
  <si>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</si>
  <si>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</si>
  <si>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</si>
  <si>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</si>
  <si>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</si>
  <si>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</si>
  <si>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</si>
  <si>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</si>
  <si>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</si>
  <si>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</si>
  <si>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</si>
  <si>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</si>
  <si>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</si>
  <si>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</si>
  <si>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</si>
  <si>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</si>
  <si>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</si>
  <si>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</si>
  <si>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</si>
  <si>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</si>
  <si>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</si>
  <si>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</si>
  <si>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Rate</t>
  </si>
  <si>
    <t>Gas Rate</t>
  </si>
  <si>
    <t>Electric Allocator</t>
  </si>
  <si>
    <t>Gas Allocator</t>
  </si>
  <si>
    <t>(20) 904 - Uncollectible Accounts</t>
  </si>
  <si>
    <t>State Income Taxes</t>
  </si>
  <si>
    <t>Federal Income Taxes</t>
  </si>
  <si>
    <t>Common Direct</t>
  </si>
  <si>
    <t>Gas Allocated</t>
  </si>
  <si>
    <t>$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</si>
  <si>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</si>
  <si>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</si>
  <si>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</si>
  <si>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</si>
  <si>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</si>
  <si>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</si>
  <si>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</si>
  <si>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t>Purchased Gas Exp</t>
  </si>
  <si>
    <t>UGS Op Storage Well</t>
  </si>
  <si>
    <t>UGS Mn Lines</t>
  </si>
  <si>
    <t>Trm Mn Structures</t>
  </si>
  <si>
    <t>Trm Mn Comp Hardware</t>
  </si>
  <si>
    <t>9902100</t>
  </si>
  <si>
    <t>Meter Reading Exp-E</t>
  </si>
  <si>
    <t>9902200</t>
  </si>
  <si>
    <t>Meter Reading Exp-G</t>
  </si>
  <si>
    <t>9903200</t>
  </si>
  <si>
    <t>Cust Rec Col Exp-G</t>
  </si>
  <si>
    <t>Gen Advertising Exp</t>
  </si>
  <si>
    <t>Equity in Earn Subs</t>
  </si>
  <si>
    <t>Gn on Dispos of Prop</t>
  </si>
  <si>
    <t>Life insurance</t>
  </si>
  <si>
    <t>Penalties</t>
  </si>
  <si>
    <t>(27) 4074 - Regulatory Credits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</si>
  <si>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</si>
  <si>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9416200</t>
  </si>
  <si>
    <t>Exp fr Merch &amp; Job-G</t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</si>
  <si>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</si>
  <si>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</si>
  <si>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</si>
  <si>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</si>
  <si>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</si>
  <si>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</si>
  <si>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</si>
  <si>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</si>
  <si>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</si>
  <si>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</si>
  <si>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</si>
  <si>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</si>
  <si>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</si>
  <si>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</si>
  <si>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</si>
  <si>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</si>
  <si>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</si>
  <si>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</si>
  <si>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</si>
  <si>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</si>
  <si>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9840000</t>
  </si>
  <si>
    <t>OS Op Supv &amp; Eng</t>
  </si>
  <si>
    <t>Order</t>
  </si>
  <si>
    <t>Cost Element</t>
  </si>
  <si>
    <t>Val.in rep.cur.</t>
  </si>
  <si>
    <t>Cost element name</t>
  </si>
  <si>
    <t>Name</t>
  </si>
  <si>
    <t>Period</t>
  </si>
  <si>
    <t>Processing  Group</t>
  </si>
  <si>
    <t>Proc. Grp. Text</t>
  </si>
  <si>
    <t>Functional Area</t>
  </si>
  <si>
    <t>FERC</t>
  </si>
  <si>
    <t>Posting Date</t>
  </si>
  <si>
    <t>Document Header Text</t>
  </si>
  <si>
    <t>Document type</t>
  </si>
  <si>
    <t>User Name</t>
  </si>
  <si>
    <t>Time of Entry</t>
  </si>
  <si>
    <t>Created on</t>
  </si>
  <si>
    <t>40400631</t>
  </si>
  <si>
    <t>64000290</t>
  </si>
  <si>
    <t>Amortization Expense</t>
  </si>
  <si>
    <t>1</t>
  </si>
  <si>
    <t>3</t>
  </si>
  <si>
    <t>2080</t>
  </si>
  <si>
    <t>4040</t>
  </si>
  <si>
    <t>WE</t>
  </si>
  <si>
    <t>KCOMPO</t>
  </si>
  <si>
    <t>129604 -GREATAMERICA LEASING CORPORATION</t>
  </si>
  <si>
    <t>RE</t>
  </si>
  <si>
    <t>KPHANG</t>
  </si>
  <si>
    <t>60870001</t>
  </si>
  <si>
    <t>Rent/Lease-Non Cancl</t>
  </si>
  <si>
    <t>ZG</t>
  </si>
  <si>
    <t>LSCHUM</t>
  </si>
  <si>
    <t>Reclass January Fleet</t>
  </si>
  <si>
    <t>SA</t>
  </si>
  <si>
    <t>2</t>
  </si>
  <si>
    <t>Reclass February Fleet</t>
  </si>
  <si>
    <t>Reclass March Fleet</t>
  </si>
  <si>
    <t>4</t>
  </si>
  <si>
    <t>Reclass April Fleet</t>
  </si>
  <si>
    <t>P08103</t>
  </si>
  <si>
    <t>Asset Amortization Reclass</t>
  </si>
  <si>
    <t>5</t>
  </si>
  <si>
    <t>AssetAmortizationReclass</t>
  </si>
  <si>
    <t>Reclass May Fleet</t>
  </si>
  <si>
    <t>6</t>
  </si>
  <si>
    <t>Reclass June Fleet</t>
  </si>
  <si>
    <t>7</t>
  </si>
  <si>
    <t>Reclass July Fleet</t>
  </si>
  <si>
    <t>8</t>
  </si>
  <si>
    <t>Reclass August Fleet</t>
  </si>
  <si>
    <t>P32039</t>
  </si>
  <si>
    <t>Reclass September Fleet</t>
  </si>
  <si>
    <t>10</t>
  </si>
  <si>
    <t>Reclass October Fleet</t>
  </si>
  <si>
    <t>11</t>
  </si>
  <si>
    <t>Reclass November Fleet</t>
  </si>
  <si>
    <t>12</t>
  </si>
  <si>
    <t>Reclass December Fleet</t>
  </si>
  <si>
    <t xml:space="preserve">               (17) 840 - Operation supervision and engineering</t>
  </si>
  <si>
    <t>(27) 4117 - Losses From Disposition Of Utility Plant</t>
  </si>
  <si>
    <t>Has</t>
  </si>
  <si>
    <t>UGS Mn Mea &amp; Reg Stn</t>
  </si>
  <si>
    <t>9842000</t>
  </si>
  <si>
    <t>LNG Otr Storage Rent</t>
  </si>
  <si>
    <t>9842200</t>
  </si>
  <si>
    <t>OS Op Power</t>
  </si>
  <si>
    <t>OS Mn Gas Holders</t>
  </si>
  <si>
    <t>9843400</t>
  </si>
  <si>
    <t>OS Mn Purificat Equ</t>
  </si>
  <si>
    <t>OS Mn Vaporiz Equip</t>
  </si>
  <si>
    <t>OS Mn Other Equipmnt</t>
  </si>
  <si>
    <t>9844200</t>
  </si>
  <si>
    <t>LNG Proc Term LabExp</t>
  </si>
  <si>
    <t>9844300</t>
  </si>
  <si>
    <t>LNG Liq Proc Lab&amp;Exp</t>
  </si>
  <si>
    <t>9844700</t>
  </si>
  <si>
    <t>LNG Comm Sys Exp</t>
  </si>
  <si>
    <t>9846200</t>
  </si>
  <si>
    <t>LNG Other Expenses</t>
  </si>
  <si>
    <t>9847300</t>
  </si>
  <si>
    <t>Maint LNG ProcTermEq</t>
  </si>
  <si>
    <t>9847700</t>
  </si>
  <si>
    <t>Maint of LNG Comm Eq</t>
  </si>
  <si>
    <t>9847800</t>
  </si>
  <si>
    <t>Maint of LNG Othr Eq</t>
  </si>
  <si>
    <t>FOR THE YEAR ENDED DECEMBER 31, 2022</t>
  </si>
  <si>
    <t>(spread is based on allocation factors developed for the December 2022 CBR)</t>
  </si>
  <si>
    <t>reverse December Topside</t>
  </si>
  <si>
    <t xml:space="preserve">               (17) 842 - Rents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</si>
  <si>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</si>
  <si>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</si>
  <si>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</si>
  <si>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</si>
  <si>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</si>
  <si>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>9847400</t>
  </si>
  <si>
    <t xml:space="preserve">               (17) 8477 - Gas LNG Maint Comm Equip</t>
  </si>
  <si>
    <t>DEC22 CBR</t>
  </si>
  <si>
    <t>Inter&amp;Dividend Income</t>
  </si>
  <si>
    <t>December Topside</t>
  </si>
  <si>
    <t>Deferred Income Taxes</t>
  </si>
  <si>
    <t>Great America - 30692926</t>
  </si>
  <si>
    <t>,40400631,4922</t>
  </si>
  <si>
    <t>4922_20220201_13000000002</t>
  </si>
  <si>
    <t>January2022FleetReclass</t>
  </si>
  <si>
    <t>Great America - 30867359</t>
  </si>
  <si>
    <t>,40400631,4958</t>
  </si>
  <si>
    <t>4958_20220301_14010000004</t>
  </si>
  <si>
    <t>February2022FleetReclass</t>
  </si>
  <si>
    <t>Great America Financial Service - 310801</t>
  </si>
  <si>
    <t>,40400631,4998</t>
  </si>
  <si>
    <t>4998_20220401_11120000002</t>
  </si>
  <si>
    <t>March2022FleetReclass</t>
  </si>
  <si>
    <t>Great America 31269441</t>
  </si>
  <si>
    <t>,40400631,5035</t>
  </si>
  <si>
    <t>5035_20220502_11504000002</t>
  </si>
  <si>
    <t>April2022FleetReclass</t>
  </si>
  <si>
    <t>GreatAmerica - 31464881</t>
  </si>
  <si>
    <t>,40400631,5074</t>
  </si>
  <si>
    <t>5074_20220601_11080000005</t>
  </si>
  <si>
    <t>May2022FleetReclass</t>
  </si>
  <si>
    <t>Great America - 31659510</t>
  </si>
  <si>
    <t>,40400631,5112</t>
  </si>
  <si>
    <t>5112_20220701_12174000002</t>
  </si>
  <si>
    <t>June2022FleetReclass</t>
  </si>
  <si>
    <t>Great America 31861127</t>
  </si>
  <si>
    <t>P77479</t>
  </si>
  <si>
    <t>,40400631,5151</t>
  </si>
  <si>
    <t>5151_20220801_14092000005</t>
  </si>
  <si>
    <t>July2022FleetReclass</t>
  </si>
  <si>
    <t>Great America 32044090</t>
  </si>
  <si>
    <t>,40400631,5188</t>
  </si>
  <si>
    <t>5188_20220901_11060000002</t>
  </si>
  <si>
    <t>August2022FleetReclass</t>
  </si>
  <si>
    <t>,40400631,5231</t>
  </si>
  <si>
    <t>5231_20221003_10144000002</t>
  </si>
  <si>
    <t>September2022FleetReclass</t>
  </si>
  <si>
    <t>October2022FleetReclass</t>
  </si>
  <si>
    <t>,40400631,5267</t>
  </si>
  <si>
    <t>5267_20221101_12055000005</t>
  </si>
  <si>
    <t>November2022FleetReclass</t>
  </si>
  <si>
    <t>,40400631,5306</t>
  </si>
  <si>
    <t>5306_20221201_10590000005</t>
  </si>
  <si>
    <t>,40400631,5347</t>
  </si>
  <si>
    <t>5347_20230103_11071000005</t>
  </si>
  <si>
    <t>December2022FleetReclass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</si>
</sst>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&quot;[-] &quot;@"/>
    <numFmt numFmtId="173" formatCode="#,##0.00;\-#,##0.00;#,##0.00"/>
    <numFmt numFmtId="174" formatCode="&quot;  [-] &quot;@"/>
    <numFmt numFmtId="175" formatCode="&quot;    [-] &quot;@"/>
    <numFmt numFmtId="176" formatCode="&quot;      [-] &quot;@"/>
    <numFmt numFmtId="177" formatCode="&quot;        [-] &quot;@"/>
    <numFmt numFmtId="178" formatCode="###,000"/>
    <numFmt numFmtId="179" formatCode="[$-F400]h:mm:ss\ AM/PM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trike/>
      <u/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8" fillId="2" borderId="20" applyNumberFormat="0" applyAlignment="0" applyProtection="0">
      <alignment horizontal="left" vertical="center" indent="1"/>
    </xf>
    <xf numFmtId="178" fontId="29" fillId="0" borderId="25" applyNumberFormat="0" applyProtection="0">
      <alignment horizontal="right" vertical="center"/>
    </xf>
    <xf numFmtId="178" fontId="28" fillId="0" borderId="30" applyNumberFormat="0" applyProtection="0">
      <alignment horizontal="right" vertical="center"/>
    </xf>
    <xf numFmtId="178" fontId="29" fillId="3" borderId="20" applyNumberFormat="0" applyAlignment="0" applyProtection="0">
      <alignment horizontal="left" vertical="center" indent="1"/>
    </xf>
    <xf numFmtId="0" fontId="20" fillId="4" borderId="30" applyNumberFormat="0" applyAlignment="0">
      <alignment horizontal="left" vertical="center" indent="1"/>
      <protection locked="0"/>
    </xf>
    <xf numFmtId="0" fontId="20" fillId="5" borderId="30" applyNumberFormat="0" applyAlignment="0" applyProtection="0">
      <alignment horizontal="left" vertical="center" indent="1"/>
    </xf>
    <xf numFmtId="178" fontId="29" fillId="6" borderId="25" applyNumberFormat="0" applyBorder="0">
      <alignment horizontal="right" vertical="center"/>
      <protection locked="0"/>
    </xf>
    <xf numFmtId="0" fontId="20" fillId="4" borderId="30" applyNumberFormat="0" applyAlignment="0">
      <alignment horizontal="left" vertical="center" indent="1"/>
      <protection locked="0"/>
    </xf>
    <xf numFmtId="178" fontId="28" fillId="5" borderId="30" applyNumberFormat="0" applyProtection="0">
      <alignment horizontal="right" vertical="center"/>
    </xf>
    <xf numFmtId="178" fontId="28" fillId="6" borderId="30" applyNumberFormat="0" applyBorder="0">
      <alignment horizontal="right" vertical="center"/>
      <protection locked="0"/>
    </xf>
    <xf numFmtId="178" fontId="30" fillId="7" borderId="31" applyNumberFormat="0" applyBorder="0" applyAlignment="0" applyProtection="0">
      <alignment horizontal="right" vertical="center" indent="1"/>
    </xf>
    <xf numFmtId="178" fontId="31" fillId="8" borderId="31" applyNumberFormat="0" applyBorder="0" applyAlignment="0" applyProtection="0">
      <alignment horizontal="right" vertical="center" indent="1"/>
    </xf>
    <xf numFmtId="178" fontId="31" fillId="9" borderId="31" applyNumberFormat="0" applyBorder="0" applyAlignment="0" applyProtection="0">
      <alignment horizontal="right" vertical="center" indent="1"/>
    </xf>
    <xf numFmtId="178" fontId="32" fillId="10" borderId="31" applyNumberFormat="0" applyBorder="0" applyAlignment="0" applyProtection="0">
      <alignment horizontal="right" vertical="center" indent="1"/>
    </xf>
    <xf numFmtId="178" fontId="32" fillId="11" borderId="31" applyNumberFormat="0" applyBorder="0" applyAlignment="0" applyProtection="0">
      <alignment horizontal="right" vertical="center" indent="1"/>
    </xf>
    <xf numFmtId="178" fontId="32" fillId="12" borderId="31" applyNumberFormat="0" applyBorder="0" applyAlignment="0" applyProtection="0">
      <alignment horizontal="right" vertical="center" indent="1"/>
    </xf>
    <xf numFmtId="178" fontId="33" fillId="13" borderId="31" applyNumberFormat="0" applyBorder="0" applyAlignment="0" applyProtection="0">
      <alignment horizontal="right" vertical="center" indent="1"/>
    </xf>
    <xf numFmtId="178" fontId="33" fillId="14" borderId="31" applyNumberFormat="0" applyBorder="0" applyAlignment="0" applyProtection="0">
      <alignment horizontal="right" vertical="center" indent="1"/>
    </xf>
    <xf numFmtId="178" fontId="33" fillId="15" borderId="31" applyNumberFormat="0" applyBorder="0" applyAlignment="0" applyProtection="0">
      <alignment horizontal="right" vertical="center" indent="1"/>
    </xf>
    <xf numFmtId="0" fontId="34" fillId="0" borderId="20" applyNumberFormat="0" applyFont="0" applyFill="0" applyAlignment="0" applyProtection="0"/>
    <xf numFmtId="178" fontId="35" fillId="3" borderId="0" applyNumberFormat="0" applyAlignment="0" applyProtection="0">
      <alignment horizontal="left" vertical="center" indent="1"/>
    </xf>
    <xf numFmtId="0" fontId="34" fillId="0" borderId="32" applyNumberFormat="0" applyFont="0" applyFill="0" applyAlignment="0" applyProtection="0"/>
    <xf numFmtId="178" fontId="29" fillId="0" borderId="25" applyNumberFormat="0" applyFill="0" applyBorder="0" applyAlignment="0" applyProtection="0">
      <alignment horizontal="right" vertical="center"/>
    </xf>
    <xf numFmtId="178" fontId="29" fillId="3" borderId="20" applyNumberFormat="0" applyAlignment="0" applyProtection="0">
      <alignment horizontal="left" vertical="center" indent="1"/>
    </xf>
    <xf numFmtId="0" fontId="28" fillId="2" borderId="30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6" borderId="20" applyNumberFormat="0" applyAlignment="0" applyProtection="0">
      <alignment horizontal="left" vertical="center" indent="1"/>
    </xf>
    <xf numFmtId="0" fontId="20" fillId="5" borderId="30" applyNumberFormat="0" applyAlignment="0" applyProtection="0">
      <alignment horizontal="left" vertical="center" indent="1"/>
    </xf>
    <xf numFmtId="0" fontId="36" fillId="0" borderId="33" applyNumberFormat="0" applyFill="0" applyBorder="0" applyAlignment="0" applyProtection="0"/>
    <xf numFmtId="0" fontId="37" fillId="0" borderId="33" applyNumberFormat="0" applyBorder="0" applyAlignment="0" applyProtection="0"/>
    <xf numFmtId="0" fontId="36" fillId="4" borderId="30" applyNumberFormat="0" applyAlignment="0">
      <alignment horizontal="left" vertical="center" indent="1"/>
      <protection locked="0"/>
    </xf>
    <xf numFmtId="0" fontId="36" fillId="4" borderId="30" applyNumberFormat="0" applyAlignment="0">
      <alignment horizontal="left" vertical="center" indent="1"/>
      <protection locked="0"/>
    </xf>
    <xf numFmtId="0" fontId="36" fillId="5" borderId="30" applyNumberFormat="0" applyAlignment="0" applyProtection="0">
      <alignment horizontal="left" vertical="center" indent="1"/>
    </xf>
    <xf numFmtId="178" fontId="38" fillId="5" borderId="30" applyNumberFormat="0" applyProtection="0">
      <alignment horizontal="right" vertical="center"/>
    </xf>
    <xf numFmtId="178" fontId="39" fillId="6" borderId="25" applyNumberFormat="0" applyBorder="0">
      <alignment horizontal="right" vertical="center"/>
      <protection locked="0"/>
    </xf>
    <xf numFmtId="178" fontId="38" fillId="6" borderId="30" applyNumberFormat="0" applyBorder="0">
      <alignment horizontal="right" vertical="center"/>
      <protection locked="0"/>
    </xf>
    <xf numFmtId="178" fontId="29" fillId="0" borderId="25" applyNumberFormat="0" applyFill="0" applyBorder="0" applyAlignment="0" applyProtection="0">
      <alignment horizontal="right" vertical="center"/>
    </xf>
    <xf numFmtId="0" fontId="6" fillId="0" borderId="0"/>
    <xf numFmtId="0" fontId="6" fillId="0" borderId="0"/>
  </cellStyleXfs>
  <cellXfs count="312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 vertical="center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/>
    <xf numFmtId="0" fontId="6" fillId="0" borderId="16" xfId="0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0" fontId="6" fillId="0" borderId="11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13" xfId="0" applyNumberFormat="1" applyFont="1" applyFill="1" applyBorder="1" applyAlignment="1">
      <alignment horizontal="center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8" fontId="6" fillId="0" borderId="0" xfId="0" applyNumberFormat="1" applyFont="1" applyFill="1"/>
    <xf numFmtId="165" fontId="6" fillId="0" borderId="0" xfId="0" applyNumberFormat="1" applyFont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0" fontId="6" fillId="0" borderId="11" xfId="0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168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166" fontId="6" fillId="0" borderId="21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/>
    <xf numFmtId="166" fontId="6" fillId="0" borderId="22" xfId="0" applyNumberFormat="1" applyFont="1" applyFill="1" applyBorder="1" applyAlignment="1">
      <alignment horizontal="center"/>
    </xf>
    <xf numFmtId="10" fontId="6" fillId="0" borderId="22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168" fontId="6" fillId="0" borderId="16" xfId="0" applyNumberFormat="1" applyFont="1" applyFill="1" applyBorder="1"/>
    <xf numFmtId="166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6" fontId="6" fillId="0" borderId="23" xfId="0" applyNumberFormat="1" applyFont="1" applyFill="1" applyBorder="1"/>
    <xf numFmtId="166" fontId="6" fillId="0" borderId="15" xfId="0" applyNumberFormat="1" applyFont="1" applyFill="1" applyBorder="1"/>
    <xf numFmtId="10" fontId="6" fillId="0" borderId="21" xfId="0" applyNumberFormat="1" applyFont="1" applyFill="1" applyBorder="1" applyAlignment="1">
      <alignment horizontal="center"/>
    </xf>
    <xf numFmtId="10" fontId="6" fillId="0" borderId="23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6" fontId="6" fillId="0" borderId="24" xfId="0" applyNumberFormat="1" applyFont="1" applyFill="1" applyBorder="1"/>
    <xf numFmtId="10" fontId="6" fillId="0" borderId="21" xfId="0" applyNumberFormat="1" applyFont="1" applyFill="1" applyBorder="1"/>
    <xf numFmtId="10" fontId="6" fillId="0" borderId="23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 vertical="center"/>
    </xf>
    <xf numFmtId="2" fontId="6" fillId="0" borderId="0" xfId="0" applyNumberFormat="1" applyFont="1" applyFill="1"/>
    <xf numFmtId="168" fontId="4" fillId="0" borderId="16" xfId="0" applyNumberFormat="1" applyFont="1" applyFill="1" applyBorder="1"/>
    <xf numFmtId="41" fontId="13" fillId="0" borderId="24" xfId="0" applyNumberFormat="1" applyFont="1" applyFill="1" applyBorder="1" applyAlignment="1">
      <alignment horizontal="right"/>
    </xf>
    <xf numFmtId="0" fontId="21" fillId="0" borderId="13" xfId="0" quotePrefix="1" applyNumberFormat="1" applyFont="1" applyFill="1" applyBorder="1" applyAlignment="1">
      <alignment horizontal="left" vertical="center"/>
    </xf>
    <xf numFmtId="10" fontId="6" fillId="0" borderId="7" xfId="0" applyNumberFormat="1" applyFont="1" applyFill="1" applyBorder="1" applyAlignment="1">
      <alignment horizontal="center"/>
    </xf>
    <xf numFmtId="10" fontId="22" fillId="0" borderId="11" xfId="0" applyNumberFormat="1" applyFont="1" applyFill="1" applyBorder="1" applyAlignment="1">
      <alignment horizontal="right" wrapText="1"/>
    </xf>
    <xf numFmtId="166" fontId="6" fillId="0" borderId="6" xfId="0" applyNumberFormat="1" applyFont="1" applyFill="1" applyBorder="1" applyAlignment="1"/>
    <xf numFmtId="166" fontId="6" fillId="0" borderId="7" xfId="0" applyNumberFormat="1" applyFont="1" applyFill="1" applyBorder="1" applyAlignment="1"/>
    <xf numFmtId="10" fontId="6" fillId="0" borderId="7" xfId="0" applyNumberFormat="1" applyFont="1" applyFill="1" applyBorder="1" applyAlignment="1"/>
    <xf numFmtId="10" fontId="6" fillId="0" borderId="23" xfId="0" applyNumberFormat="1" applyFont="1" applyFill="1" applyBorder="1" applyAlignment="1"/>
    <xf numFmtId="0" fontId="6" fillId="0" borderId="15" xfId="0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14" fontId="17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24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0" fontId="0" fillId="0" borderId="0" xfId="0" applyNumberForma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168" fontId="24" fillId="0" borderId="0" xfId="0" applyNumberFormat="1" applyFont="1" applyFill="1" applyBorder="1"/>
    <xf numFmtId="0" fontId="23" fillId="0" borderId="0" xfId="0" applyFont="1" applyFill="1" applyAlignment="1">
      <alignment horizontal="centerContinuous" vertical="center"/>
    </xf>
    <xf numFmtId="0" fontId="23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Fill="1"/>
    <xf numFmtId="0" fontId="22" fillId="0" borderId="6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166" fontId="22" fillId="0" borderId="5" xfId="0" applyNumberFormat="1" applyFont="1" applyFill="1" applyBorder="1" applyAlignment="1">
      <alignment horizontal="center" vertical="center" wrapText="1"/>
    </xf>
    <xf numFmtId="166" fontId="22" fillId="0" borderId="5" xfId="0" quotePrefix="1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2" fillId="0" borderId="16" xfId="0" applyFont="1" applyFill="1" applyBorder="1"/>
    <xf numFmtId="166" fontId="22" fillId="0" borderId="8" xfId="0" applyNumberFormat="1" applyFont="1" applyFill="1" applyBorder="1"/>
    <xf numFmtId="166" fontId="22" fillId="0" borderId="8" xfId="0" applyNumberFormat="1" applyFont="1" applyFill="1" applyBorder="1" applyAlignment="1">
      <alignment horizontal="center"/>
    </xf>
    <xf numFmtId="10" fontId="22" fillId="0" borderId="8" xfId="0" applyNumberFormat="1" applyFont="1" applyFill="1" applyBorder="1"/>
    <xf numFmtId="166" fontId="22" fillId="0" borderId="16" xfId="0" applyNumberFormat="1" applyFont="1" applyFill="1" applyBorder="1"/>
    <xf numFmtId="165" fontId="22" fillId="0" borderId="0" xfId="0" applyNumberFormat="1" applyFont="1" applyFill="1"/>
    <xf numFmtId="42" fontId="22" fillId="0" borderId="11" xfId="0" applyNumberFormat="1" applyFont="1" applyFill="1" applyBorder="1"/>
    <xf numFmtId="0" fontId="22" fillId="0" borderId="11" xfId="0" applyNumberFormat="1" applyFont="1" applyFill="1" applyBorder="1" applyAlignment="1">
      <alignment horizontal="center"/>
    </xf>
    <xf numFmtId="42" fontId="22" fillId="0" borderId="16" xfId="0" applyNumberFormat="1" applyFont="1" applyFill="1" applyBorder="1"/>
    <xf numFmtId="41" fontId="22" fillId="0" borderId="11" xfId="0" applyNumberFormat="1" applyFont="1" applyFill="1" applyBorder="1"/>
    <xf numFmtId="41" fontId="22" fillId="0" borderId="16" xfId="0" applyNumberFormat="1" applyFont="1" applyFill="1" applyBorder="1"/>
    <xf numFmtId="165" fontId="22" fillId="0" borderId="0" xfId="0" applyNumberFormat="1" applyFont="1" applyFill="1" applyAlignment="1">
      <alignment horizontal="left"/>
    </xf>
    <xf numFmtId="41" fontId="22" fillId="0" borderId="13" xfId="0" applyNumberFormat="1" applyFont="1" applyFill="1" applyBorder="1"/>
    <xf numFmtId="0" fontId="22" fillId="0" borderId="13" xfId="0" applyNumberFormat="1" applyFont="1" applyFill="1" applyBorder="1" applyAlignment="1">
      <alignment horizontal="center"/>
    </xf>
    <xf numFmtId="10" fontId="22" fillId="0" borderId="13" xfId="0" applyNumberFormat="1" applyFont="1" applyFill="1" applyBorder="1" applyAlignment="1">
      <alignment horizontal="right" wrapText="1"/>
    </xf>
    <xf numFmtId="168" fontId="22" fillId="0" borderId="11" xfId="0" applyNumberFormat="1" applyFont="1" applyFill="1" applyBorder="1"/>
    <xf numFmtId="10" fontId="22" fillId="0" borderId="11" xfId="0" applyNumberFormat="1" applyFont="1" applyFill="1" applyBorder="1"/>
    <xf numFmtId="165" fontId="22" fillId="0" borderId="0" xfId="0" applyNumberFormat="1" applyFont="1"/>
    <xf numFmtId="41" fontId="22" fillId="0" borderId="17" xfId="0" applyNumberFormat="1" applyFont="1" applyFill="1" applyBorder="1"/>
    <xf numFmtId="0" fontId="22" fillId="0" borderId="10" xfId="0" applyFont="1" applyFill="1" applyBorder="1" applyAlignment="1">
      <alignment horizontal="left"/>
    </xf>
    <xf numFmtId="10" fontId="22" fillId="0" borderId="13" xfId="0" applyNumberFormat="1" applyFont="1" applyFill="1" applyBorder="1"/>
    <xf numFmtId="41" fontId="22" fillId="0" borderId="15" xfId="0" applyNumberFormat="1" applyFont="1" applyFill="1" applyBorder="1"/>
    <xf numFmtId="0" fontId="22" fillId="0" borderId="0" xfId="0" applyFont="1" applyFill="1" applyBorder="1"/>
    <xf numFmtId="0" fontId="22" fillId="0" borderId="10" xfId="0" quotePrefix="1" applyFont="1" applyFill="1" applyBorder="1" applyAlignment="1">
      <alignment horizontal="left"/>
    </xf>
    <xf numFmtId="0" fontId="22" fillId="0" borderId="11" xfId="0" applyFont="1" applyFill="1" applyBorder="1"/>
    <xf numFmtId="0" fontId="22" fillId="0" borderId="13" xfId="0" applyFont="1" applyFill="1" applyBorder="1" applyAlignment="1">
      <alignment horizontal="center"/>
    </xf>
    <xf numFmtId="0" fontId="22" fillId="0" borderId="12" xfId="0" applyFont="1" applyFill="1" applyBorder="1"/>
    <xf numFmtId="0" fontId="22" fillId="0" borderId="15" xfId="0" applyFont="1" applyFill="1" applyBorder="1"/>
    <xf numFmtId="166" fontId="22" fillId="0" borderId="11" xfId="0" applyNumberFormat="1" applyFont="1" applyFill="1" applyBorder="1"/>
    <xf numFmtId="42" fontId="24" fillId="0" borderId="13" xfId="0" applyNumberFormat="1" applyFont="1" applyFill="1" applyBorder="1"/>
    <xf numFmtId="168" fontId="24" fillId="0" borderId="13" xfId="0" applyNumberFormat="1" applyFont="1" applyFill="1" applyBorder="1"/>
    <xf numFmtId="10" fontId="24" fillId="0" borderId="13" xfId="0" applyNumberFormat="1" applyFont="1" applyFill="1" applyBorder="1"/>
    <xf numFmtId="43" fontId="11" fillId="0" borderId="0" xfId="0" applyNumberFormat="1" applyFont="1"/>
    <xf numFmtId="0" fontId="22" fillId="0" borderId="15" xfId="0" applyFont="1" applyFill="1" applyBorder="1" applyAlignment="1">
      <alignment horizontal="center"/>
    </xf>
    <xf numFmtId="10" fontId="22" fillId="0" borderId="21" xfId="0" applyNumberFormat="1" applyFont="1" applyFill="1" applyBorder="1" applyAlignment="1">
      <alignment horizontal="center"/>
    </xf>
    <xf numFmtId="10" fontId="22" fillId="0" borderId="23" xfId="0" applyNumberFormat="1" applyFont="1" applyFill="1" applyBorder="1" applyAlignment="1">
      <alignment horizontal="center"/>
    </xf>
    <xf numFmtId="10" fontId="22" fillId="0" borderId="7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66" fontId="22" fillId="0" borderId="24" xfId="0" applyNumberFormat="1" applyFont="1" applyFill="1" applyBorder="1"/>
    <xf numFmtId="10" fontId="22" fillId="0" borderId="23" xfId="0" applyNumberFormat="1" applyFont="1" applyFill="1" applyBorder="1" applyAlignment="1"/>
    <xf numFmtId="166" fontId="22" fillId="0" borderId="6" xfId="0" applyNumberFormat="1" applyFont="1" applyFill="1" applyBorder="1" applyAlignment="1"/>
    <xf numFmtId="166" fontId="22" fillId="0" borderId="7" xfId="0" applyNumberFormat="1" applyFont="1" applyFill="1" applyBorder="1" applyAlignment="1"/>
    <xf numFmtId="10" fontId="22" fillId="0" borderId="7" xfId="0" applyNumberFormat="1" applyFont="1" applyFill="1" applyBorder="1" applyAlignment="1"/>
    <xf numFmtId="0" fontId="22" fillId="0" borderId="11" xfId="0" applyFont="1" applyFill="1" applyBorder="1" applyAlignment="1">
      <alignment horizontal="center"/>
    </xf>
    <xf numFmtId="166" fontId="22" fillId="0" borderId="0" xfId="0" quotePrefix="1" applyNumberFormat="1" applyFont="1" applyFill="1" applyBorder="1" applyAlignment="1">
      <alignment horizontal="left"/>
    </xf>
    <xf numFmtId="166" fontId="22" fillId="0" borderId="0" xfId="0" applyNumberFormat="1" applyFont="1" applyFill="1" applyBorder="1"/>
    <xf numFmtId="10" fontId="22" fillId="0" borderId="16" xfId="0" applyNumberFormat="1" applyFont="1" applyFill="1" applyBorder="1"/>
    <xf numFmtId="10" fontId="22" fillId="0" borderId="21" xfId="0" applyNumberFormat="1" applyFont="1" applyFill="1" applyBorder="1"/>
    <xf numFmtId="10" fontId="22" fillId="0" borderId="23" xfId="0" applyNumberFormat="1" applyFont="1" applyFill="1" applyBorder="1"/>
    <xf numFmtId="10" fontId="22" fillId="0" borderId="10" xfId="0" applyNumberFormat="1" applyFont="1" applyFill="1" applyBorder="1"/>
    <xf numFmtId="166" fontId="22" fillId="0" borderId="3" xfId="0" quotePrefix="1" applyNumberFormat="1" applyFont="1" applyFill="1" applyBorder="1" applyAlignment="1">
      <alignment horizontal="left"/>
    </xf>
    <xf numFmtId="166" fontId="22" fillId="0" borderId="3" xfId="0" applyNumberFormat="1" applyFont="1" applyFill="1" applyBorder="1"/>
    <xf numFmtId="10" fontId="22" fillId="0" borderId="15" xfId="0" applyNumberFormat="1" applyFont="1" applyFill="1" applyBorder="1"/>
    <xf numFmtId="10" fontId="22" fillId="0" borderId="12" xfId="0" applyNumberFormat="1" applyFont="1" applyFill="1" applyBorder="1"/>
    <xf numFmtId="0" fontId="26" fillId="0" borderId="0" xfId="0" applyFont="1" applyFill="1"/>
    <xf numFmtId="43" fontId="22" fillId="0" borderId="0" xfId="0" applyNumberFormat="1" applyFont="1" applyFill="1"/>
    <xf numFmtId="0" fontId="19" fillId="0" borderId="0" xfId="0" applyFont="1" applyFill="1" applyBorder="1" applyAlignment="1">
      <alignment horizontal="centerContinuous" vertical="center"/>
    </xf>
    <xf numFmtId="0" fontId="1" fillId="0" borderId="0" xfId="0" applyFont="1" applyFill="1"/>
    <xf numFmtId="173" fontId="29" fillId="0" borderId="25" xfId="3" applyNumberFormat="1">
      <alignment horizontal="right" vertical="center"/>
    </xf>
    <xf numFmtId="173" fontId="29" fillId="0" borderId="28" xfId="3" applyNumberFormat="1" applyBorder="1">
      <alignment horizontal="right" vertical="center"/>
    </xf>
    <xf numFmtId="173" fontId="29" fillId="0" borderId="26" xfId="3" applyNumberFormat="1" applyBorder="1">
      <alignment horizontal="right" vertical="center"/>
    </xf>
    <xf numFmtId="173" fontId="29" fillId="0" borderId="29" xfId="3" applyNumberFormat="1" applyBorder="1">
      <alignment horizontal="right" vertical="center"/>
    </xf>
    <xf numFmtId="0" fontId="28" fillId="2" borderId="20" xfId="2" quotePrefix="1" applyNumberFormat="1" applyBorder="1" applyAlignment="1"/>
    <xf numFmtId="0" fontId="29" fillId="3" borderId="20" xfId="25" quotePrefix="1" applyNumberFormat="1" applyBorder="1" applyAlignment="1"/>
    <xf numFmtId="0" fontId="29" fillId="3" borderId="20" xfId="25" quotePrefix="1" applyNumberFormat="1" applyBorder="1" applyAlignment="1">
      <alignment wrapText="1"/>
    </xf>
    <xf numFmtId="0" fontId="29" fillId="3" borderId="20" xfId="25" quotePrefix="1" applyNumberFormat="1" applyBorder="1" applyAlignment="1">
      <alignment horizontal="right"/>
    </xf>
    <xf numFmtId="172" fontId="20" fillId="16" borderId="20" xfId="27" quotePrefix="1" applyNumberFormat="1" applyBorder="1" applyAlignment="1"/>
    <xf numFmtId="0" fontId="20" fillId="16" borderId="20" xfId="27" quotePrefix="1" applyNumberFormat="1" applyBorder="1" applyAlignment="1"/>
    <xf numFmtId="174" fontId="20" fillId="17" borderId="20" xfId="28" quotePrefix="1" applyNumberFormat="1" applyBorder="1" applyAlignment="1"/>
    <xf numFmtId="0" fontId="20" fillId="17" borderId="20" xfId="28" quotePrefix="1" applyNumberFormat="1" applyBorder="1" applyAlignment="1"/>
    <xf numFmtId="175" fontId="20" fillId="18" borderId="20" xfId="29" quotePrefix="1" applyNumberFormat="1" applyBorder="1" applyAlignment="1"/>
    <xf numFmtId="0" fontId="20" fillId="18" borderId="20" xfId="29" quotePrefix="1" applyNumberFormat="1" applyBorder="1" applyAlignment="1"/>
    <xf numFmtId="176" fontId="20" fillId="6" borderId="20" xfId="30" quotePrefix="1" applyNumberFormat="1" applyBorder="1" applyAlignment="1"/>
    <xf numFmtId="0" fontId="20" fillId="6" borderId="20" xfId="30" quotePrefix="1" applyNumberFormat="1" applyBorder="1" applyAlignment="1"/>
    <xf numFmtId="169" fontId="20" fillId="5" borderId="19" xfId="31" quotePrefix="1" applyNumberFormat="1" applyBorder="1" applyAlignment="1"/>
    <xf numFmtId="0" fontId="20" fillId="5" borderId="27" xfId="31" quotePrefix="1" applyNumberFormat="1" applyBorder="1" applyAlignment="1"/>
    <xf numFmtId="177" fontId="20" fillId="5" borderId="19" xfId="31" quotePrefix="1" applyNumberFormat="1" applyBorder="1" applyAlignment="1"/>
    <xf numFmtId="170" fontId="20" fillId="5" borderId="19" xfId="31" quotePrefix="1" applyNumberFormat="1" applyBorder="1" applyAlignment="1"/>
    <xf numFmtId="171" fontId="20" fillId="6" borderId="20" xfId="30" quotePrefix="1" applyNumberFormat="1" applyBorder="1" applyAlignment="1"/>
    <xf numFmtId="166" fontId="6" fillId="0" borderId="3" xfId="0" applyNumberFormat="1" applyFont="1" applyBorder="1"/>
    <xf numFmtId="166" fontId="27" fillId="0" borderId="0" xfId="1" applyNumberFormat="1" applyFont="1" applyFill="1"/>
    <xf numFmtId="173" fontId="40" fillId="0" borderId="26" xfId="3" applyNumberFormat="1" applyFont="1" applyBorder="1">
      <alignment horizontal="right" vertical="center"/>
    </xf>
    <xf numFmtId="0" fontId="6" fillId="19" borderId="0" xfId="0" applyFont="1" applyFill="1"/>
    <xf numFmtId="10" fontId="6" fillId="19" borderId="21" xfId="0" applyNumberFormat="1" applyFont="1" applyFill="1" applyBorder="1"/>
    <xf numFmtId="10" fontId="6" fillId="19" borderId="23" xfId="0" applyNumberFormat="1" applyFont="1" applyFill="1" applyBorder="1"/>
    <xf numFmtId="10" fontId="6" fillId="19" borderId="10" xfId="0" applyNumberFormat="1" applyFont="1" applyFill="1" applyBorder="1"/>
    <xf numFmtId="10" fontId="6" fillId="19" borderId="16" xfId="0" applyNumberFormat="1" applyFont="1" applyFill="1" applyBorder="1"/>
    <xf numFmtId="10" fontId="6" fillId="19" borderId="12" xfId="0" applyNumberFormat="1" applyFont="1" applyFill="1" applyBorder="1"/>
    <xf numFmtId="10" fontId="6" fillId="19" borderId="15" xfId="0" applyNumberFormat="1" applyFont="1" applyFill="1" applyBorder="1"/>
    <xf numFmtId="0" fontId="0" fillId="0" borderId="0" xfId="0" applyFont="1" applyFill="1"/>
    <xf numFmtId="0" fontId="41" fillId="0" borderId="0" xfId="0" applyFont="1"/>
    <xf numFmtId="44" fontId="0" fillId="0" borderId="0" xfId="0" applyNumberFormat="1"/>
    <xf numFmtId="166" fontId="0" fillId="0" borderId="0" xfId="1" applyNumberFormat="1" applyFont="1"/>
    <xf numFmtId="166" fontId="42" fillId="0" borderId="0" xfId="1" applyNumberFormat="1" applyFont="1" applyFill="1" applyBorder="1" applyAlignment="1" applyProtection="1">
      <protection locked="0"/>
    </xf>
    <xf numFmtId="166" fontId="0" fillId="19" borderId="0" xfId="1" applyNumberFormat="1" applyFont="1" applyFill="1"/>
    <xf numFmtId="164" fontId="11" fillId="0" borderId="0" xfId="0" applyNumberFormat="1" applyFont="1" applyAlignment="1">
      <alignment horizontal="left"/>
    </xf>
    <xf numFmtId="170" fontId="20" fillId="5" borderId="19" xfId="0" quotePrefix="1" applyNumberFormat="1" applyFont="1" applyFill="1" applyBorder="1" applyAlignment="1"/>
    <xf numFmtId="41" fontId="11" fillId="23" borderId="0" xfId="0" applyNumberFormat="1" applyFont="1" applyFill="1" applyAlignment="1">
      <alignment horizontal="right"/>
    </xf>
    <xf numFmtId="166" fontId="43" fillId="0" borderId="0" xfId="0" applyNumberFormat="1" applyFont="1" applyFill="1" applyBorder="1" applyAlignment="1">
      <alignment horizontal="center"/>
    </xf>
    <xf numFmtId="0" fontId="44" fillId="0" borderId="0" xfId="0" applyFont="1" applyFill="1"/>
    <xf numFmtId="4" fontId="0" fillId="0" borderId="0" xfId="0" applyNumberFormat="1" applyFill="1"/>
    <xf numFmtId="4" fontId="0" fillId="0" borderId="0" xfId="0" applyNumberFormat="1"/>
    <xf numFmtId="41" fontId="11" fillId="0" borderId="0" xfId="0" applyNumberFormat="1" applyFont="1" applyAlignment="1">
      <alignment horizontal="right"/>
    </xf>
    <xf numFmtId="4" fontId="1" fillId="0" borderId="0" xfId="0" applyNumberFormat="1" applyFont="1" applyFill="1"/>
    <xf numFmtId="4" fontId="0" fillId="0" borderId="0" xfId="0" applyNumberFormat="1" applyFont="1" applyFill="1"/>
    <xf numFmtId="41" fontId="11" fillId="0" borderId="3" xfId="0" applyNumberFormat="1" applyFont="1" applyBorder="1" applyAlignment="1">
      <alignment horizontal="right"/>
    </xf>
    <xf numFmtId="0" fontId="45" fillId="0" borderId="0" xfId="0" applyFont="1"/>
    <xf numFmtId="0" fontId="46" fillId="0" borderId="0" xfId="0" applyFont="1"/>
    <xf numFmtId="0" fontId="20" fillId="5" borderId="27" xfId="0" quotePrefix="1" applyNumberFormat="1" applyFont="1" applyFill="1" applyBorder="1" applyAlignment="1"/>
    <xf numFmtId="0" fontId="6" fillId="20" borderId="5" xfId="42" applyFill="1" applyBorder="1" applyAlignment="1">
      <alignment vertical="top"/>
    </xf>
    <xf numFmtId="0" fontId="6" fillId="20" borderId="5" xfId="42" applyFill="1" applyBorder="1" applyAlignment="1">
      <alignment vertical="top" wrapText="1"/>
    </xf>
    <xf numFmtId="0" fontId="6" fillId="0" borderId="0" xfId="42" applyAlignment="1">
      <alignment vertical="top"/>
    </xf>
    <xf numFmtId="4" fontId="6" fillId="0" borderId="0" xfId="42" applyNumberFormat="1" applyAlignment="1">
      <alignment horizontal="right" vertical="top"/>
    </xf>
    <xf numFmtId="14" fontId="6" fillId="0" borderId="0" xfId="42" applyNumberFormat="1" applyAlignment="1">
      <alignment horizontal="right" vertical="top"/>
    </xf>
    <xf numFmtId="179" fontId="6" fillId="0" borderId="0" xfId="42" applyNumberFormat="1" applyAlignment="1">
      <alignment horizontal="right" vertical="top"/>
    </xf>
    <xf numFmtId="0" fontId="6" fillId="21" borderId="5" xfId="42" applyFill="1" applyBorder="1" applyAlignment="1">
      <alignment vertical="top"/>
    </xf>
    <xf numFmtId="4" fontId="6" fillId="21" borderId="5" xfId="42" applyNumberFormat="1" applyFill="1" applyBorder="1" applyAlignment="1">
      <alignment horizontal="right" vertical="top"/>
    </xf>
    <xf numFmtId="14" fontId="6" fillId="21" borderId="5" xfId="42" applyNumberFormat="1" applyFill="1" applyBorder="1" applyAlignment="1">
      <alignment horizontal="right" vertical="top"/>
    </xf>
    <xf numFmtId="179" fontId="6" fillId="21" borderId="5" xfId="42" applyNumberFormat="1" applyFill="1" applyBorder="1" applyAlignment="1">
      <alignment horizontal="right" vertical="top"/>
    </xf>
    <xf numFmtId="0" fontId="6" fillId="22" borderId="5" xfId="42" applyFill="1" applyBorder="1" applyAlignment="1">
      <alignment vertical="top"/>
    </xf>
    <xf numFmtId="4" fontId="6" fillId="22" borderId="5" xfId="42" applyNumberFormat="1" applyFill="1" applyBorder="1" applyAlignment="1">
      <alignment horizontal="right" vertical="top"/>
    </xf>
    <xf numFmtId="14" fontId="6" fillId="22" borderId="5" xfId="42" applyNumberFormat="1" applyFill="1" applyBorder="1" applyAlignment="1">
      <alignment horizontal="right" vertical="top"/>
    </xf>
    <xf numFmtId="179" fontId="6" fillId="22" borderId="5" xfId="42" applyNumberFormat="1" applyFill="1" applyBorder="1" applyAlignment="1">
      <alignment horizontal="right" vertical="top"/>
    </xf>
    <xf numFmtId="0" fontId="7" fillId="0" borderId="0" xfId="0" applyFont="1" applyFill="1" applyBorder="1" applyAlignment="1">
      <alignment horizontal="center" vertical="center"/>
    </xf>
  </cellXfs>
  <cellStyles count="43">
    <cellStyle name="Comma" xfId="1" builtinId="3"/>
    <cellStyle name="Normal" xfId="0" builtinId="0"/>
    <cellStyle name="Normal 5" xfId="41"/>
    <cellStyle name="Normal 6 2" xfId="42"/>
    <cellStyle name="SAPBorder" xfId="21"/>
    <cellStyle name="SAPDataCell" xfId="3"/>
    <cellStyle name="SAPDataRemoved" xfId="22"/>
    <cellStyle name="SAPDataTotalCell" xfId="4"/>
    <cellStyle name="SAPDimensionCell" xfId="2"/>
    <cellStyle name="SAPEditableDataCell" xfId="6"/>
    <cellStyle name="SAPEditableDataTotalCell" xfId="9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rror" xfId="23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Formula" xfId="40"/>
    <cellStyle name="SAPGroupingFillCell" xfId="5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8"/>
    <cellStyle name="SAPLockedDataTotalCell" xfId="11"/>
    <cellStyle name="SAPMemberCell" xfId="25"/>
    <cellStyle name="SAPMemberTotalCell" xfId="26"/>
    <cellStyle name="SAPMessageText" xfId="24"/>
    <cellStyle name="SAPReadonlyDataCell" xfId="7"/>
    <cellStyle name="SAPReadonlyDataTotalCell" xfId="1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25</xdr:row>
      <xdr:rowOff>114300</xdr:rowOff>
    </xdr:from>
    <xdr:to>
      <xdr:col>10</xdr:col>
      <xdr:colOff>393988</xdr:colOff>
      <xdr:row>48</xdr:row>
      <xdr:rowOff>104775</xdr:rowOff>
    </xdr:to>
    <xdr:pic>
      <xdr:nvPicPr>
        <xdr:cNvPr id="4" name="Picture 2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5753100"/>
          <a:ext cx="3642013" cy="511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9">
          <cell r="E9">
            <v>0.58189999999999997</v>
          </cell>
          <cell r="F9">
            <v>0.41810000000000003</v>
          </cell>
        </row>
        <row r="12">
          <cell r="E12">
            <v>0.627</v>
          </cell>
          <cell r="F12">
            <v>0.373</v>
          </cell>
        </row>
        <row r="19">
          <cell r="E19">
            <v>0.59089999999999998</v>
          </cell>
          <cell r="F19">
            <v>0.40910000000000002</v>
          </cell>
        </row>
        <row r="35">
          <cell r="E35">
            <v>0.65659999999999996</v>
          </cell>
          <cell r="F35">
            <v>0.34339999999999998</v>
          </cell>
        </row>
        <row r="40">
          <cell r="E40">
            <v>0.72770000000000001</v>
          </cell>
          <cell r="F40">
            <v>0.27229999999999999</v>
          </cell>
        </row>
      </sheetData>
      <sheetData sheetId="1"/>
      <sheetData sheetId="2"/>
      <sheetData sheetId="3"/>
      <sheetData sheetId="4"/>
      <sheetData sheetId="5">
        <row r="15">
          <cell r="H15">
            <v>0.47584930938870212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workbookViewId="0">
      <pane xSplit="1" ySplit="7" topLeftCell="B23" activePane="bottomRight" state="frozen"/>
      <selection activeCell="H29" sqref="H29"/>
      <selection pane="topRight" activeCell="H29" sqref="H29"/>
      <selection pane="bottomLeft" activeCell="H29" sqref="H29"/>
      <selection pane="bottomRight" activeCell="A47" sqref="A47"/>
    </sheetView>
  </sheetViews>
  <sheetFormatPr defaultColWidth="9.109375" defaultRowHeight="14.4" x14ac:dyDescent="0.3"/>
  <cols>
    <col min="1" max="1" width="55.5546875" style="3" customWidth="1"/>
    <col min="2" max="2" width="15" style="3" customWidth="1"/>
    <col min="3" max="3" width="15.33203125" style="3" bestFit="1" customWidth="1"/>
    <col min="4" max="4" width="15" style="3" bestFit="1" customWidth="1"/>
    <col min="5" max="5" width="9.109375" style="3"/>
    <col min="6" max="6" width="15.33203125" style="280" bestFit="1" customWidth="1"/>
    <col min="7" max="7" width="15.33203125" style="3" bestFit="1" customWidth="1"/>
    <col min="8" max="8" width="15" style="3" bestFit="1" customWidth="1"/>
    <col min="9" max="16384" width="9.109375" style="3"/>
  </cols>
  <sheetData>
    <row r="1" spans="1:7" x14ac:dyDescent="0.3">
      <c r="A1" s="34" t="s">
        <v>335</v>
      </c>
      <c r="B1" s="33"/>
      <c r="C1" s="33"/>
      <c r="D1" s="33"/>
      <c r="E1" s="294"/>
    </row>
    <row r="2" spans="1:7" x14ac:dyDescent="0.3">
      <c r="A2" s="34" t="s">
        <v>334</v>
      </c>
      <c r="B2" s="33"/>
      <c r="C2" s="33"/>
      <c r="D2" s="33"/>
      <c r="E2" s="295"/>
    </row>
    <row r="3" spans="1:7" x14ac:dyDescent="0.3">
      <c r="A3" s="34" t="s">
        <v>1031</v>
      </c>
      <c r="B3" s="34"/>
      <c r="C3" s="34"/>
      <c r="D3" s="34"/>
      <c r="E3" s="278"/>
    </row>
    <row r="4" spans="1:7" x14ac:dyDescent="0.3">
      <c r="A4" s="145" t="s">
        <v>1032</v>
      </c>
      <c r="B4" s="33"/>
      <c r="C4" s="33"/>
      <c r="D4" s="33"/>
    </row>
    <row r="5" spans="1:7" x14ac:dyDescent="0.3">
      <c r="B5" s="131"/>
      <c r="C5" s="131"/>
      <c r="D5" s="131"/>
    </row>
    <row r="6" spans="1:7" x14ac:dyDescent="0.3">
      <c r="A6" s="132"/>
      <c r="B6" s="132"/>
      <c r="C6" s="132"/>
      <c r="D6" s="132"/>
    </row>
    <row r="7" spans="1:7" x14ac:dyDescent="0.3">
      <c r="A7" s="1"/>
      <c r="B7" s="32" t="s">
        <v>34</v>
      </c>
      <c r="C7" s="31" t="s">
        <v>33</v>
      </c>
      <c r="D7" s="30" t="s">
        <v>333</v>
      </c>
    </row>
    <row r="8" spans="1:7" x14ac:dyDescent="0.3">
      <c r="A8" s="28" t="s">
        <v>332</v>
      </c>
      <c r="B8" s="27"/>
      <c r="C8" s="27"/>
      <c r="D8" s="5"/>
    </row>
    <row r="9" spans="1:7" x14ac:dyDescent="0.3">
      <c r="A9" s="20" t="s">
        <v>31</v>
      </c>
      <c r="B9" s="22">
        <f>'Unallocated Detail (CBR)'!G18</f>
        <v>2508927601.7400002</v>
      </c>
      <c r="C9" s="22">
        <f>'Unallocated Detail (CBR)'!H18</f>
        <v>1205997643.1699998</v>
      </c>
      <c r="D9" s="14">
        <f>SUM(B9:C9)</f>
        <v>3714925244.9099998</v>
      </c>
      <c r="F9" s="281"/>
      <c r="G9" s="279"/>
    </row>
    <row r="10" spans="1:7" x14ac:dyDescent="0.3">
      <c r="A10" s="20" t="s">
        <v>30</v>
      </c>
      <c r="B10" s="26">
        <f>'Unallocated Detail (CBR)'!G21</f>
        <v>343676.59</v>
      </c>
      <c r="C10" s="26">
        <f>'Unallocated Detail (CBR)'!H21</f>
        <v>0</v>
      </c>
      <c r="D10" s="5">
        <f>SUM(B10:C10)</f>
        <v>343676.59</v>
      </c>
    </row>
    <row r="11" spans="1:7" x14ac:dyDescent="0.3">
      <c r="A11" s="20" t="s">
        <v>29</v>
      </c>
      <c r="B11" s="26">
        <f>'Unallocated Detail (CBR)'!G25</f>
        <v>546617002.22000003</v>
      </c>
      <c r="C11" s="26">
        <f>'Unallocated Detail (CBR)'!H25</f>
        <v>0</v>
      </c>
      <c r="D11" s="5">
        <f>SUM(B11:C11)</f>
        <v>546617002.22000003</v>
      </c>
    </row>
    <row r="12" spans="1:7" x14ac:dyDescent="0.3">
      <c r="A12" s="20" t="s">
        <v>28</v>
      </c>
      <c r="B12" s="25">
        <f>'Unallocated Detail (CBR)'!G40</f>
        <v>122597205.63999999</v>
      </c>
      <c r="C12" s="24">
        <f>'Unallocated Detail (CBR)'!H40</f>
        <v>3638584.55</v>
      </c>
      <c r="D12" s="29">
        <f>SUM(B12:C12)</f>
        <v>126235790.18999998</v>
      </c>
    </row>
    <row r="13" spans="1:7" x14ac:dyDescent="0.3">
      <c r="A13" s="20" t="s">
        <v>27</v>
      </c>
      <c r="B13" s="15">
        <f>SUM(B9:B12)</f>
        <v>3178485486.1900001</v>
      </c>
      <c r="C13" s="15">
        <f>SUM(C9:C12)</f>
        <v>1209636227.7199998</v>
      </c>
      <c r="D13" s="14">
        <f>SUM(D9:D12)</f>
        <v>4388121713.9099998</v>
      </c>
    </row>
    <row r="14" spans="1:7" x14ac:dyDescent="0.3">
      <c r="A14" s="28" t="s">
        <v>331</v>
      </c>
      <c r="B14" s="27"/>
      <c r="C14" s="27"/>
      <c r="D14" s="5"/>
    </row>
    <row r="15" spans="1:7" x14ac:dyDescent="0.3">
      <c r="A15" s="28" t="s">
        <v>330</v>
      </c>
      <c r="B15" s="27"/>
      <c r="C15" s="27"/>
      <c r="D15" s="5"/>
    </row>
    <row r="16" spans="1:7" x14ac:dyDescent="0.3">
      <c r="A16" s="28" t="s">
        <v>329</v>
      </c>
      <c r="B16" s="27"/>
      <c r="C16" s="27"/>
      <c r="D16" s="5"/>
    </row>
    <row r="17" spans="1:4" x14ac:dyDescent="0.3">
      <c r="A17" s="28" t="s">
        <v>328</v>
      </c>
      <c r="B17" s="27"/>
      <c r="C17" s="27"/>
      <c r="D17" s="5"/>
    </row>
    <row r="18" spans="1:4" x14ac:dyDescent="0.3">
      <c r="A18" s="20" t="s">
        <v>26</v>
      </c>
      <c r="B18" s="22">
        <f>'Unallocated Detail (CBR)'!G47</f>
        <v>348159303.03999996</v>
      </c>
      <c r="C18" s="22">
        <f>'Unallocated Detail (CBR)'!H47</f>
        <v>0</v>
      </c>
      <c r="D18" s="14">
        <f>B18+C18</f>
        <v>348159303.03999996</v>
      </c>
    </row>
    <row r="19" spans="1:4" x14ac:dyDescent="0.3">
      <c r="A19" s="20" t="s">
        <v>25</v>
      </c>
      <c r="B19" s="26">
        <f>'Unallocated Detail (CBR)'!G56</f>
        <v>1108872530.4100001</v>
      </c>
      <c r="C19" s="26">
        <f>'Unallocated Detail (CBR)'!H56</f>
        <v>500848710.36999995</v>
      </c>
      <c r="D19" s="21">
        <f>B19+C19</f>
        <v>1609721240.78</v>
      </c>
    </row>
    <row r="20" spans="1:4" x14ac:dyDescent="0.3">
      <c r="A20" s="20" t="s">
        <v>24</v>
      </c>
      <c r="B20" s="26">
        <f>'Unallocated Detail (CBR)'!G59</f>
        <v>144916421.78999999</v>
      </c>
      <c r="C20" s="26">
        <f>'Unallocated Detail (CBR)'!H59</f>
        <v>0</v>
      </c>
      <c r="D20" s="21">
        <f>B20+C20</f>
        <v>144916421.78999999</v>
      </c>
    </row>
    <row r="21" spans="1:4" x14ac:dyDescent="0.3">
      <c r="A21" s="20" t="s">
        <v>23</v>
      </c>
      <c r="B21" s="25">
        <f>'Unallocated Detail (CBR)'!G62</f>
        <v>-77714735.219999999</v>
      </c>
      <c r="C21" s="24">
        <f>'Unallocated Detail (CBR)'!H62</f>
        <v>0</v>
      </c>
      <c r="D21" s="23">
        <f>B21+C21</f>
        <v>-77714735.219999999</v>
      </c>
    </row>
    <row r="22" spans="1:4" x14ac:dyDescent="0.3">
      <c r="A22" s="20" t="s">
        <v>22</v>
      </c>
      <c r="B22" s="15">
        <f>SUM(B18:B21)</f>
        <v>1524233520.02</v>
      </c>
      <c r="C22" s="15">
        <f>SUM(C18:C21)</f>
        <v>500848710.36999995</v>
      </c>
      <c r="D22" s="14">
        <f>SUM(D18:D21)</f>
        <v>2025082230.3899999</v>
      </c>
    </row>
    <row r="23" spans="1:4" x14ac:dyDescent="0.3">
      <c r="A23" s="16" t="s">
        <v>327</v>
      </c>
      <c r="B23" s="12"/>
      <c r="C23" s="12"/>
      <c r="D23" s="11"/>
    </row>
    <row r="24" spans="1:4" x14ac:dyDescent="0.3">
      <c r="A24" s="20" t="s">
        <v>21</v>
      </c>
      <c r="B24" s="22">
        <f>'Unallocated Detail (CBR)'!G146</f>
        <v>116594846.31999998</v>
      </c>
      <c r="C24" s="75">
        <f>'Unallocated Detail (CBR)'!H146</f>
        <v>7410984.3900000015</v>
      </c>
      <c r="D24" s="14">
        <f t="shared" ref="D24:D37" si="0">B24+C24</f>
        <v>124005830.70999998</v>
      </c>
    </row>
    <row r="25" spans="1:4" x14ac:dyDescent="0.3">
      <c r="A25" s="20" t="s">
        <v>20</v>
      </c>
      <c r="B25" s="19">
        <f>'Unallocated Detail (CBR)'!G176</f>
        <v>26129106.810000002</v>
      </c>
      <c r="C25" s="19">
        <f>'Unallocated Detail (CBR)'!H176</f>
        <v>0</v>
      </c>
      <c r="D25" s="21">
        <f t="shared" si="0"/>
        <v>26129106.810000002</v>
      </c>
    </row>
    <row r="26" spans="1:4" x14ac:dyDescent="0.3">
      <c r="A26" s="20" t="s">
        <v>19</v>
      </c>
      <c r="B26" s="19">
        <f>'Unallocated Detail (CBR)'!G214</f>
        <v>100263617.59999999</v>
      </c>
      <c r="C26" s="19">
        <f>'Unallocated Detail (CBR)'!H214</f>
        <v>62267781.539999992</v>
      </c>
      <c r="D26" s="21">
        <f t="shared" si="0"/>
        <v>162531399.13999999</v>
      </c>
    </row>
    <row r="27" spans="1:4" x14ac:dyDescent="0.3">
      <c r="A27" s="20" t="s">
        <v>18</v>
      </c>
      <c r="B27" s="19">
        <f>'Unallocated Detail (CBR)'!G221</f>
        <v>55041652.379999995</v>
      </c>
      <c r="C27" s="19">
        <f>'Unallocated Detail (CBR)'!H221</f>
        <v>25415272.079999998</v>
      </c>
      <c r="D27" s="21">
        <f t="shared" si="0"/>
        <v>80456924.459999993</v>
      </c>
    </row>
    <row r="28" spans="1:4" x14ac:dyDescent="0.3">
      <c r="A28" s="20" t="s">
        <v>17</v>
      </c>
      <c r="B28" s="19">
        <f>'Unallocated Detail (CBR)'!G230</f>
        <v>39691081.369999997</v>
      </c>
      <c r="C28" s="19">
        <f>'Unallocated Detail (CBR)'!H230</f>
        <v>5047945.2</v>
      </c>
      <c r="D28" s="21">
        <f t="shared" si="0"/>
        <v>44739026.57</v>
      </c>
    </row>
    <row r="29" spans="1:4" x14ac:dyDescent="0.3">
      <c r="A29" s="20" t="s">
        <v>16</v>
      </c>
      <c r="B29" s="19">
        <f>'Unallocated Detail (CBR)'!G233</f>
        <v>96120984.269999996</v>
      </c>
      <c r="C29" s="19">
        <f>'Unallocated Detail (CBR)'!H233</f>
        <v>20820731.120000001</v>
      </c>
      <c r="D29" s="21">
        <f t="shared" si="0"/>
        <v>116941715.39</v>
      </c>
    </row>
    <row r="30" spans="1:4" x14ac:dyDescent="0.3">
      <c r="A30" s="20" t="s">
        <v>15</v>
      </c>
      <c r="B30" s="19">
        <f>'Unallocated Detail (CBR)'!G248</f>
        <v>161067723.72999999</v>
      </c>
      <c r="C30" s="19">
        <f>'Unallocated Detail (CBR)'!H248</f>
        <v>69583666.150000006</v>
      </c>
      <c r="D30" s="21">
        <f t="shared" si="0"/>
        <v>230651389.88</v>
      </c>
    </row>
    <row r="31" spans="1:4" x14ac:dyDescent="0.3">
      <c r="A31" s="20" t="s">
        <v>14</v>
      </c>
      <c r="B31" s="19">
        <f>'Unallocated Detail (CBR)'!G255</f>
        <v>383274110.36000001</v>
      </c>
      <c r="C31" s="19">
        <f>'Unallocated Detail (CBR)'!H255</f>
        <v>150914141.25999999</v>
      </c>
      <c r="D31" s="21">
        <f t="shared" si="0"/>
        <v>534188251.62</v>
      </c>
    </row>
    <row r="32" spans="1:4" x14ac:dyDescent="0.3">
      <c r="A32" s="20" t="s">
        <v>13</v>
      </c>
      <c r="B32" s="19">
        <f>'Unallocated Detail (CBR)'!G260</f>
        <v>84848585.179999992</v>
      </c>
      <c r="C32" s="19">
        <f>'Unallocated Detail (CBR)'!H260</f>
        <v>32509594.069999997</v>
      </c>
      <c r="D32" s="21">
        <f t="shared" si="0"/>
        <v>117358179.24999999</v>
      </c>
    </row>
    <row r="33" spans="1:4" x14ac:dyDescent="0.3">
      <c r="A33" s="20" t="s">
        <v>12</v>
      </c>
      <c r="B33" s="19">
        <f>'Unallocated Detail (CBR)'!G263</f>
        <v>21846432</v>
      </c>
      <c r="C33" s="19">
        <f>'Unallocated Detail (CBR)'!H263</f>
        <v>0</v>
      </c>
      <c r="D33" s="21">
        <f t="shared" si="0"/>
        <v>21846432</v>
      </c>
    </row>
    <row r="34" spans="1:4" x14ac:dyDescent="0.3">
      <c r="A34" s="13" t="s">
        <v>11</v>
      </c>
      <c r="B34" s="19">
        <f>'Unallocated Detail (CBR)'!G271</f>
        <v>-24624448.68</v>
      </c>
      <c r="C34" s="19">
        <f>'Unallocated Detail (CBR)'!H271</f>
        <v>-1178000.2000000011</v>
      </c>
      <c r="D34" s="18">
        <f t="shared" si="0"/>
        <v>-25802448.880000003</v>
      </c>
    </row>
    <row r="35" spans="1:4" x14ac:dyDescent="0.3">
      <c r="A35" s="13" t="s">
        <v>924</v>
      </c>
      <c r="B35" s="19">
        <f>'Unallocated Detail (CBR)'!G276</f>
        <v>259431276.93000001</v>
      </c>
      <c r="C35" s="19">
        <f>'Unallocated Detail (CBR)'!H276</f>
        <v>126909544.81999999</v>
      </c>
      <c r="D35" s="18">
        <f t="shared" si="0"/>
        <v>386340821.75</v>
      </c>
    </row>
    <row r="36" spans="1:4" x14ac:dyDescent="0.3">
      <c r="A36" s="13" t="s">
        <v>925</v>
      </c>
      <c r="B36" s="19">
        <f>'Unallocated Detail (CBR)'!G281</f>
        <v>42353803.619999997</v>
      </c>
      <c r="C36" s="19">
        <f>'Unallocated Detail (CBR)'!H281</f>
        <v>40108164.859999999</v>
      </c>
      <c r="D36" s="18">
        <f t="shared" si="0"/>
        <v>82461968.479999989</v>
      </c>
    </row>
    <row r="37" spans="1:4" x14ac:dyDescent="0.3">
      <c r="A37" s="44" t="s">
        <v>926</v>
      </c>
      <c r="B37" s="267">
        <f>'Unallocated Detail (CBR)'!G286</f>
        <v>1023801.1600000262</v>
      </c>
      <c r="C37" s="267">
        <f>'Unallocated Detail (CBR)'!H286</f>
        <v>-2696290.8000000119</v>
      </c>
      <c r="D37" s="17">
        <f t="shared" si="0"/>
        <v>-1672489.6399999857</v>
      </c>
    </row>
    <row r="38" spans="1:4" x14ac:dyDescent="0.3">
      <c r="A38" s="16" t="s">
        <v>927</v>
      </c>
      <c r="B38" s="15">
        <f>SUM(B22:B37)</f>
        <v>2887296093.0699992</v>
      </c>
      <c r="C38" s="15">
        <f>SUM(C22:C37)</f>
        <v>1037962244.8599999</v>
      </c>
      <c r="D38" s="14">
        <f>SUM(D22:D37)</f>
        <v>3925258337.9299998</v>
      </c>
    </row>
    <row r="39" spans="1:4" x14ac:dyDescent="0.3">
      <c r="A39" s="13"/>
      <c r="B39" s="12"/>
      <c r="C39" s="12"/>
      <c r="D39" s="11"/>
    </row>
    <row r="40" spans="1:4" ht="17.399999999999999" x14ac:dyDescent="0.55000000000000004">
      <c r="A40" s="10" t="s">
        <v>6</v>
      </c>
      <c r="B40" s="9">
        <f>B13-B38</f>
        <v>291189393.12000084</v>
      </c>
      <c r="C40" s="9">
        <f>C13-C38</f>
        <v>171673982.8599999</v>
      </c>
      <c r="D40" s="8">
        <f>D13-D38</f>
        <v>462863375.98000002</v>
      </c>
    </row>
    <row r="41" spans="1:4" x14ac:dyDescent="0.3">
      <c r="A41" s="7"/>
      <c r="B41" s="6"/>
      <c r="C41" s="6"/>
      <c r="D41" s="5"/>
    </row>
    <row r="42" spans="1:4" x14ac:dyDescent="0.3">
      <c r="A42" s="137"/>
      <c r="B42" s="35"/>
      <c r="C42" s="35"/>
      <c r="D42" s="4"/>
    </row>
    <row r="43" spans="1:4" x14ac:dyDescent="0.3">
      <c r="B43" s="280"/>
      <c r="C43" s="280"/>
    </row>
    <row r="44" spans="1:4" x14ac:dyDescent="0.3">
      <c r="B44" s="280"/>
      <c r="C44" s="280"/>
    </row>
    <row r="45" spans="1:4" x14ac:dyDescent="0.3">
      <c r="B45" s="280"/>
      <c r="C45" s="280"/>
    </row>
    <row r="46" spans="1:4" x14ac:dyDescent="0.3">
      <c r="B46" s="280"/>
      <c r="C46" s="280"/>
    </row>
    <row r="47" spans="1:4" x14ac:dyDescent="0.3">
      <c r="B47" s="280"/>
      <c r="C47" s="280"/>
    </row>
    <row r="49" spans="2:2" x14ac:dyDescent="0.3">
      <c r="B49" s="279"/>
    </row>
    <row r="50" spans="2:2" x14ac:dyDescent="0.3">
      <c r="B50" s="279"/>
    </row>
    <row r="51" spans="2:2" x14ac:dyDescent="0.3">
      <c r="B51" s="279"/>
    </row>
    <row r="52" spans="2:2" x14ac:dyDescent="0.3">
      <c r="B52" s="279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"/>
  <sheetViews>
    <sheetView zoomScaleNormal="100" workbookViewId="0">
      <pane xSplit="1" ySplit="6" topLeftCell="B324" activePane="bottomRight" state="frozen"/>
      <selection activeCell="H29" sqref="H29"/>
      <selection pane="topRight" activeCell="H29" sqref="H29"/>
      <selection pane="bottomLeft" activeCell="H29" sqref="H29"/>
      <selection pane="bottomRight" activeCell="H29" sqref="H29"/>
    </sheetView>
  </sheetViews>
  <sheetFormatPr defaultColWidth="9.109375" defaultRowHeight="14.4" outlineLevelCol="1" x14ac:dyDescent="0.3"/>
  <cols>
    <col min="1" max="1" width="58.109375" style="36" bestFit="1" customWidth="1"/>
    <col min="2" max="2" width="16.6640625" style="36" customWidth="1"/>
    <col min="3" max="3" width="13.109375" style="36" bestFit="1" customWidth="1"/>
    <col min="4" max="4" width="13.6640625" style="36" bestFit="1" customWidth="1"/>
    <col min="5" max="5" width="13.6640625" style="36" customWidth="1" outlineLevel="1"/>
    <col min="6" max="6" width="13.33203125" style="36" customWidth="1" outlineLevel="1"/>
    <col min="7" max="7" width="14.6640625" style="36" customWidth="1" outlineLevel="1"/>
    <col min="8" max="8" width="13.109375" style="36" bestFit="1" customWidth="1" outlineLevel="1"/>
    <col min="9" max="9" width="17.33203125" style="36" customWidth="1"/>
    <col min="10" max="10" width="33.5546875" style="107" bestFit="1" customWidth="1"/>
    <col min="11" max="11" width="15.6640625" style="36" bestFit="1" customWidth="1"/>
    <col min="12" max="12" width="14.5546875" style="36" customWidth="1"/>
    <col min="13" max="16384" width="9.109375" style="36"/>
  </cols>
  <sheetData>
    <row r="1" spans="1:13" x14ac:dyDescent="0.3">
      <c r="A1" s="61" t="s">
        <v>335</v>
      </c>
      <c r="B1" s="61"/>
      <c r="C1" s="61"/>
      <c r="D1" s="61"/>
      <c r="E1" s="61"/>
      <c r="F1" s="61"/>
      <c r="G1" s="61"/>
      <c r="H1" s="61"/>
      <c r="I1" s="61"/>
      <c r="J1" s="146"/>
    </row>
    <row r="2" spans="1:13" x14ac:dyDescent="0.3">
      <c r="A2" s="61" t="s">
        <v>344</v>
      </c>
      <c r="B2" s="61"/>
      <c r="C2" s="61"/>
      <c r="D2" s="61"/>
      <c r="E2" s="61"/>
      <c r="F2" s="61"/>
      <c r="G2" s="61"/>
      <c r="H2" s="61"/>
      <c r="I2" s="61"/>
      <c r="J2" s="146"/>
    </row>
    <row r="3" spans="1:13" x14ac:dyDescent="0.3">
      <c r="A3" s="147" t="str">
        <f>+'Allocated (CBR)'!A3</f>
        <v>FOR THE YEAR ENDED DECEMBER 31, 2022</v>
      </c>
      <c r="B3" s="61"/>
      <c r="C3" s="61"/>
      <c r="D3" s="61"/>
      <c r="E3" s="61"/>
      <c r="F3" s="61"/>
      <c r="G3" s="61"/>
      <c r="H3" s="61"/>
      <c r="I3" s="61"/>
      <c r="J3" s="146"/>
    </row>
    <row r="4" spans="1:13" x14ac:dyDescent="0.3">
      <c r="A4" s="129"/>
      <c r="B4" s="129"/>
      <c r="C4" s="129"/>
      <c r="D4" s="129"/>
      <c r="E4" s="129"/>
      <c r="F4" s="129"/>
      <c r="G4" s="129"/>
      <c r="H4" s="129"/>
      <c r="I4" s="129"/>
      <c r="J4" s="148"/>
    </row>
    <row r="5" spans="1:13" x14ac:dyDescent="0.3">
      <c r="A5" s="129"/>
      <c r="B5" s="129"/>
      <c r="C5" s="129"/>
      <c r="D5" s="129"/>
      <c r="E5" s="129"/>
      <c r="F5" s="129"/>
      <c r="G5" s="129"/>
      <c r="H5" s="129"/>
      <c r="I5" s="129"/>
      <c r="J5" s="104" t="s">
        <v>839</v>
      </c>
      <c r="K5" s="36" t="s">
        <v>889</v>
      </c>
      <c r="L5" s="36" t="s">
        <v>890</v>
      </c>
      <c r="M5" s="36" t="s">
        <v>1006</v>
      </c>
    </row>
    <row r="6" spans="1:13" x14ac:dyDescent="0.3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286" t="s">
        <v>1042</v>
      </c>
      <c r="L6" s="286" t="s">
        <v>1042</v>
      </c>
      <c r="M6" s="36" t="s">
        <v>35</v>
      </c>
    </row>
    <row r="7" spans="1:13" x14ac:dyDescent="0.3">
      <c r="A7" s="149"/>
      <c r="B7" s="150"/>
      <c r="C7" s="150"/>
      <c r="D7" s="150"/>
      <c r="E7" s="150"/>
      <c r="F7" s="150"/>
      <c r="G7" s="150"/>
      <c r="H7" s="150"/>
      <c r="I7" s="150"/>
      <c r="J7" s="151">
        <v>0</v>
      </c>
    </row>
    <row r="8" spans="1:13" x14ac:dyDescent="0.3">
      <c r="A8" s="152"/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</row>
    <row r="9" spans="1:13" x14ac:dyDescent="0.3">
      <c r="A9" s="154"/>
      <c r="B9" s="154"/>
      <c r="C9" s="154"/>
      <c r="D9" s="154"/>
      <c r="E9" s="154"/>
      <c r="F9" s="154"/>
      <c r="G9" s="154"/>
      <c r="H9" s="154"/>
      <c r="I9" s="154"/>
    </row>
    <row r="10" spans="1:13" x14ac:dyDescent="0.3">
      <c r="A10" s="105" t="s">
        <v>36</v>
      </c>
      <c r="B10" s="155"/>
      <c r="C10" s="155"/>
      <c r="D10" s="155"/>
      <c r="E10" s="155"/>
      <c r="F10" s="155"/>
      <c r="G10" s="155"/>
      <c r="H10" s="155"/>
      <c r="I10" s="155"/>
    </row>
    <row r="11" spans="1:13" x14ac:dyDescent="0.3">
      <c r="A11" s="57" t="s">
        <v>37</v>
      </c>
      <c r="B11" s="156"/>
      <c r="C11" s="156"/>
      <c r="D11" s="156"/>
      <c r="E11" s="156"/>
      <c r="F11" s="156"/>
      <c r="G11" s="156"/>
      <c r="H11" s="156"/>
      <c r="I11" s="156"/>
    </row>
    <row r="12" spans="1:13" x14ac:dyDescent="0.3">
      <c r="A12" s="106" t="s">
        <v>38</v>
      </c>
      <c r="B12" s="157">
        <f>-IF(ISNA(VLOOKUP($J12,FM!$A:$J,3,FALSE)),0,VLOOKUP($J12,FM!$A:$J,3,FALSE))</f>
        <v>1381833367.55</v>
      </c>
      <c r="C12" s="157">
        <f>-IF(ISNA(VLOOKUP($J12,FM!$A:$J,4,FALSE)),0,VLOOKUP($J12,FM!$A:$J,4,FALSE))</f>
        <v>0</v>
      </c>
      <c r="D12" s="157">
        <f>-IF(ISNA(VLOOKUP($J12,FM!$A:$J,5,FALSE)),0,VLOOKUP($J12,FM!$A:$J,5,FALSE))</f>
        <v>0</v>
      </c>
      <c r="E12" s="157">
        <f>-IF(ISNA(VLOOKUP($J12,FM!$A:$J,6,FALSE)),0,VLOOKUP($J12,FM!$A:$J,6,FALSE))</f>
        <v>0</v>
      </c>
      <c r="F12" s="157">
        <f>-IF(ISNA(VLOOKUP($J12,FM!$A:$J,7,FALSE)),0,VLOOKUP($J12,FM!$A:$J,7,FALSE))</f>
        <v>0</v>
      </c>
      <c r="G12" s="157">
        <f>B12+E12</f>
        <v>1381833367.55</v>
      </c>
      <c r="H12" s="157">
        <f>C12+F12</f>
        <v>0</v>
      </c>
      <c r="I12" s="157">
        <f>SUM(G12:H12)</f>
        <v>1381833367.55</v>
      </c>
      <c r="J12" s="158" t="s">
        <v>414</v>
      </c>
    </row>
    <row r="13" spans="1:13" x14ac:dyDescent="0.3">
      <c r="A13" s="106" t="s">
        <v>39</v>
      </c>
      <c r="B13" s="58">
        <f>-IF(ISNA(VLOOKUP($J13,FM!$A:$J,3,FALSE)),0,VLOOKUP($J13,FM!$A:$J,3,FALSE))</f>
        <v>1108679410.5799999</v>
      </c>
      <c r="C13" s="58">
        <f>-IF(ISNA(VLOOKUP($J13,FM!$A:$J,4,FALSE)),0,VLOOKUP($J13,FM!$A:$J,4,FALSE))</f>
        <v>0</v>
      </c>
      <c r="D13" s="58">
        <f>-IF(ISNA(VLOOKUP($J13,FM!$A:$J,5,FALSE)),0,VLOOKUP($J13,FM!$A:$J,5,FALSE))</f>
        <v>0</v>
      </c>
      <c r="E13" s="58">
        <f>-IF(ISNA(VLOOKUP($J13,FM!$A:$J,6,FALSE)),0,VLOOKUP($J13,FM!$A:$J,6,FALSE))</f>
        <v>0</v>
      </c>
      <c r="F13" s="58">
        <f>-IF(ISNA(VLOOKUP($J13,FM!$A:$J,7,FALSE)),0,VLOOKUP($J13,FM!$A:$J,7,FALSE))</f>
        <v>0</v>
      </c>
      <c r="G13" s="58">
        <f t="shared" ref="G13:H17" si="0">B13+E13</f>
        <v>1108679410.5799999</v>
      </c>
      <c r="H13" s="58">
        <f t="shared" si="0"/>
        <v>0</v>
      </c>
      <c r="I13" s="58">
        <f t="shared" ref="I13:I17" si="1">SUM(G13:H13)</f>
        <v>1108679410.5799999</v>
      </c>
      <c r="J13" s="158" t="s">
        <v>416</v>
      </c>
    </row>
    <row r="14" spans="1:13" x14ac:dyDescent="0.3">
      <c r="A14" s="106" t="s">
        <v>40</v>
      </c>
      <c r="B14" s="58">
        <f>-IF(ISNA(VLOOKUP($J14,FM!$A:$J,3,FALSE)),0,VLOOKUP($J14,FM!$A:$J,3,FALSE))</f>
        <v>18414823.609999999</v>
      </c>
      <c r="C14" s="58">
        <f>-IF(ISNA(VLOOKUP($J14,FM!$A:$J,4,FALSE)),0,VLOOKUP($J14,FM!$A:$J,4,FALSE))</f>
        <v>0</v>
      </c>
      <c r="D14" s="58">
        <f>-IF(ISNA(VLOOKUP($J14,FM!$A:$J,5,FALSE)),0,VLOOKUP($J14,FM!$A:$J,5,FALSE))</f>
        <v>0</v>
      </c>
      <c r="E14" s="58">
        <f>-IF(ISNA(VLOOKUP($J14,FM!$A:$J,6,FALSE)),0,VLOOKUP($J14,FM!$A:$J,6,FALSE))</f>
        <v>0</v>
      </c>
      <c r="F14" s="58">
        <f>-IF(ISNA(VLOOKUP($J14,FM!$A:$J,7,FALSE)),0,VLOOKUP($J14,FM!$A:$J,7,FALSE))</f>
        <v>0</v>
      </c>
      <c r="G14" s="58">
        <f t="shared" si="0"/>
        <v>18414823.609999999</v>
      </c>
      <c r="H14" s="58">
        <f t="shared" si="0"/>
        <v>0</v>
      </c>
      <c r="I14" s="58">
        <f t="shared" si="1"/>
        <v>18414823.609999999</v>
      </c>
      <c r="J14" s="158" t="s">
        <v>418</v>
      </c>
    </row>
    <row r="15" spans="1:13" x14ac:dyDescent="0.3">
      <c r="A15" s="106" t="s">
        <v>41</v>
      </c>
      <c r="B15" s="58">
        <f>-IF(ISNA(VLOOKUP($J15,FM!$A:$J,3,FALSE)),0,VLOOKUP($J15,FM!$A:$J,3,FALSE))</f>
        <v>0</v>
      </c>
      <c r="C15" s="58">
        <f>-IF(ISNA(VLOOKUP($J15,FM!$A:$J,4,FALSE)),0,VLOOKUP($J15,FM!$A:$J,4,FALSE))</f>
        <v>808377190.04999995</v>
      </c>
      <c r="D15" s="58">
        <f>-IF(ISNA(VLOOKUP($J15,FM!$A:$J,5,FALSE)),0,VLOOKUP($J15,FM!$A:$J,5,FALSE))</f>
        <v>0</v>
      </c>
      <c r="E15" s="58">
        <f>-IF(ISNA(VLOOKUP($J15,FM!$A:$J,6,FALSE)),0,VLOOKUP($J15,FM!$A:$J,6,FALSE))</f>
        <v>0</v>
      </c>
      <c r="F15" s="58">
        <f>-IF(ISNA(VLOOKUP($J15,FM!$A:$J,7,FALSE)),0,VLOOKUP($J15,FM!$A:$J,7,FALSE))</f>
        <v>0</v>
      </c>
      <c r="G15" s="58">
        <f t="shared" si="0"/>
        <v>0</v>
      </c>
      <c r="H15" s="58">
        <f t="shared" si="0"/>
        <v>808377190.04999995</v>
      </c>
      <c r="I15" s="58">
        <f t="shared" si="1"/>
        <v>808377190.04999995</v>
      </c>
      <c r="J15" s="158" t="s">
        <v>420</v>
      </c>
    </row>
    <row r="16" spans="1:13" x14ac:dyDescent="0.3">
      <c r="A16" s="106" t="s">
        <v>42</v>
      </c>
      <c r="B16" s="58">
        <f>-IF(ISNA(VLOOKUP($J16,FM!$A:$J,3,FALSE)),0,VLOOKUP($J16,FM!$A:$J,3,FALSE))</f>
        <v>0</v>
      </c>
      <c r="C16" s="58">
        <f>-IF(ISNA(VLOOKUP($J16,FM!$A:$J,4,FALSE)),0,VLOOKUP($J16,FM!$A:$J,4,FALSE))</f>
        <v>377288846.25</v>
      </c>
      <c r="D16" s="58">
        <f>-IF(ISNA(VLOOKUP($J16,FM!$A:$J,5,FALSE)),0,VLOOKUP($J16,FM!$A:$J,5,FALSE))</f>
        <v>0</v>
      </c>
      <c r="E16" s="58">
        <f>-IF(ISNA(VLOOKUP($J16,FM!$A:$J,6,FALSE)),0,VLOOKUP($J16,FM!$A:$J,6,FALSE))</f>
        <v>0</v>
      </c>
      <c r="F16" s="58">
        <f>-IF(ISNA(VLOOKUP($J16,FM!$A:$J,7,FALSE)),0,VLOOKUP($J16,FM!$A:$J,7,FALSE))</f>
        <v>0</v>
      </c>
      <c r="G16" s="58">
        <f t="shared" si="0"/>
        <v>0</v>
      </c>
      <c r="H16" s="58">
        <f t="shared" si="0"/>
        <v>377288846.25</v>
      </c>
      <c r="I16" s="58">
        <f t="shared" si="1"/>
        <v>377288846.25</v>
      </c>
      <c r="J16" s="158" t="s">
        <v>422</v>
      </c>
    </row>
    <row r="17" spans="1:11" x14ac:dyDescent="0.3">
      <c r="A17" s="106" t="s">
        <v>43</v>
      </c>
      <c r="B17" s="159">
        <f>-IF(ISNA(VLOOKUP($J17,FM!$A:$J,3,FALSE)),0,VLOOKUP($J17,FM!$A:$J,3,FALSE))</f>
        <v>0</v>
      </c>
      <c r="C17" s="159">
        <f>-IF(ISNA(VLOOKUP($J17,FM!$A:$J,4,FALSE)),0,VLOOKUP($J17,FM!$A:$J,4,FALSE))</f>
        <v>20331606.870000001</v>
      </c>
      <c r="D17" s="159">
        <f>-IF(ISNA(VLOOKUP($J17,FM!$A:$J,5,FALSE)),0,VLOOKUP($J17,FM!$A:$J,5,FALSE))</f>
        <v>0</v>
      </c>
      <c r="E17" s="159">
        <f>-IF(ISNA(VLOOKUP($J17,FM!$A:$J,6,FALSE)),0,VLOOKUP($J17,FM!$A:$J,6,FALSE))</f>
        <v>0</v>
      </c>
      <c r="F17" s="159">
        <f>-IF(ISNA(VLOOKUP($J17,FM!$A:$J,7,FALSE)),0,VLOOKUP($J17,FM!$A:$J,7,FALSE))</f>
        <v>0</v>
      </c>
      <c r="G17" s="159">
        <f t="shared" si="0"/>
        <v>0</v>
      </c>
      <c r="H17" s="159">
        <f t="shared" si="0"/>
        <v>20331606.870000001</v>
      </c>
      <c r="I17" s="159">
        <f t="shared" si="1"/>
        <v>20331606.870000001</v>
      </c>
      <c r="J17" s="158" t="s">
        <v>424</v>
      </c>
    </row>
    <row r="18" spans="1:11" x14ac:dyDescent="0.3">
      <c r="A18" s="106" t="s">
        <v>44</v>
      </c>
      <c r="B18" s="58">
        <f>SUM(B12:B17)</f>
        <v>2508927601.7400002</v>
      </c>
      <c r="C18" s="58">
        <f t="shared" ref="C18:I18" si="2">SUM(C12:C17)</f>
        <v>1205997643.1699998</v>
      </c>
      <c r="D18" s="58">
        <f t="shared" si="2"/>
        <v>0</v>
      </c>
      <c r="E18" s="58">
        <f t="shared" si="2"/>
        <v>0</v>
      </c>
      <c r="F18" s="58">
        <f t="shared" si="2"/>
        <v>0</v>
      </c>
      <c r="G18" s="58">
        <f t="shared" si="2"/>
        <v>2508927601.7400002</v>
      </c>
      <c r="H18" s="58">
        <f t="shared" si="2"/>
        <v>1205997643.1699998</v>
      </c>
      <c r="I18" s="58">
        <f t="shared" si="2"/>
        <v>3714925244.9099998</v>
      </c>
      <c r="J18" s="160" t="s">
        <v>412</v>
      </c>
    </row>
    <row r="19" spans="1:11" x14ac:dyDescent="0.3">
      <c r="A19" s="57" t="s">
        <v>45</v>
      </c>
      <c r="B19" s="156"/>
      <c r="C19" s="156"/>
      <c r="D19" s="156"/>
      <c r="E19" s="156"/>
      <c r="F19" s="156"/>
      <c r="G19" s="156"/>
      <c r="H19" s="156"/>
      <c r="I19" s="156"/>
      <c r="J19" s="57"/>
    </row>
    <row r="20" spans="1:11" x14ac:dyDescent="0.3">
      <c r="A20" s="106" t="s">
        <v>46</v>
      </c>
      <c r="B20" s="159">
        <f>-IF(ISNA(VLOOKUP($J20,FM!$A:$J,3,FALSE)),0,VLOOKUP($J20,FM!$A:$J,3,FALSE))</f>
        <v>343676.59</v>
      </c>
      <c r="C20" s="159">
        <f>-IF(ISNA(VLOOKUP($J20,FM!$A:$J,4,FALSE)),0,VLOOKUP($J20,FM!$A:$J,4,FALSE))</f>
        <v>0</v>
      </c>
      <c r="D20" s="159">
        <f>-IF(ISNA(VLOOKUP($J20,FM!$A:$J,5,FALSE)),0,VLOOKUP($J20,FM!$A:$J,5,FALSE))</f>
        <v>0</v>
      </c>
      <c r="E20" s="159">
        <f>-IF(ISNA(VLOOKUP($J20,FM!$A:$J,6,FALSE)),0,VLOOKUP($J20,FM!$A:$J,6,FALSE))</f>
        <v>0</v>
      </c>
      <c r="F20" s="159">
        <f>-IF(ISNA(VLOOKUP($J20,FM!$A:$J,7,FALSE)),0,VLOOKUP($J20,FM!$A:$J,7,FALSE))</f>
        <v>0</v>
      </c>
      <c r="G20" s="159">
        <f>B20+E20</f>
        <v>343676.59</v>
      </c>
      <c r="H20" s="159">
        <f>C20+F20</f>
        <v>0</v>
      </c>
      <c r="I20" s="159">
        <f>SUM(G20:H20)</f>
        <v>343676.59</v>
      </c>
      <c r="J20" s="158" t="s">
        <v>428</v>
      </c>
    </row>
    <row r="21" spans="1:11" x14ac:dyDescent="0.3">
      <c r="A21" s="106" t="s">
        <v>47</v>
      </c>
      <c r="B21" s="58">
        <f>SUM(B20)</f>
        <v>343676.59</v>
      </c>
      <c r="C21" s="58">
        <f t="shared" ref="C21:I21" si="3">SUM(C20)</f>
        <v>0</v>
      </c>
      <c r="D21" s="58">
        <f t="shared" si="3"/>
        <v>0</v>
      </c>
      <c r="E21" s="58">
        <f t="shared" si="3"/>
        <v>0</v>
      </c>
      <c r="F21" s="58">
        <f t="shared" si="3"/>
        <v>0</v>
      </c>
      <c r="G21" s="58">
        <f t="shared" si="3"/>
        <v>343676.59</v>
      </c>
      <c r="H21" s="58">
        <f t="shared" si="3"/>
        <v>0</v>
      </c>
      <c r="I21" s="58">
        <f t="shared" si="3"/>
        <v>343676.59</v>
      </c>
      <c r="J21" s="160" t="s">
        <v>426</v>
      </c>
    </row>
    <row r="22" spans="1:11" x14ac:dyDescent="0.3">
      <c r="A22" s="57" t="s">
        <v>48</v>
      </c>
      <c r="B22" s="156"/>
      <c r="C22" s="156"/>
      <c r="D22" s="156"/>
      <c r="E22" s="156"/>
      <c r="F22" s="156"/>
      <c r="G22" s="156"/>
      <c r="H22" s="156"/>
      <c r="I22" s="156"/>
      <c r="J22" s="57"/>
    </row>
    <row r="23" spans="1:11" x14ac:dyDescent="0.3">
      <c r="A23" s="106" t="s">
        <v>49</v>
      </c>
      <c r="B23" s="58">
        <f>-IF(ISNA(VLOOKUP($J23,FM!$A:$J,3,FALSE)),0,VLOOKUP($J23,FM!$A:$J,3,FALSE))</f>
        <v>329588903.31</v>
      </c>
      <c r="C23" s="58">
        <f>-IF(ISNA(VLOOKUP($J23,FM!$A:$J,4,FALSE)),0,VLOOKUP($J23,FM!$A:$J,4,FALSE))</f>
        <v>0</v>
      </c>
      <c r="D23" s="58">
        <f>-IF(ISNA(VLOOKUP($J23,FM!$A:$J,5,FALSE)),0,VLOOKUP($J23,FM!$A:$J,5,FALSE))</f>
        <v>0</v>
      </c>
      <c r="E23" s="58">
        <f>-IF(ISNA(VLOOKUP($J23,FM!$A:$J,6,FALSE)),0,VLOOKUP($J23,FM!$A:$J,6,FALSE))</f>
        <v>0</v>
      </c>
      <c r="F23" s="58">
        <f>-IF(ISNA(VLOOKUP($J23,FM!$A:$J,7,FALSE)),0,VLOOKUP($J23,FM!$A:$J,7,FALSE))</f>
        <v>0</v>
      </c>
      <c r="G23" s="58">
        <f>B23+E23</f>
        <v>329588903.31</v>
      </c>
      <c r="H23" s="58">
        <f>C23+F23</f>
        <v>0</v>
      </c>
      <c r="I23" s="58">
        <f t="shared" ref="I23:I24" si="4">SUM(G23:H23)</f>
        <v>329588903.31</v>
      </c>
      <c r="J23" s="158" t="s">
        <v>432</v>
      </c>
      <c r="K23" s="161"/>
    </row>
    <row r="24" spans="1:11" x14ac:dyDescent="0.3">
      <c r="A24" s="106" t="s">
        <v>50</v>
      </c>
      <c r="B24" s="159">
        <f>-IF(ISNA(VLOOKUP($J24,FM!$A:$J,3,FALSE)),0,VLOOKUP($J24,FM!$A:$J,3,FALSE))</f>
        <v>217028098.91</v>
      </c>
      <c r="C24" s="159">
        <f>-IF(ISNA(VLOOKUP($J24,FM!$A:$J,4,FALSE)),0,VLOOKUP($J24,FM!$A:$J,4,FALSE))</f>
        <v>0</v>
      </c>
      <c r="D24" s="159">
        <f>-IF(ISNA(VLOOKUP($J24,FM!$A:$J,5,FALSE)),0,VLOOKUP($J24,FM!$A:$J,5,FALSE))</f>
        <v>0</v>
      </c>
      <c r="E24" s="159">
        <f>-IF(ISNA(VLOOKUP($J24,FM!$A:$J,6,FALSE)),0,VLOOKUP($J24,FM!$A:$J,6,FALSE))</f>
        <v>0</v>
      </c>
      <c r="F24" s="159">
        <f>-IF(ISNA(VLOOKUP($J24,FM!$A:$J,7,FALSE)),0,VLOOKUP($J24,FM!$A:$J,7,FALSE))</f>
        <v>0</v>
      </c>
      <c r="G24" s="159">
        <f>B24+E24</f>
        <v>217028098.91</v>
      </c>
      <c r="H24" s="159">
        <f>C24+F24</f>
        <v>0</v>
      </c>
      <c r="I24" s="159">
        <f t="shared" si="4"/>
        <v>217028098.91</v>
      </c>
      <c r="J24" s="158" t="s">
        <v>434</v>
      </c>
    </row>
    <row r="25" spans="1:11" x14ac:dyDescent="0.3">
      <c r="A25" s="106" t="s">
        <v>51</v>
      </c>
      <c r="B25" s="58">
        <f>SUM(B23:B24)</f>
        <v>546617002.22000003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546617002.22000003</v>
      </c>
      <c r="H25" s="58">
        <f t="shared" si="5"/>
        <v>0</v>
      </c>
      <c r="I25" s="58">
        <f t="shared" si="5"/>
        <v>546617002.22000003</v>
      </c>
      <c r="J25" s="160" t="s">
        <v>430</v>
      </c>
    </row>
    <row r="26" spans="1:11" x14ac:dyDescent="0.3">
      <c r="A26" s="57" t="s">
        <v>52</v>
      </c>
      <c r="B26" s="156"/>
      <c r="C26" s="156"/>
      <c r="D26" s="156"/>
      <c r="E26" s="156"/>
      <c r="F26" s="156"/>
      <c r="G26" s="156"/>
      <c r="H26" s="156"/>
      <c r="I26" s="156"/>
      <c r="J26" s="57"/>
    </row>
    <row r="27" spans="1:11" x14ac:dyDescent="0.3">
      <c r="A27" s="106" t="s">
        <v>53</v>
      </c>
      <c r="B27" s="58">
        <f>-IF(ISNA(VLOOKUP($J27,FM!$A:$J,3,FALSE)),0,VLOOKUP($J27,FM!$A:$J,3,FALSE))</f>
        <v>0</v>
      </c>
      <c r="C27" s="58">
        <f>-IF(ISNA(VLOOKUP($J27,FM!$A:$J,4,FALSE)),0,VLOOKUP($J27,FM!$A:$J,4,FALSE))</f>
        <v>0</v>
      </c>
      <c r="D27" s="58">
        <f>-IF(ISNA(VLOOKUP($J27,FM!$A:$J,5,FALSE)),0,VLOOKUP($J27,FM!$A:$J,5,FALSE))</f>
        <v>0</v>
      </c>
      <c r="E27" s="58">
        <f>-IF(ISNA(VLOOKUP($J27,FM!$A:$J,6,FALSE)),0,VLOOKUP($J27,FM!$A:$J,6,FALSE))</f>
        <v>0</v>
      </c>
      <c r="F27" s="58">
        <f>-IF(ISNA(VLOOKUP($J27,FM!$A:$J,7,FALSE)),0,VLOOKUP($J27,FM!$A:$J,7,FALSE))</f>
        <v>0</v>
      </c>
      <c r="G27" s="58">
        <f>B27+E27</f>
        <v>0</v>
      </c>
      <c r="H27" s="58">
        <f>C27+F27</f>
        <v>0</v>
      </c>
      <c r="I27" s="58">
        <f t="shared" ref="I27:I39" si="6">SUM(G27:H27)</f>
        <v>0</v>
      </c>
      <c r="J27" s="158" t="s">
        <v>840</v>
      </c>
    </row>
    <row r="28" spans="1:11" x14ac:dyDescent="0.3">
      <c r="A28" s="106" t="s">
        <v>943</v>
      </c>
      <c r="B28" s="58">
        <f>-IF(ISNA(VLOOKUP($J28,FM!$A:$J,3,FALSE)),0,VLOOKUP($J28,FM!$A:$J,3,FALSE))</f>
        <v>0</v>
      </c>
      <c r="C28" s="58">
        <f>-IF(ISNA(VLOOKUP($J28,FM!$A:$J,4,FALSE)),0,VLOOKUP($J28,FM!$A:$J,4,FALSE))</f>
        <v>0</v>
      </c>
      <c r="D28" s="58">
        <f>-IF(ISNA(VLOOKUP($J28,FM!$A:$J,5,FALSE)),0,VLOOKUP($J28,FM!$A:$J,5,FALSE))</f>
        <v>0</v>
      </c>
      <c r="E28" s="58">
        <f>-IF(ISNA(VLOOKUP($J28,FM!$A:$J,6,FALSE)),0,VLOOKUP($J28,FM!$A:$J,6,FALSE))</f>
        <v>0</v>
      </c>
      <c r="F28" s="58">
        <f>-IF(ISNA(VLOOKUP($J28,FM!$A:$J,7,FALSE)),0,VLOOKUP($J28,FM!$A:$J,7,FALSE))</f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58" t="s">
        <v>841</v>
      </c>
    </row>
    <row r="29" spans="1:11" ht="13.95" customHeight="1" x14ac:dyDescent="0.3">
      <c r="A29" s="106" t="s">
        <v>54</v>
      </c>
      <c r="B29" s="58">
        <f>-IF(ISNA(VLOOKUP($J29,FM!$A:$J,3,FALSE)),0,VLOOKUP($J29,FM!$A:$J,3,FALSE))</f>
        <v>-1091.73</v>
      </c>
      <c r="C29" s="58">
        <f>-IF(ISNA(VLOOKUP($J29,FM!$A:$J,4,FALSE)),0,VLOOKUP($J29,FM!$A:$J,4,FALSE))</f>
        <v>0</v>
      </c>
      <c r="D29" s="58">
        <f>-IF(ISNA(VLOOKUP($J29,FM!$A:$J,5,FALSE)),0,VLOOKUP($J29,FM!$A:$J,5,FALSE))</f>
        <v>0</v>
      </c>
      <c r="E29" s="58">
        <f>-IF(ISNA(VLOOKUP($J29,FM!$A:$J,6,FALSE)),0,VLOOKUP($J29,FM!$A:$J,6,FALSE))</f>
        <v>0</v>
      </c>
      <c r="F29" s="58">
        <f>-IF(ISNA(VLOOKUP($J29,FM!$A:$J,7,FALSE)),0,VLOOKUP($J29,FM!$A:$J,7,FALSE))</f>
        <v>0</v>
      </c>
      <c r="G29" s="58">
        <f t="shared" ref="G29:H39" si="7">B29+E29</f>
        <v>-1091.73</v>
      </c>
      <c r="H29" s="58">
        <f t="shared" si="7"/>
        <v>0</v>
      </c>
      <c r="I29" s="58">
        <f t="shared" si="6"/>
        <v>-1091.73</v>
      </c>
      <c r="J29" s="158" t="s">
        <v>438</v>
      </c>
    </row>
    <row r="30" spans="1:11" x14ac:dyDescent="0.3">
      <c r="A30" s="106" t="s">
        <v>55</v>
      </c>
      <c r="B30" s="58">
        <f>-IF(ISNA(VLOOKUP($J30,FM!$A:$J,3,FALSE)),0,VLOOKUP($J30,FM!$A:$J,3,FALSE))</f>
        <v>14470160.359999999</v>
      </c>
      <c r="C30" s="58">
        <f>-IF(ISNA(VLOOKUP($J30,FM!$A:$J,4,FALSE)),0,VLOOKUP($J30,FM!$A:$J,4,FALSE))</f>
        <v>0</v>
      </c>
      <c r="D30" s="58">
        <f>-IF(ISNA(VLOOKUP($J30,FM!$A:$J,5,FALSE)),0,VLOOKUP($J30,FM!$A:$J,5,FALSE))</f>
        <v>0</v>
      </c>
      <c r="E30" s="58">
        <f>-IF(ISNA(VLOOKUP($J30,FM!$A:$J,6,FALSE)),0,VLOOKUP($J30,FM!$A:$J,6,FALSE))</f>
        <v>0</v>
      </c>
      <c r="F30" s="58">
        <f>-IF(ISNA(VLOOKUP($J30,FM!$A:$J,7,FALSE)),0,VLOOKUP($J30,FM!$A:$J,7,FALSE))</f>
        <v>0</v>
      </c>
      <c r="G30" s="58">
        <f t="shared" si="7"/>
        <v>14470160.359999999</v>
      </c>
      <c r="H30" s="58">
        <f>C30+F30</f>
        <v>0</v>
      </c>
      <c r="I30" s="58">
        <f t="shared" si="6"/>
        <v>14470160.359999999</v>
      </c>
      <c r="J30" s="158" t="s">
        <v>440</v>
      </c>
    </row>
    <row r="31" spans="1:11" x14ac:dyDescent="0.3">
      <c r="A31" s="106" t="s">
        <v>56</v>
      </c>
      <c r="B31" s="58">
        <f>-IF(ISNA(VLOOKUP($J31,FM!$A:$J,3,FALSE)),0,VLOOKUP($J31,FM!$A:$J,3,FALSE))</f>
        <v>19386737.890000001</v>
      </c>
      <c r="C31" s="58">
        <f>-IF(ISNA(VLOOKUP($J31,FM!$A:$J,4,FALSE)),0,VLOOKUP($J31,FM!$A:$J,4,FALSE))</f>
        <v>0</v>
      </c>
      <c r="D31" s="58">
        <f>-IF(ISNA(VLOOKUP($J31,FM!$A:$J,5,FALSE)),0,VLOOKUP($J31,FM!$A:$J,5,FALSE))</f>
        <v>0</v>
      </c>
      <c r="E31" s="58">
        <f>-IF(ISNA(VLOOKUP($J31,FM!$A:$J,6,FALSE)),0,VLOOKUP($J31,FM!$A:$J,6,FALSE))</f>
        <v>0</v>
      </c>
      <c r="F31" s="58">
        <f>-IF(ISNA(VLOOKUP($J31,FM!$A:$J,7,FALSE)),0,VLOOKUP($J31,FM!$A:$J,7,FALSE))</f>
        <v>0</v>
      </c>
      <c r="G31" s="58">
        <f t="shared" si="7"/>
        <v>19386737.890000001</v>
      </c>
      <c r="H31" s="58">
        <f t="shared" si="7"/>
        <v>0</v>
      </c>
      <c r="I31" s="58">
        <f t="shared" si="6"/>
        <v>19386737.890000001</v>
      </c>
      <c r="J31" s="158" t="s">
        <v>442</v>
      </c>
    </row>
    <row r="32" spans="1:11" x14ac:dyDescent="0.3">
      <c r="A32" s="106" t="s">
        <v>398</v>
      </c>
      <c r="B32" s="58">
        <f>-IF(ISNA(VLOOKUP($J32,FM!$A:$J,3,FALSE)),0,VLOOKUP($J32,FM!$A:$J,3,FALSE))</f>
        <v>52511724.609999999</v>
      </c>
      <c r="C32" s="58">
        <f>-IF(ISNA(VLOOKUP($J32,FM!$A:$J,4,FALSE)),0,VLOOKUP($J32,FM!$A:$J,4,FALSE))</f>
        <v>0</v>
      </c>
      <c r="D32" s="58">
        <f>-IF(ISNA(VLOOKUP($J32,FM!$A:$J,5,FALSE)),0,VLOOKUP($J32,FM!$A:$J,5,FALSE))</f>
        <v>0</v>
      </c>
      <c r="E32" s="58">
        <f>-IF(ISNA(VLOOKUP($J32,FM!$A:$J,6,FALSE)),0,VLOOKUP($J32,FM!$A:$J,6,FALSE))</f>
        <v>0</v>
      </c>
      <c r="F32" s="58">
        <f>-IF(ISNA(VLOOKUP($J32,FM!$A:$J,7,FALSE)),0,VLOOKUP($J32,FM!$A:$J,7,FALSE))</f>
        <v>0</v>
      </c>
      <c r="G32" s="58">
        <f t="shared" si="7"/>
        <v>52511724.609999999</v>
      </c>
      <c r="H32" s="58">
        <f t="shared" si="7"/>
        <v>0</v>
      </c>
      <c r="I32" s="58">
        <f t="shared" si="6"/>
        <v>52511724.609999999</v>
      </c>
      <c r="J32" s="158" t="s">
        <v>446</v>
      </c>
    </row>
    <row r="33" spans="1:11" x14ac:dyDescent="0.3">
      <c r="A33" s="106" t="s">
        <v>399</v>
      </c>
      <c r="B33" s="58">
        <f>-IF(ISNA(VLOOKUP($J33,FM!$A:$J,3,FALSE)),0,VLOOKUP($J33,FM!$A:$J,3,FALSE))</f>
        <v>36229674.509999998</v>
      </c>
      <c r="C33" s="58">
        <f>-IF(ISNA(VLOOKUP($J33,FM!$A:$J,4,FALSE)),0,VLOOKUP($J33,FM!$A:$J,4,FALSE))</f>
        <v>0</v>
      </c>
      <c r="D33" s="58">
        <f>-IF(ISNA(VLOOKUP($J33,FM!$A:$J,5,FALSE)),0,VLOOKUP($J33,FM!$A:$J,5,FALSE))</f>
        <v>0</v>
      </c>
      <c r="E33" s="58">
        <f>-IF(ISNA(VLOOKUP($J33,FM!$A:$J,6,FALSE)),0,VLOOKUP($J33,FM!$A:$J,6,FALSE))</f>
        <v>0</v>
      </c>
      <c r="F33" s="58">
        <f>-IF(ISNA(VLOOKUP($J33,FM!$A:$J,7,FALSE)),0,VLOOKUP($J33,FM!$A:$J,7,FALSE))</f>
        <v>0</v>
      </c>
      <c r="G33" s="58">
        <f t="shared" si="7"/>
        <v>36229674.509999998</v>
      </c>
      <c r="H33" s="58">
        <f t="shared" si="7"/>
        <v>0</v>
      </c>
      <c r="I33" s="58">
        <f t="shared" si="6"/>
        <v>36229674.509999998</v>
      </c>
      <c r="J33" s="158" t="s">
        <v>444</v>
      </c>
    </row>
    <row r="34" spans="1:11" x14ac:dyDescent="0.3">
      <c r="A34" s="106" t="s">
        <v>57</v>
      </c>
      <c r="B34" s="58">
        <f>-IF(ISNA(VLOOKUP($J34,FM!$A:$J,3,FALSE)),0,VLOOKUP($J34,FM!$A:$J,3,FALSE))</f>
        <v>0</v>
      </c>
      <c r="C34" s="58">
        <f>-IF(ISNA(VLOOKUP($J34,FM!$A:$J,4,FALSE)),0,VLOOKUP($J34,FM!$A:$J,4,FALSE))</f>
        <v>-70.84</v>
      </c>
      <c r="D34" s="58">
        <f>-IF(ISNA(VLOOKUP($J34,FM!$A:$J,5,FALSE)),0,VLOOKUP($J34,FM!$A:$J,5,FALSE))</f>
        <v>0</v>
      </c>
      <c r="E34" s="58">
        <f>-IF(ISNA(VLOOKUP($J34,FM!$A:$J,6,FALSE)),0,VLOOKUP($J34,FM!$A:$J,6,FALSE))</f>
        <v>0</v>
      </c>
      <c r="F34" s="58">
        <f>-IF(ISNA(VLOOKUP($J34,FM!$A:$J,7,FALSE)),0,VLOOKUP($J34,FM!$A:$J,7,FALSE))</f>
        <v>0</v>
      </c>
      <c r="G34" s="58">
        <f t="shared" si="7"/>
        <v>0</v>
      </c>
      <c r="H34" s="58">
        <f t="shared" si="7"/>
        <v>-70.84</v>
      </c>
      <c r="I34" s="58">
        <f t="shared" si="6"/>
        <v>-70.84</v>
      </c>
      <c r="J34" s="158" t="s">
        <v>448</v>
      </c>
    </row>
    <row r="35" spans="1:11" x14ac:dyDescent="0.3">
      <c r="A35" s="106" t="s">
        <v>58</v>
      </c>
      <c r="B35" s="58">
        <f>-IF(ISNA(VLOOKUP($J35,FM!$A:$J,3,FALSE)),0,VLOOKUP($J35,FM!$A:$J,3,FALSE))</f>
        <v>0</v>
      </c>
      <c r="C35" s="58">
        <f>-IF(ISNA(VLOOKUP($J35,FM!$A:$J,4,FALSE)),0,VLOOKUP($J35,FM!$A:$J,4,FALSE))</f>
        <v>1984119.82</v>
      </c>
      <c r="D35" s="58">
        <f>-IF(ISNA(VLOOKUP($J35,FM!$A:$J,5,FALSE)),0,VLOOKUP($J35,FM!$A:$J,5,FALSE))</f>
        <v>0</v>
      </c>
      <c r="E35" s="58">
        <f>-IF(ISNA(VLOOKUP($J35,FM!$A:$J,6,FALSE)),0,VLOOKUP($J35,FM!$A:$J,6,FALSE))</f>
        <v>0</v>
      </c>
      <c r="F35" s="58">
        <f>-IF(ISNA(VLOOKUP($J35,FM!$A:$J,7,FALSE)),0,VLOOKUP($J35,FM!$A:$J,7,FALSE))</f>
        <v>0</v>
      </c>
      <c r="G35" s="58">
        <f t="shared" si="7"/>
        <v>0</v>
      </c>
      <c r="H35" s="58">
        <f t="shared" si="7"/>
        <v>1984119.82</v>
      </c>
      <c r="I35" s="58">
        <f t="shared" si="6"/>
        <v>1984119.82</v>
      </c>
      <c r="J35" s="158" t="s">
        <v>450</v>
      </c>
    </row>
    <row r="36" spans="1:11" x14ac:dyDescent="0.3">
      <c r="A36" s="106" t="s">
        <v>59</v>
      </c>
      <c r="B36" s="58">
        <f>-IF(ISNA(VLOOKUP($J36,FM!$A:$J,3,FALSE)),0,VLOOKUP($J36,FM!$A:$J,3,FALSE))</f>
        <v>0</v>
      </c>
      <c r="C36" s="58">
        <f>-IF(ISNA(VLOOKUP($J36,FM!$A:$J,4,FALSE)),0,VLOOKUP($J36,FM!$A:$J,4,FALSE))</f>
        <v>2397440.31</v>
      </c>
      <c r="D36" s="58">
        <f>-IF(ISNA(VLOOKUP($J36,FM!$A:$J,5,FALSE)),0,VLOOKUP($J36,FM!$A:$J,5,FALSE))</f>
        <v>0</v>
      </c>
      <c r="E36" s="58">
        <f>-IF(ISNA(VLOOKUP($J36,FM!$A:$J,6,FALSE)),0,VLOOKUP($J36,FM!$A:$J,6,FALSE))</f>
        <v>0</v>
      </c>
      <c r="F36" s="58">
        <f>-IF(ISNA(VLOOKUP($J36,FM!$A:$J,7,FALSE)),0,VLOOKUP($J36,FM!$A:$J,7,FALSE))</f>
        <v>0</v>
      </c>
      <c r="G36" s="58">
        <f t="shared" si="7"/>
        <v>0</v>
      </c>
      <c r="H36" s="58">
        <f t="shared" si="7"/>
        <v>2397440.31</v>
      </c>
      <c r="I36" s="58">
        <f t="shared" si="6"/>
        <v>2397440.31</v>
      </c>
      <c r="J36" s="158" t="s">
        <v>452</v>
      </c>
    </row>
    <row r="37" spans="1:11" x14ac:dyDescent="0.3">
      <c r="A37" s="106" t="s">
        <v>60</v>
      </c>
      <c r="B37" s="58">
        <f>-IF(ISNA(VLOOKUP($J37,FM!$A:$J,3,FALSE)),0,VLOOKUP($J37,FM!$A:$J,3,FALSE))</f>
        <v>0</v>
      </c>
      <c r="C37" s="58">
        <f>-IF(ISNA(VLOOKUP($J37,FM!$A:$J,4,FALSE)),0,VLOOKUP($J37,FM!$A:$J,4,FALSE))</f>
        <v>9832.14</v>
      </c>
      <c r="D37" s="58">
        <f>-IF(ISNA(VLOOKUP($J37,FM!$A:$J,5,FALSE)),0,VLOOKUP($J37,FM!$A:$J,5,FALSE))</f>
        <v>0</v>
      </c>
      <c r="E37" s="58">
        <f>-IF(ISNA(VLOOKUP($J37,FM!$A:$J,6,FALSE)),0,VLOOKUP($J37,FM!$A:$J,6,FALSE))</f>
        <v>0</v>
      </c>
      <c r="F37" s="58">
        <f>-IF(ISNA(VLOOKUP($J37,FM!$A:$J,7,FALSE)),0,VLOOKUP($J37,FM!$A:$J,7,FALSE))</f>
        <v>0</v>
      </c>
      <c r="G37" s="58">
        <f t="shared" si="7"/>
        <v>0</v>
      </c>
      <c r="H37" s="58">
        <f t="shared" si="7"/>
        <v>9832.14</v>
      </c>
      <c r="I37" s="58">
        <f t="shared" si="6"/>
        <v>9832.14</v>
      </c>
      <c r="J37" s="158" t="s">
        <v>454</v>
      </c>
    </row>
    <row r="38" spans="1:11" x14ac:dyDescent="0.3">
      <c r="A38" s="106" t="s">
        <v>61</v>
      </c>
      <c r="B38" s="58">
        <f>-IF(ISNA(VLOOKUP($J38,FM!$A:$J,3,FALSE)),0,VLOOKUP($J38,FM!$A:$J,3,FALSE))</f>
        <v>0</v>
      </c>
      <c r="C38" s="58">
        <f>-IF(ISNA(VLOOKUP($J38,FM!$A:$J,4,FALSE)),0,VLOOKUP($J38,FM!$A:$J,4,FALSE))</f>
        <v>-752736.88</v>
      </c>
      <c r="D38" s="58">
        <f>-IF(ISNA(VLOOKUP($J38,FM!$A:$J,5,FALSE)),0,VLOOKUP($J38,FM!$A:$J,5,FALSE))</f>
        <v>0</v>
      </c>
      <c r="E38" s="58">
        <f>-IF(ISNA(VLOOKUP($J38,FM!$A:$J,6,FALSE)),0,VLOOKUP($J38,FM!$A:$J,6,FALSE))</f>
        <v>0</v>
      </c>
      <c r="F38" s="58">
        <f>-IF(ISNA(VLOOKUP($J38,FM!$A:$J,7,FALSE)),0,VLOOKUP($J38,FM!$A:$J,7,FALSE))</f>
        <v>0</v>
      </c>
      <c r="G38" s="58">
        <f t="shared" si="7"/>
        <v>0</v>
      </c>
      <c r="H38" s="58">
        <f t="shared" si="7"/>
        <v>-752736.88</v>
      </c>
      <c r="I38" s="58">
        <f t="shared" si="6"/>
        <v>-752736.88</v>
      </c>
      <c r="J38" s="158" t="s">
        <v>456</v>
      </c>
    </row>
    <row r="39" spans="1:11" x14ac:dyDescent="0.3">
      <c r="A39" s="106" t="s">
        <v>897</v>
      </c>
      <c r="B39" s="159">
        <f>-IF(ISNA(VLOOKUP($J39,FM!$A:$J,3,FALSE)),0,VLOOKUP($J39,FM!$A:$J,3,FALSE))</f>
        <v>0</v>
      </c>
      <c r="C39" s="159">
        <f>-IF(ISNA(VLOOKUP($J39,FM!$A:$J,4,FALSE)),0,VLOOKUP($J39,FM!$A:$J,4,FALSE))</f>
        <v>0</v>
      </c>
      <c r="D39" s="159">
        <f>-IF(ISNA(VLOOKUP($J39,FM!$A:$J,5,FALSE)),0,VLOOKUP($J39,FM!$A:$J,5,FALSE))</f>
        <v>0</v>
      </c>
      <c r="E39" s="159">
        <f>-IF(ISNA(VLOOKUP($J39,FM!$A:$J,6,FALSE)),0,VLOOKUP($J39,FM!$A:$J,6,FALSE))</f>
        <v>0</v>
      </c>
      <c r="F39" s="159">
        <f>-IF(ISNA(VLOOKUP($J39,FM!$A:$J,7,FALSE)),0,VLOOKUP($J39,FM!$A:$J,7,FALSE))</f>
        <v>0</v>
      </c>
      <c r="G39" s="159">
        <f t="shared" si="7"/>
        <v>0</v>
      </c>
      <c r="H39" s="159">
        <f t="shared" si="7"/>
        <v>0</v>
      </c>
      <c r="I39" s="159">
        <f t="shared" si="6"/>
        <v>0</v>
      </c>
      <c r="J39" s="158" t="s">
        <v>842</v>
      </c>
    </row>
    <row r="40" spans="1:11" x14ac:dyDescent="0.3">
      <c r="A40" s="106" t="s">
        <v>62</v>
      </c>
      <c r="B40" s="58">
        <f t="shared" ref="B40:I40" si="8">SUM(B27:B39)</f>
        <v>122597205.63999999</v>
      </c>
      <c r="C40" s="58">
        <f t="shared" si="8"/>
        <v>3638584.55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122597205.63999999</v>
      </c>
      <c r="H40" s="58">
        <f t="shared" si="8"/>
        <v>3638584.55</v>
      </c>
      <c r="I40" s="58">
        <f t="shared" si="8"/>
        <v>126235790.18999998</v>
      </c>
      <c r="J40" s="160" t="s">
        <v>436</v>
      </c>
    </row>
    <row r="41" spans="1:11" x14ac:dyDescent="0.3">
      <c r="A41" s="105" t="s">
        <v>63</v>
      </c>
      <c r="B41" s="162">
        <f t="shared" ref="B41:I41" si="9">B18+B21+B25+B40</f>
        <v>3178485486.1900001</v>
      </c>
      <c r="C41" s="162">
        <f t="shared" si="9"/>
        <v>1209636227.7199998</v>
      </c>
      <c r="D41" s="162">
        <f t="shared" si="9"/>
        <v>0</v>
      </c>
      <c r="E41" s="162">
        <f t="shared" si="9"/>
        <v>0</v>
      </c>
      <c r="F41" s="162">
        <f t="shared" si="9"/>
        <v>0</v>
      </c>
      <c r="G41" s="162">
        <f t="shared" si="9"/>
        <v>3178485486.1900001</v>
      </c>
      <c r="H41" s="162">
        <f t="shared" si="9"/>
        <v>1209636227.7199998</v>
      </c>
      <c r="I41" s="162">
        <f t="shared" si="9"/>
        <v>4388121713.9099998</v>
      </c>
      <c r="J41" s="160" t="s">
        <v>410</v>
      </c>
    </row>
    <row r="42" spans="1:11" x14ac:dyDescent="0.3">
      <c r="A42" s="154"/>
      <c r="B42" s="156"/>
      <c r="C42" s="156"/>
      <c r="D42" s="156"/>
      <c r="E42" s="156"/>
      <c r="F42" s="156"/>
      <c r="G42" s="156"/>
      <c r="H42" s="156"/>
      <c r="I42" s="156"/>
    </row>
    <row r="43" spans="1:11" x14ac:dyDescent="0.3">
      <c r="A43" s="105" t="s">
        <v>64</v>
      </c>
      <c r="B43" s="156"/>
      <c r="C43" s="156"/>
      <c r="D43" s="156"/>
      <c r="E43" s="156"/>
      <c r="F43" s="156"/>
      <c r="G43" s="156"/>
      <c r="H43" s="156"/>
      <c r="I43" s="156"/>
      <c r="J43" s="105"/>
    </row>
    <row r="44" spans="1:11" x14ac:dyDescent="0.3">
      <c r="A44" s="57" t="s">
        <v>65</v>
      </c>
      <c r="B44" s="156"/>
      <c r="C44" s="156"/>
      <c r="D44" s="156"/>
      <c r="E44" s="156"/>
      <c r="F44" s="156"/>
      <c r="G44" s="156"/>
      <c r="H44" s="156"/>
      <c r="I44" s="156"/>
    </row>
    <row r="45" spans="1:11" x14ac:dyDescent="0.3">
      <c r="A45" s="106" t="s">
        <v>66</v>
      </c>
      <c r="B45" s="58">
        <f>IF(ISNA(VLOOKUP($J45,FM!$A:$J,3,FALSE)),0,VLOOKUP($J45,FM!$A:$J,3,FALSE))</f>
        <v>57889027.399999999</v>
      </c>
      <c r="C45" s="58">
        <f>IF(ISNA(VLOOKUP($J45,FM!$A:$J,4,FALSE)),0,VLOOKUP($J45,FM!$A:$J,4,FALSE))</f>
        <v>0</v>
      </c>
      <c r="D45" s="58">
        <f>IF(ISNA(VLOOKUP($J45,FM!$A:$J,5,FALSE)),0,VLOOKUP($J45,FM!$A:$J,5,FALSE))</f>
        <v>0</v>
      </c>
      <c r="E45" s="58">
        <f>IF(ISNA(VLOOKUP($J45,FM!$A:$J,6,FALSE)),0,VLOOKUP($J45,FM!$A:$J,6,FALSE))</f>
        <v>0</v>
      </c>
      <c r="F45" s="58">
        <f>IF(ISNA(VLOOKUP($J45,FM!$A:$J,7,FALSE)),0,VLOOKUP($J45,FM!$A:$J,7,FALSE))</f>
        <v>0</v>
      </c>
      <c r="G45" s="58">
        <f>B45+E45</f>
        <v>57889027.399999999</v>
      </c>
      <c r="H45" s="58">
        <f>C45+F45</f>
        <v>0</v>
      </c>
      <c r="I45" s="58">
        <f t="shared" ref="I45:I46" si="10">SUM(G45:H45)</f>
        <v>57889027.399999999</v>
      </c>
      <c r="J45" s="163" t="s">
        <v>463</v>
      </c>
    </row>
    <row r="46" spans="1:11" x14ac:dyDescent="0.3">
      <c r="A46" s="106" t="s">
        <v>67</v>
      </c>
      <c r="B46" s="159">
        <f>IF(ISNA(VLOOKUP($J46,FM!$A:$J,3,FALSE)),0,VLOOKUP($J46,FM!$A:$J,3,FALSE))</f>
        <v>290270275.63999999</v>
      </c>
      <c r="C46" s="159">
        <f>IF(ISNA(VLOOKUP($J46,FM!$A:$J,4,FALSE)),0,VLOOKUP($J46,FM!$A:$J,4,FALSE))</f>
        <v>0</v>
      </c>
      <c r="D46" s="159">
        <f>IF(ISNA(VLOOKUP($J46,FM!$A:$J,5,FALSE)),0,VLOOKUP($J46,FM!$A:$J,5,FALSE))</f>
        <v>0</v>
      </c>
      <c r="E46" s="159">
        <f>IF(ISNA(VLOOKUP($J46,FM!$A:$J,6,FALSE)),0,VLOOKUP($J46,FM!$A:$J,6,FALSE))</f>
        <v>0</v>
      </c>
      <c r="F46" s="159">
        <f>IF(ISNA(VLOOKUP($J46,FM!$A:$J,7,FALSE)),0,VLOOKUP($J46,FM!$A:$J,7,FALSE))</f>
        <v>0</v>
      </c>
      <c r="G46" s="159">
        <f>B46+E46</f>
        <v>290270275.63999999</v>
      </c>
      <c r="H46" s="159">
        <f>C46+F46</f>
        <v>0</v>
      </c>
      <c r="I46" s="159">
        <f t="shared" si="10"/>
        <v>290270275.63999999</v>
      </c>
      <c r="J46" s="163" t="s">
        <v>465</v>
      </c>
      <c r="K46" s="2"/>
    </row>
    <row r="47" spans="1:11" x14ac:dyDescent="0.3">
      <c r="A47" s="106" t="s">
        <v>68</v>
      </c>
      <c r="B47" s="58">
        <f>SUM(B45:B46)</f>
        <v>348159303.03999996</v>
      </c>
      <c r="C47" s="58">
        <f t="shared" ref="C47:I47" si="11">SUM(C45:C46)</f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348159303.03999996</v>
      </c>
      <c r="H47" s="58">
        <f t="shared" si="11"/>
        <v>0</v>
      </c>
      <c r="I47" s="58">
        <f t="shared" si="11"/>
        <v>348159303.03999996</v>
      </c>
      <c r="J47" s="160" t="s">
        <v>461</v>
      </c>
    </row>
    <row r="48" spans="1:11" x14ac:dyDescent="0.3">
      <c r="A48" s="57" t="s">
        <v>69</v>
      </c>
      <c r="B48" s="156"/>
      <c r="C48" s="156"/>
      <c r="D48" s="156"/>
      <c r="E48" s="156"/>
      <c r="F48" s="156"/>
      <c r="G48" s="156"/>
      <c r="H48" s="156"/>
      <c r="I48" s="156"/>
    </row>
    <row r="49" spans="1:12" x14ac:dyDescent="0.3">
      <c r="A49" s="106" t="s">
        <v>70</v>
      </c>
      <c r="B49" s="58">
        <f>IF(ISNA(VLOOKUP($J49,FM!$A:$J,3,FALSE)),0,VLOOKUP($J49,FM!$A:$J,3,FALSE))</f>
        <v>1120722592.8800001</v>
      </c>
      <c r="C49" s="58">
        <f>IF(ISNA(VLOOKUP($J49,FM!$A:$J,4,FALSE)),0,VLOOKUP($J49,FM!$A:$J,4,FALSE))</f>
        <v>0</v>
      </c>
      <c r="D49" s="58">
        <f>IF(ISNA(VLOOKUP($J49,FM!$A:$J,5,FALSE)),0,VLOOKUP($J49,FM!$A:$J,5,FALSE))</f>
        <v>0</v>
      </c>
      <c r="E49" s="58">
        <f>IF(ISNA(VLOOKUP($J49,FM!$A:$J,6,FALSE)),0,VLOOKUP($J49,FM!$A:$J,6,FALSE))</f>
        <v>0</v>
      </c>
      <c r="F49" s="58">
        <f>IF(ISNA(VLOOKUP($J49,FM!$A:$J,7,FALSE)),0,VLOOKUP($J49,FM!$A:$J,7,FALSE))</f>
        <v>0</v>
      </c>
      <c r="G49" s="58">
        <f t="shared" ref="G49:H55" si="12">B49+E49</f>
        <v>1120722592.8800001</v>
      </c>
      <c r="H49" s="58">
        <f t="shared" si="12"/>
        <v>0</v>
      </c>
      <c r="I49" s="58">
        <f t="shared" ref="I49:I55" si="13">SUM(G49:H49)</f>
        <v>1120722592.8800001</v>
      </c>
      <c r="J49" s="163" t="s">
        <v>469</v>
      </c>
    </row>
    <row r="50" spans="1:12" x14ac:dyDescent="0.3">
      <c r="A50" s="106" t="s">
        <v>71</v>
      </c>
      <c r="B50" s="58">
        <f>IF(ISNA(VLOOKUP($J50,FM!$A:$J,3,FALSE)),0,VLOOKUP($J50,FM!$A:$J,3,FALSE))</f>
        <v>-11850062.470000001</v>
      </c>
      <c r="C50" s="58">
        <f>IF(ISNA(VLOOKUP($J50,FM!$A:$J,4,FALSE)),0,VLOOKUP($J50,FM!$A:$J,4,FALSE))</f>
        <v>0</v>
      </c>
      <c r="D50" s="58">
        <f>IF(ISNA(VLOOKUP($J50,FM!$A:$J,5,FALSE)),0,VLOOKUP($J50,FM!$A:$J,5,FALSE))</f>
        <v>0</v>
      </c>
      <c r="E50" s="58">
        <f>IF(ISNA(VLOOKUP($J50,FM!$A:$J,6,FALSE)),0,VLOOKUP($J50,FM!$A:$J,6,FALSE))</f>
        <v>0</v>
      </c>
      <c r="F50" s="58">
        <f>IF(ISNA(VLOOKUP($J50,FM!$A:$J,7,FALSE)),0,VLOOKUP($J50,FM!$A:$J,7,FALSE))</f>
        <v>0</v>
      </c>
      <c r="G50" s="58">
        <f t="shared" si="12"/>
        <v>-11850062.470000001</v>
      </c>
      <c r="H50" s="58">
        <f t="shared" si="12"/>
        <v>0</v>
      </c>
      <c r="I50" s="58">
        <f t="shared" si="13"/>
        <v>-11850062.470000001</v>
      </c>
      <c r="J50" s="163" t="s">
        <v>471</v>
      </c>
    </row>
    <row r="51" spans="1:12" x14ac:dyDescent="0.3">
      <c r="A51" s="106" t="s">
        <v>72</v>
      </c>
      <c r="B51" s="58">
        <f>IF(ISNA(VLOOKUP($J51,FM!$A:$J,3,FALSE)),0,VLOOKUP($J51,FM!$A:$J,3,FALSE))</f>
        <v>0</v>
      </c>
      <c r="C51" s="58">
        <f>IF(ISNA(VLOOKUP($J51,FM!$A:$J,4,FALSE)),0,VLOOKUP($J51,FM!$A:$J,4,FALSE))</f>
        <v>488213853.85000002</v>
      </c>
      <c r="D51" s="58">
        <f>IF(ISNA(VLOOKUP($J51,FM!$A:$J,5,FALSE)),0,VLOOKUP($J51,FM!$A:$J,5,FALSE))</f>
        <v>0</v>
      </c>
      <c r="E51" s="58">
        <f>IF(ISNA(VLOOKUP($J51,FM!$A:$J,6,FALSE)),0,VLOOKUP($J51,FM!$A:$J,6,FALSE))</f>
        <v>0</v>
      </c>
      <c r="F51" s="58">
        <f>IF(ISNA(VLOOKUP($J51,FM!$A:$J,7,FALSE)),0,VLOOKUP($J51,FM!$A:$J,7,FALSE))</f>
        <v>0</v>
      </c>
      <c r="G51" s="58">
        <f t="shared" si="12"/>
        <v>0</v>
      </c>
      <c r="H51" s="58">
        <f t="shared" si="12"/>
        <v>488213853.85000002</v>
      </c>
      <c r="I51" s="58">
        <f t="shared" si="13"/>
        <v>488213853.85000002</v>
      </c>
      <c r="J51" s="163" t="s">
        <v>473</v>
      </c>
    </row>
    <row r="52" spans="1:12" x14ac:dyDescent="0.3">
      <c r="A52" s="106" t="s">
        <v>73</v>
      </c>
      <c r="B52" s="58">
        <f>IF(ISNA(VLOOKUP($J52,FM!$A:$J,3,FALSE)),0,VLOOKUP($J52,FM!$A:$J,3,FALSE))</f>
        <v>0</v>
      </c>
      <c r="C52" s="58">
        <f>IF(ISNA(VLOOKUP($J52,FM!$A:$J,4,FALSE)),0,VLOOKUP($J52,FM!$A:$J,4,FALSE))</f>
        <v>1315000</v>
      </c>
      <c r="D52" s="58">
        <f>IF(ISNA(VLOOKUP($J52,FM!$A:$J,5,FALSE)),0,VLOOKUP($J52,FM!$A:$J,5,FALSE))</f>
        <v>0</v>
      </c>
      <c r="E52" s="58">
        <f>IF(ISNA(VLOOKUP($J52,FM!$A:$J,6,FALSE)),0,VLOOKUP($J52,FM!$A:$J,6,FALSE))</f>
        <v>0</v>
      </c>
      <c r="F52" s="58">
        <f>IF(ISNA(VLOOKUP($J52,FM!$A:$J,7,FALSE)),0,VLOOKUP($J52,FM!$A:$J,7,FALSE))</f>
        <v>0</v>
      </c>
      <c r="G52" s="58">
        <f t="shared" si="12"/>
        <v>0</v>
      </c>
      <c r="H52" s="58">
        <f t="shared" si="12"/>
        <v>1315000</v>
      </c>
      <c r="I52" s="58">
        <f t="shared" si="13"/>
        <v>1315000</v>
      </c>
      <c r="J52" s="163" t="s">
        <v>475</v>
      </c>
    </row>
    <row r="53" spans="1:12" x14ac:dyDescent="0.3">
      <c r="A53" s="106" t="s">
        <v>74</v>
      </c>
      <c r="B53" s="58">
        <f>IF(ISNA(VLOOKUP($J53,FM!$A:$J,3,FALSE)),0,VLOOKUP($J53,FM!$A:$J,3,FALSE))</f>
        <v>0</v>
      </c>
      <c r="C53" s="58">
        <f>IF(ISNA(VLOOKUP($J53,FM!$A:$J,4,FALSE)),0,VLOOKUP($J53,FM!$A:$J,4,FALSE))</f>
        <v>39037247.270000003</v>
      </c>
      <c r="D53" s="58">
        <f>IF(ISNA(VLOOKUP($J53,FM!$A:$J,5,FALSE)),0,VLOOKUP($J53,FM!$A:$J,5,FALSE))</f>
        <v>0</v>
      </c>
      <c r="E53" s="58">
        <f>IF(ISNA(VLOOKUP($J53,FM!$A:$J,6,FALSE)),0,VLOOKUP($J53,FM!$A:$J,6,FALSE))</f>
        <v>0</v>
      </c>
      <c r="F53" s="58">
        <f>IF(ISNA(VLOOKUP($J53,FM!$A:$J,7,FALSE)),0,VLOOKUP($J53,FM!$A:$J,7,FALSE))</f>
        <v>0</v>
      </c>
      <c r="G53" s="58">
        <f t="shared" si="12"/>
        <v>0</v>
      </c>
      <c r="H53" s="58">
        <f t="shared" si="12"/>
        <v>39037247.270000003</v>
      </c>
      <c r="I53" s="58">
        <f t="shared" si="13"/>
        <v>39037247.270000003</v>
      </c>
      <c r="J53" s="163" t="s">
        <v>477</v>
      </c>
    </row>
    <row r="54" spans="1:12" x14ac:dyDescent="0.3">
      <c r="A54" s="106" t="s">
        <v>75</v>
      </c>
      <c r="B54" s="58">
        <f>IF(ISNA(VLOOKUP($J54,FM!$A:$J,3,FALSE)),0,VLOOKUP($J54,FM!$A:$J,3,FALSE))</f>
        <v>0</v>
      </c>
      <c r="C54" s="58">
        <f>IF(ISNA(VLOOKUP($J54,FM!$A:$J,4,FALSE)),0,VLOOKUP($J54,FM!$A:$J,4,FALSE))</f>
        <v>65884347.799999997</v>
      </c>
      <c r="D54" s="58">
        <f>IF(ISNA(VLOOKUP($J54,FM!$A:$J,5,FALSE)),0,VLOOKUP($J54,FM!$A:$J,5,FALSE))</f>
        <v>0</v>
      </c>
      <c r="E54" s="58">
        <f>IF(ISNA(VLOOKUP($J54,FM!$A:$J,6,FALSE)),0,VLOOKUP($J54,FM!$A:$J,6,FALSE))</f>
        <v>0</v>
      </c>
      <c r="F54" s="58">
        <f>IF(ISNA(VLOOKUP($J54,FM!$A:$J,7,FALSE)),0,VLOOKUP($J54,FM!$A:$J,7,FALSE))</f>
        <v>0</v>
      </c>
      <c r="G54" s="58">
        <f t="shared" si="12"/>
        <v>0</v>
      </c>
      <c r="H54" s="58">
        <f t="shared" si="12"/>
        <v>65884347.799999997</v>
      </c>
      <c r="I54" s="58">
        <f t="shared" si="13"/>
        <v>65884347.799999997</v>
      </c>
      <c r="J54" s="163" t="s">
        <v>479</v>
      </c>
    </row>
    <row r="55" spans="1:12" x14ac:dyDescent="0.3">
      <c r="A55" s="106" t="s">
        <v>76</v>
      </c>
      <c r="B55" s="159">
        <f>IF(ISNA(VLOOKUP($J55,FM!$A:$J,3,FALSE)),0,VLOOKUP($J55,FM!$A:$J,3,FALSE))</f>
        <v>0</v>
      </c>
      <c r="C55" s="159">
        <f>IF(ISNA(VLOOKUP($J55,FM!$A:$J,4,FALSE)),0,VLOOKUP($J55,FM!$A:$J,4,FALSE))</f>
        <v>-93601738.549999997</v>
      </c>
      <c r="D55" s="159">
        <f>IF(ISNA(VLOOKUP($J55,FM!$A:$J,5,FALSE)),0,VLOOKUP($J55,FM!$A:$J,5,FALSE))</f>
        <v>0</v>
      </c>
      <c r="E55" s="159">
        <f>IF(ISNA(VLOOKUP($J55,FM!$A:$J,6,FALSE)),0,VLOOKUP($J55,FM!$A:$J,6,FALSE))</f>
        <v>0</v>
      </c>
      <c r="F55" s="159">
        <f>IF(ISNA(VLOOKUP($J55,FM!$A:$J,7,FALSE)),0,VLOOKUP($J55,FM!$A:$J,7,FALSE))</f>
        <v>0</v>
      </c>
      <c r="G55" s="159">
        <f t="shared" si="12"/>
        <v>0</v>
      </c>
      <c r="H55" s="159">
        <f t="shared" si="12"/>
        <v>-93601738.549999997</v>
      </c>
      <c r="I55" s="159">
        <f t="shared" si="13"/>
        <v>-93601738.549999997</v>
      </c>
      <c r="J55" s="163" t="s">
        <v>481</v>
      </c>
      <c r="K55" s="164"/>
    </row>
    <row r="56" spans="1:12" x14ac:dyDescent="0.3">
      <c r="A56" s="106" t="s">
        <v>77</v>
      </c>
      <c r="B56" s="58">
        <f>SUM(B49:B55)</f>
        <v>1108872530.4100001</v>
      </c>
      <c r="C56" s="58">
        <f t="shared" ref="C56:I56" si="14">SUM(C49:C55)</f>
        <v>500848710.36999995</v>
      </c>
      <c r="D56" s="58">
        <f t="shared" si="14"/>
        <v>0</v>
      </c>
      <c r="E56" s="58">
        <f t="shared" si="14"/>
        <v>0</v>
      </c>
      <c r="F56" s="58">
        <f t="shared" si="14"/>
        <v>0</v>
      </c>
      <c r="G56" s="58">
        <f>SUM(G49:G55)</f>
        <v>1108872530.4100001</v>
      </c>
      <c r="H56" s="58">
        <f t="shared" si="14"/>
        <v>500848710.36999995</v>
      </c>
      <c r="I56" s="58">
        <f t="shared" si="14"/>
        <v>1609721240.7800002</v>
      </c>
      <c r="J56" s="160" t="s">
        <v>467</v>
      </c>
      <c r="K56" s="164"/>
    </row>
    <row r="57" spans="1:12" x14ac:dyDescent="0.3">
      <c r="A57" s="57" t="s">
        <v>78</v>
      </c>
      <c r="B57" s="156"/>
      <c r="C57" s="156"/>
      <c r="D57" s="156"/>
      <c r="E57" s="156"/>
      <c r="F57" s="156"/>
      <c r="G57" s="156"/>
      <c r="H57" s="156"/>
      <c r="I57" s="156"/>
      <c r="J57" s="57"/>
    </row>
    <row r="58" spans="1:12" x14ac:dyDescent="0.3">
      <c r="A58" s="106" t="s">
        <v>79</v>
      </c>
      <c r="B58" s="159">
        <f>IF(ISNA(VLOOKUP($J58,FM!$A:$J,3,FALSE)),0,VLOOKUP($J58,FM!$A:$J,3,FALSE))</f>
        <v>144916421.78999999</v>
      </c>
      <c r="C58" s="159">
        <f>IF(ISNA(VLOOKUP($J58,FM!$A:$J,4,FALSE)),0,VLOOKUP($J58,FM!$A:$J,4,FALSE))</f>
        <v>0</v>
      </c>
      <c r="D58" s="159">
        <f>IF(ISNA(VLOOKUP($J58,FM!$A:$J,5,FALSE)),0,VLOOKUP($J58,FM!$A:$J,5,FALSE))</f>
        <v>0</v>
      </c>
      <c r="E58" s="159">
        <f>IF(ISNA(VLOOKUP($J58,FM!$A:$J,6,FALSE)),0,VLOOKUP($J58,FM!$A:$J,6,FALSE))</f>
        <v>0</v>
      </c>
      <c r="F58" s="159">
        <f>IF(ISNA(VLOOKUP($J58,FM!$A:$J,7,FALSE)),0,VLOOKUP($J58,FM!$A:$J,7,FALSE))</f>
        <v>0</v>
      </c>
      <c r="G58" s="159">
        <f>B58+E58</f>
        <v>144916421.78999999</v>
      </c>
      <c r="H58" s="159">
        <f>C58+F58</f>
        <v>0</v>
      </c>
      <c r="I58" s="159">
        <f t="shared" ref="I58" si="15">SUM(G58:H58)</f>
        <v>144916421.78999999</v>
      </c>
      <c r="J58" s="163" t="s">
        <v>485</v>
      </c>
    </row>
    <row r="59" spans="1:12" x14ac:dyDescent="0.3">
      <c r="A59" s="106" t="s">
        <v>80</v>
      </c>
      <c r="B59" s="58">
        <f>SUM(B58)</f>
        <v>144916421.78999999</v>
      </c>
      <c r="C59" s="58">
        <f t="shared" ref="C59:I59" si="16">SUM(C58)</f>
        <v>0</v>
      </c>
      <c r="D59" s="58">
        <f t="shared" si="16"/>
        <v>0</v>
      </c>
      <c r="E59" s="58">
        <f t="shared" si="16"/>
        <v>0</v>
      </c>
      <c r="F59" s="58">
        <f t="shared" si="16"/>
        <v>0</v>
      </c>
      <c r="G59" s="58">
        <f t="shared" si="16"/>
        <v>144916421.78999999</v>
      </c>
      <c r="H59" s="58">
        <f t="shared" si="16"/>
        <v>0</v>
      </c>
      <c r="I59" s="58">
        <f t="shared" si="16"/>
        <v>144916421.78999999</v>
      </c>
      <c r="J59" s="160" t="s">
        <v>483</v>
      </c>
    </row>
    <row r="60" spans="1:12" x14ac:dyDescent="0.3">
      <c r="A60" s="57" t="s">
        <v>81</v>
      </c>
      <c r="B60" s="156"/>
      <c r="C60" s="156"/>
      <c r="D60" s="156"/>
      <c r="E60" s="156"/>
      <c r="F60" s="156"/>
      <c r="G60" s="156"/>
      <c r="H60" s="156"/>
      <c r="I60" s="156"/>
      <c r="J60" s="57"/>
    </row>
    <row r="61" spans="1:12" x14ac:dyDescent="0.3">
      <c r="A61" s="106" t="s">
        <v>82</v>
      </c>
      <c r="B61" s="159">
        <f>IF(ISNA(VLOOKUP($J61,FM!$A:$J,3,FALSE)),0,VLOOKUP($J61,FM!$A:$J,3,FALSE))</f>
        <v>-77714735.219999999</v>
      </c>
      <c r="C61" s="159">
        <f>IF(ISNA(VLOOKUP($J61,FM!$A:$J,4,FALSE)),0,VLOOKUP($J61,FM!$A:$J,4,FALSE))</f>
        <v>0</v>
      </c>
      <c r="D61" s="159">
        <f>IF(ISNA(VLOOKUP($J61,FM!$A:$J,5,FALSE)),0,VLOOKUP($J61,FM!$A:$J,5,FALSE))</f>
        <v>0</v>
      </c>
      <c r="E61" s="159">
        <f>IF(ISNA(VLOOKUP($J61,FM!$A:$J,6,FALSE)),0,VLOOKUP($J61,FM!$A:$J,6,FALSE))</f>
        <v>0</v>
      </c>
      <c r="F61" s="159">
        <f>IF(ISNA(VLOOKUP($J61,FM!$A:$J,7,FALSE)),0,VLOOKUP($J61,FM!$A:$J,7,FALSE))</f>
        <v>0</v>
      </c>
      <c r="G61" s="159">
        <f>B61+E61</f>
        <v>-77714735.219999999</v>
      </c>
      <c r="H61" s="159">
        <f>C61+F61</f>
        <v>0</v>
      </c>
      <c r="I61" s="159">
        <f t="shared" ref="I61" si="17">SUM(G61:H61)</f>
        <v>-77714735.219999999</v>
      </c>
      <c r="J61" s="163" t="s">
        <v>489</v>
      </c>
    </row>
    <row r="62" spans="1:12" x14ac:dyDescent="0.3">
      <c r="A62" s="106" t="s">
        <v>83</v>
      </c>
      <c r="B62" s="58">
        <f>SUM(B61)</f>
        <v>-77714735.219999999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-77714735.219999999</v>
      </c>
      <c r="H62" s="58">
        <f t="shared" si="18"/>
        <v>0</v>
      </c>
      <c r="I62" s="58">
        <f t="shared" si="18"/>
        <v>-77714735.219999999</v>
      </c>
      <c r="J62" s="160" t="s">
        <v>487</v>
      </c>
    </row>
    <row r="63" spans="1:12" x14ac:dyDescent="0.3">
      <c r="A63" s="105" t="s">
        <v>84</v>
      </c>
      <c r="B63" s="165">
        <f>B47+B56+B59+B62</f>
        <v>1524233520.02</v>
      </c>
      <c r="C63" s="165">
        <f t="shared" ref="C63:I63" si="19">C47+C56+C59+C62</f>
        <v>500848710.36999995</v>
      </c>
      <c r="D63" s="165">
        <f t="shared" si="19"/>
        <v>0</v>
      </c>
      <c r="E63" s="136">
        <f t="shared" si="19"/>
        <v>0</v>
      </c>
      <c r="F63" s="136">
        <f t="shared" si="19"/>
        <v>0</v>
      </c>
      <c r="G63" s="165">
        <f t="shared" si="19"/>
        <v>1524233520.02</v>
      </c>
      <c r="H63" s="165">
        <f t="shared" si="19"/>
        <v>500848710.36999995</v>
      </c>
      <c r="I63" s="165">
        <f t="shared" si="19"/>
        <v>2025082230.3900001</v>
      </c>
      <c r="J63" s="160" t="s">
        <v>459</v>
      </c>
      <c r="L63" s="164"/>
    </row>
    <row r="64" spans="1:12" x14ac:dyDescent="0.3">
      <c r="A64" s="154"/>
      <c r="B64" s="159"/>
      <c r="C64" s="159"/>
      <c r="D64" s="159"/>
      <c r="E64" s="159"/>
      <c r="F64" s="159"/>
      <c r="G64" s="159"/>
      <c r="H64" s="159"/>
      <c r="I64" s="159"/>
      <c r="J64" s="105"/>
    </row>
    <row r="65" spans="1:10" ht="15" thickBot="1" x14ac:dyDescent="0.35">
      <c r="A65" s="105" t="s">
        <v>85</v>
      </c>
      <c r="B65" s="166">
        <f>B41-B63</f>
        <v>1654251966.1700001</v>
      </c>
      <c r="C65" s="166">
        <f t="shared" ref="C65:I65" si="20">C41-C63</f>
        <v>708787517.3499999</v>
      </c>
      <c r="D65" s="166">
        <f t="shared" si="20"/>
        <v>0</v>
      </c>
      <c r="E65" s="166">
        <f t="shared" si="20"/>
        <v>0</v>
      </c>
      <c r="F65" s="166">
        <f t="shared" si="20"/>
        <v>0</v>
      </c>
      <c r="G65" s="166">
        <f t="shared" si="20"/>
        <v>1654251966.1700001</v>
      </c>
      <c r="H65" s="166">
        <f t="shared" si="20"/>
        <v>708787517.3499999</v>
      </c>
      <c r="I65" s="166">
        <f t="shared" si="20"/>
        <v>2363039483.5199995</v>
      </c>
      <c r="J65" s="106"/>
    </row>
    <row r="66" spans="1:10" ht="15" thickTop="1" x14ac:dyDescent="0.3">
      <c r="A66" s="154"/>
      <c r="B66" s="156"/>
      <c r="C66" s="156"/>
      <c r="D66" s="156"/>
      <c r="E66" s="156"/>
      <c r="F66" s="156"/>
      <c r="G66" s="156"/>
      <c r="H66" s="156"/>
      <c r="I66" s="156"/>
      <c r="J66" s="105"/>
    </row>
    <row r="67" spans="1:10" x14ac:dyDescent="0.3">
      <c r="A67" s="105" t="s">
        <v>86</v>
      </c>
      <c r="B67" s="156"/>
      <c r="C67" s="156"/>
      <c r="D67" s="156"/>
      <c r="E67" s="156"/>
      <c r="F67" s="156"/>
      <c r="G67" s="156"/>
      <c r="H67" s="156"/>
      <c r="I67" s="156"/>
      <c r="J67" s="106"/>
    </row>
    <row r="68" spans="1:10" x14ac:dyDescent="0.3">
      <c r="A68" s="106" t="s">
        <v>87</v>
      </c>
      <c r="B68" s="156"/>
      <c r="C68" s="156"/>
      <c r="D68" s="156"/>
      <c r="E68" s="156"/>
      <c r="F68" s="156"/>
      <c r="G68" s="156"/>
      <c r="H68" s="156"/>
      <c r="I68" s="156"/>
      <c r="J68" s="57"/>
    </row>
    <row r="69" spans="1:10" x14ac:dyDescent="0.3">
      <c r="A69" s="57" t="s">
        <v>88</v>
      </c>
      <c r="B69" s="156"/>
      <c r="C69" s="156"/>
      <c r="D69" s="156"/>
      <c r="E69" s="156"/>
      <c r="F69" s="156"/>
      <c r="G69" s="156"/>
      <c r="H69" s="156"/>
      <c r="I69" s="156"/>
    </row>
    <row r="70" spans="1:10" x14ac:dyDescent="0.3">
      <c r="A70" s="106" t="s">
        <v>89</v>
      </c>
      <c r="B70" s="58">
        <f>IF(ISNA(VLOOKUP($J70,FM!$A:$J,3,FALSE)),0,VLOOKUP($J70,FM!$A:$J,3,FALSE))</f>
        <v>1386767.46</v>
      </c>
      <c r="C70" s="58">
        <f>IF(ISNA(VLOOKUP($J70,FM!$A:$J,4,FALSE)),0,VLOOKUP($J70,FM!$A:$J,4,FALSE))</f>
        <v>0</v>
      </c>
      <c r="D70" s="58">
        <f>IF(ISNA(VLOOKUP($J70,FM!$A:$J,5,FALSE)),0,VLOOKUP($J70,FM!$A:$J,5,FALSE))</f>
        <v>0</v>
      </c>
      <c r="E70" s="58">
        <f>IF(ISNA(VLOOKUP($J70,FM!$A:$J,6,FALSE)),0,VLOOKUP($J70,FM!$A:$J,6,FALSE))</f>
        <v>0</v>
      </c>
      <c r="F70" s="58">
        <f>IF(ISNA(VLOOKUP($J70,FM!$A:$J,7,FALSE)),0,VLOOKUP($J70,FM!$A:$J,7,FALSE))</f>
        <v>0</v>
      </c>
      <c r="G70" s="58">
        <f t="shared" ref="G70:H132" si="21">B70+E70</f>
        <v>1386767.46</v>
      </c>
      <c r="H70" s="58">
        <f t="shared" si="21"/>
        <v>0</v>
      </c>
      <c r="I70" s="58">
        <f t="shared" ref="I70:I136" si="22">SUM(G70:H70)</f>
        <v>1386767.46</v>
      </c>
      <c r="J70" s="163" t="s">
        <v>495</v>
      </c>
    </row>
    <row r="71" spans="1:10" x14ac:dyDescent="0.3">
      <c r="A71" s="106" t="s">
        <v>90</v>
      </c>
      <c r="B71" s="58">
        <f>IF(ISNA(VLOOKUP($J71,FM!$A:$J,3,FALSE)),0,VLOOKUP($J71,FM!$A:$J,3,FALSE))</f>
        <v>6461529.5800000001</v>
      </c>
      <c r="C71" s="58">
        <f>IF(ISNA(VLOOKUP($J71,FM!$A:$J,4,FALSE)),0,VLOOKUP($J71,FM!$A:$J,4,FALSE))</f>
        <v>0</v>
      </c>
      <c r="D71" s="58">
        <f>IF(ISNA(VLOOKUP($J71,FM!$A:$J,5,FALSE)),0,VLOOKUP($J71,FM!$A:$J,5,FALSE))</f>
        <v>0</v>
      </c>
      <c r="E71" s="58">
        <f>IF(ISNA(VLOOKUP($J71,FM!$A:$J,6,FALSE)),0,VLOOKUP($J71,FM!$A:$J,6,FALSE))</f>
        <v>0</v>
      </c>
      <c r="F71" s="58">
        <f>IF(ISNA(VLOOKUP($J71,FM!$A:$J,7,FALSE)),0,VLOOKUP($J71,FM!$A:$J,7,FALSE))</f>
        <v>0</v>
      </c>
      <c r="G71" s="58">
        <f t="shared" si="21"/>
        <v>6461529.5800000001</v>
      </c>
      <c r="H71" s="58">
        <f t="shared" si="21"/>
        <v>0</v>
      </c>
      <c r="I71" s="58">
        <f t="shared" si="22"/>
        <v>6461529.5800000001</v>
      </c>
      <c r="J71" s="163" t="s">
        <v>497</v>
      </c>
    </row>
    <row r="72" spans="1:10" x14ac:dyDescent="0.3">
      <c r="A72" s="106" t="s">
        <v>91</v>
      </c>
      <c r="B72" s="58">
        <f>IF(ISNA(VLOOKUP($J72,FM!$A:$J,3,FALSE)),0,VLOOKUP($J72,FM!$A:$J,3,FALSE))</f>
        <v>1850235.17</v>
      </c>
      <c r="C72" s="58">
        <f>IF(ISNA(VLOOKUP($J72,FM!$A:$J,4,FALSE)),0,VLOOKUP($J72,FM!$A:$J,4,FALSE))</f>
        <v>0</v>
      </c>
      <c r="D72" s="58">
        <f>IF(ISNA(VLOOKUP($J72,FM!$A:$J,5,FALSE)),0,VLOOKUP($J72,FM!$A:$J,5,FALSE))</f>
        <v>0</v>
      </c>
      <c r="E72" s="58">
        <f>IF(ISNA(VLOOKUP($J72,FM!$A:$J,6,FALSE)),0,VLOOKUP($J72,FM!$A:$J,6,FALSE))</f>
        <v>0</v>
      </c>
      <c r="F72" s="58">
        <f>IF(ISNA(VLOOKUP($J72,FM!$A:$J,7,FALSE)),0,VLOOKUP($J72,FM!$A:$J,7,FALSE))</f>
        <v>0</v>
      </c>
      <c r="G72" s="58">
        <f t="shared" si="21"/>
        <v>1850235.17</v>
      </c>
      <c r="H72" s="58">
        <f t="shared" si="21"/>
        <v>0</v>
      </c>
      <c r="I72" s="58">
        <f t="shared" si="22"/>
        <v>1850235.17</v>
      </c>
      <c r="J72" s="163" t="s">
        <v>499</v>
      </c>
    </row>
    <row r="73" spans="1:10" x14ac:dyDescent="0.3">
      <c r="A73" s="106" t="s">
        <v>92</v>
      </c>
      <c r="B73" s="58">
        <f>IF(ISNA(VLOOKUP($J73,FM!$A:$J,3,FALSE)),0,VLOOKUP($J73,FM!$A:$J,3,FALSE))</f>
        <v>9838218.3900000006</v>
      </c>
      <c r="C73" s="58">
        <f>IF(ISNA(VLOOKUP($J73,FM!$A:$J,4,FALSE)),0,VLOOKUP($J73,FM!$A:$J,4,FALSE))</f>
        <v>0</v>
      </c>
      <c r="D73" s="58">
        <f>IF(ISNA(VLOOKUP($J73,FM!$A:$J,5,FALSE)),0,VLOOKUP($J73,FM!$A:$J,5,FALSE))</f>
        <v>0</v>
      </c>
      <c r="E73" s="58">
        <f>IF(ISNA(VLOOKUP($J73,FM!$A:$J,6,FALSE)),0,VLOOKUP($J73,FM!$A:$J,6,FALSE))</f>
        <v>0</v>
      </c>
      <c r="F73" s="58">
        <f>IF(ISNA(VLOOKUP($J73,FM!$A:$J,7,FALSE)),0,VLOOKUP($J73,FM!$A:$J,7,FALSE))</f>
        <v>0</v>
      </c>
      <c r="G73" s="58">
        <f t="shared" si="21"/>
        <v>9838218.3900000006</v>
      </c>
      <c r="H73" s="58">
        <f t="shared" si="21"/>
        <v>0</v>
      </c>
      <c r="I73" s="58">
        <f t="shared" si="22"/>
        <v>9838218.3900000006</v>
      </c>
      <c r="J73" s="163" t="s">
        <v>501</v>
      </c>
    </row>
    <row r="74" spans="1:10" x14ac:dyDescent="0.3">
      <c r="A74" s="106" t="s">
        <v>93</v>
      </c>
      <c r="B74" s="58">
        <f>IF(ISNA(VLOOKUP($J74,FM!$A:$J,3,FALSE)),0,VLOOKUP($J74,FM!$A:$J,3,FALSE))</f>
        <v>0</v>
      </c>
      <c r="C74" s="58">
        <f>IF(ISNA(VLOOKUP($J74,FM!$A:$J,4,FALSE)),0,VLOOKUP($J74,FM!$A:$J,4,FALSE))</f>
        <v>0</v>
      </c>
      <c r="D74" s="58">
        <f>IF(ISNA(VLOOKUP($J74,FM!$A:$J,5,FALSE)),0,VLOOKUP($J74,FM!$A:$J,5,FALSE))</f>
        <v>0</v>
      </c>
      <c r="E74" s="58">
        <f>IF(ISNA(VLOOKUP($J74,FM!$A:$J,6,FALSE)),0,VLOOKUP($J74,FM!$A:$J,6,FALSE))</f>
        <v>0</v>
      </c>
      <c r="F74" s="58">
        <f>IF(ISNA(VLOOKUP($J74,FM!$A:$J,7,FALSE)),0,VLOOKUP($J74,FM!$A:$J,7,FALSE))</f>
        <v>0</v>
      </c>
      <c r="G74" s="58">
        <f t="shared" si="21"/>
        <v>0</v>
      </c>
      <c r="H74" s="58">
        <f t="shared" si="21"/>
        <v>0</v>
      </c>
      <c r="I74" s="58">
        <f t="shared" si="22"/>
        <v>0</v>
      </c>
      <c r="J74" s="163" t="s">
        <v>503</v>
      </c>
    </row>
    <row r="75" spans="1:10" x14ac:dyDescent="0.3">
      <c r="A75" s="106" t="s">
        <v>94</v>
      </c>
      <c r="B75" s="58">
        <f>IF(ISNA(VLOOKUP($J75,FM!$A:$J,3,FALSE)),0,VLOOKUP($J75,FM!$A:$J,3,FALSE))</f>
        <v>1027118.77</v>
      </c>
      <c r="C75" s="58">
        <f>IF(ISNA(VLOOKUP($J75,FM!$A:$J,4,FALSE)),0,VLOOKUP($J75,FM!$A:$J,4,FALSE))</f>
        <v>0</v>
      </c>
      <c r="D75" s="58">
        <f>IF(ISNA(VLOOKUP($J75,FM!$A:$J,5,FALSE)),0,VLOOKUP($J75,FM!$A:$J,5,FALSE))</f>
        <v>0</v>
      </c>
      <c r="E75" s="58">
        <f>IF(ISNA(VLOOKUP($J75,FM!$A:$J,6,FALSE)),0,VLOOKUP($J75,FM!$A:$J,6,FALSE))</f>
        <v>0</v>
      </c>
      <c r="F75" s="58">
        <f>IF(ISNA(VLOOKUP($J75,FM!$A:$J,7,FALSE)),0,VLOOKUP($J75,FM!$A:$J,7,FALSE))</f>
        <v>0</v>
      </c>
      <c r="G75" s="58">
        <f t="shared" si="21"/>
        <v>1027118.77</v>
      </c>
      <c r="H75" s="58">
        <f t="shared" si="21"/>
        <v>0</v>
      </c>
      <c r="I75" s="58">
        <f t="shared" si="22"/>
        <v>1027118.77</v>
      </c>
      <c r="J75" s="163" t="s">
        <v>504</v>
      </c>
    </row>
    <row r="76" spans="1:10" x14ac:dyDescent="0.3">
      <c r="A76" s="106" t="s">
        <v>95</v>
      </c>
      <c r="B76" s="58">
        <f>IF(ISNA(VLOOKUP($J76,FM!$A:$J,3,FALSE)),0,VLOOKUP($J76,FM!$A:$J,3,FALSE))</f>
        <v>1572490.9</v>
      </c>
      <c r="C76" s="58">
        <f>IF(ISNA(VLOOKUP($J76,FM!$A:$J,4,FALSE)),0,VLOOKUP($J76,FM!$A:$J,4,FALSE))</f>
        <v>0</v>
      </c>
      <c r="D76" s="58">
        <f>IF(ISNA(VLOOKUP($J76,FM!$A:$J,5,FALSE)),0,VLOOKUP($J76,FM!$A:$J,5,FALSE))</f>
        <v>0</v>
      </c>
      <c r="E76" s="58">
        <f>IF(ISNA(VLOOKUP($J76,FM!$A:$J,6,FALSE)),0,VLOOKUP($J76,FM!$A:$J,6,FALSE))</f>
        <v>0</v>
      </c>
      <c r="F76" s="58">
        <f>IF(ISNA(VLOOKUP($J76,FM!$A:$J,7,FALSE)),0,VLOOKUP($J76,FM!$A:$J,7,FALSE))</f>
        <v>0</v>
      </c>
      <c r="G76" s="58">
        <f t="shared" si="21"/>
        <v>1572490.9</v>
      </c>
      <c r="H76" s="58">
        <f t="shared" si="21"/>
        <v>0</v>
      </c>
      <c r="I76" s="58">
        <f t="shared" si="22"/>
        <v>1572490.9</v>
      </c>
      <c r="J76" s="163" t="s">
        <v>506</v>
      </c>
    </row>
    <row r="77" spans="1:10" x14ac:dyDescent="0.3">
      <c r="A77" s="106" t="s">
        <v>96</v>
      </c>
      <c r="B77" s="58">
        <f>IF(ISNA(VLOOKUP($J77,FM!$A:$J,3,FALSE)),0,VLOOKUP($J77,FM!$A:$J,3,FALSE))</f>
        <v>10200515.51</v>
      </c>
      <c r="C77" s="58">
        <f>IF(ISNA(VLOOKUP($J77,FM!$A:$J,4,FALSE)),0,VLOOKUP($J77,FM!$A:$J,4,FALSE))</f>
        <v>0</v>
      </c>
      <c r="D77" s="58">
        <f>IF(ISNA(VLOOKUP($J77,FM!$A:$J,5,FALSE)),0,VLOOKUP($J77,FM!$A:$J,5,FALSE))</f>
        <v>0</v>
      </c>
      <c r="E77" s="58">
        <f>IF(ISNA(VLOOKUP($J77,FM!$A:$J,6,FALSE)),0,VLOOKUP($J77,FM!$A:$J,6,FALSE))</f>
        <v>0</v>
      </c>
      <c r="F77" s="58">
        <f>IF(ISNA(VLOOKUP($J77,FM!$A:$J,7,FALSE)),0,VLOOKUP($J77,FM!$A:$J,7,FALSE))</f>
        <v>0</v>
      </c>
      <c r="G77" s="58">
        <f t="shared" si="21"/>
        <v>10200515.51</v>
      </c>
      <c r="H77" s="58">
        <f t="shared" si="21"/>
        <v>0</v>
      </c>
      <c r="I77" s="58">
        <f t="shared" si="22"/>
        <v>10200515.51</v>
      </c>
      <c r="J77" s="163" t="s">
        <v>508</v>
      </c>
    </row>
    <row r="78" spans="1:10" x14ac:dyDescent="0.3">
      <c r="A78" s="106" t="s">
        <v>97</v>
      </c>
      <c r="B78" s="58">
        <f>IF(ISNA(VLOOKUP($J78,FM!$A:$J,3,FALSE)),0,VLOOKUP($J78,FM!$A:$J,3,FALSE))</f>
        <v>3777527.02</v>
      </c>
      <c r="C78" s="58">
        <f>IF(ISNA(VLOOKUP($J78,FM!$A:$J,4,FALSE)),0,VLOOKUP($J78,FM!$A:$J,4,FALSE))</f>
        <v>0</v>
      </c>
      <c r="D78" s="58">
        <f>IF(ISNA(VLOOKUP($J78,FM!$A:$J,5,FALSE)),0,VLOOKUP($J78,FM!$A:$J,5,FALSE))</f>
        <v>0</v>
      </c>
      <c r="E78" s="58">
        <f>IF(ISNA(VLOOKUP($J78,FM!$A:$J,6,FALSE)),0,VLOOKUP($J78,FM!$A:$J,6,FALSE))</f>
        <v>0</v>
      </c>
      <c r="F78" s="58">
        <f>IF(ISNA(VLOOKUP($J78,FM!$A:$J,7,FALSE)),0,VLOOKUP($J78,FM!$A:$J,7,FALSE))</f>
        <v>0</v>
      </c>
      <c r="G78" s="58">
        <f t="shared" si="21"/>
        <v>3777527.02</v>
      </c>
      <c r="H78" s="58">
        <f t="shared" si="21"/>
        <v>0</v>
      </c>
      <c r="I78" s="58">
        <f t="shared" si="22"/>
        <v>3777527.02</v>
      </c>
      <c r="J78" s="163" t="s">
        <v>510</v>
      </c>
    </row>
    <row r="79" spans="1:10" x14ac:dyDescent="0.3">
      <c r="A79" s="106" t="s">
        <v>98</v>
      </c>
      <c r="B79" s="58">
        <f>IF(ISNA(VLOOKUP($J79,FM!$A:$J,3,FALSE)),0,VLOOKUP($J79,FM!$A:$J,3,FALSE))</f>
        <v>1652630.3</v>
      </c>
      <c r="C79" s="58">
        <f>IF(ISNA(VLOOKUP($J79,FM!$A:$J,4,FALSE)),0,VLOOKUP($J79,FM!$A:$J,4,FALSE))</f>
        <v>0</v>
      </c>
      <c r="D79" s="58">
        <f>IF(ISNA(VLOOKUP($J79,FM!$A:$J,5,FALSE)),0,VLOOKUP($J79,FM!$A:$J,5,FALSE))</f>
        <v>0</v>
      </c>
      <c r="E79" s="58">
        <f>IF(ISNA(VLOOKUP($J79,FM!$A:$J,6,FALSE)),0,VLOOKUP($J79,FM!$A:$J,6,FALSE))</f>
        <v>0</v>
      </c>
      <c r="F79" s="58">
        <f>IF(ISNA(VLOOKUP($J79,FM!$A:$J,7,FALSE)),0,VLOOKUP($J79,FM!$A:$J,7,FALSE))</f>
        <v>0</v>
      </c>
      <c r="G79" s="58">
        <f t="shared" si="21"/>
        <v>1652630.3</v>
      </c>
      <c r="H79" s="58">
        <f t="shared" si="21"/>
        <v>0</v>
      </c>
      <c r="I79" s="58">
        <f t="shared" si="22"/>
        <v>1652630.3</v>
      </c>
      <c r="J79" s="163" t="s">
        <v>512</v>
      </c>
    </row>
    <row r="80" spans="1:10" x14ac:dyDescent="0.3">
      <c r="A80" s="106" t="s">
        <v>99</v>
      </c>
      <c r="B80" s="58">
        <f>IF(ISNA(VLOOKUP($J80,FM!$A:$J,3,FALSE)),0,VLOOKUP($J80,FM!$A:$J,3,FALSE))</f>
        <v>1838698.07</v>
      </c>
      <c r="C80" s="58">
        <f>IF(ISNA(VLOOKUP($J80,FM!$A:$J,4,FALSE)),0,VLOOKUP($J80,FM!$A:$J,4,FALSE))</f>
        <v>0</v>
      </c>
      <c r="D80" s="58">
        <f>IF(ISNA(VLOOKUP($J80,FM!$A:$J,5,FALSE)),0,VLOOKUP($J80,FM!$A:$J,5,FALSE))</f>
        <v>0</v>
      </c>
      <c r="E80" s="58">
        <f>IF(ISNA(VLOOKUP($J80,FM!$A:$J,6,FALSE)),0,VLOOKUP($J80,FM!$A:$J,6,FALSE))</f>
        <v>0</v>
      </c>
      <c r="F80" s="58">
        <f>IF(ISNA(VLOOKUP($J80,FM!$A:$J,7,FALSE)),0,VLOOKUP($J80,FM!$A:$J,7,FALSE))</f>
        <v>0</v>
      </c>
      <c r="G80" s="58">
        <f t="shared" si="21"/>
        <v>1838698.07</v>
      </c>
      <c r="H80" s="58">
        <f t="shared" si="21"/>
        <v>0</v>
      </c>
      <c r="I80" s="58">
        <f t="shared" si="22"/>
        <v>1838698.07</v>
      </c>
      <c r="J80" s="163" t="s">
        <v>514</v>
      </c>
    </row>
    <row r="81" spans="1:10" x14ac:dyDescent="0.3">
      <c r="A81" s="106" t="s">
        <v>100</v>
      </c>
      <c r="B81" s="58">
        <f>IF(ISNA(VLOOKUP($J81,FM!$A:$J,3,FALSE)),0,VLOOKUP($J81,FM!$A:$J,3,FALSE))</f>
        <v>0</v>
      </c>
      <c r="C81" s="58">
        <f>IF(ISNA(VLOOKUP($J81,FM!$A:$J,4,FALSE)),0,VLOOKUP($J81,FM!$A:$J,4,FALSE))</f>
        <v>0</v>
      </c>
      <c r="D81" s="58">
        <f>IF(ISNA(VLOOKUP($J81,FM!$A:$J,5,FALSE)),0,VLOOKUP($J81,FM!$A:$J,5,FALSE))</f>
        <v>0</v>
      </c>
      <c r="E81" s="58">
        <f>IF(ISNA(VLOOKUP($J81,FM!$A:$J,6,FALSE)),0,VLOOKUP($J81,FM!$A:$J,6,FALSE))</f>
        <v>0</v>
      </c>
      <c r="F81" s="58">
        <f>IF(ISNA(VLOOKUP($J81,FM!$A:$J,7,FALSE)),0,VLOOKUP($J81,FM!$A:$J,7,FALSE))</f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163" t="s">
        <v>843</v>
      </c>
    </row>
    <row r="82" spans="1:10" x14ac:dyDescent="0.3">
      <c r="A82" s="106" t="s">
        <v>101</v>
      </c>
      <c r="B82" s="58">
        <f>IF(ISNA(VLOOKUP($J82,FM!$A:$J,3,FALSE)),0,VLOOKUP($J82,FM!$A:$J,3,FALSE))</f>
        <v>3493326.58</v>
      </c>
      <c r="C82" s="58">
        <f>IF(ISNA(VLOOKUP($J82,FM!$A:$J,4,FALSE)),0,VLOOKUP($J82,FM!$A:$J,4,FALSE))</f>
        <v>0</v>
      </c>
      <c r="D82" s="58">
        <f>IF(ISNA(VLOOKUP($J82,FM!$A:$J,5,FALSE)),0,VLOOKUP($J82,FM!$A:$J,5,FALSE))</f>
        <v>0</v>
      </c>
      <c r="E82" s="58">
        <f>IF(ISNA(VLOOKUP($J82,FM!$A:$J,6,FALSE)),0,VLOOKUP($J82,FM!$A:$J,6,FALSE))</f>
        <v>0</v>
      </c>
      <c r="F82" s="58">
        <f>IF(ISNA(VLOOKUP($J82,FM!$A:$J,7,FALSE)),0,VLOOKUP($J82,FM!$A:$J,7,FALSE))</f>
        <v>0</v>
      </c>
      <c r="G82" s="58">
        <f t="shared" si="21"/>
        <v>3493326.58</v>
      </c>
      <c r="H82" s="58">
        <f t="shared" si="21"/>
        <v>0</v>
      </c>
      <c r="I82" s="58">
        <f t="shared" si="22"/>
        <v>3493326.58</v>
      </c>
      <c r="J82" s="163" t="s">
        <v>516</v>
      </c>
    </row>
    <row r="83" spans="1:10" x14ac:dyDescent="0.3">
      <c r="A83" s="106" t="s">
        <v>102</v>
      </c>
      <c r="B83" s="58">
        <f>IF(ISNA(VLOOKUP($J83,FM!$A:$J,3,FALSE)),0,VLOOKUP($J83,FM!$A:$J,3,FALSE))</f>
        <v>278162.68</v>
      </c>
      <c r="C83" s="58">
        <f>IF(ISNA(VLOOKUP($J83,FM!$A:$J,4,FALSE)),0,VLOOKUP($J83,FM!$A:$J,4,FALSE))</f>
        <v>0</v>
      </c>
      <c r="D83" s="58">
        <f>IF(ISNA(VLOOKUP($J83,FM!$A:$J,5,FALSE)),0,VLOOKUP($J83,FM!$A:$J,5,FALSE))</f>
        <v>0</v>
      </c>
      <c r="E83" s="58">
        <f>IF(ISNA(VLOOKUP($J83,FM!$A:$J,6,FALSE)),0,VLOOKUP($J83,FM!$A:$J,6,FALSE))</f>
        <v>0</v>
      </c>
      <c r="F83" s="58">
        <f>IF(ISNA(VLOOKUP($J83,FM!$A:$J,7,FALSE)),0,VLOOKUP($J83,FM!$A:$J,7,FALSE))</f>
        <v>0</v>
      </c>
      <c r="G83" s="58">
        <f t="shared" si="21"/>
        <v>278162.68</v>
      </c>
      <c r="H83" s="58">
        <f t="shared" si="21"/>
        <v>0</v>
      </c>
      <c r="I83" s="58">
        <f t="shared" si="22"/>
        <v>278162.68</v>
      </c>
      <c r="J83" s="163" t="s">
        <v>518</v>
      </c>
    </row>
    <row r="84" spans="1:10" x14ac:dyDescent="0.3">
      <c r="A84" s="106" t="s">
        <v>103</v>
      </c>
      <c r="B84" s="58">
        <f>IF(ISNA(VLOOKUP($J84,FM!$A:$J,3,FALSE)),0,VLOOKUP($J84,FM!$A:$J,3,FALSE))</f>
        <v>1916301.11</v>
      </c>
      <c r="C84" s="58">
        <f>IF(ISNA(VLOOKUP($J84,FM!$A:$J,4,FALSE)),0,VLOOKUP($J84,FM!$A:$J,4,FALSE))</f>
        <v>0</v>
      </c>
      <c r="D84" s="58">
        <f>IF(ISNA(VLOOKUP($J84,FM!$A:$J,5,FALSE)),0,VLOOKUP($J84,FM!$A:$J,5,FALSE))</f>
        <v>0</v>
      </c>
      <c r="E84" s="58">
        <f>IF(ISNA(VLOOKUP($J84,FM!$A:$J,6,FALSE)),0,VLOOKUP($J84,FM!$A:$J,6,FALSE))</f>
        <v>0</v>
      </c>
      <c r="F84" s="58">
        <f>IF(ISNA(VLOOKUP($J84,FM!$A:$J,7,FALSE)),0,VLOOKUP($J84,FM!$A:$J,7,FALSE))</f>
        <v>0</v>
      </c>
      <c r="G84" s="58">
        <f t="shared" si="21"/>
        <v>1916301.11</v>
      </c>
      <c r="H84" s="58">
        <f t="shared" si="21"/>
        <v>0</v>
      </c>
      <c r="I84" s="58">
        <f t="shared" si="22"/>
        <v>1916301.11</v>
      </c>
      <c r="J84" s="163" t="s">
        <v>520</v>
      </c>
    </row>
    <row r="85" spans="1:10" x14ac:dyDescent="0.3">
      <c r="A85" s="106" t="s">
        <v>104</v>
      </c>
      <c r="B85" s="58">
        <f>IF(ISNA(VLOOKUP($J85,FM!$A:$J,3,FALSE)),0,VLOOKUP($J85,FM!$A:$J,3,FALSE))</f>
        <v>0</v>
      </c>
      <c r="C85" s="58">
        <f>IF(ISNA(VLOOKUP($J85,FM!$A:$J,4,FALSE)),0,VLOOKUP($J85,FM!$A:$J,4,FALSE))</f>
        <v>0</v>
      </c>
      <c r="D85" s="58">
        <f>IF(ISNA(VLOOKUP($J85,FM!$A:$J,5,FALSE)),0,VLOOKUP($J85,FM!$A:$J,5,FALSE))</f>
        <v>0</v>
      </c>
      <c r="E85" s="58">
        <f>IF(ISNA(VLOOKUP($J85,FM!$A:$J,6,FALSE)),0,VLOOKUP($J85,FM!$A:$J,6,FALSE))</f>
        <v>0</v>
      </c>
      <c r="F85" s="58">
        <f>IF(ISNA(VLOOKUP($J85,FM!$A:$J,7,FALSE)),0,VLOOKUP($J85,FM!$A:$J,7,FALSE))</f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163" t="s">
        <v>844</v>
      </c>
    </row>
    <row r="86" spans="1:10" x14ac:dyDescent="0.3">
      <c r="A86" s="106" t="s">
        <v>105</v>
      </c>
      <c r="B86" s="58">
        <f>IF(ISNA(VLOOKUP($J86,FM!$A:$J,3,FALSE)),0,VLOOKUP($J86,FM!$A:$J,3,FALSE))</f>
        <v>61778.39</v>
      </c>
      <c r="C86" s="58">
        <f>IF(ISNA(VLOOKUP($J86,FM!$A:$J,4,FALSE)),0,VLOOKUP($J86,FM!$A:$J,4,FALSE))</f>
        <v>0</v>
      </c>
      <c r="D86" s="58">
        <f>IF(ISNA(VLOOKUP($J86,FM!$A:$J,5,FALSE)),0,VLOOKUP($J86,FM!$A:$J,5,FALSE))</f>
        <v>0</v>
      </c>
      <c r="E86" s="58">
        <f>IF(ISNA(VLOOKUP($J86,FM!$A:$J,6,FALSE)),0,VLOOKUP($J86,FM!$A:$J,6,FALSE))</f>
        <v>0</v>
      </c>
      <c r="F86" s="58">
        <f>IF(ISNA(VLOOKUP($J86,FM!$A:$J,7,FALSE)),0,VLOOKUP($J86,FM!$A:$J,7,FALSE))</f>
        <v>0</v>
      </c>
      <c r="G86" s="58">
        <f t="shared" si="21"/>
        <v>61778.39</v>
      </c>
      <c r="H86" s="58">
        <f t="shared" si="21"/>
        <v>0</v>
      </c>
      <c r="I86" s="58">
        <f t="shared" si="22"/>
        <v>61778.39</v>
      </c>
      <c r="J86" s="163" t="s">
        <v>522</v>
      </c>
    </row>
    <row r="87" spans="1:10" x14ac:dyDescent="0.3">
      <c r="A87" s="106" t="s">
        <v>106</v>
      </c>
      <c r="B87" s="58">
        <f>IF(ISNA(VLOOKUP($J87,FM!$A:$J,3,FALSE)),0,VLOOKUP($J87,FM!$A:$J,3,FALSE))</f>
        <v>316883.11</v>
      </c>
      <c r="C87" s="58">
        <f>IF(ISNA(VLOOKUP($J87,FM!$A:$J,4,FALSE)),0,VLOOKUP($J87,FM!$A:$J,4,FALSE))</f>
        <v>0</v>
      </c>
      <c r="D87" s="58">
        <f>IF(ISNA(VLOOKUP($J87,FM!$A:$J,5,FALSE)),0,VLOOKUP($J87,FM!$A:$J,5,FALSE))</f>
        <v>0</v>
      </c>
      <c r="E87" s="58">
        <f>IF(ISNA(VLOOKUP($J87,FM!$A:$J,6,FALSE)),0,VLOOKUP($J87,FM!$A:$J,6,FALSE))</f>
        <v>0</v>
      </c>
      <c r="F87" s="58">
        <f>IF(ISNA(VLOOKUP($J87,FM!$A:$J,7,FALSE)),0,VLOOKUP($J87,FM!$A:$J,7,FALSE))</f>
        <v>0</v>
      </c>
      <c r="G87" s="58">
        <f t="shared" si="21"/>
        <v>316883.11</v>
      </c>
      <c r="H87" s="58">
        <f t="shared" si="21"/>
        <v>0</v>
      </c>
      <c r="I87" s="58">
        <f t="shared" si="22"/>
        <v>316883.11</v>
      </c>
      <c r="J87" s="163" t="s">
        <v>524</v>
      </c>
    </row>
    <row r="88" spans="1:10" x14ac:dyDescent="0.3">
      <c r="A88" s="106" t="s">
        <v>107</v>
      </c>
      <c r="B88" s="58">
        <f>IF(ISNA(VLOOKUP($J88,FM!$A:$J,3,FALSE)),0,VLOOKUP($J88,FM!$A:$J,3,FALSE))</f>
        <v>515032.15</v>
      </c>
      <c r="C88" s="58">
        <f>IF(ISNA(VLOOKUP($J88,FM!$A:$J,4,FALSE)),0,VLOOKUP($J88,FM!$A:$J,4,FALSE))</f>
        <v>0</v>
      </c>
      <c r="D88" s="58">
        <f>IF(ISNA(VLOOKUP($J88,FM!$A:$J,5,FALSE)),0,VLOOKUP($J88,FM!$A:$J,5,FALSE))</f>
        <v>0</v>
      </c>
      <c r="E88" s="58">
        <f>IF(ISNA(VLOOKUP($J88,FM!$A:$J,6,FALSE)),0,VLOOKUP($J88,FM!$A:$J,6,FALSE))</f>
        <v>0</v>
      </c>
      <c r="F88" s="58">
        <f>IF(ISNA(VLOOKUP($J88,FM!$A:$J,7,FALSE)),0,VLOOKUP($J88,FM!$A:$J,7,FALSE))</f>
        <v>0</v>
      </c>
      <c r="G88" s="58">
        <f t="shared" si="21"/>
        <v>515032.15</v>
      </c>
      <c r="H88" s="58">
        <f t="shared" si="21"/>
        <v>0</v>
      </c>
      <c r="I88" s="58">
        <f t="shared" si="22"/>
        <v>515032.15</v>
      </c>
      <c r="J88" s="163" t="s">
        <v>526</v>
      </c>
    </row>
    <row r="89" spans="1:10" x14ac:dyDescent="0.3">
      <c r="A89" s="106" t="s">
        <v>108</v>
      </c>
      <c r="B89" s="58">
        <f>IF(ISNA(VLOOKUP($J89,FM!$A:$J,3,FALSE)),0,VLOOKUP($J89,FM!$A:$J,3,FALSE))</f>
        <v>1198620.72</v>
      </c>
      <c r="C89" s="58">
        <f>IF(ISNA(VLOOKUP($J89,FM!$A:$J,4,FALSE)),0,VLOOKUP($J89,FM!$A:$J,4,FALSE))</f>
        <v>0</v>
      </c>
      <c r="D89" s="58">
        <f>IF(ISNA(VLOOKUP($J89,FM!$A:$J,5,FALSE)),0,VLOOKUP($J89,FM!$A:$J,5,FALSE))</f>
        <v>0</v>
      </c>
      <c r="E89" s="58">
        <f>IF(ISNA(VLOOKUP($J89,FM!$A:$J,6,FALSE)),0,VLOOKUP($J89,FM!$A:$J,6,FALSE))</f>
        <v>0</v>
      </c>
      <c r="F89" s="58">
        <f>IF(ISNA(VLOOKUP($J89,FM!$A:$J,7,FALSE)),0,VLOOKUP($J89,FM!$A:$J,7,FALSE))</f>
        <v>0</v>
      </c>
      <c r="G89" s="58">
        <f t="shared" si="21"/>
        <v>1198620.72</v>
      </c>
      <c r="H89" s="58">
        <f t="shared" si="21"/>
        <v>0</v>
      </c>
      <c r="I89" s="58">
        <f t="shared" si="22"/>
        <v>1198620.72</v>
      </c>
      <c r="J89" s="163" t="s">
        <v>528</v>
      </c>
    </row>
    <row r="90" spans="1:10" x14ac:dyDescent="0.3">
      <c r="A90" s="106" t="s">
        <v>109</v>
      </c>
      <c r="B90" s="58">
        <f>IF(ISNA(VLOOKUP($J90,FM!$A:$J,3,FALSE)),0,VLOOKUP($J90,FM!$A:$J,3,FALSE))</f>
        <v>3392652.16</v>
      </c>
      <c r="C90" s="58">
        <f>IF(ISNA(VLOOKUP($J90,FM!$A:$J,4,FALSE)),0,VLOOKUP($J90,FM!$A:$J,4,FALSE))</f>
        <v>0</v>
      </c>
      <c r="D90" s="58">
        <f>IF(ISNA(VLOOKUP($J90,FM!$A:$J,5,FALSE)),0,VLOOKUP($J90,FM!$A:$J,5,FALSE))</f>
        <v>0</v>
      </c>
      <c r="E90" s="58">
        <f>IF(ISNA(VLOOKUP($J90,FM!$A:$J,6,FALSE)),0,VLOOKUP($J90,FM!$A:$J,6,FALSE))</f>
        <v>0</v>
      </c>
      <c r="F90" s="58">
        <f>IF(ISNA(VLOOKUP($J90,FM!$A:$J,7,FALSE)),0,VLOOKUP($J90,FM!$A:$J,7,FALSE))</f>
        <v>0</v>
      </c>
      <c r="G90" s="58">
        <f t="shared" si="21"/>
        <v>3392652.16</v>
      </c>
      <c r="H90" s="58">
        <f t="shared" si="21"/>
        <v>0</v>
      </c>
      <c r="I90" s="58">
        <f t="shared" si="22"/>
        <v>3392652.16</v>
      </c>
      <c r="J90" s="163" t="s">
        <v>530</v>
      </c>
    </row>
    <row r="91" spans="1:10" x14ac:dyDescent="0.3">
      <c r="A91" s="106" t="s">
        <v>110</v>
      </c>
      <c r="B91" s="58">
        <f>IF(ISNA(VLOOKUP($J91,FM!$A:$J,3,FALSE)),0,VLOOKUP($J91,FM!$A:$J,3,FALSE))</f>
        <v>5767406.9800000004</v>
      </c>
      <c r="C91" s="58">
        <f>IF(ISNA(VLOOKUP($J91,FM!$A:$J,4,FALSE)),0,VLOOKUP($J91,FM!$A:$J,4,FALSE))</f>
        <v>0</v>
      </c>
      <c r="D91" s="58">
        <f>IF(ISNA(VLOOKUP($J91,FM!$A:$J,5,FALSE)),0,VLOOKUP($J91,FM!$A:$J,5,FALSE))</f>
        <v>0</v>
      </c>
      <c r="E91" s="58">
        <f>IF(ISNA(VLOOKUP($J91,FM!$A:$J,6,FALSE)),0,VLOOKUP($J91,FM!$A:$J,6,FALSE))</f>
        <v>0</v>
      </c>
      <c r="F91" s="58">
        <f>IF(ISNA(VLOOKUP($J91,FM!$A:$J,7,FALSE)),0,VLOOKUP($J91,FM!$A:$J,7,FALSE))</f>
        <v>0</v>
      </c>
      <c r="G91" s="58">
        <f t="shared" si="21"/>
        <v>5767406.9800000004</v>
      </c>
      <c r="H91" s="58">
        <f t="shared" si="21"/>
        <v>0</v>
      </c>
      <c r="I91" s="58">
        <f t="shared" si="22"/>
        <v>5767406.9800000004</v>
      </c>
      <c r="J91" s="163" t="s">
        <v>532</v>
      </c>
    </row>
    <row r="92" spans="1:10" x14ac:dyDescent="0.3">
      <c r="A92" s="106" t="s">
        <v>111</v>
      </c>
      <c r="B92" s="58">
        <f>IF(ISNA(VLOOKUP($J92,FM!$A:$J,3,FALSE)),0,VLOOKUP($J92,FM!$A:$J,3,FALSE))</f>
        <v>14012623.859999999</v>
      </c>
      <c r="C92" s="58">
        <f>IF(ISNA(VLOOKUP($J92,FM!$A:$J,4,FALSE)),0,VLOOKUP($J92,FM!$A:$J,4,FALSE))</f>
        <v>0</v>
      </c>
      <c r="D92" s="58">
        <f>IF(ISNA(VLOOKUP($J92,FM!$A:$J,5,FALSE)),0,VLOOKUP($J92,FM!$A:$J,5,FALSE))</f>
        <v>0</v>
      </c>
      <c r="E92" s="58">
        <f>IF(ISNA(VLOOKUP($J92,FM!$A:$J,6,FALSE)),0,VLOOKUP($J92,FM!$A:$J,6,FALSE))</f>
        <v>0</v>
      </c>
      <c r="F92" s="58">
        <f>IF(ISNA(VLOOKUP($J92,FM!$A:$J,7,FALSE)),0,VLOOKUP($J92,FM!$A:$J,7,FALSE))</f>
        <v>0</v>
      </c>
      <c r="G92" s="58">
        <f t="shared" si="21"/>
        <v>14012623.859999999</v>
      </c>
      <c r="H92" s="58">
        <f t="shared" si="21"/>
        <v>0</v>
      </c>
      <c r="I92" s="58">
        <f t="shared" si="22"/>
        <v>14012623.859999999</v>
      </c>
      <c r="J92" s="163" t="s">
        <v>534</v>
      </c>
    </row>
    <row r="93" spans="1:10" x14ac:dyDescent="0.3">
      <c r="A93" s="106" t="s">
        <v>112</v>
      </c>
      <c r="B93" s="58">
        <f>IF(ISNA(VLOOKUP($J93,FM!$A:$J,3,FALSE)),0,VLOOKUP($J93,FM!$A:$J,3,FALSE))</f>
        <v>4076262.89</v>
      </c>
      <c r="C93" s="58">
        <f>IF(ISNA(VLOOKUP($J93,FM!$A:$J,4,FALSE)),0,VLOOKUP($J93,FM!$A:$J,4,FALSE))</f>
        <v>0</v>
      </c>
      <c r="D93" s="58">
        <f>IF(ISNA(VLOOKUP($J93,FM!$A:$J,5,FALSE)),0,VLOOKUP($J93,FM!$A:$J,5,FALSE))</f>
        <v>0</v>
      </c>
      <c r="E93" s="58">
        <f>IF(ISNA(VLOOKUP($J93,FM!$A:$J,6,FALSE)),0,VLOOKUP($J93,FM!$A:$J,6,FALSE))</f>
        <v>0</v>
      </c>
      <c r="F93" s="58">
        <f>IF(ISNA(VLOOKUP($J93,FM!$A:$J,7,FALSE)),0,VLOOKUP($J93,FM!$A:$J,7,FALSE))</f>
        <v>0</v>
      </c>
      <c r="G93" s="58">
        <f t="shared" si="21"/>
        <v>4076262.89</v>
      </c>
      <c r="H93" s="58">
        <f t="shared" si="21"/>
        <v>0</v>
      </c>
      <c r="I93" s="58">
        <f t="shared" si="22"/>
        <v>4076262.89</v>
      </c>
      <c r="J93" s="163" t="s">
        <v>536</v>
      </c>
    </row>
    <row r="94" spans="1:10" x14ac:dyDescent="0.3">
      <c r="A94" s="106" t="s">
        <v>113</v>
      </c>
      <c r="B94" s="58">
        <f>IF(ISNA(VLOOKUP($J94,FM!$A:$J,3,FALSE)),0,VLOOKUP($J94,FM!$A:$J,3,FALSE))</f>
        <v>6982020.9900000002</v>
      </c>
      <c r="C94" s="58">
        <f>IF(ISNA(VLOOKUP($J94,FM!$A:$J,4,FALSE)),0,VLOOKUP($J94,FM!$A:$J,4,FALSE))</f>
        <v>0</v>
      </c>
      <c r="D94" s="58">
        <f>IF(ISNA(VLOOKUP($J94,FM!$A:$J,5,FALSE)),0,VLOOKUP($J94,FM!$A:$J,5,FALSE))</f>
        <v>0</v>
      </c>
      <c r="E94" s="58">
        <f>IF(ISNA(VLOOKUP($J94,FM!$A:$J,6,FALSE)),0,VLOOKUP($J94,FM!$A:$J,6,FALSE))</f>
        <v>0</v>
      </c>
      <c r="F94" s="58">
        <f>IF(ISNA(VLOOKUP($J94,FM!$A:$J,7,FALSE)),0,VLOOKUP($J94,FM!$A:$J,7,FALSE))</f>
        <v>0</v>
      </c>
      <c r="G94" s="58">
        <f t="shared" si="21"/>
        <v>6982020.9900000002</v>
      </c>
      <c r="H94" s="58">
        <f t="shared" si="21"/>
        <v>0</v>
      </c>
      <c r="I94" s="58">
        <f t="shared" si="22"/>
        <v>6982020.9900000002</v>
      </c>
      <c r="J94" s="163" t="s">
        <v>538</v>
      </c>
    </row>
    <row r="95" spans="1:10" x14ac:dyDescent="0.3">
      <c r="A95" s="106" t="s">
        <v>114</v>
      </c>
      <c r="B95" s="58">
        <f>IF(ISNA(VLOOKUP($J95,FM!$A:$J,3,FALSE)),0,VLOOKUP($J95,FM!$A:$J,3,FALSE))</f>
        <v>395881.44</v>
      </c>
      <c r="C95" s="58">
        <f>IF(ISNA(VLOOKUP($J95,FM!$A:$J,4,FALSE)),0,VLOOKUP($J95,FM!$A:$J,4,FALSE))</f>
        <v>0</v>
      </c>
      <c r="D95" s="58">
        <f>IF(ISNA(VLOOKUP($J95,FM!$A:$J,5,FALSE)),0,VLOOKUP($J95,FM!$A:$J,5,FALSE))</f>
        <v>0</v>
      </c>
      <c r="E95" s="58">
        <f>IF(ISNA(VLOOKUP($J95,FM!$A:$J,6,FALSE)),0,VLOOKUP($J95,FM!$A:$J,6,FALSE))</f>
        <v>0</v>
      </c>
      <c r="F95" s="58">
        <f>IF(ISNA(VLOOKUP($J95,FM!$A:$J,7,FALSE)),0,VLOOKUP($J95,FM!$A:$J,7,FALSE))</f>
        <v>0</v>
      </c>
      <c r="G95" s="58">
        <f t="shared" si="21"/>
        <v>395881.44</v>
      </c>
      <c r="H95" s="58">
        <f t="shared" si="21"/>
        <v>0</v>
      </c>
      <c r="I95" s="58">
        <f t="shared" si="22"/>
        <v>395881.44</v>
      </c>
      <c r="J95" s="163" t="s">
        <v>540</v>
      </c>
    </row>
    <row r="96" spans="1:10" x14ac:dyDescent="0.3">
      <c r="A96" s="106" t="s">
        <v>115</v>
      </c>
      <c r="B96" s="58">
        <f>IF(ISNA(VLOOKUP($J96,FM!$A:$J,3,FALSE)),0,VLOOKUP($J96,FM!$A:$J,3,FALSE))</f>
        <v>744224.21</v>
      </c>
      <c r="C96" s="58">
        <f>IF(ISNA(VLOOKUP($J96,FM!$A:$J,4,FALSE)),0,VLOOKUP($J96,FM!$A:$J,4,FALSE))</f>
        <v>0</v>
      </c>
      <c r="D96" s="58">
        <f>IF(ISNA(VLOOKUP($J96,FM!$A:$J,5,FALSE)),0,VLOOKUP($J96,FM!$A:$J,5,FALSE))</f>
        <v>0</v>
      </c>
      <c r="E96" s="58">
        <f>IF(ISNA(VLOOKUP($J96,FM!$A:$J,6,FALSE)),0,VLOOKUP($J96,FM!$A:$J,6,FALSE))</f>
        <v>0</v>
      </c>
      <c r="F96" s="58">
        <f>IF(ISNA(VLOOKUP($J96,FM!$A:$J,7,FALSE)),0,VLOOKUP($J96,FM!$A:$J,7,FALSE))</f>
        <v>0</v>
      </c>
      <c r="G96" s="58">
        <f t="shared" si="21"/>
        <v>744224.21</v>
      </c>
      <c r="H96" s="58">
        <f t="shared" si="21"/>
        <v>0</v>
      </c>
      <c r="I96" s="58">
        <f t="shared" si="22"/>
        <v>744224.21</v>
      </c>
      <c r="J96" s="163" t="s">
        <v>542</v>
      </c>
    </row>
    <row r="97" spans="1:10" x14ac:dyDescent="0.3">
      <c r="A97" s="106" t="s">
        <v>116</v>
      </c>
      <c r="B97" s="58">
        <f>IF(ISNA(VLOOKUP($J97,FM!$A:$J,3,FALSE)),0,VLOOKUP($J97,FM!$A:$J,3,FALSE))</f>
        <v>32559417.460000001</v>
      </c>
      <c r="C97" s="58">
        <f>IF(ISNA(VLOOKUP($J97,FM!$A:$J,4,FALSE)),0,VLOOKUP($J97,FM!$A:$J,4,FALSE))</f>
        <v>0</v>
      </c>
      <c r="D97" s="58">
        <f>IF(ISNA(VLOOKUP($J97,FM!$A:$J,5,FALSE)),0,VLOOKUP($J97,FM!$A:$J,5,FALSE))</f>
        <v>0</v>
      </c>
      <c r="E97" s="58">
        <f>IF(ISNA(VLOOKUP($J97,FM!$A:$J,6,FALSE)),0,VLOOKUP($J97,FM!$A:$J,6,FALSE))</f>
        <v>0</v>
      </c>
      <c r="F97" s="58">
        <f>IF(ISNA(VLOOKUP($J97,FM!$A:$J,7,FALSE)),0,VLOOKUP($J97,FM!$A:$J,7,FALSE))</f>
        <v>0</v>
      </c>
      <c r="G97" s="58">
        <f t="shared" si="21"/>
        <v>32559417.460000001</v>
      </c>
      <c r="H97" s="58">
        <f t="shared" si="21"/>
        <v>0</v>
      </c>
      <c r="I97" s="58">
        <f t="shared" si="22"/>
        <v>32559417.460000001</v>
      </c>
      <c r="J97" s="163" t="s">
        <v>544</v>
      </c>
    </row>
    <row r="98" spans="1:10" x14ac:dyDescent="0.3">
      <c r="A98" s="106" t="s">
        <v>117</v>
      </c>
      <c r="B98" s="58">
        <f>IF(ISNA(VLOOKUP($J98,FM!$A:$J,3,FALSE)),0,VLOOKUP($J98,FM!$A:$J,3,FALSE))</f>
        <v>1249908.42</v>
      </c>
      <c r="C98" s="58">
        <f>IF(ISNA(VLOOKUP($J98,FM!$A:$J,4,FALSE)),0,VLOOKUP($J98,FM!$A:$J,4,FALSE))</f>
        <v>0</v>
      </c>
      <c r="D98" s="58">
        <f>IF(ISNA(VLOOKUP($J98,FM!$A:$J,5,FALSE)),0,VLOOKUP($J98,FM!$A:$J,5,FALSE))</f>
        <v>0</v>
      </c>
      <c r="E98" s="58">
        <f>IF(ISNA(VLOOKUP($J98,FM!$A:$J,6,FALSE)),0,VLOOKUP($J98,FM!$A:$J,6,FALSE))</f>
        <v>0</v>
      </c>
      <c r="F98" s="58">
        <f>IF(ISNA(VLOOKUP($J98,FM!$A:$J,7,FALSE)),0,VLOOKUP($J98,FM!$A:$J,7,FALSE))</f>
        <v>0</v>
      </c>
      <c r="G98" s="58">
        <f t="shared" si="21"/>
        <v>1249908.42</v>
      </c>
      <c r="H98" s="58">
        <f t="shared" si="21"/>
        <v>0</v>
      </c>
      <c r="I98" s="58">
        <f t="shared" si="22"/>
        <v>1249908.42</v>
      </c>
      <c r="J98" s="163" t="s">
        <v>546</v>
      </c>
    </row>
    <row r="99" spans="1:10" x14ac:dyDescent="0.3">
      <c r="A99" s="106" t="s">
        <v>118</v>
      </c>
      <c r="B99" s="58">
        <f>IF(ISNA(VLOOKUP($J99,FM!$A:$J,3,FALSE)),0,VLOOKUP($J99,FM!$A:$J,3,FALSE))</f>
        <v>28612</v>
      </c>
      <c r="C99" s="58">
        <f>IF(ISNA(VLOOKUP($J99,FM!$A:$J,4,FALSE)),0,VLOOKUP($J99,FM!$A:$J,4,FALSE))</f>
        <v>0</v>
      </c>
      <c r="D99" s="58">
        <f>IF(ISNA(VLOOKUP($J99,FM!$A:$J,5,FALSE)),0,VLOOKUP($J99,FM!$A:$J,5,FALSE))</f>
        <v>0</v>
      </c>
      <c r="E99" s="58">
        <f>IF(ISNA(VLOOKUP($J99,FM!$A:$J,6,FALSE)),0,VLOOKUP($J99,FM!$A:$J,6,FALSE))</f>
        <v>0</v>
      </c>
      <c r="F99" s="58">
        <f>IF(ISNA(VLOOKUP($J99,FM!$A:$J,7,FALSE)),0,VLOOKUP($J99,FM!$A:$J,7,FALSE))</f>
        <v>0</v>
      </c>
      <c r="G99" s="58">
        <f t="shared" si="21"/>
        <v>28612</v>
      </c>
      <c r="H99" s="58">
        <f t="shared" si="21"/>
        <v>0</v>
      </c>
      <c r="I99" s="58">
        <f t="shared" si="22"/>
        <v>28612</v>
      </c>
      <c r="J99" s="163" t="s">
        <v>548</v>
      </c>
    </row>
    <row r="100" spans="1:10" x14ac:dyDescent="0.3">
      <c r="A100" s="106" t="s">
        <v>119</v>
      </c>
      <c r="B100" s="58">
        <f>IF(ISNA(VLOOKUP($J100,FM!$A:$J,3,FALSE)),0,VLOOKUP($J100,FM!$A:$J,3,FALSE))</f>
        <v>0</v>
      </c>
      <c r="C100" s="58">
        <f>IF(ISNA(VLOOKUP($J100,FM!$A:$J,4,FALSE)),0,VLOOKUP($J100,FM!$A:$J,4,FALSE))</f>
        <v>0</v>
      </c>
      <c r="D100" s="58">
        <f>IF(ISNA(VLOOKUP($J100,FM!$A:$J,5,FALSE)),0,VLOOKUP($J100,FM!$A:$J,5,FALSE))</f>
        <v>0</v>
      </c>
      <c r="E100" s="58">
        <f>IF(ISNA(VLOOKUP($J100,FM!$A:$J,6,FALSE)),0,VLOOKUP($J100,FM!$A:$J,6,FALSE))</f>
        <v>0</v>
      </c>
      <c r="F100" s="58">
        <f>IF(ISNA(VLOOKUP($J100,FM!$A:$J,7,FALSE)),0,VLOOKUP($J100,FM!$A:$J,7,FALSE))</f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163" t="s">
        <v>845</v>
      </c>
    </row>
    <row r="101" spans="1:10" x14ac:dyDescent="0.3">
      <c r="A101" s="106" t="s">
        <v>120</v>
      </c>
      <c r="B101" s="58">
        <f>IF(ISNA(VLOOKUP($J101,FM!$A:$J,3,FALSE)),0,VLOOKUP($J101,FM!$A:$J,3,FALSE))</f>
        <v>0</v>
      </c>
      <c r="C101" s="58">
        <f>IF(ISNA(VLOOKUP($J101,FM!$A:$J,4,FALSE)),0,VLOOKUP($J101,FM!$A:$J,4,FALSE))</f>
        <v>136705.28</v>
      </c>
      <c r="D101" s="58">
        <f>IF(ISNA(VLOOKUP($J101,FM!$A:$J,5,FALSE)),0,VLOOKUP($J101,FM!$A:$J,5,FALSE))</f>
        <v>0</v>
      </c>
      <c r="E101" s="58">
        <f>IF(ISNA(VLOOKUP($J101,FM!$A:$J,6,FALSE)),0,VLOOKUP($J101,FM!$A:$J,6,FALSE))</f>
        <v>0</v>
      </c>
      <c r="F101" s="58">
        <f>IF(ISNA(VLOOKUP($J101,FM!$A:$J,7,FALSE)),0,VLOOKUP($J101,FM!$A:$J,7,FALSE))</f>
        <v>0</v>
      </c>
      <c r="G101" s="58">
        <f t="shared" si="21"/>
        <v>0</v>
      </c>
      <c r="H101" s="58">
        <f t="shared" si="21"/>
        <v>136705.28</v>
      </c>
      <c r="I101" s="58">
        <f t="shared" si="22"/>
        <v>136705.28</v>
      </c>
      <c r="J101" s="163" t="s">
        <v>550</v>
      </c>
    </row>
    <row r="102" spans="1:10" x14ac:dyDescent="0.3">
      <c r="A102" s="106" t="s">
        <v>121</v>
      </c>
      <c r="B102" s="58">
        <f>IF(ISNA(VLOOKUP($J102,FM!$A:$J,3,FALSE)),0,VLOOKUP($J102,FM!$A:$J,3,FALSE))</f>
        <v>0</v>
      </c>
      <c r="C102" s="58">
        <f>IF(ISNA(VLOOKUP($J102,FM!$A:$J,4,FALSE)),0,VLOOKUP($J102,FM!$A:$J,4,FALSE))</f>
        <v>0</v>
      </c>
      <c r="D102" s="58">
        <f>IF(ISNA(VLOOKUP($J102,FM!$A:$J,5,FALSE)),0,VLOOKUP($J102,FM!$A:$J,5,FALSE))</f>
        <v>0</v>
      </c>
      <c r="E102" s="58">
        <f>IF(ISNA(VLOOKUP($J102,FM!$A:$J,6,FALSE)),0,VLOOKUP($J102,FM!$A:$J,6,FALSE))</f>
        <v>0</v>
      </c>
      <c r="F102" s="58">
        <f>IF(ISNA(VLOOKUP($J102,FM!$A:$J,7,FALSE)),0,VLOOKUP($J102,FM!$A:$J,7,FALSE))</f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163" t="s">
        <v>846</v>
      </c>
    </row>
    <row r="103" spans="1:10" x14ac:dyDescent="0.3">
      <c r="A103" s="106" t="s">
        <v>122</v>
      </c>
      <c r="B103" s="58">
        <f>IF(ISNA(VLOOKUP($J103,FM!$A:$J,3,FALSE)),0,VLOOKUP($J103,FM!$A:$J,3,FALSE))</f>
        <v>0</v>
      </c>
      <c r="C103" s="58">
        <f>IF(ISNA(VLOOKUP($J103,FM!$A:$J,4,FALSE)),0,VLOOKUP($J103,FM!$A:$J,4,FALSE))</f>
        <v>0</v>
      </c>
      <c r="D103" s="58">
        <f>IF(ISNA(VLOOKUP($J103,FM!$A:$J,5,FALSE)),0,VLOOKUP($J103,FM!$A:$J,5,FALSE))</f>
        <v>0</v>
      </c>
      <c r="E103" s="58">
        <f>IF(ISNA(VLOOKUP($J103,FM!$A:$J,6,FALSE)),0,VLOOKUP($J103,FM!$A:$J,6,FALSE))</f>
        <v>0</v>
      </c>
      <c r="F103" s="58">
        <f>IF(ISNA(VLOOKUP($J103,FM!$A:$J,7,FALSE)),0,VLOOKUP($J103,FM!$A:$J,7,FALSE))</f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163" t="s">
        <v>847</v>
      </c>
    </row>
    <row r="104" spans="1:10" x14ac:dyDescent="0.3">
      <c r="A104" s="106" t="s">
        <v>123</v>
      </c>
      <c r="B104" s="58">
        <f>IF(ISNA(VLOOKUP($J104,FM!$A:$J,3,FALSE)),0,VLOOKUP($J104,FM!$A:$J,3,FALSE))</f>
        <v>0</v>
      </c>
      <c r="C104" s="58">
        <f>IF(ISNA(VLOOKUP($J104,FM!$A:$J,4,FALSE)),0,VLOOKUP($J104,FM!$A:$J,4,FALSE))</f>
        <v>0</v>
      </c>
      <c r="D104" s="58">
        <f>IF(ISNA(VLOOKUP($J104,FM!$A:$J,5,FALSE)),0,VLOOKUP($J104,FM!$A:$J,5,FALSE))</f>
        <v>0</v>
      </c>
      <c r="E104" s="58">
        <f>IF(ISNA(VLOOKUP($J104,FM!$A:$J,6,FALSE)),0,VLOOKUP($J104,FM!$A:$J,6,FALSE))</f>
        <v>0</v>
      </c>
      <c r="F104" s="58">
        <f>IF(ISNA(VLOOKUP($J104,FM!$A:$J,7,FALSE)),0,VLOOKUP($J104,FM!$A:$J,7,FALSE))</f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163" t="s">
        <v>848</v>
      </c>
    </row>
    <row r="105" spans="1:10" x14ac:dyDescent="0.3">
      <c r="A105" s="106" t="s">
        <v>898</v>
      </c>
      <c r="B105" s="58">
        <f>IF(ISNA(VLOOKUP($J105,FM!$A:$J,3,FALSE)),0,VLOOKUP($J105,FM!$A:$J,3,FALSE))</f>
        <v>0</v>
      </c>
      <c r="C105" s="58">
        <f>IF(ISNA(VLOOKUP($J105,FM!$A:$J,4,FALSE)),0,VLOOKUP($J105,FM!$A:$J,4,FALSE))</f>
        <v>353789.93</v>
      </c>
      <c r="D105" s="58">
        <f>IF(ISNA(VLOOKUP($J105,FM!$A:$J,5,FALSE)),0,VLOOKUP($J105,FM!$A:$J,5,FALSE))</f>
        <v>0</v>
      </c>
      <c r="E105" s="58">
        <f>IF(ISNA(VLOOKUP($J105,FM!$A:$J,6,FALSE)),0,VLOOKUP($J105,FM!$A:$J,6,FALSE))</f>
        <v>0</v>
      </c>
      <c r="F105" s="58">
        <f>IF(ISNA(VLOOKUP($J105,FM!$A:$J,7,FALSE)),0,VLOOKUP($J105,FM!$A:$J,7,FALSE))</f>
        <v>0</v>
      </c>
      <c r="G105" s="58">
        <f t="shared" si="21"/>
        <v>0</v>
      </c>
      <c r="H105" s="58">
        <f t="shared" si="21"/>
        <v>353789.93</v>
      </c>
      <c r="I105" s="58">
        <f t="shared" si="22"/>
        <v>353789.93</v>
      </c>
      <c r="J105" s="163" t="s">
        <v>899</v>
      </c>
    </row>
    <row r="106" spans="1:10" x14ac:dyDescent="0.3">
      <c r="A106" s="106" t="s">
        <v>124</v>
      </c>
      <c r="B106" s="58">
        <f>IF(ISNA(VLOOKUP($J106,FM!$A:$J,3,FALSE)),0,VLOOKUP($J106,FM!$A:$J,3,FALSE))</f>
        <v>0</v>
      </c>
      <c r="C106" s="58">
        <f>IF(ISNA(VLOOKUP($J106,FM!$A:$J,4,FALSE)),0,VLOOKUP($J106,FM!$A:$J,4,FALSE))</f>
        <v>0</v>
      </c>
      <c r="D106" s="58">
        <f>IF(ISNA(VLOOKUP($J106,FM!$A:$J,5,FALSE)),0,VLOOKUP($J106,FM!$A:$J,5,FALSE))</f>
        <v>0</v>
      </c>
      <c r="E106" s="58">
        <f>IF(ISNA(VLOOKUP($J106,FM!$A:$J,6,FALSE)),0,VLOOKUP($J106,FM!$A:$J,6,FALSE))</f>
        <v>0</v>
      </c>
      <c r="F106" s="58">
        <f>IF(ISNA(VLOOKUP($J106,FM!$A:$J,7,FALSE)),0,VLOOKUP($J106,FM!$A:$J,7,FALSE))</f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163" t="s">
        <v>849</v>
      </c>
    </row>
    <row r="107" spans="1:10" x14ac:dyDescent="0.3">
      <c r="A107" s="106" t="s">
        <v>125</v>
      </c>
      <c r="B107" s="58">
        <f>IF(ISNA(VLOOKUP($J107,FM!$A:$J,3,FALSE)),0,VLOOKUP($J107,FM!$A:$J,3,FALSE))</f>
        <v>0</v>
      </c>
      <c r="C107" s="58">
        <f>IF(ISNA(VLOOKUP($J107,FM!$A:$J,4,FALSE)),0,VLOOKUP($J107,FM!$A:$J,4,FALSE))</f>
        <v>0</v>
      </c>
      <c r="D107" s="58">
        <f>IF(ISNA(VLOOKUP($J107,FM!$A:$J,5,FALSE)),0,VLOOKUP($J107,FM!$A:$J,5,FALSE))</f>
        <v>0</v>
      </c>
      <c r="E107" s="58">
        <f>IF(ISNA(VLOOKUP($J107,FM!$A:$J,6,FALSE)),0,VLOOKUP($J107,FM!$A:$J,6,FALSE))</f>
        <v>0</v>
      </c>
      <c r="F107" s="58">
        <f>IF(ISNA(VLOOKUP($J107,FM!$A:$J,7,FALSE)),0,VLOOKUP($J107,FM!$A:$J,7,FALSE))</f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163" t="s">
        <v>850</v>
      </c>
    </row>
    <row r="108" spans="1:10" x14ac:dyDescent="0.3">
      <c r="A108" s="106" t="s">
        <v>126</v>
      </c>
      <c r="B108" s="58">
        <f>IF(ISNA(VLOOKUP($J108,FM!$A:$J,3,FALSE)),0,VLOOKUP($J108,FM!$A:$J,3,FALSE))</f>
        <v>0</v>
      </c>
      <c r="C108" s="58">
        <f>IF(ISNA(VLOOKUP($J108,FM!$A:$J,4,FALSE)),0,VLOOKUP($J108,FM!$A:$J,4,FALSE))</f>
        <v>2655712.88</v>
      </c>
      <c r="D108" s="58">
        <f>IF(ISNA(VLOOKUP($J108,FM!$A:$J,5,FALSE)),0,VLOOKUP($J108,FM!$A:$J,5,FALSE))</f>
        <v>0</v>
      </c>
      <c r="E108" s="58">
        <f>IF(ISNA(VLOOKUP($J108,FM!$A:$J,6,FALSE)),0,VLOOKUP($J108,FM!$A:$J,6,FALSE))</f>
        <v>0</v>
      </c>
      <c r="F108" s="58">
        <f>IF(ISNA(VLOOKUP($J108,FM!$A:$J,7,FALSE)),0,VLOOKUP($J108,FM!$A:$J,7,FALSE))</f>
        <v>0</v>
      </c>
      <c r="G108" s="58">
        <f t="shared" si="21"/>
        <v>0</v>
      </c>
      <c r="H108" s="58">
        <f t="shared" si="21"/>
        <v>2655712.88</v>
      </c>
      <c r="I108" s="58">
        <f t="shared" si="22"/>
        <v>2655712.88</v>
      </c>
      <c r="J108" s="163" t="s">
        <v>552</v>
      </c>
    </row>
    <row r="109" spans="1:10" x14ac:dyDescent="0.3">
      <c r="A109" s="106" t="s">
        <v>127</v>
      </c>
      <c r="B109" s="58">
        <f>IF(ISNA(VLOOKUP($J109,FM!$A:$J,3,FALSE)),0,VLOOKUP($J109,FM!$A:$J,3,FALSE))</f>
        <v>0</v>
      </c>
      <c r="C109" s="58">
        <f>IF(ISNA(VLOOKUP($J109,FM!$A:$J,4,FALSE)),0,VLOOKUP($J109,FM!$A:$J,4,FALSE))</f>
        <v>-40308.269999999997</v>
      </c>
      <c r="D109" s="58">
        <f>IF(ISNA(VLOOKUP($J109,FM!$A:$J,5,FALSE)),0,VLOOKUP($J109,FM!$A:$J,5,FALSE))</f>
        <v>0</v>
      </c>
      <c r="E109" s="58">
        <f>IF(ISNA(VLOOKUP($J109,FM!$A:$J,6,FALSE)),0,VLOOKUP($J109,FM!$A:$J,6,FALSE))</f>
        <v>0</v>
      </c>
      <c r="F109" s="58">
        <f>IF(ISNA(VLOOKUP($J109,FM!$A:$J,7,FALSE)),0,VLOOKUP($J109,FM!$A:$J,7,FALSE))</f>
        <v>0</v>
      </c>
      <c r="G109" s="58">
        <f t="shared" si="21"/>
        <v>0</v>
      </c>
      <c r="H109" s="58">
        <f t="shared" si="21"/>
        <v>-40308.269999999997</v>
      </c>
      <c r="I109" s="58">
        <f t="shared" si="22"/>
        <v>-40308.269999999997</v>
      </c>
      <c r="J109" s="163" t="s">
        <v>554</v>
      </c>
    </row>
    <row r="110" spans="1:10" x14ac:dyDescent="0.3">
      <c r="A110" s="106" t="s">
        <v>128</v>
      </c>
      <c r="B110" s="58">
        <f>IF(ISNA(VLOOKUP($J110,FM!$A:$J,3,FALSE)),0,VLOOKUP($J110,FM!$A:$J,3,FALSE))</f>
        <v>0</v>
      </c>
      <c r="C110" s="58">
        <f>IF(ISNA(VLOOKUP($J110,FM!$A:$J,4,FALSE)),0,VLOOKUP($J110,FM!$A:$J,4,FALSE))</f>
        <v>611755.5</v>
      </c>
      <c r="D110" s="58">
        <f>IF(ISNA(VLOOKUP($J110,FM!$A:$J,5,FALSE)),0,VLOOKUP($J110,FM!$A:$J,5,FALSE))</f>
        <v>0</v>
      </c>
      <c r="E110" s="58">
        <f>IF(ISNA(VLOOKUP($J110,FM!$A:$J,6,FALSE)),0,VLOOKUP($J110,FM!$A:$J,6,FALSE))</f>
        <v>0</v>
      </c>
      <c r="F110" s="58">
        <f>IF(ISNA(VLOOKUP($J110,FM!$A:$J,7,FALSE)),0,VLOOKUP($J110,FM!$A:$J,7,FALSE))</f>
        <v>0</v>
      </c>
      <c r="G110" s="58">
        <f t="shared" si="21"/>
        <v>0</v>
      </c>
      <c r="H110" s="58">
        <f t="shared" si="21"/>
        <v>611755.5</v>
      </c>
      <c r="I110" s="58">
        <f t="shared" si="22"/>
        <v>611755.5</v>
      </c>
      <c r="J110" s="163" t="s">
        <v>556</v>
      </c>
    </row>
    <row r="111" spans="1:10" x14ac:dyDescent="0.3">
      <c r="A111" s="106" t="s">
        <v>129</v>
      </c>
      <c r="B111" s="58">
        <f>IF(ISNA(VLOOKUP($J111,FM!$A:$J,3,FALSE)),0,VLOOKUP($J111,FM!$A:$J,3,FALSE))</f>
        <v>0</v>
      </c>
      <c r="C111" s="58">
        <f>IF(ISNA(VLOOKUP($J111,FM!$A:$J,4,FALSE)),0,VLOOKUP($J111,FM!$A:$J,4,FALSE))</f>
        <v>182334.95</v>
      </c>
      <c r="D111" s="58">
        <f>IF(ISNA(VLOOKUP($J111,FM!$A:$J,5,FALSE)),0,VLOOKUP($J111,FM!$A:$J,5,FALSE))</f>
        <v>0</v>
      </c>
      <c r="E111" s="58">
        <f>IF(ISNA(VLOOKUP($J111,FM!$A:$J,6,FALSE)),0,VLOOKUP($J111,FM!$A:$J,6,FALSE))</f>
        <v>0</v>
      </c>
      <c r="F111" s="58">
        <f>IF(ISNA(VLOOKUP($J111,FM!$A:$J,7,FALSE)),0,VLOOKUP($J111,FM!$A:$J,7,FALSE))</f>
        <v>0</v>
      </c>
      <c r="G111" s="58">
        <f t="shared" si="21"/>
        <v>0</v>
      </c>
      <c r="H111" s="58">
        <f t="shared" si="21"/>
        <v>182334.95</v>
      </c>
      <c r="I111" s="58">
        <f t="shared" si="22"/>
        <v>182334.95</v>
      </c>
      <c r="J111" s="163" t="s">
        <v>558</v>
      </c>
    </row>
    <row r="112" spans="1:10" x14ac:dyDescent="0.3">
      <c r="A112" s="106" t="s">
        <v>130</v>
      </c>
      <c r="B112" s="58">
        <f>IF(ISNA(VLOOKUP($J112,FM!$A:$J,3,FALSE)),0,VLOOKUP($J112,FM!$A:$J,3,FALSE))</f>
        <v>0</v>
      </c>
      <c r="C112" s="58">
        <f>IF(ISNA(VLOOKUP($J112,FM!$A:$J,4,FALSE)),0,VLOOKUP($J112,FM!$A:$J,4,FALSE))</f>
        <v>0</v>
      </c>
      <c r="D112" s="58">
        <f>IF(ISNA(VLOOKUP($J112,FM!$A:$J,5,FALSE)),0,VLOOKUP($J112,FM!$A:$J,5,FALSE))</f>
        <v>0</v>
      </c>
      <c r="E112" s="58">
        <f>IF(ISNA(VLOOKUP($J112,FM!$A:$J,6,FALSE)),0,VLOOKUP($J112,FM!$A:$J,6,FALSE))</f>
        <v>0</v>
      </c>
      <c r="F112" s="58">
        <f>IF(ISNA(VLOOKUP($J112,FM!$A:$J,7,FALSE)),0,VLOOKUP($J112,FM!$A:$J,7,FALSE))</f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163" t="s">
        <v>851</v>
      </c>
    </row>
    <row r="113" spans="1:10" x14ac:dyDescent="0.3">
      <c r="A113" s="106" t="s">
        <v>131</v>
      </c>
      <c r="B113" s="58">
        <f>IF(ISNA(VLOOKUP($J113,FM!$A:$J,3,FALSE)),0,VLOOKUP($J113,FM!$A:$J,3,FALSE))</f>
        <v>0</v>
      </c>
      <c r="C113" s="58">
        <f>IF(ISNA(VLOOKUP($J113,FM!$A:$J,4,FALSE)),0,VLOOKUP($J113,FM!$A:$J,4,FALSE))</f>
        <v>15806.92</v>
      </c>
      <c r="D113" s="58">
        <f>IF(ISNA(VLOOKUP($J113,FM!$A:$J,5,FALSE)),0,VLOOKUP($J113,FM!$A:$J,5,FALSE))</f>
        <v>0</v>
      </c>
      <c r="E113" s="58">
        <f>IF(ISNA(VLOOKUP($J113,FM!$A:$J,6,FALSE)),0,VLOOKUP($J113,FM!$A:$J,6,FALSE))</f>
        <v>0</v>
      </c>
      <c r="F113" s="58">
        <f>IF(ISNA(VLOOKUP($J113,FM!$A:$J,7,FALSE)),0,VLOOKUP($J113,FM!$A:$J,7,FALSE))</f>
        <v>0</v>
      </c>
      <c r="G113" s="58">
        <f t="shared" si="21"/>
        <v>0</v>
      </c>
      <c r="H113" s="58">
        <f t="shared" si="21"/>
        <v>15806.92</v>
      </c>
      <c r="I113" s="58">
        <f t="shared" si="22"/>
        <v>15806.92</v>
      </c>
      <c r="J113" s="163" t="s">
        <v>560</v>
      </c>
    </row>
    <row r="114" spans="1:10" x14ac:dyDescent="0.3">
      <c r="A114" s="106" t="s">
        <v>132</v>
      </c>
      <c r="B114" s="58">
        <f>IF(ISNA(VLOOKUP($J114,FM!$A:$J,3,FALSE)),0,VLOOKUP($J114,FM!$A:$J,3,FALSE))</f>
        <v>0</v>
      </c>
      <c r="C114" s="58">
        <f>IF(ISNA(VLOOKUP($J114,FM!$A:$J,4,FALSE)),0,VLOOKUP($J114,FM!$A:$J,4,FALSE))</f>
        <v>29990.71</v>
      </c>
      <c r="D114" s="58">
        <f>IF(ISNA(VLOOKUP($J114,FM!$A:$J,5,FALSE)),0,VLOOKUP($J114,FM!$A:$J,5,FALSE))</f>
        <v>0</v>
      </c>
      <c r="E114" s="58">
        <f>IF(ISNA(VLOOKUP($J114,FM!$A:$J,6,FALSE)),0,VLOOKUP($J114,FM!$A:$J,6,FALSE))</f>
        <v>0</v>
      </c>
      <c r="F114" s="58">
        <f>IF(ISNA(VLOOKUP($J114,FM!$A:$J,7,FALSE)),0,VLOOKUP($J114,FM!$A:$J,7,FALSE))</f>
        <v>0</v>
      </c>
      <c r="G114" s="58">
        <f t="shared" si="21"/>
        <v>0</v>
      </c>
      <c r="H114" s="58">
        <f t="shared" si="21"/>
        <v>29990.71</v>
      </c>
      <c r="I114" s="58">
        <f t="shared" si="22"/>
        <v>29990.71</v>
      </c>
      <c r="J114" s="163" t="s">
        <v>562</v>
      </c>
    </row>
    <row r="115" spans="1:10" x14ac:dyDescent="0.3">
      <c r="A115" s="106" t="s">
        <v>133</v>
      </c>
      <c r="B115" s="58">
        <f>IF(ISNA(VLOOKUP($J115,FM!$A:$J,3,FALSE)),0,VLOOKUP($J115,FM!$A:$J,3,FALSE))</f>
        <v>0</v>
      </c>
      <c r="C115" s="58">
        <f>IF(ISNA(VLOOKUP($J115,FM!$A:$J,4,FALSE)),0,VLOOKUP($J115,FM!$A:$J,4,FALSE))</f>
        <v>294067.94</v>
      </c>
      <c r="D115" s="58">
        <f>IF(ISNA(VLOOKUP($J115,FM!$A:$J,5,FALSE)),0,VLOOKUP($J115,FM!$A:$J,5,FALSE))</f>
        <v>0</v>
      </c>
      <c r="E115" s="58">
        <f>IF(ISNA(VLOOKUP($J115,FM!$A:$J,6,FALSE)),0,VLOOKUP($J115,FM!$A:$J,6,FALSE))</f>
        <v>0</v>
      </c>
      <c r="F115" s="58">
        <f>IF(ISNA(VLOOKUP($J115,FM!$A:$J,7,FALSE)),0,VLOOKUP($J115,FM!$A:$J,7,FALSE))</f>
        <v>0</v>
      </c>
      <c r="G115" s="58">
        <f t="shared" si="21"/>
        <v>0</v>
      </c>
      <c r="H115" s="58">
        <f t="shared" si="21"/>
        <v>294067.94</v>
      </c>
      <c r="I115" s="58">
        <f t="shared" si="22"/>
        <v>294067.94</v>
      </c>
      <c r="J115" s="163" t="s">
        <v>564</v>
      </c>
    </row>
    <row r="116" spans="1:10" x14ac:dyDescent="0.3">
      <c r="A116" s="106" t="s">
        <v>134</v>
      </c>
      <c r="B116" s="58">
        <f>IF(ISNA(VLOOKUP($J116,FM!$A:$J,3,FALSE)),0,VLOOKUP($J116,FM!$A:$J,3,FALSE))</f>
        <v>0</v>
      </c>
      <c r="C116" s="58">
        <f>IF(ISNA(VLOOKUP($J116,FM!$A:$J,4,FALSE)),0,VLOOKUP($J116,FM!$A:$J,4,FALSE))</f>
        <v>65490.8</v>
      </c>
      <c r="D116" s="58">
        <f>IF(ISNA(VLOOKUP($J116,FM!$A:$J,5,FALSE)),0,VLOOKUP($J116,FM!$A:$J,5,FALSE))</f>
        <v>0</v>
      </c>
      <c r="E116" s="58">
        <f>IF(ISNA(VLOOKUP($J116,FM!$A:$J,6,FALSE)),0,VLOOKUP($J116,FM!$A:$J,6,FALSE))</f>
        <v>0</v>
      </c>
      <c r="F116" s="58">
        <f>IF(ISNA(VLOOKUP($J116,FM!$A:$J,7,FALSE)),0,VLOOKUP($J116,FM!$A:$J,7,FALSE))</f>
        <v>0</v>
      </c>
      <c r="G116" s="58">
        <f t="shared" si="21"/>
        <v>0</v>
      </c>
      <c r="H116" s="58">
        <f t="shared" si="21"/>
        <v>65490.8</v>
      </c>
      <c r="I116" s="58">
        <f t="shared" si="22"/>
        <v>65490.8</v>
      </c>
      <c r="J116" s="163" t="s">
        <v>566</v>
      </c>
    </row>
    <row r="117" spans="1:10" x14ac:dyDescent="0.3">
      <c r="A117" s="106" t="s">
        <v>135</v>
      </c>
      <c r="B117" s="58">
        <f>IF(ISNA(VLOOKUP($J117,FM!$A:$J,3,FALSE)),0,VLOOKUP($J117,FM!$A:$J,3,FALSE))</f>
        <v>0</v>
      </c>
      <c r="C117" s="58">
        <f>IF(ISNA(VLOOKUP($J117,FM!$A:$J,4,FALSE)),0,VLOOKUP($J117,FM!$A:$J,4,FALSE))</f>
        <v>119.54</v>
      </c>
      <c r="D117" s="58">
        <f>IF(ISNA(VLOOKUP($J117,FM!$A:$J,5,FALSE)),0,VLOOKUP($J117,FM!$A:$J,5,FALSE))</f>
        <v>0</v>
      </c>
      <c r="E117" s="58">
        <f>IF(ISNA(VLOOKUP($J117,FM!$A:$J,6,FALSE)),0,VLOOKUP($J117,FM!$A:$J,6,FALSE))</f>
        <v>0</v>
      </c>
      <c r="F117" s="58">
        <f>IF(ISNA(VLOOKUP($J117,FM!$A:$J,7,FALSE)),0,VLOOKUP($J117,FM!$A:$J,7,FALSE))</f>
        <v>0</v>
      </c>
      <c r="G117" s="58">
        <f t="shared" si="21"/>
        <v>0</v>
      </c>
      <c r="H117" s="58">
        <f t="shared" si="21"/>
        <v>119.54</v>
      </c>
      <c r="I117" s="58">
        <f t="shared" si="22"/>
        <v>119.54</v>
      </c>
      <c r="J117" s="163" t="s">
        <v>568</v>
      </c>
    </row>
    <row r="118" spans="1:10" x14ac:dyDescent="0.3">
      <c r="A118" s="106" t="s">
        <v>136</v>
      </c>
      <c r="B118" s="58">
        <f>IF(ISNA(VLOOKUP($J118,FM!$A:$J,3,FALSE)),0,VLOOKUP($J118,FM!$A:$J,3,FALSE))</f>
        <v>0</v>
      </c>
      <c r="C118" s="58">
        <f>IF(ISNA(VLOOKUP($J118,FM!$A:$J,4,FALSE)),0,VLOOKUP($J118,FM!$A:$J,4,FALSE))</f>
        <v>0</v>
      </c>
      <c r="D118" s="58">
        <f>IF(ISNA(VLOOKUP($J118,FM!$A:$J,5,FALSE)),0,VLOOKUP($J118,FM!$A:$J,5,FALSE))</f>
        <v>0</v>
      </c>
      <c r="E118" s="58">
        <f>IF(ISNA(VLOOKUP($J118,FM!$A:$J,6,FALSE)),0,VLOOKUP($J118,FM!$A:$J,6,FALSE))</f>
        <v>0</v>
      </c>
      <c r="F118" s="58">
        <f>IF(ISNA(VLOOKUP($J118,FM!$A:$J,7,FALSE)),0,VLOOKUP($J118,FM!$A:$J,7,FALSE))</f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163" t="s">
        <v>852</v>
      </c>
    </row>
    <row r="119" spans="1:10" x14ac:dyDescent="0.3">
      <c r="A119" s="106" t="s">
        <v>137</v>
      </c>
      <c r="B119" s="58">
        <f>IF(ISNA(VLOOKUP($J119,FM!$A:$J,3,FALSE)),0,VLOOKUP($J119,FM!$A:$J,3,FALSE))</f>
        <v>0</v>
      </c>
      <c r="C119" s="58">
        <f>IF(ISNA(VLOOKUP($J119,FM!$A:$J,4,FALSE)),0,VLOOKUP($J119,FM!$A:$J,4,FALSE))</f>
        <v>0</v>
      </c>
      <c r="D119" s="58">
        <f>IF(ISNA(VLOOKUP($J119,FM!$A:$J,5,FALSE)),0,VLOOKUP($J119,FM!$A:$J,5,FALSE))</f>
        <v>0</v>
      </c>
      <c r="E119" s="58">
        <f>IF(ISNA(VLOOKUP($J119,FM!$A:$J,6,FALSE)),0,VLOOKUP($J119,FM!$A:$J,6,FALSE))</f>
        <v>0</v>
      </c>
      <c r="F119" s="58">
        <f>IF(ISNA(VLOOKUP($J119,FM!$A:$J,7,FALSE)),0,VLOOKUP($J119,FM!$A:$J,7,FALSE))</f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163" t="s">
        <v>853</v>
      </c>
    </row>
    <row r="120" spans="1:10" x14ac:dyDescent="0.3">
      <c r="A120" s="106" t="s">
        <v>138</v>
      </c>
      <c r="B120" s="58">
        <f>IF(ISNA(VLOOKUP($J120,FM!$A:$J,3,FALSE)),0,VLOOKUP($J120,FM!$A:$J,3,FALSE))</f>
        <v>0</v>
      </c>
      <c r="C120" s="58">
        <f>IF(ISNA(VLOOKUP($J120,FM!$A:$J,4,FALSE)),0,VLOOKUP($J120,FM!$A:$J,4,FALSE))</f>
        <v>100350.11</v>
      </c>
      <c r="D120" s="58">
        <f>IF(ISNA(VLOOKUP($J120,FM!$A:$J,5,FALSE)),0,VLOOKUP($J120,FM!$A:$J,5,FALSE))</f>
        <v>0</v>
      </c>
      <c r="E120" s="58">
        <f>IF(ISNA(VLOOKUP($J120,FM!$A:$J,6,FALSE)),0,VLOOKUP($J120,FM!$A:$J,6,FALSE))</f>
        <v>0</v>
      </c>
      <c r="F120" s="58">
        <f>IF(ISNA(VLOOKUP($J120,FM!$A:$J,7,FALSE)),0,VLOOKUP($J120,FM!$A:$J,7,FALSE))</f>
        <v>0</v>
      </c>
      <c r="G120" s="58">
        <f t="shared" si="21"/>
        <v>0</v>
      </c>
      <c r="H120" s="58">
        <f t="shared" si="21"/>
        <v>100350.11</v>
      </c>
      <c r="I120" s="58">
        <f t="shared" si="22"/>
        <v>100350.11</v>
      </c>
      <c r="J120" s="163" t="s">
        <v>570</v>
      </c>
    </row>
    <row r="121" spans="1:10" x14ac:dyDescent="0.3">
      <c r="A121" s="106" t="s">
        <v>139</v>
      </c>
      <c r="B121" s="58">
        <f>IF(ISNA(VLOOKUP($J121,FM!$A:$J,3,FALSE)),0,VLOOKUP($J121,FM!$A:$J,3,FALSE))</f>
        <v>0</v>
      </c>
      <c r="C121" s="58">
        <f>IF(ISNA(VLOOKUP($J121,FM!$A:$J,4,FALSE)),0,VLOOKUP($J121,FM!$A:$J,4,FALSE))</f>
        <v>21646.17</v>
      </c>
      <c r="D121" s="58">
        <f>IF(ISNA(VLOOKUP($J121,FM!$A:$J,5,FALSE)),0,VLOOKUP($J121,FM!$A:$J,5,FALSE))</f>
        <v>0</v>
      </c>
      <c r="E121" s="58">
        <f>IF(ISNA(VLOOKUP($J121,FM!$A:$J,6,FALSE)),0,VLOOKUP($J121,FM!$A:$J,6,FALSE))</f>
        <v>0</v>
      </c>
      <c r="F121" s="58">
        <f>IF(ISNA(VLOOKUP($J121,FM!$A:$J,7,FALSE)),0,VLOOKUP($J121,FM!$A:$J,7,FALSE))</f>
        <v>0</v>
      </c>
      <c r="G121" s="58">
        <f t="shared" si="21"/>
        <v>0</v>
      </c>
      <c r="H121" s="58">
        <f t="shared" si="21"/>
        <v>21646.17</v>
      </c>
      <c r="I121" s="58">
        <f t="shared" si="22"/>
        <v>21646.17</v>
      </c>
      <c r="J121" s="163" t="s">
        <v>572</v>
      </c>
    </row>
    <row r="122" spans="1:10" x14ac:dyDescent="0.3">
      <c r="A122" s="106" t="s">
        <v>140</v>
      </c>
      <c r="B122" s="58">
        <f>IF(ISNA(VLOOKUP($J122,FM!$A:$J,3,FALSE)),0,VLOOKUP($J122,FM!$A:$J,3,FALSE))</f>
        <v>0</v>
      </c>
      <c r="C122" s="58">
        <f>IF(ISNA(VLOOKUP($J122,FM!$A:$J,4,FALSE)),0,VLOOKUP($J122,FM!$A:$J,4,FALSE))</f>
        <v>0</v>
      </c>
      <c r="D122" s="58">
        <f>IF(ISNA(VLOOKUP($J122,FM!$A:$J,5,FALSE)),0,VLOOKUP($J122,FM!$A:$J,5,FALSE))</f>
        <v>0</v>
      </c>
      <c r="E122" s="58">
        <f>IF(ISNA(VLOOKUP($J122,FM!$A:$J,6,FALSE)),0,VLOOKUP($J122,FM!$A:$J,6,FALSE))</f>
        <v>0</v>
      </c>
      <c r="F122" s="58">
        <f>IF(ISNA(VLOOKUP($J122,FM!$A:$J,7,FALSE)),0,VLOOKUP($J122,FM!$A:$J,7,FALSE))</f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163" t="s">
        <v>854</v>
      </c>
    </row>
    <row r="123" spans="1:10" x14ac:dyDescent="0.3">
      <c r="A123" s="106" t="s">
        <v>141</v>
      </c>
      <c r="B123" s="58">
        <f>IF(ISNA(VLOOKUP($J123,FM!$A:$J,3,FALSE)),0,VLOOKUP($J123,FM!$A:$J,3,FALSE))</f>
        <v>0</v>
      </c>
      <c r="C123" s="58">
        <f>IF(ISNA(VLOOKUP($J123,FM!$A:$J,4,FALSE)),0,VLOOKUP($J123,FM!$A:$J,4,FALSE))</f>
        <v>164320.39000000001</v>
      </c>
      <c r="D123" s="58">
        <f>IF(ISNA(VLOOKUP($J123,FM!$A:$J,5,FALSE)),0,VLOOKUP($J123,FM!$A:$J,5,FALSE))</f>
        <v>0</v>
      </c>
      <c r="E123" s="58">
        <f>IF(ISNA(VLOOKUP($J123,FM!$A:$J,6,FALSE)),0,VLOOKUP($J123,FM!$A:$J,6,FALSE))</f>
        <v>0</v>
      </c>
      <c r="F123" s="58">
        <f>IF(ISNA(VLOOKUP($J123,FM!$A:$J,7,FALSE)),0,VLOOKUP($J123,FM!$A:$J,7,FALSE))</f>
        <v>0</v>
      </c>
      <c r="G123" s="58">
        <f t="shared" si="21"/>
        <v>0</v>
      </c>
      <c r="H123" s="58">
        <f t="shared" si="21"/>
        <v>164320.39000000001</v>
      </c>
      <c r="I123" s="58">
        <f t="shared" si="22"/>
        <v>164320.39000000001</v>
      </c>
      <c r="J123" s="163" t="s">
        <v>573</v>
      </c>
    </row>
    <row r="124" spans="1:10" x14ac:dyDescent="0.3">
      <c r="A124" s="106" t="s">
        <v>142</v>
      </c>
      <c r="B124" s="58">
        <f>IF(ISNA(VLOOKUP($J124,FM!$A:$J,3,FALSE)),0,VLOOKUP($J124,FM!$A:$J,3,FALSE))</f>
        <v>0</v>
      </c>
      <c r="C124" s="58">
        <f>IF(ISNA(VLOOKUP($J124,FM!$A:$J,4,FALSE)),0,VLOOKUP($J124,FM!$A:$J,4,FALSE))</f>
        <v>47142.5</v>
      </c>
      <c r="D124" s="58">
        <f>IF(ISNA(VLOOKUP($J124,FM!$A:$J,5,FALSE)),0,VLOOKUP($J124,FM!$A:$J,5,FALSE))</f>
        <v>0</v>
      </c>
      <c r="E124" s="58">
        <f>IF(ISNA(VLOOKUP($J124,FM!$A:$J,6,FALSE)),0,VLOOKUP($J124,FM!$A:$J,6,FALSE))</f>
        <v>0</v>
      </c>
      <c r="F124" s="58">
        <f>IF(ISNA(VLOOKUP($J124,FM!$A:$J,7,FALSE)),0,VLOOKUP($J124,FM!$A:$J,7,FALSE))</f>
        <v>0</v>
      </c>
      <c r="G124" s="58">
        <f t="shared" si="21"/>
        <v>0</v>
      </c>
      <c r="H124" s="58">
        <f t="shared" si="21"/>
        <v>47142.5</v>
      </c>
      <c r="I124" s="58">
        <f t="shared" si="22"/>
        <v>47142.5</v>
      </c>
      <c r="J124" s="163" t="s">
        <v>575</v>
      </c>
    </row>
    <row r="125" spans="1:10" x14ac:dyDescent="0.3">
      <c r="A125" s="106" t="s">
        <v>143</v>
      </c>
      <c r="B125" s="58">
        <f>IF(ISNA(VLOOKUP($J125,FM!$A:$J,3,FALSE)),0,VLOOKUP($J125,FM!$A:$J,3,FALSE))</f>
        <v>0</v>
      </c>
      <c r="C125" s="58">
        <f>IF(ISNA(VLOOKUP($J125,FM!$A:$J,4,FALSE)),0,VLOOKUP($J125,FM!$A:$J,4,FALSE))</f>
        <v>1352351.36</v>
      </c>
      <c r="D125" s="58">
        <f>IF(ISNA(VLOOKUP($J125,FM!$A:$J,5,FALSE)),0,VLOOKUP($J125,FM!$A:$J,5,FALSE))</f>
        <v>0</v>
      </c>
      <c r="E125" s="58">
        <f>IF(ISNA(VLOOKUP($J125,FM!$A:$J,6,FALSE)),0,VLOOKUP($J125,FM!$A:$J,6,FALSE))</f>
        <v>0</v>
      </c>
      <c r="F125" s="58">
        <f>IF(ISNA(VLOOKUP($J125,FM!$A:$J,7,FALSE)),0,VLOOKUP($J125,FM!$A:$J,7,FALSE))</f>
        <v>0</v>
      </c>
      <c r="G125" s="58">
        <f t="shared" si="21"/>
        <v>0</v>
      </c>
      <c r="H125" s="58">
        <f t="shared" si="21"/>
        <v>1352351.36</v>
      </c>
      <c r="I125" s="58">
        <f t="shared" si="22"/>
        <v>1352351.36</v>
      </c>
      <c r="J125" s="163" t="s">
        <v>577</v>
      </c>
    </row>
    <row r="126" spans="1:10" x14ac:dyDescent="0.3">
      <c r="A126" s="106" t="s">
        <v>144</v>
      </c>
      <c r="B126" s="58">
        <f>IF(ISNA(VLOOKUP($J126,FM!$A:$J,3,FALSE)),0,VLOOKUP($J126,FM!$A:$J,3,FALSE))</f>
        <v>0</v>
      </c>
      <c r="C126" s="58">
        <f>IF(ISNA(VLOOKUP($J126,FM!$A:$J,4,FALSE)),0,VLOOKUP($J126,FM!$A:$J,4,FALSE))</f>
        <v>9139.7000000000007</v>
      </c>
      <c r="D126" s="58">
        <f>IF(ISNA(VLOOKUP($J126,FM!$A:$J,5,FALSE)),0,VLOOKUP($J126,FM!$A:$J,5,FALSE))</f>
        <v>0</v>
      </c>
      <c r="E126" s="58">
        <f>IF(ISNA(VLOOKUP($J126,FM!$A:$J,6,FALSE)),0,VLOOKUP($J126,FM!$A:$J,6,FALSE))</f>
        <v>0</v>
      </c>
      <c r="F126" s="58">
        <f>IF(ISNA(VLOOKUP($J126,FM!$A:$J,7,FALSE)),0,VLOOKUP($J126,FM!$A:$J,7,FALSE))</f>
        <v>0</v>
      </c>
      <c r="G126" s="58">
        <f t="shared" si="21"/>
        <v>0</v>
      </c>
      <c r="H126" s="58">
        <f t="shared" si="21"/>
        <v>9139.7000000000007</v>
      </c>
      <c r="I126" s="58">
        <f t="shared" si="22"/>
        <v>9139.7000000000007</v>
      </c>
      <c r="J126" s="163" t="s">
        <v>579</v>
      </c>
    </row>
    <row r="127" spans="1:10" x14ac:dyDescent="0.3">
      <c r="A127" s="106" t="s">
        <v>145</v>
      </c>
      <c r="B127" s="58">
        <f>IF(ISNA(VLOOKUP($J127,FM!$A:$J,3,FALSE)),0,VLOOKUP($J127,FM!$A:$J,3,FALSE))</f>
        <v>0</v>
      </c>
      <c r="C127" s="58">
        <f>IF(ISNA(VLOOKUP($J127,FM!$A:$J,4,FALSE)),0,VLOOKUP($J127,FM!$A:$J,4,FALSE))</f>
        <v>489269.53</v>
      </c>
      <c r="D127" s="58">
        <f>IF(ISNA(VLOOKUP($J127,FM!$A:$J,5,FALSE)),0,VLOOKUP($J127,FM!$A:$J,5,FALSE))</f>
        <v>0</v>
      </c>
      <c r="E127" s="58">
        <f>IF(ISNA(VLOOKUP($J127,FM!$A:$J,6,FALSE)),0,VLOOKUP($J127,FM!$A:$J,6,FALSE))</f>
        <v>0</v>
      </c>
      <c r="F127" s="58">
        <f>IF(ISNA(VLOOKUP($J127,FM!$A:$J,7,FALSE)),0,VLOOKUP($J127,FM!$A:$J,7,FALSE))</f>
        <v>0</v>
      </c>
      <c r="G127" s="58">
        <f t="shared" si="21"/>
        <v>0</v>
      </c>
      <c r="H127" s="58">
        <f t="shared" si="21"/>
        <v>489269.53</v>
      </c>
      <c r="I127" s="58">
        <f t="shared" si="22"/>
        <v>489269.53</v>
      </c>
      <c r="J127" s="163" t="s">
        <v>580</v>
      </c>
    </row>
    <row r="128" spans="1:10" x14ac:dyDescent="0.3">
      <c r="A128" s="106" t="s">
        <v>146</v>
      </c>
      <c r="B128" s="58">
        <f>IF(ISNA(VLOOKUP($J128,FM!$A:$J,3,FALSE)),0,VLOOKUP($J128,FM!$A:$J,3,FALSE))</f>
        <v>0</v>
      </c>
      <c r="C128" s="58">
        <f>IF(ISNA(VLOOKUP($J128,FM!$A:$J,4,FALSE)),0,VLOOKUP($J128,FM!$A:$J,4,FALSE))</f>
        <v>125.05</v>
      </c>
      <c r="D128" s="58">
        <f>IF(ISNA(VLOOKUP($J128,FM!$A:$J,5,FALSE)),0,VLOOKUP($J128,FM!$A:$J,5,FALSE))</f>
        <v>0</v>
      </c>
      <c r="E128" s="58">
        <f>IF(ISNA(VLOOKUP($J128,FM!$A:$J,6,FALSE)),0,VLOOKUP($J128,FM!$A:$J,6,FALSE))</f>
        <v>0</v>
      </c>
      <c r="F128" s="58">
        <f>IF(ISNA(VLOOKUP($J128,FM!$A:$J,7,FALSE)),0,VLOOKUP($J128,FM!$A:$J,7,FALSE))</f>
        <v>0</v>
      </c>
      <c r="G128" s="58">
        <f t="shared" si="21"/>
        <v>0</v>
      </c>
      <c r="H128" s="58">
        <f t="shared" si="21"/>
        <v>125.05</v>
      </c>
      <c r="I128" s="58">
        <f t="shared" si="22"/>
        <v>125.05</v>
      </c>
      <c r="J128" s="163" t="s">
        <v>855</v>
      </c>
    </row>
    <row r="129" spans="1:10" x14ac:dyDescent="0.3">
      <c r="A129" s="106" t="s">
        <v>147</v>
      </c>
      <c r="B129" s="58">
        <f>IF(ISNA(VLOOKUP($J129,FM!$A:$J,3,FALSE)),0,VLOOKUP($J129,FM!$A:$J,3,FALSE))</f>
        <v>0</v>
      </c>
      <c r="C129" s="58">
        <f>IF(ISNA(VLOOKUP($J129,FM!$A:$J,4,FALSE)),0,VLOOKUP($J129,FM!$A:$J,4,FALSE))</f>
        <v>8980.4599999999991</v>
      </c>
      <c r="D129" s="58">
        <f>IF(ISNA(VLOOKUP($J129,FM!$A:$J,5,FALSE)),0,VLOOKUP($J129,FM!$A:$J,5,FALSE))</f>
        <v>0</v>
      </c>
      <c r="E129" s="58">
        <f>IF(ISNA(VLOOKUP($J129,FM!$A:$J,6,FALSE)),0,VLOOKUP($J129,FM!$A:$J,6,FALSE))</f>
        <v>0</v>
      </c>
      <c r="F129" s="58">
        <f>IF(ISNA(VLOOKUP($J129,FM!$A:$J,7,FALSE)),0,VLOOKUP($J129,FM!$A:$J,7,FALSE))</f>
        <v>0</v>
      </c>
      <c r="G129" s="58">
        <f t="shared" si="21"/>
        <v>0</v>
      </c>
      <c r="H129" s="58">
        <f t="shared" si="21"/>
        <v>8980.4599999999991</v>
      </c>
      <c r="I129" s="58">
        <f t="shared" si="22"/>
        <v>8980.4599999999991</v>
      </c>
      <c r="J129" s="163" t="s">
        <v>582</v>
      </c>
    </row>
    <row r="130" spans="1:10" x14ac:dyDescent="0.3">
      <c r="A130" s="106" t="s">
        <v>148</v>
      </c>
      <c r="B130" s="58">
        <f>IF(ISNA(VLOOKUP($J130,FM!$A:$J,3,FALSE)),0,VLOOKUP($J130,FM!$A:$J,3,FALSE))</f>
        <v>0</v>
      </c>
      <c r="C130" s="58">
        <f>IF(ISNA(VLOOKUP($J130,FM!$A:$J,4,FALSE)),0,VLOOKUP($J130,FM!$A:$J,4,FALSE))</f>
        <v>16631.580000000002</v>
      </c>
      <c r="D130" s="58">
        <f>IF(ISNA(VLOOKUP($J130,FM!$A:$J,5,FALSE)),0,VLOOKUP($J130,FM!$A:$J,5,FALSE))</f>
        <v>0</v>
      </c>
      <c r="E130" s="58">
        <f>IF(ISNA(VLOOKUP($J130,FM!$A:$J,6,FALSE)),0,VLOOKUP($J130,FM!$A:$J,6,FALSE))</f>
        <v>0</v>
      </c>
      <c r="F130" s="58">
        <f>IF(ISNA(VLOOKUP($J130,FM!$A:$J,7,FALSE)),0,VLOOKUP($J130,FM!$A:$J,7,FALSE))</f>
        <v>0</v>
      </c>
      <c r="G130" s="58">
        <f t="shared" si="21"/>
        <v>0</v>
      </c>
      <c r="H130" s="58">
        <f t="shared" si="21"/>
        <v>16631.580000000002</v>
      </c>
      <c r="I130" s="58">
        <f t="shared" si="22"/>
        <v>16631.580000000002</v>
      </c>
      <c r="J130" s="163" t="s">
        <v>584</v>
      </c>
    </row>
    <row r="131" spans="1:10" x14ac:dyDescent="0.3">
      <c r="A131" s="283" t="s">
        <v>1004</v>
      </c>
      <c r="B131" s="58">
        <f>IF(ISNA(VLOOKUP($J131,FM!$A:$J,3,FALSE)),0,VLOOKUP($J131,FM!$A:$J,3,FALSE))</f>
        <v>0</v>
      </c>
      <c r="C131" s="58">
        <f>IF(ISNA(VLOOKUP($J131,FM!$A:$J,4,FALSE)),0,VLOOKUP($J131,FM!$A:$J,4,FALSE))</f>
        <v>0</v>
      </c>
      <c r="D131" s="58">
        <f>IF(ISNA(VLOOKUP($J131,FM!$A:$J,5,FALSE)),0,VLOOKUP($J131,FM!$A:$J,5,FALSE))</f>
        <v>0</v>
      </c>
      <c r="E131" s="58">
        <f>IF(ISNA(VLOOKUP($J131,FM!$A:$J,6,FALSE)),0,VLOOKUP($J131,FM!$A:$J,6,FALSE))</f>
        <v>0</v>
      </c>
      <c r="F131" s="58">
        <f>IF(ISNA(VLOOKUP($J131,FM!$A:$J,7,FALSE)),0,VLOOKUP($J131,FM!$A:$J,7,FALSE))</f>
        <v>0</v>
      </c>
      <c r="G131" s="58">
        <f t="shared" ref="G131" si="23">B131+E131</f>
        <v>0</v>
      </c>
      <c r="H131" s="58">
        <f t="shared" ref="H131" si="24">C131+F131</f>
        <v>0</v>
      </c>
      <c r="I131" s="58">
        <f t="shared" ref="I131" si="25">SUM(G131:H131)</f>
        <v>0</v>
      </c>
      <c r="J131" s="284" t="s">
        <v>944</v>
      </c>
    </row>
    <row r="132" spans="1:10" x14ac:dyDescent="0.3">
      <c r="A132" s="106" t="s">
        <v>149</v>
      </c>
      <c r="B132" s="58">
        <f>IF(ISNA(VLOOKUP($J132,FM!$A:$J,3,FALSE)),0,VLOOKUP($J132,FM!$A:$J,3,FALSE))</f>
        <v>0</v>
      </c>
      <c r="C132" s="58">
        <f>IF(ISNA(VLOOKUP($J132,FM!$A:$J,4,FALSE)),0,VLOOKUP($J132,FM!$A:$J,4,FALSE))</f>
        <v>919259.19</v>
      </c>
      <c r="D132" s="58">
        <f>IF(ISNA(VLOOKUP($J132,FM!$A:$J,5,FALSE)),0,VLOOKUP($J132,FM!$A:$J,5,FALSE))</f>
        <v>0</v>
      </c>
      <c r="E132" s="58">
        <f>IF(ISNA(VLOOKUP($J132,FM!$A:$J,6,FALSE)),0,VLOOKUP($J132,FM!$A:$J,6,FALSE))</f>
        <v>0</v>
      </c>
      <c r="F132" s="58">
        <f>IF(ISNA(VLOOKUP($J132,FM!$A:$J,7,FALSE)),0,VLOOKUP($J132,FM!$A:$J,7,FALSE))</f>
        <v>0</v>
      </c>
      <c r="G132" s="58">
        <f t="shared" si="21"/>
        <v>0</v>
      </c>
      <c r="H132" s="58">
        <f t="shared" si="21"/>
        <v>919259.19</v>
      </c>
      <c r="I132" s="58">
        <f t="shared" si="22"/>
        <v>919259.19</v>
      </c>
      <c r="J132" s="163" t="s">
        <v>586</v>
      </c>
    </row>
    <row r="133" spans="1:10" s="3" customFormat="1" x14ac:dyDescent="0.3">
      <c r="A133" s="283" t="s">
        <v>1034</v>
      </c>
      <c r="B133" s="58">
        <f>IF(ISNA(VLOOKUP($J133,FM!$A:$J,3,FALSE)),0,VLOOKUP($J133,FM!$A:$J,3,FALSE))</f>
        <v>0</v>
      </c>
      <c r="C133" s="58">
        <f>IF(ISNA(VLOOKUP($J133,FM!$A:$J,4,FALSE)),0,VLOOKUP($J133,FM!$A:$J,4,FALSE))</f>
        <v>0</v>
      </c>
      <c r="D133" s="58">
        <f>IF(ISNA(VLOOKUP($J133,FM!$A:$J,5,FALSE)),0,VLOOKUP($J133,FM!$A:$J,5,FALSE))</f>
        <v>0</v>
      </c>
      <c r="E133" s="58">
        <f>IF(ISNA(VLOOKUP($J133,FM!$A:$J,6,FALSE)),0,VLOOKUP($J133,FM!$A:$J,6,FALSE))</f>
        <v>0</v>
      </c>
      <c r="F133" s="58">
        <f>IF(ISNA(VLOOKUP($J133,FM!$A:$J,7,FALSE)),0,VLOOKUP($J133,FM!$A:$J,7,FALSE))</f>
        <v>0</v>
      </c>
      <c r="G133" s="58">
        <f t="shared" ref="G133:G145" si="26">B133+E133</f>
        <v>0</v>
      </c>
      <c r="H133" s="58">
        <f t="shared" ref="H133:H145" si="27">C133+F133</f>
        <v>0</v>
      </c>
      <c r="I133" s="290">
        <f t="shared" si="22"/>
        <v>0</v>
      </c>
      <c r="J133" s="284" t="s">
        <v>1008</v>
      </c>
    </row>
    <row r="134" spans="1:10" x14ac:dyDescent="0.3">
      <c r="A134" s="106" t="s">
        <v>150</v>
      </c>
      <c r="B134" s="58">
        <f>IF(ISNA(VLOOKUP($J134,FM!$A:$J,3,FALSE)),0,VLOOKUP($J134,FM!$A:$J,3,FALSE))</f>
        <v>0</v>
      </c>
      <c r="C134" s="58">
        <f>IF(ISNA(VLOOKUP($J134,FM!$A:$J,4,FALSE)),0,VLOOKUP($J134,FM!$A:$J,4,FALSE))</f>
        <v>0</v>
      </c>
      <c r="D134" s="58">
        <f>IF(ISNA(VLOOKUP($J134,FM!$A:$J,5,FALSE)),0,VLOOKUP($J134,FM!$A:$J,5,FALSE))</f>
        <v>0</v>
      </c>
      <c r="E134" s="58">
        <f>IF(ISNA(VLOOKUP($J134,FM!$A:$J,6,FALSE)),0,VLOOKUP($J134,FM!$A:$J,6,FALSE))</f>
        <v>0</v>
      </c>
      <c r="F134" s="58">
        <f>IF(ISNA(VLOOKUP($J134,FM!$A:$J,7,FALSE)),0,VLOOKUP($J134,FM!$A:$J,7,FALSE))</f>
        <v>0</v>
      </c>
      <c r="G134" s="58">
        <f t="shared" si="26"/>
        <v>0</v>
      </c>
      <c r="H134" s="58">
        <f t="shared" si="27"/>
        <v>0</v>
      </c>
      <c r="I134" s="58">
        <f t="shared" si="22"/>
        <v>0</v>
      </c>
      <c r="J134" s="163" t="s">
        <v>856</v>
      </c>
    </row>
    <row r="135" spans="1:10" x14ac:dyDescent="0.3">
      <c r="A135" s="106" t="s">
        <v>151</v>
      </c>
      <c r="B135" s="58">
        <f>IF(ISNA(VLOOKUP($J135,FM!$A:$J,3,FALSE)),0,VLOOKUP($J135,FM!$A:$J,3,FALSE))</f>
        <v>0</v>
      </c>
      <c r="C135" s="58">
        <f>IF(ISNA(VLOOKUP($J135,FM!$A:$J,4,FALSE)),0,VLOOKUP($J135,FM!$A:$J,4,FALSE))</f>
        <v>0</v>
      </c>
      <c r="D135" s="58">
        <f>IF(ISNA(VLOOKUP($J135,FM!$A:$J,5,FALSE)),0,VLOOKUP($J135,FM!$A:$J,5,FALSE))</f>
        <v>0</v>
      </c>
      <c r="E135" s="58">
        <f>IF(ISNA(VLOOKUP($J135,FM!$A:$J,6,FALSE)),0,VLOOKUP($J135,FM!$A:$J,6,FALSE))</f>
        <v>0</v>
      </c>
      <c r="F135" s="58">
        <f>IF(ISNA(VLOOKUP($J135,FM!$A:$J,7,FALSE)),0,VLOOKUP($J135,FM!$A:$J,7,FALSE))</f>
        <v>0</v>
      </c>
      <c r="G135" s="58">
        <f t="shared" si="26"/>
        <v>0</v>
      </c>
      <c r="H135" s="58">
        <f t="shared" si="27"/>
        <v>0</v>
      </c>
      <c r="I135" s="58">
        <f t="shared" si="22"/>
        <v>0</v>
      </c>
      <c r="J135" s="163" t="s">
        <v>857</v>
      </c>
    </row>
    <row r="136" spans="1:10" x14ac:dyDescent="0.3">
      <c r="A136" s="106" t="s">
        <v>152</v>
      </c>
      <c r="B136" s="58">
        <f>IF(ISNA(VLOOKUP($J136,FM!$A:$J,3,FALSE)),0,VLOOKUP($J136,FM!$A:$J,3,FALSE))</f>
        <v>0</v>
      </c>
      <c r="C136" s="58">
        <f>IF(ISNA(VLOOKUP($J136,FM!$A:$J,4,FALSE)),0,VLOOKUP($J136,FM!$A:$J,4,FALSE))</f>
        <v>0</v>
      </c>
      <c r="D136" s="58">
        <f>IF(ISNA(VLOOKUP($J136,FM!$A:$J,5,FALSE)),0,VLOOKUP($J136,FM!$A:$J,5,FALSE))</f>
        <v>0</v>
      </c>
      <c r="E136" s="58">
        <f>IF(ISNA(VLOOKUP($J136,FM!$A:$J,6,FALSE)),0,VLOOKUP($J136,FM!$A:$J,6,FALSE))</f>
        <v>0</v>
      </c>
      <c r="F136" s="58">
        <f>IF(ISNA(VLOOKUP($J136,FM!$A:$J,7,FALSE)),0,VLOOKUP($J136,FM!$A:$J,7,FALSE))</f>
        <v>0</v>
      </c>
      <c r="G136" s="58">
        <f t="shared" si="26"/>
        <v>0</v>
      </c>
      <c r="H136" s="58">
        <f t="shared" si="27"/>
        <v>0</v>
      </c>
      <c r="I136" s="58">
        <f t="shared" si="22"/>
        <v>0</v>
      </c>
      <c r="J136" s="163" t="s">
        <v>858</v>
      </c>
    </row>
    <row r="137" spans="1:10" x14ac:dyDescent="0.3">
      <c r="A137" s="106" t="s">
        <v>153</v>
      </c>
      <c r="B137" s="58">
        <f>IF(ISNA(VLOOKUP($J137,FM!$A:$J,3,FALSE)),0,VLOOKUP($J137,FM!$A:$J,3,FALSE))</f>
        <v>0</v>
      </c>
      <c r="C137" s="58">
        <f>IF(ISNA(VLOOKUP($J137,FM!$A:$J,4,FALSE)),0,VLOOKUP($J137,FM!$A:$J,4,FALSE))</f>
        <v>0</v>
      </c>
      <c r="D137" s="58">
        <f>IF(ISNA(VLOOKUP($J137,FM!$A:$J,5,FALSE)),0,VLOOKUP($J137,FM!$A:$J,5,FALSE))</f>
        <v>0</v>
      </c>
      <c r="E137" s="58">
        <f>IF(ISNA(VLOOKUP($J137,FM!$A:$J,6,FALSE)),0,VLOOKUP($J137,FM!$A:$J,6,FALSE))</f>
        <v>0</v>
      </c>
      <c r="F137" s="58">
        <f>IF(ISNA(VLOOKUP($J137,FM!$A:$J,7,FALSE)),0,VLOOKUP($J137,FM!$A:$J,7,FALSE))</f>
        <v>0</v>
      </c>
      <c r="G137" s="58">
        <f t="shared" si="26"/>
        <v>0</v>
      </c>
      <c r="H137" s="58">
        <f t="shared" si="27"/>
        <v>0</v>
      </c>
      <c r="I137" s="58">
        <f t="shared" ref="I137:I145" si="28">SUM(G137:H137)</f>
        <v>0</v>
      </c>
      <c r="J137" s="163" t="s">
        <v>859</v>
      </c>
    </row>
    <row r="138" spans="1:10" x14ac:dyDescent="0.3">
      <c r="A138" s="106" t="s">
        <v>154</v>
      </c>
      <c r="B138" s="58">
        <f>IF(ISNA(VLOOKUP($J138,FM!$A:$J,3,FALSE)),0,VLOOKUP($J138,FM!$A:$J,3,FALSE))</f>
        <v>0</v>
      </c>
      <c r="C138" s="58">
        <f>IF(ISNA(VLOOKUP($J138,FM!$A:$J,4,FALSE)),0,VLOOKUP($J138,FM!$A:$J,4,FALSE))</f>
        <v>0</v>
      </c>
      <c r="D138" s="58">
        <f>IF(ISNA(VLOOKUP($J138,FM!$A:$J,5,FALSE)),0,VLOOKUP($J138,FM!$A:$J,5,FALSE))</f>
        <v>0</v>
      </c>
      <c r="E138" s="58">
        <f>IF(ISNA(VLOOKUP($J138,FM!$A:$J,6,FALSE)),0,VLOOKUP($J138,FM!$A:$J,6,FALSE))</f>
        <v>0</v>
      </c>
      <c r="F138" s="58">
        <f>IF(ISNA(VLOOKUP($J138,FM!$A:$J,7,FALSE)),0,VLOOKUP($J138,FM!$A:$J,7,FALSE))</f>
        <v>0</v>
      </c>
      <c r="G138" s="58">
        <f t="shared" si="26"/>
        <v>0</v>
      </c>
      <c r="H138" s="58">
        <f t="shared" si="27"/>
        <v>0</v>
      </c>
      <c r="I138" s="58">
        <f t="shared" si="28"/>
        <v>0</v>
      </c>
      <c r="J138" s="163" t="s">
        <v>860</v>
      </c>
    </row>
    <row r="139" spans="1:10" x14ac:dyDescent="0.3">
      <c r="A139" s="106" t="s">
        <v>900</v>
      </c>
      <c r="B139" s="58">
        <f>IF(ISNA(VLOOKUP($J139,FM!$A:$J,3,FALSE)),0,VLOOKUP($J139,FM!$A:$J,3,FALSE))</f>
        <v>0</v>
      </c>
      <c r="C139" s="58">
        <f>IF(ISNA(VLOOKUP($J139,FM!$A:$J,4,FALSE)),0,VLOOKUP($J139,FM!$A:$J,4,FALSE))</f>
        <v>-20842.09</v>
      </c>
      <c r="D139" s="58">
        <f>IF(ISNA(VLOOKUP($J139,FM!$A:$J,5,FALSE)),0,VLOOKUP($J139,FM!$A:$J,5,FALSE))</f>
        <v>0</v>
      </c>
      <c r="E139" s="58">
        <f>IF(ISNA(VLOOKUP($J139,FM!$A:$J,6,FALSE)),0,VLOOKUP($J139,FM!$A:$J,6,FALSE))</f>
        <v>0</v>
      </c>
      <c r="F139" s="58">
        <f>IF(ISNA(VLOOKUP($J139,FM!$A:$J,7,FALSE)),0,VLOOKUP($J139,FM!$A:$J,7,FALSE))</f>
        <v>0</v>
      </c>
      <c r="G139" s="58">
        <f t="shared" si="26"/>
        <v>0</v>
      </c>
      <c r="H139" s="58">
        <f t="shared" si="27"/>
        <v>-20842.09</v>
      </c>
      <c r="I139" s="159">
        <f t="shared" si="28"/>
        <v>-20842.09</v>
      </c>
      <c r="J139" s="163" t="s">
        <v>588</v>
      </c>
    </row>
    <row r="140" spans="1:10" s="3" customFormat="1" x14ac:dyDescent="0.3">
      <c r="A140" s="283" t="s">
        <v>1035</v>
      </c>
      <c r="B140" s="58">
        <f>IF(ISNA(VLOOKUP($J140,FM!$A:$J,3,FALSE)),0,VLOOKUP($J140,FM!$A:$J,3,FALSE))</f>
        <v>0</v>
      </c>
      <c r="C140" s="58">
        <f>IF(ISNA(VLOOKUP($J140,FM!$A:$J,4,FALSE)),0,VLOOKUP($J140,FM!$A:$J,4,FALSE))</f>
        <v>0</v>
      </c>
      <c r="D140" s="58">
        <f>IF(ISNA(VLOOKUP($J140,FM!$A:$J,5,FALSE)),0,VLOOKUP($J140,FM!$A:$J,5,FALSE))</f>
        <v>0</v>
      </c>
      <c r="E140" s="58">
        <f>IF(ISNA(VLOOKUP($J140,FM!$A:$J,6,FALSE)),0,VLOOKUP($J140,FM!$A:$J,6,FALSE))</f>
        <v>0</v>
      </c>
      <c r="F140" s="58">
        <f>IF(ISNA(VLOOKUP($J140,FM!$A:$J,7,FALSE)),0,VLOOKUP($J140,FM!$A:$J,7,FALSE))</f>
        <v>0</v>
      </c>
      <c r="G140" s="58">
        <f t="shared" si="26"/>
        <v>0</v>
      </c>
      <c r="H140" s="58">
        <f t="shared" si="27"/>
        <v>0</v>
      </c>
      <c r="I140" s="290">
        <f t="shared" si="28"/>
        <v>0</v>
      </c>
      <c r="J140" s="284" t="s">
        <v>1017</v>
      </c>
    </row>
    <row r="141" spans="1:10" s="3" customFormat="1" x14ac:dyDescent="0.3">
      <c r="A141" s="283" t="s">
        <v>1036</v>
      </c>
      <c r="B141" s="58">
        <f>IF(ISNA(VLOOKUP($J141,FM!$A:$J,3,FALSE)),0,VLOOKUP($J141,FM!$A:$J,3,FALSE))</f>
        <v>0</v>
      </c>
      <c r="C141" s="58">
        <f>IF(ISNA(VLOOKUP($J141,FM!$A:$J,4,FALSE)),0,VLOOKUP($J141,FM!$A:$J,4,FALSE))</f>
        <v>-823.39</v>
      </c>
      <c r="D141" s="58">
        <f>IF(ISNA(VLOOKUP($J141,FM!$A:$J,5,FALSE)),0,VLOOKUP($J141,FM!$A:$J,5,FALSE))</f>
        <v>0</v>
      </c>
      <c r="E141" s="58">
        <f>IF(ISNA(VLOOKUP($J141,FM!$A:$J,6,FALSE)),0,VLOOKUP($J141,FM!$A:$J,6,FALSE))</f>
        <v>0</v>
      </c>
      <c r="F141" s="58">
        <f>IF(ISNA(VLOOKUP($J141,FM!$A:$J,7,FALSE)),0,VLOOKUP($J141,FM!$A:$J,7,FALSE))</f>
        <v>0</v>
      </c>
      <c r="G141" s="58">
        <f t="shared" si="26"/>
        <v>0</v>
      </c>
      <c r="H141" s="58">
        <f t="shared" si="27"/>
        <v>-823.39</v>
      </c>
      <c r="I141" s="290">
        <f t="shared" si="28"/>
        <v>-823.39</v>
      </c>
      <c r="J141" s="284" t="s">
        <v>1021</v>
      </c>
    </row>
    <row r="142" spans="1:10" s="3" customFormat="1" x14ac:dyDescent="0.3">
      <c r="A142" s="283" t="s">
        <v>1037</v>
      </c>
      <c r="B142" s="58">
        <f>IF(ISNA(VLOOKUP($J142,FM!$A:$J,3,FALSE)),0,VLOOKUP($J142,FM!$A:$J,3,FALSE))</f>
        <v>0</v>
      </c>
      <c r="C142" s="58">
        <f>IF(ISNA(VLOOKUP($J142,FM!$A:$J,4,FALSE)),0,VLOOKUP($J142,FM!$A:$J,4,FALSE))</f>
        <v>-1990.52</v>
      </c>
      <c r="D142" s="58">
        <f>IF(ISNA(VLOOKUP($J142,FM!$A:$J,5,FALSE)),0,VLOOKUP($J142,FM!$A:$J,5,FALSE))</f>
        <v>0</v>
      </c>
      <c r="E142" s="58">
        <f>IF(ISNA(VLOOKUP($J142,FM!$A:$J,6,FALSE)),0,VLOOKUP($J142,FM!$A:$J,6,FALSE))</f>
        <v>0</v>
      </c>
      <c r="F142" s="58">
        <f>IF(ISNA(VLOOKUP($J142,FM!$A:$J,7,FALSE)),0,VLOOKUP($J142,FM!$A:$J,7,FALSE))</f>
        <v>0</v>
      </c>
      <c r="G142" s="58">
        <f t="shared" si="26"/>
        <v>0</v>
      </c>
      <c r="H142" s="58">
        <f t="shared" si="27"/>
        <v>-1990.52</v>
      </c>
      <c r="I142" s="290">
        <f t="shared" si="28"/>
        <v>-1990.52</v>
      </c>
      <c r="J142" s="284" t="s">
        <v>1023</v>
      </c>
    </row>
    <row r="143" spans="1:10" s="3" customFormat="1" x14ac:dyDescent="0.3">
      <c r="A143" s="283" t="s">
        <v>1038</v>
      </c>
      <c r="B143" s="58">
        <f>IF(ISNA(VLOOKUP($J143,FM!$A:$J,3,FALSE)),0,VLOOKUP($J143,FM!$A:$J,3,FALSE))</f>
        <v>0</v>
      </c>
      <c r="C143" s="58">
        <f>IF(ISNA(VLOOKUP($J143,FM!$A:$J,4,FALSE)),0,VLOOKUP($J143,FM!$A:$J,4,FALSE))</f>
        <v>0</v>
      </c>
      <c r="D143" s="58">
        <f>IF(ISNA(VLOOKUP($J143,FM!$A:$J,5,FALSE)),0,VLOOKUP($J143,FM!$A:$J,5,FALSE))</f>
        <v>0</v>
      </c>
      <c r="E143" s="58">
        <f>IF(ISNA(VLOOKUP($J143,FM!$A:$J,6,FALSE)),0,VLOOKUP($J143,FM!$A:$J,6,FALSE))</f>
        <v>0</v>
      </c>
      <c r="F143" s="58">
        <f>IF(ISNA(VLOOKUP($J143,FM!$A:$J,7,FALSE)),0,VLOOKUP($J143,FM!$A:$J,7,FALSE))</f>
        <v>0</v>
      </c>
      <c r="G143" s="58">
        <f t="shared" si="26"/>
        <v>0</v>
      </c>
      <c r="H143" s="58">
        <f t="shared" si="27"/>
        <v>0</v>
      </c>
      <c r="I143" s="290">
        <f t="shared" si="28"/>
        <v>0</v>
      </c>
      <c r="J143" s="284" t="s">
        <v>1025</v>
      </c>
    </row>
    <row r="144" spans="1:10" s="3" customFormat="1" x14ac:dyDescent="0.3">
      <c r="A144" s="283" t="s">
        <v>1039</v>
      </c>
      <c r="B144" s="58">
        <f>IF(ISNA(VLOOKUP($J144,FM!$A:$J,3,FALSE)),0,VLOOKUP($J144,FM!$A:$J,3,FALSE))</f>
        <v>0</v>
      </c>
      <c r="C144" s="58">
        <f>IF(ISNA(VLOOKUP($J144,FM!$A:$J,4,FALSE)),0,VLOOKUP($J144,FM!$A:$J,4,FALSE))</f>
        <v>0</v>
      </c>
      <c r="D144" s="58">
        <f>IF(ISNA(VLOOKUP($J144,FM!$A:$J,5,FALSE)),0,VLOOKUP($J144,FM!$A:$J,5,FALSE))</f>
        <v>0</v>
      </c>
      <c r="E144" s="58">
        <f>IF(ISNA(VLOOKUP($J144,FM!$A:$J,6,FALSE)),0,VLOOKUP($J144,FM!$A:$J,6,FALSE))</f>
        <v>0</v>
      </c>
      <c r="F144" s="58">
        <f>IF(ISNA(VLOOKUP($J144,FM!$A:$J,7,FALSE)),0,VLOOKUP($J144,FM!$A:$J,7,FALSE))</f>
        <v>0</v>
      </c>
      <c r="G144" s="58">
        <f t="shared" si="26"/>
        <v>0</v>
      </c>
      <c r="H144" s="58">
        <f t="shared" si="27"/>
        <v>0</v>
      </c>
      <c r="I144" s="290">
        <f t="shared" si="28"/>
        <v>0</v>
      </c>
      <c r="J144" s="284" t="s">
        <v>1040</v>
      </c>
    </row>
    <row r="145" spans="1:10" s="3" customFormat="1" x14ac:dyDescent="0.3">
      <c r="A145" s="283" t="s">
        <v>1041</v>
      </c>
      <c r="B145" s="159">
        <f>IF(ISNA(VLOOKUP($J145,FM!$A:$J,3,FALSE)),0,VLOOKUP($J145,FM!$A:$J,3,FALSE))</f>
        <v>0</v>
      </c>
      <c r="C145" s="159">
        <f>IF(ISNA(VLOOKUP($J145,FM!$A:$J,4,FALSE)),0,VLOOKUP($J145,FM!$A:$J,4,FALSE))</f>
        <v>-41.83</v>
      </c>
      <c r="D145" s="159">
        <f>IF(ISNA(VLOOKUP($J145,FM!$A:$J,5,FALSE)),0,VLOOKUP($J145,FM!$A:$J,5,FALSE))</f>
        <v>0</v>
      </c>
      <c r="E145" s="159">
        <f>IF(ISNA(VLOOKUP($J145,FM!$A:$J,6,FALSE)),0,VLOOKUP($J145,FM!$A:$J,6,FALSE))</f>
        <v>0</v>
      </c>
      <c r="F145" s="159">
        <f>IF(ISNA(VLOOKUP($J145,FM!$A:$J,7,FALSE)),0,VLOOKUP($J145,FM!$A:$J,7,FALSE))</f>
        <v>0</v>
      </c>
      <c r="G145" s="159">
        <f t="shared" si="26"/>
        <v>0</v>
      </c>
      <c r="H145" s="159">
        <f t="shared" si="27"/>
        <v>-41.83</v>
      </c>
      <c r="I145" s="293">
        <f t="shared" si="28"/>
        <v>-41.83</v>
      </c>
      <c r="J145" s="284" t="s">
        <v>1027</v>
      </c>
    </row>
    <row r="146" spans="1:10" x14ac:dyDescent="0.3">
      <c r="A146" s="106" t="s">
        <v>155</v>
      </c>
      <c r="B146" s="58">
        <f>SUM(B70:B145)</f>
        <v>116594846.31999998</v>
      </c>
      <c r="C146" s="58">
        <f>SUM(C70:C145)</f>
        <v>7410984.3900000015</v>
      </c>
      <c r="D146" s="58">
        <f t="shared" ref="D146:F146" si="29">SUM(D70:D145)</f>
        <v>0</v>
      </c>
      <c r="E146" s="58">
        <f t="shared" si="29"/>
        <v>0</v>
      </c>
      <c r="F146" s="58">
        <f t="shared" si="29"/>
        <v>0</v>
      </c>
      <c r="G146" s="58">
        <f>SUM(G70:G145)</f>
        <v>116594846.31999998</v>
      </c>
      <c r="H146" s="58">
        <f>SUM(H70:H145)</f>
        <v>7410984.3900000015</v>
      </c>
      <c r="I146" s="58">
        <f>SUM(I70:I145)</f>
        <v>124005830.70999998</v>
      </c>
      <c r="J146" s="160" t="s">
        <v>493</v>
      </c>
    </row>
    <row r="147" spans="1:10" x14ac:dyDescent="0.3">
      <c r="A147" s="57" t="s">
        <v>156</v>
      </c>
      <c r="B147" s="58"/>
      <c r="C147" s="58"/>
      <c r="D147" s="58"/>
      <c r="E147" s="58"/>
      <c r="F147" s="58"/>
      <c r="G147" s="58"/>
      <c r="H147" s="58"/>
      <c r="I147" s="58"/>
    </row>
    <row r="148" spans="1:10" x14ac:dyDescent="0.3">
      <c r="A148" s="106" t="s">
        <v>157</v>
      </c>
      <c r="B148" s="58">
        <f>IF(ISNA(VLOOKUP($J148,FM!$A:$J,3,FALSE)),0,VLOOKUP($J148,FM!$A:$J,3,FALSE))</f>
        <v>3459252.08</v>
      </c>
      <c r="C148" s="58">
        <f>IF(ISNA(VLOOKUP($J148,FM!$A:$J,4,FALSE)),0,VLOOKUP($J148,FM!$A:$J,4,FALSE))</f>
        <v>0</v>
      </c>
      <c r="D148" s="58">
        <f>IF(ISNA(VLOOKUP($J148,FM!$A:$J,5,FALSE)),0,VLOOKUP($J148,FM!$A:$J,5,FALSE))</f>
        <v>0</v>
      </c>
      <c r="E148" s="58">
        <f>IF(ISNA(VLOOKUP($J148,FM!$A:$J,6,FALSE)),0,VLOOKUP($J148,FM!$A:$J,6,FALSE))</f>
        <v>0</v>
      </c>
      <c r="F148" s="58">
        <f>IF(ISNA(VLOOKUP($J148,FM!$A:$J,7,FALSE)),0,VLOOKUP($J148,FM!$A:$J,7,FALSE))</f>
        <v>0</v>
      </c>
      <c r="G148" s="58">
        <f t="shared" ref="G148:H175" si="30">B148+E148</f>
        <v>3459252.08</v>
      </c>
      <c r="H148" s="58">
        <f t="shared" si="30"/>
        <v>0</v>
      </c>
      <c r="I148" s="58">
        <f t="shared" ref="I148:I175" si="31">SUM(G148:H148)</f>
        <v>3459252.08</v>
      </c>
      <c r="J148" s="163" t="s">
        <v>592</v>
      </c>
    </row>
    <row r="149" spans="1:10" x14ac:dyDescent="0.3">
      <c r="A149" s="106" t="s">
        <v>158</v>
      </c>
      <c r="B149" s="58">
        <f>IF(ISNA(VLOOKUP($J149,FM!$A:$J,3,FALSE)),0,VLOOKUP($J149,FM!$A:$J,3,FALSE))</f>
        <v>0</v>
      </c>
      <c r="C149" s="58">
        <f>IF(ISNA(VLOOKUP($J149,FM!$A:$J,4,FALSE)),0,VLOOKUP($J149,FM!$A:$J,4,FALSE))</f>
        <v>0</v>
      </c>
      <c r="D149" s="58">
        <f>IF(ISNA(VLOOKUP($J149,FM!$A:$J,5,FALSE)),0,VLOOKUP($J149,FM!$A:$J,5,FALSE))</f>
        <v>0</v>
      </c>
      <c r="E149" s="58">
        <f>IF(ISNA(VLOOKUP($J149,FM!$A:$J,6,FALSE)),0,VLOOKUP($J149,FM!$A:$J,6,FALSE))</f>
        <v>0</v>
      </c>
      <c r="F149" s="58">
        <f>IF(ISNA(VLOOKUP($J149,FM!$A:$J,7,FALSE)),0,VLOOKUP($J149,FM!$A:$J,7,FALSE))</f>
        <v>0</v>
      </c>
      <c r="G149" s="58">
        <f t="shared" si="30"/>
        <v>0</v>
      </c>
      <c r="H149" s="58">
        <f t="shared" si="30"/>
        <v>0</v>
      </c>
      <c r="I149" s="58">
        <f t="shared" si="31"/>
        <v>0</v>
      </c>
    </row>
    <row r="150" spans="1:10" x14ac:dyDescent="0.3">
      <c r="A150" s="106" t="s">
        <v>159</v>
      </c>
      <c r="B150" s="58">
        <f>IF(ISNA(VLOOKUP($J150,FM!$A:$J,3,FALSE)),0,VLOOKUP($J150,FM!$A:$J,3,FALSE))</f>
        <v>43541.3</v>
      </c>
      <c r="C150" s="58">
        <f>IF(ISNA(VLOOKUP($J150,FM!$A:$J,4,FALSE)),0,VLOOKUP($J150,FM!$A:$J,4,FALSE))</f>
        <v>0</v>
      </c>
      <c r="D150" s="58">
        <f>IF(ISNA(VLOOKUP($J150,FM!$A:$J,5,FALSE)),0,VLOOKUP($J150,FM!$A:$J,5,FALSE))</f>
        <v>0</v>
      </c>
      <c r="E150" s="58">
        <f>IF(ISNA(VLOOKUP($J150,FM!$A:$J,6,FALSE)),0,VLOOKUP($J150,FM!$A:$J,6,FALSE))</f>
        <v>0</v>
      </c>
      <c r="F150" s="58">
        <f>IF(ISNA(VLOOKUP($J150,FM!$A:$J,7,FALSE)),0,VLOOKUP($J150,FM!$A:$J,7,FALSE))</f>
        <v>0</v>
      </c>
      <c r="G150" s="58">
        <f t="shared" si="30"/>
        <v>43541.3</v>
      </c>
      <c r="H150" s="58">
        <f t="shared" si="30"/>
        <v>0</v>
      </c>
      <c r="I150" s="58">
        <f t="shared" si="31"/>
        <v>43541.3</v>
      </c>
      <c r="J150" s="163" t="s">
        <v>594</v>
      </c>
    </row>
    <row r="151" spans="1:10" x14ac:dyDescent="0.3">
      <c r="A151" s="106" t="s">
        <v>160</v>
      </c>
      <c r="B151" s="58">
        <f>IF(ISNA(VLOOKUP($J151,FM!$A:$J,3,FALSE)),0,VLOOKUP($J151,FM!$A:$J,3,FALSE))</f>
        <v>2084721.65</v>
      </c>
      <c r="C151" s="58">
        <f>IF(ISNA(VLOOKUP($J151,FM!$A:$J,4,FALSE)),0,VLOOKUP($J151,FM!$A:$J,4,FALSE))</f>
        <v>0</v>
      </c>
      <c r="D151" s="58">
        <f>IF(ISNA(VLOOKUP($J151,FM!$A:$J,5,FALSE)),0,VLOOKUP($J151,FM!$A:$J,5,FALSE))</f>
        <v>0</v>
      </c>
      <c r="E151" s="58">
        <f>IF(ISNA(VLOOKUP($J151,FM!$A:$J,6,FALSE)),0,VLOOKUP($J151,FM!$A:$J,6,FALSE))</f>
        <v>0</v>
      </c>
      <c r="F151" s="58">
        <f>IF(ISNA(VLOOKUP($J151,FM!$A:$J,7,FALSE)),0,VLOOKUP($J151,FM!$A:$J,7,FALSE))</f>
        <v>0</v>
      </c>
      <c r="G151" s="58">
        <f t="shared" si="30"/>
        <v>2084721.65</v>
      </c>
      <c r="H151" s="58">
        <f t="shared" si="30"/>
        <v>0</v>
      </c>
      <c r="I151" s="58">
        <f t="shared" si="31"/>
        <v>2084721.65</v>
      </c>
      <c r="J151" s="163" t="s">
        <v>596</v>
      </c>
    </row>
    <row r="152" spans="1:10" x14ac:dyDescent="0.3">
      <c r="A152" s="106" t="s">
        <v>161</v>
      </c>
      <c r="B152" s="58">
        <f>IF(ISNA(VLOOKUP($J152,FM!$A:$J,3,FALSE)),0,VLOOKUP($J152,FM!$A:$J,3,FALSE))</f>
        <v>941407.31</v>
      </c>
      <c r="C152" s="58">
        <f>IF(ISNA(VLOOKUP($J152,FM!$A:$J,4,FALSE)),0,VLOOKUP($J152,FM!$A:$J,4,FALSE))</f>
        <v>0</v>
      </c>
      <c r="D152" s="58">
        <f>IF(ISNA(VLOOKUP($J152,FM!$A:$J,5,FALSE)),0,VLOOKUP($J152,FM!$A:$J,5,FALSE))</f>
        <v>0</v>
      </c>
      <c r="E152" s="58">
        <f>IF(ISNA(VLOOKUP($J152,FM!$A:$J,6,FALSE)),0,VLOOKUP($J152,FM!$A:$J,6,FALSE))</f>
        <v>0</v>
      </c>
      <c r="F152" s="58">
        <f>IF(ISNA(VLOOKUP($J152,FM!$A:$J,7,FALSE)),0,VLOOKUP($J152,FM!$A:$J,7,FALSE))</f>
        <v>0</v>
      </c>
      <c r="G152" s="58">
        <f t="shared" si="30"/>
        <v>941407.31</v>
      </c>
      <c r="H152" s="58">
        <f t="shared" si="30"/>
        <v>0</v>
      </c>
      <c r="I152" s="58">
        <f t="shared" si="31"/>
        <v>941407.31</v>
      </c>
      <c r="J152" s="163" t="s">
        <v>598</v>
      </c>
    </row>
    <row r="153" spans="1:10" x14ac:dyDescent="0.3">
      <c r="A153" s="106" t="s">
        <v>162</v>
      </c>
      <c r="B153" s="58">
        <f>IF(ISNA(VLOOKUP($J153,FM!$A:$J,3,FALSE)),0,VLOOKUP($J153,FM!$A:$J,3,FALSE))</f>
        <v>1835915.26</v>
      </c>
      <c r="C153" s="58">
        <f>IF(ISNA(VLOOKUP($J153,FM!$A:$J,4,FALSE)),0,VLOOKUP($J153,FM!$A:$J,4,FALSE))</f>
        <v>0</v>
      </c>
      <c r="D153" s="58">
        <f>IF(ISNA(VLOOKUP($J153,FM!$A:$J,5,FALSE)),0,VLOOKUP($J153,FM!$A:$J,5,FALSE))</f>
        <v>0</v>
      </c>
      <c r="E153" s="58">
        <f>IF(ISNA(VLOOKUP($J153,FM!$A:$J,6,FALSE)),0,VLOOKUP($J153,FM!$A:$J,6,FALSE))</f>
        <v>0</v>
      </c>
      <c r="F153" s="58">
        <f>IF(ISNA(VLOOKUP($J153,FM!$A:$J,7,FALSE)),0,VLOOKUP($J153,FM!$A:$J,7,FALSE))</f>
        <v>0</v>
      </c>
      <c r="G153" s="58">
        <f t="shared" si="30"/>
        <v>1835915.26</v>
      </c>
      <c r="H153" s="58">
        <f t="shared" si="30"/>
        <v>0</v>
      </c>
      <c r="I153" s="58">
        <f t="shared" si="31"/>
        <v>1835915.26</v>
      </c>
      <c r="J153" s="163" t="s">
        <v>600</v>
      </c>
    </row>
    <row r="154" spans="1:10" x14ac:dyDescent="0.3">
      <c r="A154" s="106" t="s">
        <v>163</v>
      </c>
      <c r="B154" s="58">
        <f>IF(ISNA(VLOOKUP($J154,FM!$A:$J,3,FALSE)),0,VLOOKUP($J154,FM!$A:$J,3,FALSE))</f>
        <v>0</v>
      </c>
      <c r="C154" s="58">
        <f>IF(ISNA(VLOOKUP($J154,FM!$A:$J,4,FALSE)),0,VLOOKUP($J154,FM!$A:$J,4,FALSE))</f>
        <v>0</v>
      </c>
      <c r="D154" s="58">
        <f>IF(ISNA(VLOOKUP($J154,FM!$A:$J,5,FALSE)),0,VLOOKUP($J154,FM!$A:$J,5,FALSE))</f>
        <v>0</v>
      </c>
      <c r="E154" s="58">
        <f>IF(ISNA(VLOOKUP($J154,FM!$A:$J,6,FALSE)),0,VLOOKUP($J154,FM!$A:$J,6,FALSE))</f>
        <v>0</v>
      </c>
      <c r="F154" s="58">
        <f>IF(ISNA(VLOOKUP($J154,FM!$A:$J,7,FALSE)),0,VLOOKUP($J154,FM!$A:$J,7,FALSE))</f>
        <v>0</v>
      </c>
      <c r="G154" s="58">
        <f t="shared" si="30"/>
        <v>0</v>
      </c>
      <c r="H154" s="58">
        <f t="shared" si="30"/>
        <v>0</v>
      </c>
      <c r="I154" s="58">
        <f t="shared" si="31"/>
        <v>0</v>
      </c>
      <c r="J154" s="163" t="s">
        <v>861</v>
      </c>
    </row>
    <row r="155" spans="1:10" x14ac:dyDescent="0.3">
      <c r="A155" s="106" t="s">
        <v>164</v>
      </c>
      <c r="B155" s="58">
        <f>IF(ISNA(VLOOKUP($J155,FM!$A:$J,3,FALSE)),0,VLOOKUP($J155,FM!$A:$J,3,FALSE))</f>
        <v>2476217.0299999998</v>
      </c>
      <c r="C155" s="58">
        <f>IF(ISNA(VLOOKUP($J155,FM!$A:$J,4,FALSE)),0,VLOOKUP($J155,FM!$A:$J,4,FALSE))</f>
        <v>0</v>
      </c>
      <c r="D155" s="58">
        <f>IF(ISNA(VLOOKUP($J155,FM!$A:$J,5,FALSE)),0,VLOOKUP($J155,FM!$A:$J,5,FALSE))</f>
        <v>0</v>
      </c>
      <c r="E155" s="58">
        <f>IF(ISNA(VLOOKUP($J155,FM!$A:$J,6,FALSE)),0,VLOOKUP($J155,FM!$A:$J,6,FALSE))</f>
        <v>0</v>
      </c>
      <c r="F155" s="58">
        <f>IF(ISNA(VLOOKUP($J155,FM!$A:$J,7,FALSE)),0,VLOOKUP($J155,FM!$A:$J,7,FALSE))</f>
        <v>0</v>
      </c>
      <c r="G155" s="58">
        <f t="shared" si="30"/>
        <v>2476217.0299999998</v>
      </c>
      <c r="H155" s="58">
        <f t="shared" si="30"/>
        <v>0</v>
      </c>
      <c r="I155" s="58">
        <f t="shared" si="31"/>
        <v>2476217.0299999998</v>
      </c>
      <c r="J155" s="163" t="s">
        <v>602</v>
      </c>
    </row>
    <row r="156" spans="1:10" x14ac:dyDescent="0.3">
      <c r="A156" s="106" t="s">
        <v>165</v>
      </c>
      <c r="B156" s="58">
        <f>IF(ISNA(VLOOKUP($J156,FM!$A:$J,3,FALSE)),0,VLOOKUP($J156,FM!$A:$J,3,FALSE))</f>
        <v>66314.23</v>
      </c>
      <c r="C156" s="58">
        <f>IF(ISNA(VLOOKUP($J156,FM!$A:$J,4,FALSE)),0,VLOOKUP($J156,FM!$A:$J,4,FALSE))</f>
        <v>0</v>
      </c>
      <c r="D156" s="58">
        <f>IF(ISNA(VLOOKUP($J156,FM!$A:$J,5,FALSE)),0,VLOOKUP($J156,FM!$A:$J,5,FALSE))</f>
        <v>0</v>
      </c>
      <c r="E156" s="58">
        <f>IF(ISNA(VLOOKUP($J156,FM!$A:$J,6,FALSE)),0,VLOOKUP($J156,FM!$A:$J,6,FALSE))</f>
        <v>0</v>
      </c>
      <c r="F156" s="58">
        <f>IF(ISNA(VLOOKUP($J156,FM!$A:$J,7,FALSE)),0,VLOOKUP($J156,FM!$A:$J,7,FALSE))</f>
        <v>0</v>
      </c>
      <c r="G156" s="58">
        <f t="shared" si="30"/>
        <v>66314.23</v>
      </c>
      <c r="H156" s="58">
        <f t="shared" si="30"/>
        <v>0</v>
      </c>
      <c r="I156" s="58">
        <f t="shared" si="31"/>
        <v>66314.23</v>
      </c>
      <c r="J156" s="163" t="s">
        <v>604</v>
      </c>
    </row>
    <row r="157" spans="1:10" x14ac:dyDescent="0.3">
      <c r="A157" s="106" t="s">
        <v>166</v>
      </c>
      <c r="B157" s="58">
        <f>IF(ISNA(VLOOKUP($J157,FM!$A:$J,3,FALSE)),0,VLOOKUP($J157,FM!$A:$J,3,FALSE))</f>
        <v>1288207.6399999999</v>
      </c>
      <c r="C157" s="58">
        <f>IF(ISNA(VLOOKUP($J157,FM!$A:$J,4,FALSE)),0,VLOOKUP($J157,FM!$A:$J,4,FALSE))</f>
        <v>0</v>
      </c>
      <c r="D157" s="58">
        <f>IF(ISNA(VLOOKUP($J157,FM!$A:$J,5,FALSE)),0,VLOOKUP($J157,FM!$A:$J,5,FALSE))</f>
        <v>0</v>
      </c>
      <c r="E157" s="58">
        <f>IF(ISNA(VLOOKUP($J157,FM!$A:$J,6,FALSE)),0,VLOOKUP($J157,FM!$A:$J,6,FALSE))</f>
        <v>0</v>
      </c>
      <c r="F157" s="58">
        <f>IF(ISNA(VLOOKUP($J157,FM!$A:$J,7,FALSE)),0,VLOOKUP($J157,FM!$A:$J,7,FALSE))</f>
        <v>0</v>
      </c>
      <c r="G157" s="58">
        <f t="shared" si="30"/>
        <v>1288207.6399999999</v>
      </c>
      <c r="H157" s="58">
        <f t="shared" si="30"/>
        <v>0</v>
      </c>
      <c r="I157" s="58">
        <f t="shared" si="31"/>
        <v>1288207.6399999999</v>
      </c>
      <c r="J157" s="163" t="s">
        <v>606</v>
      </c>
    </row>
    <row r="158" spans="1:10" x14ac:dyDescent="0.3">
      <c r="A158" s="106" t="s">
        <v>167</v>
      </c>
      <c r="B158" s="58">
        <f>IF(ISNA(VLOOKUP($J158,FM!$A:$J,3,FALSE)),0,VLOOKUP($J158,FM!$A:$J,3,FALSE))</f>
        <v>390690.33</v>
      </c>
      <c r="C158" s="58">
        <f>IF(ISNA(VLOOKUP($J158,FM!$A:$J,4,FALSE)),0,VLOOKUP($J158,FM!$A:$J,4,FALSE))</f>
        <v>0</v>
      </c>
      <c r="D158" s="58">
        <f>IF(ISNA(VLOOKUP($J158,FM!$A:$J,5,FALSE)),0,VLOOKUP($J158,FM!$A:$J,5,FALSE))</f>
        <v>0</v>
      </c>
      <c r="E158" s="58">
        <f>IF(ISNA(VLOOKUP($J158,FM!$A:$J,6,FALSE)),0,VLOOKUP($J158,FM!$A:$J,6,FALSE))</f>
        <v>0</v>
      </c>
      <c r="F158" s="58">
        <f>IF(ISNA(VLOOKUP($J158,FM!$A:$J,7,FALSE)),0,VLOOKUP($J158,FM!$A:$J,7,FALSE))</f>
        <v>0</v>
      </c>
      <c r="G158" s="58">
        <f t="shared" si="30"/>
        <v>390690.33</v>
      </c>
      <c r="H158" s="58">
        <f t="shared" si="30"/>
        <v>0</v>
      </c>
      <c r="I158" s="58">
        <f t="shared" si="31"/>
        <v>390690.33</v>
      </c>
      <c r="J158" s="163" t="s">
        <v>608</v>
      </c>
    </row>
    <row r="159" spans="1:10" x14ac:dyDescent="0.3">
      <c r="A159" s="106" t="s">
        <v>168</v>
      </c>
      <c r="B159" s="58">
        <f>IF(ISNA(VLOOKUP($J159,FM!$A:$J,3,FALSE)),0,VLOOKUP($J159,FM!$A:$J,3,FALSE))</f>
        <v>3305488.83</v>
      </c>
      <c r="C159" s="58">
        <f>IF(ISNA(VLOOKUP($J159,FM!$A:$J,4,FALSE)),0,VLOOKUP($J159,FM!$A:$J,4,FALSE))</f>
        <v>0</v>
      </c>
      <c r="D159" s="58">
        <f>IF(ISNA(VLOOKUP($J159,FM!$A:$J,5,FALSE)),0,VLOOKUP($J159,FM!$A:$J,5,FALSE))</f>
        <v>0</v>
      </c>
      <c r="E159" s="58">
        <f>IF(ISNA(VLOOKUP($J159,FM!$A:$J,6,FALSE)),0,VLOOKUP($J159,FM!$A:$J,6,FALSE))</f>
        <v>0</v>
      </c>
      <c r="F159" s="58">
        <f>IF(ISNA(VLOOKUP($J159,FM!$A:$J,7,FALSE)),0,VLOOKUP($J159,FM!$A:$J,7,FALSE))</f>
        <v>0</v>
      </c>
      <c r="G159" s="58">
        <f t="shared" si="30"/>
        <v>3305488.83</v>
      </c>
      <c r="H159" s="58">
        <f t="shared" si="30"/>
        <v>0</v>
      </c>
      <c r="I159" s="58">
        <f t="shared" si="31"/>
        <v>3305488.83</v>
      </c>
      <c r="J159" s="163" t="s">
        <v>610</v>
      </c>
    </row>
    <row r="160" spans="1:10" x14ac:dyDescent="0.3">
      <c r="A160" s="106" t="s">
        <v>169</v>
      </c>
      <c r="B160" s="58">
        <f>IF(ISNA(VLOOKUP($J160,FM!$A:$J,3,FALSE)),0,VLOOKUP($J160,FM!$A:$J,3,FALSE))</f>
        <v>398644.31</v>
      </c>
      <c r="C160" s="58">
        <f>IF(ISNA(VLOOKUP($J160,FM!$A:$J,4,FALSE)),0,VLOOKUP($J160,FM!$A:$J,4,FALSE))</f>
        <v>0</v>
      </c>
      <c r="D160" s="58">
        <f>IF(ISNA(VLOOKUP($J160,FM!$A:$J,5,FALSE)),0,VLOOKUP($J160,FM!$A:$J,5,FALSE))</f>
        <v>0</v>
      </c>
      <c r="E160" s="58">
        <f>IF(ISNA(VLOOKUP($J160,FM!$A:$J,6,FALSE)),0,VLOOKUP($J160,FM!$A:$J,6,FALSE))</f>
        <v>0</v>
      </c>
      <c r="F160" s="58">
        <f>IF(ISNA(VLOOKUP($J160,FM!$A:$J,7,FALSE)),0,VLOOKUP($J160,FM!$A:$J,7,FALSE))</f>
        <v>0</v>
      </c>
      <c r="G160" s="58">
        <f t="shared" si="30"/>
        <v>398644.31</v>
      </c>
      <c r="H160" s="58">
        <f t="shared" si="30"/>
        <v>0</v>
      </c>
      <c r="I160" s="58">
        <f t="shared" si="31"/>
        <v>398644.31</v>
      </c>
      <c r="J160" s="163" t="s">
        <v>612</v>
      </c>
    </row>
    <row r="161" spans="1:10" x14ac:dyDescent="0.3">
      <c r="A161" s="106" t="s">
        <v>170</v>
      </c>
      <c r="B161" s="58">
        <f>IF(ISNA(VLOOKUP($J161,FM!$A:$J,3,FALSE)),0,VLOOKUP($J161,FM!$A:$J,3,FALSE))</f>
        <v>21612.880000000001</v>
      </c>
      <c r="C161" s="58">
        <f>IF(ISNA(VLOOKUP($J161,FM!$A:$J,4,FALSE)),0,VLOOKUP($J161,FM!$A:$J,4,FALSE))</f>
        <v>0</v>
      </c>
      <c r="D161" s="58">
        <f>IF(ISNA(VLOOKUP($J161,FM!$A:$J,5,FALSE)),0,VLOOKUP($J161,FM!$A:$J,5,FALSE))</f>
        <v>0</v>
      </c>
      <c r="E161" s="58">
        <f>IF(ISNA(VLOOKUP($J161,FM!$A:$J,6,FALSE)),0,VLOOKUP($J161,FM!$A:$J,6,FALSE))</f>
        <v>0</v>
      </c>
      <c r="F161" s="58">
        <f>IF(ISNA(VLOOKUP($J161,FM!$A:$J,7,FALSE)),0,VLOOKUP($J161,FM!$A:$J,7,FALSE))</f>
        <v>0</v>
      </c>
      <c r="G161" s="58">
        <f t="shared" si="30"/>
        <v>21612.880000000001</v>
      </c>
      <c r="H161" s="58">
        <f t="shared" si="30"/>
        <v>0</v>
      </c>
      <c r="I161" s="58">
        <f t="shared" si="31"/>
        <v>21612.880000000001</v>
      </c>
      <c r="J161" s="163" t="s">
        <v>614</v>
      </c>
    </row>
    <row r="162" spans="1:10" x14ac:dyDescent="0.3">
      <c r="A162" s="106" t="s">
        <v>171</v>
      </c>
      <c r="B162" s="58">
        <f>IF(ISNA(VLOOKUP($J162,FM!$A:$J,3,FALSE)),0,VLOOKUP($J162,FM!$A:$J,3,FALSE))</f>
        <v>1204.56</v>
      </c>
      <c r="C162" s="58">
        <f>IF(ISNA(VLOOKUP($J162,FM!$A:$J,4,FALSE)),0,VLOOKUP($J162,FM!$A:$J,4,FALSE))</f>
        <v>0</v>
      </c>
      <c r="D162" s="58">
        <f>IF(ISNA(VLOOKUP($J162,FM!$A:$J,5,FALSE)),0,VLOOKUP($J162,FM!$A:$J,5,FALSE))</f>
        <v>0</v>
      </c>
      <c r="E162" s="58">
        <f>IF(ISNA(VLOOKUP($J162,FM!$A:$J,6,FALSE)),0,VLOOKUP($J162,FM!$A:$J,6,FALSE))</f>
        <v>0</v>
      </c>
      <c r="F162" s="58">
        <f>IF(ISNA(VLOOKUP($J162,FM!$A:$J,7,FALSE)),0,VLOOKUP($J162,FM!$A:$J,7,FALSE))</f>
        <v>0</v>
      </c>
      <c r="G162" s="58">
        <f t="shared" si="30"/>
        <v>1204.56</v>
      </c>
      <c r="H162" s="58">
        <f t="shared" si="30"/>
        <v>0</v>
      </c>
      <c r="I162" s="58">
        <f t="shared" si="31"/>
        <v>1204.56</v>
      </c>
      <c r="J162" s="163" t="s">
        <v>616</v>
      </c>
    </row>
    <row r="163" spans="1:10" x14ac:dyDescent="0.3">
      <c r="A163" s="106" t="s">
        <v>172</v>
      </c>
      <c r="B163" s="58">
        <f>IF(ISNA(VLOOKUP($J163,FM!$A:$J,3,FALSE)),0,VLOOKUP($J163,FM!$A:$J,3,FALSE))</f>
        <v>40.950000000000003</v>
      </c>
      <c r="C163" s="58">
        <f>IF(ISNA(VLOOKUP($J163,FM!$A:$J,4,FALSE)),0,VLOOKUP($J163,FM!$A:$J,4,FALSE))</f>
        <v>0</v>
      </c>
      <c r="D163" s="58">
        <f>IF(ISNA(VLOOKUP($J163,FM!$A:$J,5,FALSE)),0,VLOOKUP($J163,FM!$A:$J,5,FALSE))</f>
        <v>0</v>
      </c>
      <c r="E163" s="58">
        <f>IF(ISNA(VLOOKUP($J163,FM!$A:$J,6,FALSE)),0,VLOOKUP($J163,FM!$A:$J,6,FALSE))</f>
        <v>0</v>
      </c>
      <c r="F163" s="58">
        <f>IF(ISNA(VLOOKUP($J163,FM!$A:$J,7,FALSE)),0,VLOOKUP($J163,FM!$A:$J,7,FALSE))</f>
        <v>0</v>
      </c>
      <c r="G163" s="58">
        <f t="shared" si="30"/>
        <v>40.950000000000003</v>
      </c>
      <c r="H163" s="58">
        <f t="shared" si="30"/>
        <v>0</v>
      </c>
      <c r="I163" s="58">
        <f t="shared" si="31"/>
        <v>40.950000000000003</v>
      </c>
      <c r="J163" s="163" t="s">
        <v>862</v>
      </c>
    </row>
    <row r="164" spans="1:10" x14ac:dyDescent="0.3">
      <c r="A164" s="106" t="s">
        <v>173</v>
      </c>
      <c r="B164" s="58">
        <f>IF(ISNA(VLOOKUP($J164,FM!$A:$J,3,FALSE)),0,VLOOKUP($J164,FM!$A:$J,3,FALSE))</f>
        <v>4469.6499999999996</v>
      </c>
      <c r="C164" s="58">
        <f>IF(ISNA(VLOOKUP($J164,FM!$A:$J,4,FALSE)),0,VLOOKUP($J164,FM!$A:$J,4,FALSE))</f>
        <v>0</v>
      </c>
      <c r="D164" s="58">
        <f>IF(ISNA(VLOOKUP($J164,FM!$A:$J,5,FALSE)),0,VLOOKUP($J164,FM!$A:$J,5,FALSE))</f>
        <v>0</v>
      </c>
      <c r="E164" s="58">
        <f>IF(ISNA(VLOOKUP($J164,FM!$A:$J,6,FALSE)),0,VLOOKUP($J164,FM!$A:$J,6,FALSE))</f>
        <v>0</v>
      </c>
      <c r="F164" s="58">
        <f>IF(ISNA(VLOOKUP($J164,FM!$A:$J,7,FALSE)),0,VLOOKUP($J164,FM!$A:$J,7,FALSE))</f>
        <v>0</v>
      </c>
      <c r="G164" s="58">
        <f t="shared" si="30"/>
        <v>4469.6499999999996</v>
      </c>
      <c r="H164" s="58">
        <f t="shared" si="30"/>
        <v>0</v>
      </c>
      <c r="I164" s="58">
        <f t="shared" si="31"/>
        <v>4469.6499999999996</v>
      </c>
      <c r="J164" s="163" t="s">
        <v>617</v>
      </c>
    </row>
    <row r="165" spans="1:10" x14ac:dyDescent="0.3">
      <c r="A165" s="106" t="s">
        <v>174</v>
      </c>
      <c r="B165" s="58">
        <f>IF(ISNA(VLOOKUP($J165,FM!$A:$J,3,FALSE)),0,VLOOKUP($J165,FM!$A:$J,3,FALSE))</f>
        <v>2371329.39</v>
      </c>
      <c r="C165" s="58">
        <f>IF(ISNA(VLOOKUP($J165,FM!$A:$J,4,FALSE)),0,VLOOKUP($J165,FM!$A:$J,4,FALSE))</f>
        <v>0</v>
      </c>
      <c r="D165" s="58">
        <f>IF(ISNA(VLOOKUP($J165,FM!$A:$J,5,FALSE)),0,VLOOKUP($J165,FM!$A:$J,5,FALSE))</f>
        <v>0</v>
      </c>
      <c r="E165" s="58">
        <f>IF(ISNA(VLOOKUP($J165,FM!$A:$J,6,FALSE)),0,VLOOKUP($J165,FM!$A:$J,6,FALSE))</f>
        <v>0</v>
      </c>
      <c r="F165" s="58">
        <f>IF(ISNA(VLOOKUP($J165,FM!$A:$J,7,FALSE)),0,VLOOKUP($J165,FM!$A:$J,7,FALSE))</f>
        <v>0</v>
      </c>
      <c r="G165" s="58">
        <f t="shared" si="30"/>
        <v>2371329.39</v>
      </c>
      <c r="H165" s="58">
        <f t="shared" si="30"/>
        <v>0</v>
      </c>
      <c r="I165" s="58">
        <f t="shared" si="31"/>
        <v>2371329.39</v>
      </c>
      <c r="J165" s="163" t="s">
        <v>619</v>
      </c>
    </row>
    <row r="166" spans="1:10" x14ac:dyDescent="0.3">
      <c r="A166" s="106" t="s">
        <v>175</v>
      </c>
      <c r="B166" s="58">
        <f>IF(ISNA(VLOOKUP($J166,FM!$A:$J,3,FALSE)),0,VLOOKUP($J166,FM!$A:$J,3,FALSE))</f>
        <v>7339306.9400000004</v>
      </c>
      <c r="C166" s="58">
        <f>IF(ISNA(VLOOKUP($J166,FM!$A:$J,4,FALSE)),0,VLOOKUP($J166,FM!$A:$J,4,FALSE))</f>
        <v>0</v>
      </c>
      <c r="D166" s="58">
        <f>IF(ISNA(VLOOKUP($J166,FM!$A:$J,5,FALSE)),0,VLOOKUP($J166,FM!$A:$J,5,FALSE))</f>
        <v>0</v>
      </c>
      <c r="E166" s="58">
        <f>IF(ISNA(VLOOKUP($J166,FM!$A:$J,6,FALSE)),0,VLOOKUP($J166,FM!$A:$J,6,FALSE))</f>
        <v>0</v>
      </c>
      <c r="F166" s="58">
        <f>IF(ISNA(VLOOKUP($J166,FM!$A:$J,7,FALSE)),0,VLOOKUP($J166,FM!$A:$J,7,FALSE))</f>
        <v>0</v>
      </c>
      <c r="G166" s="58">
        <f t="shared" si="30"/>
        <v>7339306.9400000004</v>
      </c>
      <c r="H166" s="58">
        <f t="shared" si="30"/>
        <v>0</v>
      </c>
      <c r="I166" s="58">
        <f t="shared" si="31"/>
        <v>7339306.9400000004</v>
      </c>
      <c r="J166" s="163" t="s">
        <v>621</v>
      </c>
    </row>
    <row r="167" spans="1:10" x14ac:dyDescent="0.3">
      <c r="A167" s="106" t="s">
        <v>176</v>
      </c>
      <c r="B167" s="58">
        <f>IF(ISNA(VLOOKUP($J167,FM!$A:$J,3,FALSE)),0,VLOOKUP($J167,FM!$A:$J,3,FALSE))</f>
        <v>0</v>
      </c>
      <c r="C167" s="58">
        <f>IF(ISNA(VLOOKUP($J167,FM!$A:$J,4,FALSE)),0,VLOOKUP($J167,FM!$A:$J,4,FALSE))</f>
        <v>0</v>
      </c>
      <c r="D167" s="58">
        <f>IF(ISNA(VLOOKUP($J167,FM!$A:$J,5,FALSE)),0,VLOOKUP($J167,FM!$A:$J,5,FALSE))</f>
        <v>0</v>
      </c>
      <c r="E167" s="58">
        <f>IF(ISNA(VLOOKUP($J167,FM!$A:$J,6,FALSE)),0,VLOOKUP($J167,FM!$A:$J,6,FALSE))</f>
        <v>0</v>
      </c>
      <c r="F167" s="58">
        <f>IF(ISNA(VLOOKUP($J167,FM!$A:$J,7,FALSE)),0,VLOOKUP($J167,FM!$A:$J,7,FALSE))</f>
        <v>0</v>
      </c>
      <c r="G167" s="58">
        <f t="shared" si="30"/>
        <v>0</v>
      </c>
      <c r="H167" s="58">
        <f t="shared" si="30"/>
        <v>0</v>
      </c>
      <c r="I167" s="58">
        <f t="shared" si="31"/>
        <v>0</v>
      </c>
      <c r="J167" s="163" t="s">
        <v>863</v>
      </c>
    </row>
    <row r="168" spans="1:10" x14ac:dyDescent="0.3">
      <c r="A168" s="106" t="s">
        <v>177</v>
      </c>
      <c r="B168" s="58">
        <f>IF(ISNA(VLOOKUP($J168,FM!$A:$J,3,FALSE)),0,VLOOKUP($J168,FM!$A:$J,3,FALSE))</f>
        <v>100742.47</v>
      </c>
      <c r="C168" s="58">
        <f>IF(ISNA(VLOOKUP($J168,FM!$A:$J,4,FALSE)),0,VLOOKUP($J168,FM!$A:$J,4,FALSE))</f>
        <v>0</v>
      </c>
      <c r="D168" s="58">
        <f>IF(ISNA(VLOOKUP($J168,FM!$A:$J,5,FALSE)),0,VLOOKUP($J168,FM!$A:$J,5,FALSE))</f>
        <v>0</v>
      </c>
      <c r="E168" s="58">
        <f>IF(ISNA(VLOOKUP($J168,FM!$A:$J,6,FALSE)),0,VLOOKUP($J168,FM!$A:$J,6,FALSE))</f>
        <v>0</v>
      </c>
      <c r="F168" s="58">
        <f>IF(ISNA(VLOOKUP($J168,FM!$A:$J,7,FALSE)),0,VLOOKUP($J168,FM!$A:$J,7,FALSE))</f>
        <v>0</v>
      </c>
      <c r="G168" s="58">
        <f t="shared" si="30"/>
        <v>100742.47</v>
      </c>
      <c r="H168" s="58">
        <f t="shared" si="30"/>
        <v>0</v>
      </c>
      <c r="I168" s="58">
        <f t="shared" si="31"/>
        <v>100742.47</v>
      </c>
      <c r="J168" s="163" t="s">
        <v>623</v>
      </c>
    </row>
    <row r="169" spans="1:10" x14ac:dyDescent="0.3">
      <c r="A169" s="106" t="s">
        <v>178</v>
      </c>
      <c r="B169" s="58">
        <f>IF(ISNA(VLOOKUP($J169,FM!$A:$J,3,FALSE)),0,VLOOKUP($J169,FM!$A:$J,3,FALSE))</f>
        <v>0</v>
      </c>
      <c r="C169" s="58">
        <f>IF(ISNA(VLOOKUP($J169,FM!$A:$J,4,FALSE)),0,VLOOKUP($J169,FM!$A:$J,4,FALSE))</f>
        <v>0</v>
      </c>
      <c r="D169" s="58">
        <f>IF(ISNA(VLOOKUP($J169,FM!$A:$J,5,FALSE)),0,VLOOKUP($J169,FM!$A:$J,5,FALSE))</f>
        <v>0</v>
      </c>
      <c r="E169" s="58">
        <f>IF(ISNA(VLOOKUP($J169,FM!$A:$J,6,FALSE)),0,VLOOKUP($J169,FM!$A:$J,6,FALSE))</f>
        <v>0</v>
      </c>
      <c r="F169" s="58">
        <f>IF(ISNA(VLOOKUP($J169,FM!$A:$J,7,FALSE)),0,VLOOKUP($J169,FM!$A:$J,7,FALSE))</f>
        <v>0</v>
      </c>
      <c r="G169" s="58">
        <f t="shared" si="30"/>
        <v>0</v>
      </c>
      <c r="H169" s="58">
        <f t="shared" si="30"/>
        <v>0</v>
      </c>
      <c r="I169" s="58">
        <f t="shared" si="31"/>
        <v>0</v>
      </c>
      <c r="J169" s="163" t="s">
        <v>864</v>
      </c>
    </row>
    <row r="170" spans="1:10" x14ac:dyDescent="0.3">
      <c r="A170" s="106" t="s">
        <v>179</v>
      </c>
      <c r="B170" s="58">
        <f>IF(ISNA(VLOOKUP($J170,FM!$A:$J,3,FALSE)),0,VLOOKUP($J170,FM!$A:$J,3,FALSE))</f>
        <v>0</v>
      </c>
      <c r="C170" s="58">
        <f>IF(ISNA(VLOOKUP($J170,FM!$A:$J,4,FALSE)),0,VLOOKUP($J170,FM!$A:$J,4,FALSE))</f>
        <v>0</v>
      </c>
      <c r="D170" s="58">
        <f>IF(ISNA(VLOOKUP($J170,FM!$A:$J,5,FALSE)),0,VLOOKUP($J170,FM!$A:$J,5,FALSE))</f>
        <v>0</v>
      </c>
      <c r="E170" s="58">
        <f>IF(ISNA(VLOOKUP($J170,FM!$A:$J,6,FALSE)),0,VLOOKUP($J170,FM!$A:$J,6,FALSE))</f>
        <v>0</v>
      </c>
      <c r="F170" s="58">
        <f>IF(ISNA(VLOOKUP($J170,FM!$A:$J,7,FALSE)),0,VLOOKUP($J170,FM!$A:$J,7,FALSE))</f>
        <v>0</v>
      </c>
      <c r="G170" s="58">
        <f t="shared" si="30"/>
        <v>0</v>
      </c>
      <c r="H170" s="58">
        <f t="shared" si="30"/>
        <v>0</v>
      </c>
      <c r="I170" s="58">
        <f t="shared" si="31"/>
        <v>0</v>
      </c>
      <c r="J170" s="163" t="s">
        <v>865</v>
      </c>
    </row>
    <row r="171" spans="1:10" x14ac:dyDescent="0.3">
      <c r="A171" s="106" t="s">
        <v>180</v>
      </c>
      <c r="B171" s="58">
        <f>IF(ISNA(VLOOKUP($J171,FM!$A:$J,3,FALSE)),0,VLOOKUP($J171,FM!$A:$J,3,FALSE))</f>
        <v>0</v>
      </c>
      <c r="C171" s="58">
        <f>IF(ISNA(VLOOKUP($J171,FM!$A:$J,4,FALSE)),0,VLOOKUP($J171,FM!$A:$J,4,FALSE))</f>
        <v>0</v>
      </c>
      <c r="D171" s="58">
        <f>IF(ISNA(VLOOKUP($J171,FM!$A:$J,5,FALSE)),0,VLOOKUP($J171,FM!$A:$J,5,FALSE))</f>
        <v>0</v>
      </c>
      <c r="E171" s="58">
        <f>IF(ISNA(VLOOKUP($J171,FM!$A:$J,6,FALSE)),0,VLOOKUP($J171,FM!$A:$J,6,FALSE))</f>
        <v>0</v>
      </c>
      <c r="F171" s="58">
        <f>IF(ISNA(VLOOKUP($J171,FM!$A:$J,7,FALSE)),0,VLOOKUP($J171,FM!$A:$J,7,FALSE))</f>
        <v>0</v>
      </c>
      <c r="G171" s="58">
        <f t="shared" si="30"/>
        <v>0</v>
      </c>
      <c r="H171" s="58">
        <f t="shared" si="30"/>
        <v>0</v>
      </c>
      <c r="I171" s="58">
        <f t="shared" si="31"/>
        <v>0</v>
      </c>
      <c r="J171" s="163" t="s">
        <v>866</v>
      </c>
    </row>
    <row r="172" spans="1:10" x14ac:dyDescent="0.3">
      <c r="A172" s="106" t="s">
        <v>181</v>
      </c>
      <c r="B172" s="58">
        <f>IF(ISNA(VLOOKUP($J172,FM!$A:$J,3,FALSE)),0,VLOOKUP($J172,FM!$A:$J,3,FALSE))</f>
        <v>0</v>
      </c>
      <c r="C172" s="58">
        <f>IF(ISNA(VLOOKUP($J172,FM!$A:$J,4,FALSE)),0,VLOOKUP($J172,FM!$A:$J,4,FALSE))</f>
        <v>0</v>
      </c>
      <c r="D172" s="58">
        <f>IF(ISNA(VLOOKUP($J172,FM!$A:$J,5,FALSE)),0,VLOOKUP($J172,FM!$A:$J,5,FALSE))</f>
        <v>0</v>
      </c>
      <c r="E172" s="58">
        <f>IF(ISNA(VLOOKUP($J172,FM!$A:$J,6,FALSE)),0,VLOOKUP($J172,FM!$A:$J,6,FALSE))</f>
        <v>0</v>
      </c>
      <c r="F172" s="58">
        <f>IF(ISNA(VLOOKUP($J172,FM!$A:$J,7,FALSE)),0,VLOOKUP($J172,FM!$A:$J,7,FALSE))</f>
        <v>0</v>
      </c>
      <c r="G172" s="58">
        <f t="shared" si="30"/>
        <v>0</v>
      </c>
      <c r="H172" s="58">
        <f t="shared" si="30"/>
        <v>0</v>
      </c>
      <c r="I172" s="58">
        <f t="shared" si="31"/>
        <v>0</v>
      </c>
      <c r="J172" s="163" t="s">
        <v>625</v>
      </c>
    </row>
    <row r="173" spans="1:10" x14ac:dyDescent="0.3">
      <c r="A173" s="106" t="s">
        <v>182</v>
      </c>
      <c r="B173" s="58">
        <f>IF(ISNA(VLOOKUP($J173,FM!$A:$J,3,FALSE)),0,VLOOKUP($J173,FM!$A:$J,3,FALSE))</f>
        <v>0</v>
      </c>
      <c r="C173" s="58">
        <f>IF(ISNA(VLOOKUP($J173,FM!$A:$J,4,FALSE)),0,VLOOKUP($J173,FM!$A:$J,4,FALSE))</f>
        <v>0</v>
      </c>
      <c r="D173" s="58">
        <f>IF(ISNA(VLOOKUP($J173,FM!$A:$J,5,FALSE)),0,VLOOKUP($J173,FM!$A:$J,5,FALSE))</f>
        <v>0</v>
      </c>
      <c r="E173" s="58">
        <f>IF(ISNA(VLOOKUP($J173,FM!$A:$J,6,FALSE)),0,VLOOKUP($J173,FM!$A:$J,6,FALSE))</f>
        <v>0</v>
      </c>
      <c r="F173" s="58">
        <f>IF(ISNA(VLOOKUP($J173,FM!$A:$J,7,FALSE)),0,VLOOKUP($J173,FM!$A:$J,7,FALSE))</f>
        <v>0</v>
      </c>
      <c r="G173" s="58">
        <f t="shared" si="30"/>
        <v>0</v>
      </c>
      <c r="H173" s="58">
        <f t="shared" si="30"/>
        <v>0</v>
      </c>
      <c r="I173" s="58">
        <f t="shared" si="31"/>
        <v>0</v>
      </c>
      <c r="J173" s="163" t="s">
        <v>867</v>
      </c>
    </row>
    <row r="174" spans="1:10" x14ac:dyDescent="0.3">
      <c r="A174" s="106" t="s">
        <v>183</v>
      </c>
      <c r="B174" s="58">
        <f>IF(ISNA(VLOOKUP($J174,FM!$A:$J,3,FALSE)),0,VLOOKUP($J174,FM!$A:$J,3,FALSE))</f>
        <v>0</v>
      </c>
      <c r="C174" s="58">
        <f>IF(ISNA(VLOOKUP($J174,FM!$A:$J,4,FALSE)),0,VLOOKUP($J174,FM!$A:$J,4,FALSE))</f>
        <v>0</v>
      </c>
      <c r="D174" s="58">
        <f>IF(ISNA(VLOOKUP($J174,FM!$A:$J,5,FALSE)),0,VLOOKUP($J174,FM!$A:$J,5,FALSE))</f>
        <v>0</v>
      </c>
      <c r="E174" s="58">
        <f>IF(ISNA(VLOOKUP($J174,FM!$A:$J,6,FALSE)),0,VLOOKUP($J174,FM!$A:$J,6,FALSE))</f>
        <v>0</v>
      </c>
      <c r="F174" s="58">
        <f>IF(ISNA(VLOOKUP($J174,FM!$A:$J,7,FALSE)),0,VLOOKUP($J174,FM!$A:$J,7,FALSE))</f>
        <v>0</v>
      </c>
      <c r="G174" s="58">
        <f t="shared" si="30"/>
        <v>0</v>
      </c>
      <c r="H174" s="58">
        <f t="shared" si="30"/>
        <v>0</v>
      </c>
      <c r="I174" s="58">
        <f t="shared" si="31"/>
        <v>0</v>
      </c>
      <c r="J174" s="163" t="s">
        <v>868</v>
      </c>
    </row>
    <row r="175" spans="1:10" x14ac:dyDescent="0.3">
      <c r="A175" s="106" t="s">
        <v>184</v>
      </c>
      <c r="B175" s="159">
        <f>IF(ISNA(VLOOKUP($J175,FM!$A:$J,3,FALSE)),0,VLOOKUP($J175,FM!$A:$J,3,FALSE))</f>
        <v>0</v>
      </c>
      <c r="C175" s="159">
        <f>IF(ISNA(VLOOKUP($J175,FM!$A:$J,4,FALSE)),0,VLOOKUP($J175,FM!$A:$J,4,FALSE))</f>
        <v>0</v>
      </c>
      <c r="D175" s="159">
        <f>IF(ISNA(VLOOKUP($J175,FM!$A:$J,5,FALSE)),0,VLOOKUP($J175,FM!$A:$J,5,FALSE))</f>
        <v>0</v>
      </c>
      <c r="E175" s="159">
        <f>IF(ISNA(VLOOKUP($J175,FM!$A:$J,6,FALSE)),0,VLOOKUP($J175,FM!$A:$J,6,FALSE))</f>
        <v>0</v>
      </c>
      <c r="F175" s="159">
        <f>IF(ISNA(VLOOKUP($J175,FM!$A:$J,7,FALSE)),0,VLOOKUP($J175,FM!$A:$J,7,FALSE))</f>
        <v>0</v>
      </c>
      <c r="G175" s="159">
        <f t="shared" si="30"/>
        <v>0</v>
      </c>
      <c r="H175" s="159">
        <f t="shared" si="30"/>
        <v>0</v>
      </c>
      <c r="I175" s="159">
        <f t="shared" si="31"/>
        <v>0</v>
      </c>
      <c r="J175" s="163" t="s">
        <v>869</v>
      </c>
    </row>
    <row r="176" spans="1:10" x14ac:dyDescent="0.3">
      <c r="A176" s="106" t="s">
        <v>185</v>
      </c>
      <c r="B176" s="58">
        <f>SUM(B147:B175)</f>
        <v>26129106.810000002</v>
      </c>
      <c r="C176" s="58">
        <f t="shared" ref="C176:I176" si="32">SUM(C147:C175)</f>
        <v>0</v>
      </c>
      <c r="D176" s="58">
        <f t="shared" si="32"/>
        <v>0</v>
      </c>
      <c r="E176" s="58">
        <f t="shared" si="32"/>
        <v>0</v>
      </c>
      <c r="F176" s="58">
        <f t="shared" si="32"/>
        <v>0</v>
      </c>
      <c r="G176" s="58">
        <f t="shared" si="32"/>
        <v>26129106.810000002</v>
      </c>
      <c r="H176" s="58">
        <f t="shared" si="32"/>
        <v>0</v>
      </c>
      <c r="I176" s="58">
        <f t="shared" si="32"/>
        <v>26129106.810000002</v>
      </c>
      <c r="J176" s="160" t="s">
        <v>590</v>
      </c>
    </row>
    <row r="177" spans="1:10" x14ac:dyDescent="0.3">
      <c r="A177" s="57" t="s">
        <v>186</v>
      </c>
      <c r="B177" s="58"/>
      <c r="C177" s="58"/>
      <c r="D177" s="58"/>
      <c r="E177" s="58"/>
      <c r="F177" s="58"/>
      <c r="G177" s="58"/>
      <c r="H177" s="58"/>
      <c r="I177" s="58"/>
    </row>
    <row r="178" spans="1:10" x14ac:dyDescent="0.3">
      <c r="A178" s="106" t="s">
        <v>187</v>
      </c>
      <c r="B178" s="58">
        <f>IF(ISNA(VLOOKUP($J178,FM!$A:$J,3,FALSE)),0,VLOOKUP($J178,FM!$A:$J,3,FALSE))</f>
        <v>3845378.62</v>
      </c>
      <c r="C178" s="58">
        <f>IF(ISNA(VLOOKUP($J178,FM!$A:$J,4,FALSE)),0,VLOOKUP($J178,FM!$A:$J,4,FALSE))</f>
        <v>0</v>
      </c>
      <c r="D178" s="58">
        <f>IF(ISNA(VLOOKUP($J178,FM!$A:$J,5,FALSE)),0,VLOOKUP($J178,FM!$A:$J,5,FALSE))</f>
        <v>0</v>
      </c>
      <c r="E178" s="58">
        <f>IF(ISNA(VLOOKUP($J178,FM!$A:$J,6,FALSE)),0,VLOOKUP($J178,FM!$A:$J,6,FALSE))</f>
        <v>0</v>
      </c>
      <c r="F178" s="58">
        <f>IF(ISNA(VLOOKUP($J178,FM!$A:$J,7,FALSE)),0,VLOOKUP($J178,FM!$A:$J,7,FALSE))</f>
        <v>0</v>
      </c>
      <c r="G178" s="58">
        <f t="shared" ref="G178:H213" si="33">B178+E178</f>
        <v>3845378.62</v>
      </c>
      <c r="H178" s="58">
        <f t="shared" si="33"/>
        <v>0</v>
      </c>
      <c r="I178" s="58">
        <f t="shared" ref="I178:I213" si="34">SUM(G178:H178)</f>
        <v>3845378.62</v>
      </c>
      <c r="J178" s="163" t="s">
        <v>628</v>
      </c>
    </row>
    <row r="179" spans="1:10" x14ac:dyDescent="0.3">
      <c r="A179" s="106" t="s">
        <v>188</v>
      </c>
      <c r="B179" s="58">
        <f>IF(ISNA(VLOOKUP($J179,FM!$A:$J,3,FALSE)),0,VLOOKUP($J179,FM!$A:$J,3,FALSE))</f>
        <v>1233905.07</v>
      </c>
      <c r="C179" s="58">
        <f>IF(ISNA(VLOOKUP($J179,FM!$A:$J,4,FALSE)),0,VLOOKUP($J179,FM!$A:$J,4,FALSE))</f>
        <v>0</v>
      </c>
      <c r="D179" s="58">
        <f>IF(ISNA(VLOOKUP($J179,FM!$A:$J,5,FALSE)),0,VLOOKUP($J179,FM!$A:$J,5,FALSE))</f>
        <v>0</v>
      </c>
      <c r="E179" s="58">
        <f>IF(ISNA(VLOOKUP($J179,FM!$A:$J,6,FALSE)),0,VLOOKUP($J179,FM!$A:$J,6,FALSE))</f>
        <v>0</v>
      </c>
      <c r="F179" s="58">
        <f>IF(ISNA(VLOOKUP($J179,FM!$A:$J,7,FALSE)),0,VLOOKUP($J179,FM!$A:$J,7,FALSE))</f>
        <v>0</v>
      </c>
      <c r="G179" s="58">
        <f t="shared" si="33"/>
        <v>1233905.07</v>
      </c>
      <c r="H179" s="58">
        <f t="shared" si="33"/>
        <v>0</v>
      </c>
      <c r="I179" s="58">
        <f t="shared" si="34"/>
        <v>1233905.07</v>
      </c>
      <c r="J179" s="163" t="s">
        <v>630</v>
      </c>
    </row>
    <row r="180" spans="1:10" x14ac:dyDescent="0.3">
      <c r="A180" s="106" t="s">
        <v>189</v>
      </c>
      <c r="B180" s="58">
        <f>IF(ISNA(VLOOKUP($J180,FM!$A:$J,3,FALSE)),0,VLOOKUP($J180,FM!$A:$J,3,FALSE))</f>
        <v>2046280.89</v>
      </c>
      <c r="C180" s="58">
        <f>IF(ISNA(VLOOKUP($J180,FM!$A:$J,4,FALSE)),0,VLOOKUP($J180,FM!$A:$J,4,FALSE))</f>
        <v>0</v>
      </c>
      <c r="D180" s="58">
        <f>IF(ISNA(VLOOKUP($J180,FM!$A:$J,5,FALSE)),0,VLOOKUP($J180,FM!$A:$J,5,FALSE))</f>
        <v>0</v>
      </c>
      <c r="E180" s="58">
        <f>IF(ISNA(VLOOKUP($J180,FM!$A:$J,6,FALSE)),0,VLOOKUP($J180,FM!$A:$J,6,FALSE))</f>
        <v>0</v>
      </c>
      <c r="F180" s="58">
        <f>IF(ISNA(VLOOKUP($J180,FM!$A:$J,7,FALSE)),0,VLOOKUP($J180,FM!$A:$J,7,FALSE))</f>
        <v>0</v>
      </c>
      <c r="G180" s="58">
        <f t="shared" si="33"/>
        <v>2046280.89</v>
      </c>
      <c r="H180" s="58">
        <f t="shared" si="33"/>
        <v>0</v>
      </c>
      <c r="I180" s="58">
        <f t="shared" si="34"/>
        <v>2046280.89</v>
      </c>
      <c r="J180" s="163" t="s">
        <v>632</v>
      </c>
    </row>
    <row r="181" spans="1:10" x14ac:dyDescent="0.3">
      <c r="A181" s="106" t="s">
        <v>190</v>
      </c>
      <c r="B181" s="58">
        <f>IF(ISNA(VLOOKUP($J181,FM!$A:$J,3,FALSE)),0,VLOOKUP($J181,FM!$A:$J,3,FALSE))</f>
        <v>4788508.25</v>
      </c>
      <c r="C181" s="58">
        <f>IF(ISNA(VLOOKUP($J181,FM!$A:$J,4,FALSE)),0,VLOOKUP($J181,FM!$A:$J,4,FALSE))</f>
        <v>0</v>
      </c>
      <c r="D181" s="58">
        <f>IF(ISNA(VLOOKUP($J181,FM!$A:$J,5,FALSE)),0,VLOOKUP($J181,FM!$A:$J,5,FALSE))</f>
        <v>0</v>
      </c>
      <c r="E181" s="58">
        <f>IF(ISNA(VLOOKUP($J181,FM!$A:$J,6,FALSE)),0,VLOOKUP($J181,FM!$A:$J,6,FALSE))</f>
        <v>0</v>
      </c>
      <c r="F181" s="58">
        <f>IF(ISNA(VLOOKUP($J181,FM!$A:$J,7,FALSE)),0,VLOOKUP($J181,FM!$A:$J,7,FALSE))</f>
        <v>0</v>
      </c>
      <c r="G181" s="58">
        <f t="shared" si="33"/>
        <v>4788508.25</v>
      </c>
      <c r="H181" s="58">
        <f t="shared" si="33"/>
        <v>0</v>
      </c>
      <c r="I181" s="58">
        <f t="shared" si="34"/>
        <v>4788508.25</v>
      </c>
      <c r="J181" s="163" t="s">
        <v>634</v>
      </c>
    </row>
    <row r="182" spans="1:10" x14ac:dyDescent="0.3">
      <c r="A182" s="106" t="s">
        <v>191</v>
      </c>
      <c r="B182" s="58">
        <f>IF(ISNA(VLOOKUP($J182,FM!$A:$J,3,FALSE)),0,VLOOKUP($J182,FM!$A:$J,3,FALSE))</f>
        <v>5860853.79</v>
      </c>
      <c r="C182" s="58">
        <f>IF(ISNA(VLOOKUP($J182,FM!$A:$J,4,FALSE)),0,VLOOKUP($J182,FM!$A:$J,4,FALSE))</f>
        <v>0</v>
      </c>
      <c r="D182" s="58">
        <f>IF(ISNA(VLOOKUP($J182,FM!$A:$J,5,FALSE)),0,VLOOKUP($J182,FM!$A:$J,5,FALSE))</f>
        <v>0</v>
      </c>
      <c r="E182" s="58">
        <f>IF(ISNA(VLOOKUP($J182,FM!$A:$J,6,FALSE)),0,VLOOKUP($J182,FM!$A:$J,6,FALSE))</f>
        <v>0</v>
      </c>
      <c r="F182" s="58">
        <f>IF(ISNA(VLOOKUP($J182,FM!$A:$J,7,FALSE)),0,VLOOKUP($J182,FM!$A:$J,7,FALSE))</f>
        <v>0</v>
      </c>
      <c r="G182" s="58">
        <f t="shared" si="33"/>
        <v>5860853.79</v>
      </c>
      <c r="H182" s="58">
        <f t="shared" si="33"/>
        <v>0</v>
      </c>
      <c r="I182" s="58">
        <f t="shared" si="34"/>
        <v>5860853.79</v>
      </c>
      <c r="J182" s="163" t="s">
        <v>636</v>
      </c>
    </row>
    <row r="183" spans="1:10" x14ac:dyDescent="0.3">
      <c r="A183" s="106" t="s">
        <v>192</v>
      </c>
      <c r="B183" s="58">
        <f>IF(ISNA(VLOOKUP($J183,FM!$A:$J,3,FALSE)),0,VLOOKUP($J183,FM!$A:$J,3,FALSE))</f>
        <v>0</v>
      </c>
      <c r="C183" s="58">
        <f>IF(ISNA(VLOOKUP($J183,FM!$A:$J,4,FALSE)),0,VLOOKUP($J183,FM!$A:$J,4,FALSE))</f>
        <v>0</v>
      </c>
      <c r="D183" s="58">
        <f>IF(ISNA(VLOOKUP($J183,FM!$A:$J,5,FALSE)),0,VLOOKUP($J183,FM!$A:$J,5,FALSE))</f>
        <v>0</v>
      </c>
      <c r="E183" s="58">
        <f>IF(ISNA(VLOOKUP($J183,FM!$A:$J,6,FALSE)),0,VLOOKUP($J183,FM!$A:$J,6,FALSE))</f>
        <v>0</v>
      </c>
      <c r="F183" s="58">
        <f>IF(ISNA(VLOOKUP($J183,FM!$A:$J,7,FALSE)),0,VLOOKUP($J183,FM!$A:$J,7,FALSE))</f>
        <v>0</v>
      </c>
      <c r="G183" s="58">
        <f t="shared" si="33"/>
        <v>0</v>
      </c>
      <c r="H183" s="58">
        <f t="shared" si="33"/>
        <v>0</v>
      </c>
      <c r="I183" s="58">
        <f t="shared" si="34"/>
        <v>0</v>
      </c>
      <c r="J183" s="163" t="s">
        <v>638</v>
      </c>
    </row>
    <row r="184" spans="1:10" x14ac:dyDescent="0.3">
      <c r="A184" s="106" t="s">
        <v>193</v>
      </c>
      <c r="B184" s="58">
        <f>IF(ISNA(VLOOKUP($J184,FM!$A:$J,3,FALSE)),0,VLOOKUP($J184,FM!$A:$J,3,FALSE))</f>
        <v>3538415.72</v>
      </c>
      <c r="C184" s="58">
        <f>IF(ISNA(VLOOKUP($J184,FM!$A:$J,4,FALSE)),0,VLOOKUP($J184,FM!$A:$J,4,FALSE))</f>
        <v>0</v>
      </c>
      <c r="D184" s="58">
        <f>IF(ISNA(VLOOKUP($J184,FM!$A:$J,5,FALSE)),0,VLOOKUP($J184,FM!$A:$J,5,FALSE))</f>
        <v>0</v>
      </c>
      <c r="E184" s="58">
        <f>IF(ISNA(VLOOKUP($J184,FM!$A:$J,6,FALSE)),0,VLOOKUP($J184,FM!$A:$J,6,FALSE))</f>
        <v>0</v>
      </c>
      <c r="F184" s="58">
        <f>IF(ISNA(VLOOKUP($J184,FM!$A:$J,7,FALSE)),0,VLOOKUP($J184,FM!$A:$J,7,FALSE))</f>
        <v>0</v>
      </c>
      <c r="G184" s="58">
        <f t="shared" si="33"/>
        <v>3538415.72</v>
      </c>
      <c r="H184" s="58">
        <f t="shared" si="33"/>
        <v>0</v>
      </c>
      <c r="I184" s="58">
        <f t="shared" si="34"/>
        <v>3538415.72</v>
      </c>
      <c r="J184" s="163" t="s">
        <v>639</v>
      </c>
    </row>
    <row r="185" spans="1:10" x14ac:dyDescent="0.3">
      <c r="A185" s="106" t="s">
        <v>194</v>
      </c>
      <c r="B185" s="58">
        <f>IF(ISNA(VLOOKUP($J185,FM!$A:$J,3,FALSE)),0,VLOOKUP($J185,FM!$A:$J,3,FALSE))</f>
        <v>5698725.7000000002</v>
      </c>
      <c r="C185" s="58">
        <f>IF(ISNA(VLOOKUP($J185,FM!$A:$J,4,FALSE)),0,VLOOKUP($J185,FM!$A:$J,4,FALSE))</f>
        <v>0</v>
      </c>
      <c r="D185" s="58">
        <f>IF(ISNA(VLOOKUP($J185,FM!$A:$J,5,FALSE)),0,VLOOKUP($J185,FM!$A:$J,5,FALSE))</f>
        <v>0</v>
      </c>
      <c r="E185" s="58">
        <f>IF(ISNA(VLOOKUP($J185,FM!$A:$J,6,FALSE)),0,VLOOKUP($J185,FM!$A:$J,6,FALSE))</f>
        <v>0</v>
      </c>
      <c r="F185" s="58">
        <f>IF(ISNA(VLOOKUP($J185,FM!$A:$J,7,FALSE)),0,VLOOKUP($J185,FM!$A:$J,7,FALSE))</f>
        <v>0</v>
      </c>
      <c r="G185" s="58">
        <f t="shared" si="33"/>
        <v>5698725.7000000002</v>
      </c>
      <c r="H185" s="58">
        <f t="shared" si="33"/>
        <v>0</v>
      </c>
      <c r="I185" s="58">
        <f t="shared" si="34"/>
        <v>5698725.7000000002</v>
      </c>
      <c r="J185" s="163" t="s">
        <v>641</v>
      </c>
    </row>
    <row r="186" spans="1:10" x14ac:dyDescent="0.3">
      <c r="A186" s="106" t="s">
        <v>195</v>
      </c>
      <c r="B186" s="58">
        <f>IF(ISNA(VLOOKUP($J186,FM!$A:$J,3,FALSE)),0,VLOOKUP($J186,FM!$A:$J,3,FALSE))</f>
        <v>10714944.609999999</v>
      </c>
      <c r="C186" s="58">
        <f>IF(ISNA(VLOOKUP($J186,FM!$A:$J,4,FALSE)),0,VLOOKUP($J186,FM!$A:$J,4,FALSE))</f>
        <v>0</v>
      </c>
      <c r="D186" s="58">
        <f>IF(ISNA(VLOOKUP($J186,FM!$A:$J,5,FALSE)),0,VLOOKUP($J186,FM!$A:$J,5,FALSE))</f>
        <v>0</v>
      </c>
      <c r="E186" s="58">
        <f>IF(ISNA(VLOOKUP($J186,FM!$A:$J,6,FALSE)),0,VLOOKUP($J186,FM!$A:$J,6,FALSE))</f>
        <v>0</v>
      </c>
      <c r="F186" s="58">
        <f>IF(ISNA(VLOOKUP($J186,FM!$A:$J,7,FALSE)),0,VLOOKUP($J186,FM!$A:$J,7,FALSE))</f>
        <v>0</v>
      </c>
      <c r="G186" s="58">
        <f t="shared" si="33"/>
        <v>10714944.609999999</v>
      </c>
      <c r="H186" s="58">
        <f t="shared" si="33"/>
        <v>0</v>
      </c>
      <c r="I186" s="58">
        <f t="shared" si="34"/>
        <v>10714944.609999999</v>
      </c>
      <c r="J186" s="163" t="s">
        <v>643</v>
      </c>
    </row>
    <row r="187" spans="1:10" x14ac:dyDescent="0.3">
      <c r="A187" s="106" t="s">
        <v>196</v>
      </c>
      <c r="B187" s="58">
        <f>IF(ISNA(VLOOKUP($J187,FM!$A:$J,3,FALSE)),0,VLOOKUP($J187,FM!$A:$J,3,FALSE))</f>
        <v>1450313.23</v>
      </c>
      <c r="C187" s="58">
        <f>IF(ISNA(VLOOKUP($J187,FM!$A:$J,4,FALSE)),0,VLOOKUP($J187,FM!$A:$J,4,FALSE))</f>
        <v>0</v>
      </c>
      <c r="D187" s="58">
        <f>IF(ISNA(VLOOKUP($J187,FM!$A:$J,5,FALSE)),0,VLOOKUP($J187,FM!$A:$J,5,FALSE))</f>
        <v>0</v>
      </c>
      <c r="E187" s="58">
        <f>IF(ISNA(VLOOKUP($J187,FM!$A:$J,6,FALSE)),0,VLOOKUP($J187,FM!$A:$J,6,FALSE))</f>
        <v>0</v>
      </c>
      <c r="F187" s="58">
        <f>IF(ISNA(VLOOKUP($J187,FM!$A:$J,7,FALSE)),0,VLOOKUP($J187,FM!$A:$J,7,FALSE))</f>
        <v>0</v>
      </c>
      <c r="G187" s="58">
        <f t="shared" si="33"/>
        <v>1450313.23</v>
      </c>
      <c r="H187" s="58">
        <f t="shared" si="33"/>
        <v>0</v>
      </c>
      <c r="I187" s="58">
        <f t="shared" si="34"/>
        <v>1450313.23</v>
      </c>
      <c r="J187" s="163" t="s">
        <v>645</v>
      </c>
    </row>
    <row r="188" spans="1:10" x14ac:dyDescent="0.3">
      <c r="A188" s="106" t="s">
        <v>197</v>
      </c>
      <c r="B188" s="58">
        <f>IF(ISNA(VLOOKUP($J188,FM!$A:$J,3,FALSE)),0,VLOOKUP($J188,FM!$A:$J,3,FALSE))</f>
        <v>136537.32</v>
      </c>
      <c r="C188" s="58">
        <f>IF(ISNA(VLOOKUP($J188,FM!$A:$J,4,FALSE)),0,VLOOKUP($J188,FM!$A:$J,4,FALSE))</f>
        <v>0</v>
      </c>
      <c r="D188" s="58">
        <f>IF(ISNA(VLOOKUP($J188,FM!$A:$J,5,FALSE)),0,VLOOKUP($J188,FM!$A:$J,5,FALSE))</f>
        <v>0</v>
      </c>
      <c r="E188" s="58">
        <f>IF(ISNA(VLOOKUP($J188,FM!$A:$J,6,FALSE)),0,VLOOKUP($J188,FM!$A:$J,6,FALSE))</f>
        <v>0</v>
      </c>
      <c r="F188" s="58">
        <f>IF(ISNA(VLOOKUP($J188,FM!$A:$J,7,FALSE)),0,VLOOKUP($J188,FM!$A:$J,7,FALSE))</f>
        <v>0</v>
      </c>
      <c r="G188" s="58">
        <f t="shared" si="33"/>
        <v>136537.32</v>
      </c>
      <c r="H188" s="58">
        <f t="shared" si="33"/>
        <v>0</v>
      </c>
      <c r="I188" s="58">
        <f t="shared" si="34"/>
        <v>136537.32</v>
      </c>
      <c r="J188" s="163" t="s">
        <v>647</v>
      </c>
    </row>
    <row r="189" spans="1:10" x14ac:dyDescent="0.3">
      <c r="A189" s="106" t="s">
        <v>198</v>
      </c>
      <c r="B189" s="58">
        <f>IF(ISNA(VLOOKUP($J189,FM!$A:$J,3,FALSE)),0,VLOOKUP($J189,FM!$A:$J,3,FALSE))</f>
        <v>0</v>
      </c>
      <c r="C189" s="58">
        <f>IF(ISNA(VLOOKUP($J189,FM!$A:$J,4,FALSE)),0,VLOOKUP($J189,FM!$A:$J,4,FALSE))</f>
        <v>0</v>
      </c>
      <c r="D189" s="58">
        <f>IF(ISNA(VLOOKUP($J189,FM!$A:$J,5,FALSE)),0,VLOOKUP($J189,FM!$A:$J,5,FALSE))</f>
        <v>0</v>
      </c>
      <c r="E189" s="58">
        <f>IF(ISNA(VLOOKUP($J189,FM!$A:$J,6,FALSE)),0,VLOOKUP($J189,FM!$A:$J,6,FALSE))</f>
        <v>0</v>
      </c>
      <c r="F189" s="58">
        <f>IF(ISNA(VLOOKUP($J189,FM!$A:$J,7,FALSE)),0,VLOOKUP($J189,FM!$A:$J,7,FALSE))</f>
        <v>0</v>
      </c>
      <c r="G189" s="58">
        <f t="shared" si="33"/>
        <v>0</v>
      </c>
      <c r="H189" s="58">
        <f t="shared" si="33"/>
        <v>0</v>
      </c>
      <c r="I189" s="58">
        <f t="shared" si="34"/>
        <v>0</v>
      </c>
      <c r="J189" s="163" t="s">
        <v>870</v>
      </c>
    </row>
    <row r="190" spans="1:10" x14ac:dyDescent="0.3">
      <c r="A190" s="106" t="s">
        <v>199</v>
      </c>
      <c r="B190" s="58">
        <f>IF(ISNA(VLOOKUP($J190,FM!$A:$J,3,FALSE)),0,VLOOKUP($J190,FM!$A:$J,3,FALSE))</f>
        <v>2071573.94</v>
      </c>
      <c r="C190" s="58">
        <f>IF(ISNA(VLOOKUP($J190,FM!$A:$J,4,FALSE)),0,VLOOKUP($J190,FM!$A:$J,4,FALSE))</f>
        <v>0</v>
      </c>
      <c r="D190" s="58">
        <f>IF(ISNA(VLOOKUP($J190,FM!$A:$J,5,FALSE)),0,VLOOKUP($J190,FM!$A:$J,5,FALSE))</f>
        <v>0</v>
      </c>
      <c r="E190" s="58">
        <f>IF(ISNA(VLOOKUP($J190,FM!$A:$J,6,FALSE)),0,VLOOKUP($J190,FM!$A:$J,6,FALSE))</f>
        <v>0</v>
      </c>
      <c r="F190" s="58">
        <f>IF(ISNA(VLOOKUP($J190,FM!$A:$J,7,FALSE)),0,VLOOKUP($J190,FM!$A:$J,7,FALSE))</f>
        <v>0</v>
      </c>
      <c r="G190" s="58">
        <f t="shared" si="33"/>
        <v>2071573.94</v>
      </c>
      <c r="H190" s="58">
        <f t="shared" si="33"/>
        <v>0</v>
      </c>
      <c r="I190" s="58">
        <f t="shared" si="34"/>
        <v>2071573.94</v>
      </c>
      <c r="J190" s="163" t="s">
        <v>649</v>
      </c>
    </row>
    <row r="191" spans="1:10" x14ac:dyDescent="0.3">
      <c r="A191" s="106" t="s">
        <v>200</v>
      </c>
      <c r="B191" s="58">
        <f>IF(ISNA(VLOOKUP($J191,FM!$A:$J,3,FALSE)),0,VLOOKUP($J191,FM!$A:$J,3,FALSE))</f>
        <v>40470706.789999999</v>
      </c>
      <c r="C191" s="58">
        <f>IF(ISNA(VLOOKUP($J191,FM!$A:$J,4,FALSE)),0,VLOOKUP($J191,FM!$A:$J,4,FALSE))</f>
        <v>0</v>
      </c>
      <c r="D191" s="58">
        <f>IF(ISNA(VLOOKUP($J191,FM!$A:$J,5,FALSE)),0,VLOOKUP($J191,FM!$A:$J,5,FALSE))</f>
        <v>0</v>
      </c>
      <c r="E191" s="58">
        <f>IF(ISNA(VLOOKUP($J191,FM!$A:$J,6,FALSE)),0,VLOOKUP($J191,FM!$A:$J,6,FALSE))</f>
        <v>0</v>
      </c>
      <c r="F191" s="58">
        <f>IF(ISNA(VLOOKUP($J191,FM!$A:$J,7,FALSE)),0,VLOOKUP($J191,FM!$A:$J,7,FALSE))</f>
        <v>0</v>
      </c>
      <c r="G191" s="58">
        <f t="shared" si="33"/>
        <v>40470706.789999999</v>
      </c>
      <c r="H191" s="58">
        <f t="shared" si="33"/>
        <v>0</v>
      </c>
      <c r="I191" s="58">
        <f t="shared" si="34"/>
        <v>40470706.789999999</v>
      </c>
      <c r="J191" s="163" t="s">
        <v>651</v>
      </c>
    </row>
    <row r="192" spans="1:10" x14ac:dyDescent="0.3">
      <c r="A192" s="106" t="s">
        <v>201</v>
      </c>
      <c r="B192" s="58">
        <f>IF(ISNA(VLOOKUP($J192,FM!$A:$J,3,FALSE)),0,VLOOKUP($J192,FM!$A:$J,3,FALSE))</f>
        <v>13977521.49</v>
      </c>
      <c r="C192" s="58">
        <f>IF(ISNA(VLOOKUP($J192,FM!$A:$J,4,FALSE)),0,VLOOKUP($J192,FM!$A:$J,4,FALSE))</f>
        <v>0</v>
      </c>
      <c r="D192" s="58">
        <f>IF(ISNA(VLOOKUP($J192,FM!$A:$J,5,FALSE)),0,VLOOKUP($J192,FM!$A:$J,5,FALSE))</f>
        <v>0</v>
      </c>
      <c r="E192" s="58">
        <f>IF(ISNA(VLOOKUP($J192,FM!$A:$J,6,FALSE)),0,VLOOKUP($J192,FM!$A:$J,6,FALSE))</f>
        <v>0</v>
      </c>
      <c r="F192" s="58">
        <f>IF(ISNA(VLOOKUP($J192,FM!$A:$J,7,FALSE)),0,VLOOKUP($J192,FM!$A:$J,7,FALSE))</f>
        <v>0</v>
      </c>
      <c r="G192" s="58">
        <f t="shared" si="33"/>
        <v>13977521.49</v>
      </c>
      <c r="H192" s="58">
        <f t="shared" si="33"/>
        <v>0</v>
      </c>
      <c r="I192" s="58">
        <f t="shared" si="34"/>
        <v>13977521.49</v>
      </c>
      <c r="J192" s="163" t="s">
        <v>653</v>
      </c>
    </row>
    <row r="193" spans="1:10" x14ac:dyDescent="0.3">
      <c r="A193" s="106" t="s">
        <v>202</v>
      </c>
      <c r="B193" s="58">
        <f>IF(ISNA(VLOOKUP($J193,FM!$A:$J,3,FALSE)),0,VLOOKUP($J193,FM!$A:$J,3,FALSE))</f>
        <v>724550.15</v>
      </c>
      <c r="C193" s="58">
        <f>IF(ISNA(VLOOKUP($J193,FM!$A:$J,4,FALSE)),0,VLOOKUP($J193,FM!$A:$J,4,FALSE))</f>
        <v>0</v>
      </c>
      <c r="D193" s="58">
        <f>IF(ISNA(VLOOKUP($J193,FM!$A:$J,5,FALSE)),0,VLOOKUP($J193,FM!$A:$J,5,FALSE))</f>
        <v>0</v>
      </c>
      <c r="E193" s="58">
        <f>IF(ISNA(VLOOKUP($J193,FM!$A:$J,6,FALSE)),0,VLOOKUP($J193,FM!$A:$J,6,FALSE))</f>
        <v>0</v>
      </c>
      <c r="F193" s="58">
        <f>IF(ISNA(VLOOKUP($J193,FM!$A:$J,7,FALSE)),0,VLOOKUP($J193,FM!$A:$J,7,FALSE))</f>
        <v>0</v>
      </c>
      <c r="G193" s="58">
        <f t="shared" si="33"/>
        <v>724550.15</v>
      </c>
      <c r="H193" s="58">
        <f t="shared" si="33"/>
        <v>0</v>
      </c>
      <c r="I193" s="58">
        <f t="shared" si="34"/>
        <v>724550.15</v>
      </c>
      <c r="J193" s="163" t="s">
        <v>655</v>
      </c>
    </row>
    <row r="194" spans="1:10" x14ac:dyDescent="0.3">
      <c r="A194" s="106" t="s">
        <v>203</v>
      </c>
      <c r="B194" s="58">
        <f>IF(ISNA(VLOOKUP($J194,FM!$A:$J,3,FALSE)),0,VLOOKUP($J194,FM!$A:$J,3,FALSE))</f>
        <v>2984435.38</v>
      </c>
      <c r="C194" s="58">
        <f>IF(ISNA(VLOOKUP($J194,FM!$A:$J,4,FALSE)),0,VLOOKUP($J194,FM!$A:$J,4,FALSE))</f>
        <v>0</v>
      </c>
      <c r="D194" s="58">
        <f>IF(ISNA(VLOOKUP($J194,FM!$A:$J,5,FALSE)),0,VLOOKUP($J194,FM!$A:$J,5,FALSE))</f>
        <v>0</v>
      </c>
      <c r="E194" s="58">
        <f>IF(ISNA(VLOOKUP($J194,FM!$A:$J,6,FALSE)),0,VLOOKUP($J194,FM!$A:$J,6,FALSE))</f>
        <v>0</v>
      </c>
      <c r="F194" s="58">
        <f>IF(ISNA(VLOOKUP($J194,FM!$A:$J,7,FALSE)),0,VLOOKUP($J194,FM!$A:$J,7,FALSE))</f>
        <v>0</v>
      </c>
      <c r="G194" s="58">
        <f t="shared" si="33"/>
        <v>2984435.38</v>
      </c>
      <c r="H194" s="58">
        <f t="shared" si="33"/>
        <v>0</v>
      </c>
      <c r="I194" s="58">
        <f t="shared" si="34"/>
        <v>2984435.38</v>
      </c>
      <c r="J194" s="163" t="s">
        <v>657</v>
      </c>
    </row>
    <row r="195" spans="1:10" x14ac:dyDescent="0.3">
      <c r="A195" s="106" t="s">
        <v>204</v>
      </c>
      <c r="B195" s="58">
        <f>IF(ISNA(VLOOKUP($J195,FM!$A:$J,3,FALSE)),0,VLOOKUP($J195,FM!$A:$J,3,FALSE))</f>
        <v>720966.65</v>
      </c>
      <c r="C195" s="58">
        <f>IF(ISNA(VLOOKUP($J195,FM!$A:$J,4,FALSE)),0,VLOOKUP($J195,FM!$A:$J,4,FALSE))</f>
        <v>0</v>
      </c>
      <c r="D195" s="58">
        <f>IF(ISNA(VLOOKUP($J195,FM!$A:$J,5,FALSE)),0,VLOOKUP($J195,FM!$A:$J,5,FALSE))</f>
        <v>0</v>
      </c>
      <c r="E195" s="58">
        <f>IF(ISNA(VLOOKUP($J195,FM!$A:$J,6,FALSE)),0,VLOOKUP($J195,FM!$A:$J,6,FALSE))</f>
        <v>0</v>
      </c>
      <c r="F195" s="58">
        <f>IF(ISNA(VLOOKUP($J195,FM!$A:$J,7,FALSE)),0,VLOOKUP($J195,FM!$A:$J,7,FALSE))</f>
        <v>0</v>
      </c>
      <c r="G195" s="58">
        <f t="shared" si="33"/>
        <v>720966.65</v>
      </c>
      <c r="H195" s="58">
        <f t="shared" si="33"/>
        <v>0</v>
      </c>
      <c r="I195" s="58">
        <f t="shared" si="34"/>
        <v>720966.65</v>
      </c>
      <c r="J195" s="163" t="s">
        <v>659</v>
      </c>
    </row>
    <row r="196" spans="1:10" x14ac:dyDescent="0.3">
      <c r="A196" s="106" t="s">
        <v>205</v>
      </c>
      <c r="B196" s="58">
        <f>IF(ISNA(VLOOKUP($J196,FM!$A:$J,3,FALSE)),0,VLOOKUP($J196,FM!$A:$J,3,FALSE))</f>
        <v>0</v>
      </c>
      <c r="C196" s="58">
        <f>IF(ISNA(VLOOKUP($J196,FM!$A:$J,4,FALSE)),0,VLOOKUP($J196,FM!$A:$J,4,FALSE))</f>
        <v>0</v>
      </c>
      <c r="D196" s="58">
        <f>IF(ISNA(VLOOKUP($J196,FM!$A:$J,5,FALSE)),0,VLOOKUP($J196,FM!$A:$J,5,FALSE))</f>
        <v>0</v>
      </c>
      <c r="E196" s="58">
        <f>IF(ISNA(VLOOKUP($J196,FM!$A:$J,6,FALSE)),0,VLOOKUP($J196,FM!$A:$J,6,FALSE))</f>
        <v>0</v>
      </c>
      <c r="F196" s="58">
        <f>IF(ISNA(VLOOKUP($J196,FM!$A:$J,7,FALSE)),0,VLOOKUP($J196,FM!$A:$J,7,FALSE))</f>
        <v>0</v>
      </c>
      <c r="G196" s="58">
        <f t="shared" si="33"/>
        <v>0</v>
      </c>
      <c r="H196" s="58">
        <f t="shared" si="33"/>
        <v>0</v>
      </c>
      <c r="I196" s="58">
        <f t="shared" si="34"/>
        <v>0</v>
      </c>
      <c r="J196" s="163" t="s">
        <v>871</v>
      </c>
    </row>
    <row r="197" spans="1:10" x14ac:dyDescent="0.3">
      <c r="A197" s="106" t="s">
        <v>206</v>
      </c>
      <c r="B197" s="58">
        <f>IF(ISNA(VLOOKUP($J197,FM!$A:$J,3,FALSE)),0,VLOOKUP($J197,FM!$A:$J,3,FALSE))</f>
        <v>0</v>
      </c>
      <c r="C197" s="58">
        <f>IF(ISNA(VLOOKUP($J197,FM!$A:$J,4,FALSE)),0,VLOOKUP($J197,FM!$A:$J,4,FALSE))</f>
        <v>1733895.34</v>
      </c>
      <c r="D197" s="58">
        <f>IF(ISNA(VLOOKUP($J197,FM!$A:$J,5,FALSE)),0,VLOOKUP($J197,FM!$A:$J,5,FALSE))</f>
        <v>0</v>
      </c>
      <c r="E197" s="58">
        <f>IF(ISNA(VLOOKUP($J197,FM!$A:$J,6,FALSE)),0,VLOOKUP($J197,FM!$A:$J,6,FALSE))</f>
        <v>0</v>
      </c>
      <c r="F197" s="58">
        <f>IF(ISNA(VLOOKUP($J197,FM!$A:$J,7,FALSE)),0,VLOOKUP($J197,FM!$A:$J,7,FALSE))</f>
        <v>0</v>
      </c>
      <c r="G197" s="58">
        <f t="shared" si="33"/>
        <v>0</v>
      </c>
      <c r="H197" s="58">
        <f t="shared" si="33"/>
        <v>1733895.34</v>
      </c>
      <c r="I197" s="58">
        <f t="shared" si="34"/>
        <v>1733895.34</v>
      </c>
      <c r="J197" s="163" t="s">
        <v>661</v>
      </c>
    </row>
    <row r="198" spans="1:10" x14ac:dyDescent="0.3">
      <c r="A198" s="106" t="s">
        <v>207</v>
      </c>
      <c r="B198" s="58">
        <f>IF(ISNA(VLOOKUP($J198,FM!$A:$J,3,FALSE)),0,VLOOKUP($J198,FM!$A:$J,3,FALSE))</f>
        <v>0</v>
      </c>
      <c r="C198" s="58">
        <f>IF(ISNA(VLOOKUP($J198,FM!$A:$J,4,FALSE)),0,VLOOKUP($J198,FM!$A:$J,4,FALSE))</f>
        <v>305962.45</v>
      </c>
      <c r="D198" s="58">
        <f>IF(ISNA(VLOOKUP($J198,FM!$A:$J,5,FALSE)),0,VLOOKUP($J198,FM!$A:$J,5,FALSE))</f>
        <v>0</v>
      </c>
      <c r="E198" s="58">
        <f>IF(ISNA(VLOOKUP($J198,FM!$A:$J,6,FALSE)),0,VLOOKUP($J198,FM!$A:$J,6,FALSE))</f>
        <v>0</v>
      </c>
      <c r="F198" s="58">
        <f>IF(ISNA(VLOOKUP($J198,FM!$A:$J,7,FALSE)),0,VLOOKUP($J198,FM!$A:$J,7,FALSE))</f>
        <v>0</v>
      </c>
      <c r="G198" s="58">
        <f t="shared" si="33"/>
        <v>0</v>
      </c>
      <c r="H198" s="58">
        <f t="shared" si="33"/>
        <v>305962.45</v>
      </c>
      <c r="I198" s="58">
        <f t="shared" si="34"/>
        <v>305962.45</v>
      </c>
      <c r="J198" s="163" t="s">
        <v>662</v>
      </c>
    </row>
    <row r="199" spans="1:10" x14ac:dyDescent="0.3">
      <c r="A199" s="106" t="s">
        <v>208</v>
      </c>
      <c r="B199" s="58">
        <f>IF(ISNA(VLOOKUP($J199,FM!$A:$J,3,FALSE)),0,VLOOKUP($J199,FM!$A:$J,3,FALSE))</f>
        <v>0</v>
      </c>
      <c r="C199" s="58">
        <f>IF(ISNA(VLOOKUP($J199,FM!$A:$J,4,FALSE)),0,VLOOKUP($J199,FM!$A:$J,4,FALSE))</f>
        <v>20762773.07</v>
      </c>
      <c r="D199" s="58">
        <f>IF(ISNA(VLOOKUP($J199,FM!$A:$J,5,FALSE)),0,VLOOKUP($J199,FM!$A:$J,5,FALSE))</f>
        <v>0</v>
      </c>
      <c r="E199" s="58">
        <f>IF(ISNA(VLOOKUP($J199,FM!$A:$J,6,FALSE)),0,VLOOKUP($J199,FM!$A:$J,6,FALSE))</f>
        <v>0</v>
      </c>
      <c r="F199" s="58">
        <f>IF(ISNA(VLOOKUP($J199,FM!$A:$J,7,FALSE)),0,VLOOKUP($J199,FM!$A:$J,7,FALSE))</f>
        <v>0</v>
      </c>
      <c r="G199" s="58">
        <f t="shared" si="33"/>
        <v>0</v>
      </c>
      <c r="H199" s="58">
        <f t="shared" si="33"/>
        <v>20762773.07</v>
      </c>
      <c r="I199" s="58">
        <f t="shared" si="34"/>
        <v>20762773.07</v>
      </c>
      <c r="J199" s="163" t="s">
        <v>663</v>
      </c>
    </row>
    <row r="200" spans="1:10" x14ac:dyDescent="0.3">
      <c r="A200" s="106" t="s">
        <v>209</v>
      </c>
      <c r="B200" s="58">
        <f>IF(ISNA(VLOOKUP($J200,FM!$A:$J,3,FALSE)),0,VLOOKUP($J200,FM!$A:$J,3,FALSE))</f>
        <v>0</v>
      </c>
      <c r="C200" s="58">
        <f>IF(ISNA(VLOOKUP($J200,FM!$A:$J,4,FALSE)),0,VLOOKUP($J200,FM!$A:$J,4,FALSE))</f>
        <v>1366044.84</v>
      </c>
      <c r="D200" s="58">
        <f>IF(ISNA(VLOOKUP($J200,FM!$A:$J,5,FALSE)),0,VLOOKUP($J200,FM!$A:$J,5,FALSE))</f>
        <v>0</v>
      </c>
      <c r="E200" s="58">
        <f>IF(ISNA(VLOOKUP($J200,FM!$A:$J,6,FALSE)),0,VLOOKUP($J200,FM!$A:$J,6,FALSE))</f>
        <v>0</v>
      </c>
      <c r="F200" s="58">
        <f>IF(ISNA(VLOOKUP($J200,FM!$A:$J,7,FALSE)),0,VLOOKUP($J200,FM!$A:$J,7,FALSE))</f>
        <v>0</v>
      </c>
      <c r="G200" s="58">
        <f t="shared" si="33"/>
        <v>0</v>
      </c>
      <c r="H200" s="58">
        <f t="shared" si="33"/>
        <v>1366044.84</v>
      </c>
      <c r="I200" s="58">
        <f t="shared" si="34"/>
        <v>1366044.84</v>
      </c>
      <c r="J200" s="163" t="s">
        <v>665</v>
      </c>
    </row>
    <row r="201" spans="1:10" x14ac:dyDescent="0.3">
      <c r="A201" s="106" t="s">
        <v>210</v>
      </c>
      <c r="B201" s="58">
        <f>IF(ISNA(VLOOKUP($J201,FM!$A:$J,3,FALSE)),0,VLOOKUP($J201,FM!$A:$J,3,FALSE))</f>
        <v>0</v>
      </c>
      <c r="C201" s="58">
        <f>IF(ISNA(VLOOKUP($J201,FM!$A:$J,4,FALSE)),0,VLOOKUP($J201,FM!$A:$J,4,FALSE))</f>
        <v>967965.68</v>
      </c>
      <c r="D201" s="58">
        <f>IF(ISNA(VLOOKUP($J201,FM!$A:$J,5,FALSE)),0,VLOOKUP($J201,FM!$A:$J,5,FALSE))</f>
        <v>0</v>
      </c>
      <c r="E201" s="58">
        <f>IF(ISNA(VLOOKUP($J201,FM!$A:$J,6,FALSE)),0,VLOOKUP($J201,FM!$A:$J,6,FALSE))</f>
        <v>0</v>
      </c>
      <c r="F201" s="58">
        <f>IF(ISNA(VLOOKUP($J201,FM!$A:$J,7,FALSE)),0,VLOOKUP($J201,FM!$A:$J,7,FALSE))</f>
        <v>0</v>
      </c>
      <c r="G201" s="58">
        <f t="shared" si="33"/>
        <v>0</v>
      </c>
      <c r="H201" s="58">
        <f t="shared" si="33"/>
        <v>967965.68</v>
      </c>
      <c r="I201" s="58">
        <f t="shared" si="34"/>
        <v>967965.68</v>
      </c>
      <c r="J201" s="163" t="s">
        <v>667</v>
      </c>
    </row>
    <row r="202" spans="1:10" x14ac:dyDescent="0.3">
      <c r="A202" s="106" t="s">
        <v>211</v>
      </c>
      <c r="B202" s="58">
        <f>IF(ISNA(VLOOKUP($J202,FM!$A:$J,3,FALSE)),0,VLOOKUP($J202,FM!$A:$J,3,FALSE))</f>
        <v>0</v>
      </c>
      <c r="C202" s="58">
        <f>IF(ISNA(VLOOKUP($J202,FM!$A:$J,4,FALSE)),0,VLOOKUP($J202,FM!$A:$J,4,FALSE))</f>
        <v>1912271</v>
      </c>
      <c r="D202" s="58">
        <f>IF(ISNA(VLOOKUP($J202,FM!$A:$J,5,FALSE)),0,VLOOKUP($J202,FM!$A:$J,5,FALSE))</f>
        <v>0</v>
      </c>
      <c r="E202" s="58">
        <f>IF(ISNA(VLOOKUP($J202,FM!$A:$J,6,FALSE)),0,VLOOKUP($J202,FM!$A:$J,6,FALSE))</f>
        <v>0</v>
      </c>
      <c r="F202" s="58">
        <f>IF(ISNA(VLOOKUP($J202,FM!$A:$J,7,FALSE)),0,VLOOKUP($J202,FM!$A:$J,7,FALSE))</f>
        <v>0</v>
      </c>
      <c r="G202" s="58">
        <f t="shared" si="33"/>
        <v>0</v>
      </c>
      <c r="H202" s="58">
        <f t="shared" si="33"/>
        <v>1912271</v>
      </c>
      <c r="I202" s="58">
        <f t="shared" si="34"/>
        <v>1912271</v>
      </c>
      <c r="J202" s="163" t="s">
        <v>669</v>
      </c>
    </row>
    <row r="203" spans="1:10" x14ac:dyDescent="0.3">
      <c r="A203" s="106" t="s">
        <v>212</v>
      </c>
      <c r="B203" s="58">
        <f>IF(ISNA(VLOOKUP($J203,FM!$A:$J,3,FALSE)),0,VLOOKUP($J203,FM!$A:$J,3,FALSE))</f>
        <v>0</v>
      </c>
      <c r="C203" s="58">
        <f>IF(ISNA(VLOOKUP($J203,FM!$A:$J,4,FALSE)),0,VLOOKUP($J203,FM!$A:$J,4,FALSE))</f>
        <v>1874810.99</v>
      </c>
      <c r="D203" s="58">
        <f>IF(ISNA(VLOOKUP($J203,FM!$A:$J,5,FALSE)),0,VLOOKUP($J203,FM!$A:$J,5,FALSE))</f>
        <v>0</v>
      </c>
      <c r="E203" s="58">
        <f>IF(ISNA(VLOOKUP($J203,FM!$A:$J,6,FALSE)),0,VLOOKUP($J203,FM!$A:$J,6,FALSE))</f>
        <v>0</v>
      </c>
      <c r="F203" s="58">
        <f>IF(ISNA(VLOOKUP($J203,FM!$A:$J,7,FALSE)),0,VLOOKUP($J203,FM!$A:$J,7,FALSE))</f>
        <v>0</v>
      </c>
      <c r="G203" s="58">
        <f t="shared" si="33"/>
        <v>0</v>
      </c>
      <c r="H203" s="58">
        <f t="shared" si="33"/>
        <v>1874810.99</v>
      </c>
      <c r="I203" s="58">
        <f t="shared" si="34"/>
        <v>1874810.99</v>
      </c>
      <c r="J203" s="163" t="s">
        <v>671</v>
      </c>
    </row>
    <row r="204" spans="1:10" x14ac:dyDescent="0.3">
      <c r="A204" s="106" t="s">
        <v>213</v>
      </c>
      <c r="B204" s="58">
        <f>IF(ISNA(VLOOKUP($J204,FM!$A:$J,3,FALSE)),0,VLOOKUP($J204,FM!$A:$J,3,FALSE))</f>
        <v>0</v>
      </c>
      <c r="C204" s="58">
        <f>IF(ISNA(VLOOKUP($J204,FM!$A:$J,4,FALSE)),0,VLOOKUP($J204,FM!$A:$J,4,FALSE))</f>
        <v>17528070.539999999</v>
      </c>
      <c r="D204" s="58">
        <f>IF(ISNA(VLOOKUP($J204,FM!$A:$J,5,FALSE)),0,VLOOKUP($J204,FM!$A:$J,5,FALSE))</f>
        <v>0</v>
      </c>
      <c r="E204" s="58">
        <f>IF(ISNA(VLOOKUP($J204,FM!$A:$J,6,FALSE)),0,VLOOKUP($J204,FM!$A:$J,6,FALSE))</f>
        <v>0</v>
      </c>
      <c r="F204" s="58">
        <f>IF(ISNA(VLOOKUP($J204,FM!$A:$J,7,FALSE)),0,VLOOKUP($J204,FM!$A:$J,7,FALSE))</f>
        <v>0</v>
      </c>
      <c r="G204" s="58">
        <f t="shared" si="33"/>
        <v>0</v>
      </c>
      <c r="H204" s="58">
        <f t="shared" si="33"/>
        <v>17528070.539999999</v>
      </c>
      <c r="I204" s="58">
        <f t="shared" si="34"/>
        <v>17528070.539999999</v>
      </c>
      <c r="J204" s="163" t="s">
        <v>672</v>
      </c>
    </row>
    <row r="205" spans="1:10" x14ac:dyDescent="0.3">
      <c r="A205" s="106" t="s">
        <v>214</v>
      </c>
      <c r="B205" s="58">
        <f>IF(ISNA(VLOOKUP($J205,FM!$A:$J,3,FALSE)),0,VLOOKUP($J205,FM!$A:$J,3,FALSE))</f>
        <v>0</v>
      </c>
      <c r="C205" s="58">
        <f>IF(ISNA(VLOOKUP($J205,FM!$A:$J,4,FALSE)),0,VLOOKUP($J205,FM!$A:$J,4,FALSE))</f>
        <v>254482.31</v>
      </c>
      <c r="D205" s="58">
        <f>IF(ISNA(VLOOKUP($J205,FM!$A:$J,5,FALSE)),0,VLOOKUP($J205,FM!$A:$J,5,FALSE))</f>
        <v>0</v>
      </c>
      <c r="E205" s="58">
        <f>IF(ISNA(VLOOKUP($J205,FM!$A:$J,6,FALSE)),0,VLOOKUP($J205,FM!$A:$J,6,FALSE))</f>
        <v>0</v>
      </c>
      <c r="F205" s="58">
        <f>IF(ISNA(VLOOKUP($J205,FM!$A:$J,7,FALSE)),0,VLOOKUP($J205,FM!$A:$J,7,FALSE))</f>
        <v>0</v>
      </c>
      <c r="G205" s="58">
        <f t="shared" si="33"/>
        <v>0</v>
      </c>
      <c r="H205" s="58">
        <f t="shared" si="33"/>
        <v>254482.31</v>
      </c>
      <c r="I205" s="58">
        <f t="shared" si="34"/>
        <v>254482.31</v>
      </c>
      <c r="J205" s="163" t="s">
        <v>674</v>
      </c>
    </row>
    <row r="206" spans="1:10" x14ac:dyDescent="0.3">
      <c r="A206" s="106" t="s">
        <v>215</v>
      </c>
      <c r="B206" s="58">
        <f>IF(ISNA(VLOOKUP($J206,FM!$A:$J,3,FALSE)),0,VLOOKUP($J206,FM!$A:$J,3,FALSE))</f>
        <v>0</v>
      </c>
      <c r="C206" s="58">
        <f>IF(ISNA(VLOOKUP($J206,FM!$A:$J,4,FALSE)),0,VLOOKUP($J206,FM!$A:$J,4,FALSE))</f>
        <v>34655.06</v>
      </c>
      <c r="D206" s="58">
        <f>IF(ISNA(VLOOKUP($J206,FM!$A:$J,5,FALSE)),0,VLOOKUP($J206,FM!$A:$J,5,FALSE))</f>
        <v>0</v>
      </c>
      <c r="E206" s="58">
        <f>IF(ISNA(VLOOKUP($J206,FM!$A:$J,6,FALSE)),0,VLOOKUP($J206,FM!$A:$J,6,FALSE))</f>
        <v>0</v>
      </c>
      <c r="F206" s="58">
        <f>IF(ISNA(VLOOKUP($J206,FM!$A:$J,7,FALSE)),0,VLOOKUP($J206,FM!$A:$J,7,FALSE))</f>
        <v>0</v>
      </c>
      <c r="G206" s="58">
        <f t="shared" si="33"/>
        <v>0</v>
      </c>
      <c r="H206" s="58">
        <f t="shared" si="33"/>
        <v>34655.06</v>
      </c>
      <c r="I206" s="58">
        <f t="shared" si="34"/>
        <v>34655.06</v>
      </c>
      <c r="J206" s="163" t="s">
        <v>675</v>
      </c>
    </row>
    <row r="207" spans="1:10" x14ac:dyDescent="0.3">
      <c r="A207" s="106" t="s">
        <v>216</v>
      </c>
      <c r="B207" s="58">
        <f>IF(ISNA(VLOOKUP($J207,FM!$A:$J,3,FALSE)),0,VLOOKUP($J207,FM!$A:$J,3,FALSE))</f>
        <v>0</v>
      </c>
      <c r="C207" s="58">
        <f>IF(ISNA(VLOOKUP($J207,FM!$A:$J,4,FALSE)),0,VLOOKUP($J207,FM!$A:$J,4,FALSE))</f>
        <v>128799.83</v>
      </c>
      <c r="D207" s="58">
        <f>IF(ISNA(VLOOKUP($J207,FM!$A:$J,5,FALSE)),0,VLOOKUP($J207,FM!$A:$J,5,FALSE))</f>
        <v>0</v>
      </c>
      <c r="E207" s="58">
        <f>IF(ISNA(VLOOKUP($J207,FM!$A:$J,6,FALSE)),0,VLOOKUP($J207,FM!$A:$J,6,FALSE))</f>
        <v>0</v>
      </c>
      <c r="F207" s="58">
        <f>IF(ISNA(VLOOKUP($J207,FM!$A:$J,7,FALSE)),0,VLOOKUP($J207,FM!$A:$J,7,FALSE))</f>
        <v>0</v>
      </c>
      <c r="G207" s="58">
        <f t="shared" si="33"/>
        <v>0</v>
      </c>
      <c r="H207" s="58">
        <f t="shared" si="33"/>
        <v>128799.83</v>
      </c>
      <c r="I207" s="58">
        <f t="shared" si="34"/>
        <v>128799.83</v>
      </c>
      <c r="J207" s="163" t="s">
        <v>676</v>
      </c>
    </row>
    <row r="208" spans="1:10" x14ac:dyDescent="0.3">
      <c r="A208" s="106" t="s">
        <v>217</v>
      </c>
      <c r="B208" s="58">
        <f>IF(ISNA(VLOOKUP($J208,FM!$A:$J,3,FALSE)),0,VLOOKUP($J208,FM!$A:$J,3,FALSE))</f>
        <v>0</v>
      </c>
      <c r="C208" s="58">
        <f>IF(ISNA(VLOOKUP($J208,FM!$A:$J,4,FALSE)),0,VLOOKUP($J208,FM!$A:$J,4,FALSE))</f>
        <v>8692658.2699999996</v>
      </c>
      <c r="D208" s="58">
        <f>IF(ISNA(VLOOKUP($J208,FM!$A:$J,5,FALSE)),0,VLOOKUP($J208,FM!$A:$J,5,FALSE))</f>
        <v>0</v>
      </c>
      <c r="E208" s="58">
        <f>IF(ISNA(VLOOKUP($J208,FM!$A:$J,6,FALSE)),0,VLOOKUP($J208,FM!$A:$J,6,FALSE))</f>
        <v>0</v>
      </c>
      <c r="F208" s="58">
        <f>IF(ISNA(VLOOKUP($J208,FM!$A:$J,7,FALSE)),0,VLOOKUP($J208,FM!$A:$J,7,FALSE))</f>
        <v>0</v>
      </c>
      <c r="G208" s="58">
        <f t="shared" si="33"/>
        <v>0</v>
      </c>
      <c r="H208" s="58">
        <f t="shared" si="33"/>
        <v>8692658.2699999996</v>
      </c>
      <c r="I208" s="58">
        <f t="shared" si="34"/>
        <v>8692658.2699999996</v>
      </c>
      <c r="J208" s="163" t="s">
        <v>678</v>
      </c>
    </row>
    <row r="209" spans="1:13" x14ac:dyDescent="0.3">
      <c r="A209" s="106" t="s">
        <v>218</v>
      </c>
      <c r="B209" s="58">
        <f>IF(ISNA(VLOOKUP($J209,FM!$A:$J,3,FALSE)),0,VLOOKUP($J209,FM!$A:$J,3,FALSE))</f>
        <v>0</v>
      </c>
      <c r="C209" s="58">
        <f>IF(ISNA(VLOOKUP($J209,FM!$A:$J,4,FALSE)),0,VLOOKUP($J209,FM!$A:$J,4,FALSE))</f>
        <v>901500.9</v>
      </c>
      <c r="D209" s="58">
        <f>IF(ISNA(VLOOKUP($J209,FM!$A:$J,5,FALSE)),0,VLOOKUP($J209,FM!$A:$J,5,FALSE))</f>
        <v>0</v>
      </c>
      <c r="E209" s="58">
        <f>IF(ISNA(VLOOKUP($J209,FM!$A:$J,6,FALSE)),0,VLOOKUP($J209,FM!$A:$J,6,FALSE))</f>
        <v>0</v>
      </c>
      <c r="F209" s="58">
        <f>IF(ISNA(VLOOKUP($J209,FM!$A:$J,7,FALSE)),0,VLOOKUP($J209,FM!$A:$J,7,FALSE))</f>
        <v>0</v>
      </c>
      <c r="G209" s="58">
        <f t="shared" si="33"/>
        <v>0</v>
      </c>
      <c r="H209" s="58">
        <f t="shared" si="33"/>
        <v>901500.9</v>
      </c>
      <c r="I209" s="58">
        <f t="shared" si="34"/>
        <v>901500.9</v>
      </c>
      <c r="J209" s="163" t="s">
        <v>680</v>
      </c>
    </row>
    <row r="210" spans="1:13" x14ac:dyDescent="0.3">
      <c r="A210" s="106" t="s">
        <v>219</v>
      </c>
      <c r="B210" s="58">
        <f>IF(ISNA(VLOOKUP($J210,FM!$A:$J,3,FALSE)),0,VLOOKUP($J210,FM!$A:$J,3,FALSE))</f>
        <v>0</v>
      </c>
      <c r="C210" s="58">
        <f>IF(ISNA(VLOOKUP($J210,FM!$A:$J,4,FALSE)),0,VLOOKUP($J210,FM!$A:$J,4,FALSE))</f>
        <v>162470.26</v>
      </c>
      <c r="D210" s="58">
        <f>IF(ISNA(VLOOKUP($J210,FM!$A:$J,5,FALSE)),0,VLOOKUP($J210,FM!$A:$J,5,FALSE))</f>
        <v>0</v>
      </c>
      <c r="E210" s="58">
        <f>IF(ISNA(VLOOKUP($J210,FM!$A:$J,6,FALSE)),0,VLOOKUP($J210,FM!$A:$J,6,FALSE))</f>
        <v>0</v>
      </c>
      <c r="F210" s="58">
        <f>IF(ISNA(VLOOKUP($J210,FM!$A:$J,7,FALSE)),0,VLOOKUP($J210,FM!$A:$J,7,FALSE))</f>
        <v>0</v>
      </c>
      <c r="G210" s="58">
        <f t="shared" si="33"/>
        <v>0</v>
      </c>
      <c r="H210" s="58">
        <f t="shared" si="33"/>
        <v>162470.26</v>
      </c>
      <c r="I210" s="58">
        <f t="shared" si="34"/>
        <v>162470.26</v>
      </c>
      <c r="J210" s="163" t="s">
        <v>682</v>
      </c>
    </row>
    <row r="211" spans="1:13" x14ac:dyDescent="0.3">
      <c r="A211" s="106" t="s">
        <v>220</v>
      </c>
      <c r="B211" s="58">
        <f>IF(ISNA(VLOOKUP($J211,FM!$A:$J,3,FALSE)),0,VLOOKUP($J211,FM!$A:$J,3,FALSE))</f>
        <v>0</v>
      </c>
      <c r="C211" s="58">
        <f>IF(ISNA(VLOOKUP($J211,FM!$A:$J,4,FALSE)),0,VLOOKUP($J211,FM!$A:$J,4,FALSE))</f>
        <v>4754188.08</v>
      </c>
      <c r="D211" s="58">
        <f>IF(ISNA(VLOOKUP($J211,FM!$A:$J,5,FALSE)),0,VLOOKUP($J211,FM!$A:$J,5,FALSE))</f>
        <v>0</v>
      </c>
      <c r="E211" s="58">
        <f>IF(ISNA(VLOOKUP($J211,FM!$A:$J,6,FALSE)),0,VLOOKUP($J211,FM!$A:$J,6,FALSE))</f>
        <v>0</v>
      </c>
      <c r="F211" s="58">
        <f>IF(ISNA(VLOOKUP($J211,FM!$A:$J,7,FALSE)),0,VLOOKUP($J211,FM!$A:$J,7,FALSE))</f>
        <v>0</v>
      </c>
      <c r="G211" s="58">
        <f t="shared" si="33"/>
        <v>0</v>
      </c>
      <c r="H211" s="58">
        <f t="shared" si="33"/>
        <v>4754188.08</v>
      </c>
      <c r="I211" s="58">
        <f t="shared" si="34"/>
        <v>4754188.08</v>
      </c>
      <c r="J211" s="163" t="s">
        <v>684</v>
      </c>
    </row>
    <row r="212" spans="1:13" x14ac:dyDescent="0.3">
      <c r="A212" s="106" t="s">
        <v>221</v>
      </c>
      <c r="B212" s="58">
        <f>IF(ISNA(VLOOKUP($J212,FM!$A:$J,3,FALSE)),0,VLOOKUP($J212,FM!$A:$J,3,FALSE))</f>
        <v>0</v>
      </c>
      <c r="C212" s="58">
        <f>IF(ISNA(VLOOKUP($J212,FM!$A:$J,4,FALSE)),0,VLOOKUP($J212,FM!$A:$J,4,FALSE))</f>
        <v>540324.39</v>
      </c>
      <c r="D212" s="58">
        <f>IF(ISNA(VLOOKUP($J212,FM!$A:$J,5,FALSE)),0,VLOOKUP($J212,FM!$A:$J,5,FALSE))</f>
        <v>0</v>
      </c>
      <c r="E212" s="58">
        <f>IF(ISNA(VLOOKUP($J212,FM!$A:$J,6,FALSE)),0,VLOOKUP($J212,FM!$A:$J,6,FALSE))</f>
        <v>0</v>
      </c>
      <c r="F212" s="58">
        <f>IF(ISNA(VLOOKUP($J212,FM!$A:$J,7,FALSE)),0,VLOOKUP($J212,FM!$A:$J,7,FALSE))</f>
        <v>0</v>
      </c>
      <c r="G212" s="58">
        <f t="shared" si="33"/>
        <v>0</v>
      </c>
      <c r="H212" s="58">
        <f t="shared" si="33"/>
        <v>540324.39</v>
      </c>
      <c r="I212" s="58">
        <f t="shared" si="34"/>
        <v>540324.39</v>
      </c>
      <c r="J212" s="163" t="s">
        <v>686</v>
      </c>
    </row>
    <row r="213" spans="1:13" x14ac:dyDescent="0.3">
      <c r="A213" s="106" t="s">
        <v>222</v>
      </c>
      <c r="B213" s="159">
        <f>IF(ISNA(VLOOKUP($J213,FM!$A:$J,3,FALSE)),0,VLOOKUP($J213,FM!$A:$J,3,FALSE))</f>
        <v>0</v>
      </c>
      <c r="C213" s="159">
        <f>IF(ISNA(VLOOKUP($J213,FM!$A:$J,4,FALSE)),0,VLOOKUP($J213,FM!$A:$J,4,FALSE))</f>
        <v>346908.53</v>
      </c>
      <c r="D213" s="159">
        <f>IF(ISNA(VLOOKUP($J213,FM!$A:$J,5,FALSE)),0,VLOOKUP($J213,FM!$A:$J,5,FALSE))</f>
        <v>0</v>
      </c>
      <c r="E213" s="159">
        <f>IF(ISNA(VLOOKUP($J213,FM!$A:$J,6,FALSE)),0,VLOOKUP($J213,FM!$A:$J,6,FALSE))</f>
        <v>0</v>
      </c>
      <c r="F213" s="159">
        <f>IF(ISNA(VLOOKUP($J213,FM!$A:$J,7,FALSE)),0,VLOOKUP($J213,FM!$A:$J,7,FALSE))</f>
        <v>0</v>
      </c>
      <c r="G213" s="159">
        <f t="shared" si="33"/>
        <v>0</v>
      </c>
      <c r="H213" s="159">
        <f t="shared" si="33"/>
        <v>346908.53</v>
      </c>
      <c r="I213" s="159">
        <f t="shared" si="34"/>
        <v>346908.53</v>
      </c>
      <c r="J213" s="163" t="s">
        <v>688</v>
      </c>
    </row>
    <row r="214" spans="1:13" x14ac:dyDescent="0.3">
      <c r="A214" s="106" t="s">
        <v>223</v>
      </c>
      <c r="B214" s="58">
        <f>SUM(B178:B213)</f>
        <v>100263617.59999999</v>
      </c>
      <c r="C214" s="58">
        <f t="shared" ref="C214:I214" si="35">SUM(C178:C213)</f>
        <v>62267781.539999992</v>
      </c>
      <c r="D214" s="58">
        <f t="shared" si="35"/>
        <v>0</v>
      </c>
      <c r="E214" s="58">
        <f t="shared" si="35"/>
        <v>0</v>
      </c>
      <c r="F214" s="58">
        <f t="shared" si="35"/>
        <v>0</v>
      </c>
      <c r="G214" s="58">
        <f t="shared" si="35"/>
        <v>100263617.59999999</v>
      </c>
      <c r="H214" s="58">
        <f t="shared" si="35"/>
        <v>62267781.539999992</v>
      </c>
      <c r="I214" s="58">
        <f t="shared" si="35"/>
        <v>162531399.14000005</v>
      </c>
      <c r="J214" s="160" t="s">
        <v>626</v>
      </c>
    </row>
    <row r="215" spans="1:13" x14ac:dyDescent="0.3">
      <c r="A215" s="57" t="s">
        <v>224</v>
      </c>
      <c r="B215" s="58"/>
      <c r="C215" s="58"/>
      <c r="D215" s="58"/>
      <c r="E215" s="58"/>
      <c r="F215" s="58"/>
      <c r="G215" s="58"/>
      <c r="H215" s="58"/>
      <c r="I215" s="58"/>
      <c r="J215" s="106"/>
    </row>
    <row r="216" spans="1:13" x14ac:dyDescent="0.3">
      <c r="A216" s="106" t="s">
        <v>225</v>
      </c>
      <c r="B216" s="58">
        <f>IF(ISNA(VLOOKUP($J216,FM!$A:$J,3,FALSE)),0,VLOOKUP($J216,FM!$A:$J,3,FALSE))</f>
        <v>0</v>
      </c>
      <c r="C216" s="58">
        <f>IF(ISNA(VLOOKUP($J216,FM!$A:$J,4,FALSE)),0,VLOOKUP($J216,FM!$A:$J,4,FALSE))</f>
        <v>0</v>
      </c>
      <c r="D216" s="58">
        <f>IF(ISNA(VLOOKUP($J216,FM!$A:$J,5,FALSE)),0,VLOOKUP($J216,FM!$A:$J,5,FALSE))</f>
        <v>211782.87</v>
      </c>
      <c r="E216" s="58">
        <f>ROUND($D216*K216,2)</f>
        <v>123236.45</v>
      </c>
      <c r="F216" s="58">
        <f>ROUND($D216*L216,2)</f>
        <v>88546.42</v>
      </c>
      <c r="G216" s="58">
        <f>B216+E216</f>
        <v>123236.45</v>
      </c>
      <c r="H216" s="58">
        <f t="shared" ref="H216:H220" si="36">C216+F216</f>
        <v>88546.42</v>
      </c>
      <c r="I216" s="58">
        <f t="shared" ref="I216:I219" si="37">SUM(G216:H216)</f>
        <v>211782.87</v>
      </c>
      <c r="J216" s="163" t="s">
        <v>692</v>
      </c>
      <c r="K216" s="167">
        <f>+'Allocators (CBR)'!F9</f>
        <v>0.58189999999999997</v>
      </c>
      <c r="L216" s="167">
        <f>+'Allocators (CBR)'!G9</f>
        <v>0.41810000000000003</v>
      </c>
      <c r="M216" s="36" t="str">
        <f>IF(D216&lt;&gt;0,"YES","")</f>
        <v>YES</v>
      </c>
    </row>
    <row r="217" spans="1:13" x14ac:dyDescent="0.3">
      <c r="A217" s="106" t="s">
        <v>226</v>
      </c>
      <c r="B217" s="58">
        <f>IFERROR(SUMIF(FM!$A:$A,'Unallocated Detail (CBR)'!$J217,FM!C:C),0)</f>
        <v>10745968.24</v>
      </c>
      <c r="C217" s="58">
        <f>IFERROR(SUMIF(FM!$A:$A,'Unallocated Detail (CBR)'!$J217,FM!D:D),0)</f>
        <v>8892455.75</v>
      </c>
      <c r="D217" s="58">
        <f>IFERROR(SUMIF(FM!$A:$A,'Unallocated Detail (CBR)'!$J217,FM!E:E),0)</f>
        <v>2227061.23</v>
      </c>
      <c r="E217" s="58">
        <f t="shared" ref="E217:E220" si="38">ROUND($D217*K217,2)</f>
        <v>1396367.39</v>
      </c>
      <c r="F217" s="58">
        <f t="shared" ref="F217:F220" si="39">ROUND($D217*L217,2)</f>
        <v>830693.84</v>
      </c>
      <c r="G217" s="58">
        <f t="shared" ref="G217:G220" si="40">B217+E217</f>
        <v>12142335.630000001</v>
      </c>
      <c r="H217" s="58">
        <f t="shared" si="36"/>
        <v>9723149.5899999999</v>
      </c>
      <c r="I217" s="58">
        <f t="shared" si="37"/>
        <v>21865485.219999999</v>
      </c>
      <c r="J217" s="163" t="s">
        <v>901</v>
      </c>
      <c r="K217" s="167">
        <f>+'Allocators (CBR)'!F10</f>
        <v>0.627</v>
      </c>
      <c r="L217" s="167">
        <f>+'Allocators (CBR)'!G10</f>
        <v>0.373</v>
      </c>
      <c r="M217" s="36" t="str">
        <f t="shared" ref="M217:M280" si="41">IF(D217&lt;&gt;0,"YES","")</f>
        <v>YES</v>
      </c>
    </row>
    <row r="218" spans="1:13" x14ac:dyDescent="0.3">
      <c r="A218" s="106" t="s">
        <v>227</v>
      </c>
      <c r="B218" s="58">
        <f>IFERROR(SUMIF(FM!$A:$A,'Unallocated Detail (CBR)'!$J218,FM!C:C),0)</f>
        <v>9325360.6600000001</v>
      </c>
      <c r="C218" s="58">
        <f>IFERROR(SUMIF(FM!$A:$A,'Unallocated Detail (CBR)'!$J218,FM!D:D),0)</f>
        <v>392930.22</v>
      </c>
      <c r="D218" s="58">
        <f>IFERROR(SUMIF(FM!$A:$A,'Unallocated Detail (CBR)'!$J218,FM!E:E),0)</f>
        <v>25608457.539999999</v>
      </c>
      <c r="E218" s="58">
        <f t="shared" si="38"/>
        <v>14901561.439999999</v>
      </c>
      <c r="F218" s="58">
        <f t="shared" si="39"/>
        <v>10706896.1</v>
      </c>
      <c r="G218" s="58">
        <f t="shared" si="40"/>
        <v>24226922.100000001</v>
      </c>
      <c r="H218" s="58">
        <f t="shared" si="36"/>
        <v>11099826.32</v>
      </c>
      <c r="I218" s="58">
        <f t="shared" si="37"/>
        <v>35326748.420000002</v>
      </c>
      <c r="J218" s="163" t="s">
        <v>902</v>
      </c>
      <c r="K218" s="167">
        <f>+'Allocators (CBR)'!F11</f>
        <v>0.58189999999999997</v>
      </c>
      <c r="L218" s="167">
        <f>+'Allocators (CBR)'!G11</f>
        <v>0.41810000000000003</v>
      </c>
      <c r="M218" s="36" t="str">
        <f t="shared" si="41"/>
        <v>YES</v>
      </c>
    </row>
    <row r="219" spans="1:13" x14ac:dyDescent="0.3">
      <c r="A219" s="106" t="s">
        <v>228</v>
      </c>
      <c r="B219" s="58">
        <f>IF(ISNA(VLOOKUP($J219,FM!$A:$J,3,FALSE)),0,VLOOKUP($J219,FM!$A:$J,3,FALSE))</f>
        <v>18526680.579999998</v>
      </c>
      <c r="C219" s="58">
        <f>IF(ISNA(VLOOKUP($J219,FM!$A:$J,4,FALSE)),0,VLOOKUP($J219,FM!$A:$J,4,FALSE))</f>
        <v>4491994.01</v>
      </c>
      <c r="D219" s="58">
        <f>IF(ISNA(VLOOKUP($J219,FM!$A:$J,5,FALSE)),0,VLOOKUP($J219,FM!$A:$J,5,FALSE))</f>
        <v>34233.360000000001</v>
      </c>
      <c r="E219" s="58">
        <f t="shared" si="38"/>
        <v>22477.62</v>
      </c>
      <c r="F219" s="58">
        <f t="shared" si="39"/>
        <v>11755.74</v>
      </c>
      <c r="G219" s="58">
        <f t="shared" si="40"/>
        <v>18549158.199999999</v>
      </c>
      <c r="H219" s="58">
        <f t="shared" si="36"/>
        <v>4503749.75</v>
      </c>
      <c r="I219" s="58">
        <f t="shared" si="37"/>
        <v>23052907.949999999</v>
      </c>
      <c r="J219" s="163" t="s">
        <v>700</v>
      </c>
      <c r="K219" s="167">
        <f>+'Allocators (CBR)'!F12</f>
        <v>0.65659999999999996</v>
      </c>
      <c r="L219" s="167">
        <f>+'Allocators (CBR)'!G12</f>
        <v>0.34339999999999998</v>
      </c>
      <c r="M219" s="36" t="str">
        <f t="shared" si="41"/>
        <v>YES</v>
      </c>
    </row>
    <row r="220" spans="1:13" x14ac:dyDescent="0.3">
      <c r="A220" s="106" t="s">
        <v>229</v>
      </c>
      <c r="B220" s="159">
        <f>IF(ISNA(VLOOKUP($J220,FM!$A:$J,3,FALSE)),0,VLOOKUP($J220,FM!$A:$J,3,FALSE))</f>
        <v>0</v>
      </c>
      <c r="C220" s="159">
        <f>IF(ISNA(VLOOKUP($J220,FM!$A:$J,4,FALSE)),0,VLOOKUP($J220,FM!$A:$J,4,FALSE))</f>
        <v>0</v>
      </c>
      <c r="D220" s="159">
        <f>IF(ISNA(VLOOKUP($J220,FM!$A:$J,5,FALSE)),0,VLOOKUP($J220,FM!$A:$J,5,FALSE))</f>
        <v>0</v>
      </c>
      <c r="E220" s="159">
        <f t="shared" si="38"/>
        <v>0</v>
      </c>
      <c r="F220" s="159">
        <f t="shared" si="39"/>
        <v>0</v>
      </c>
      <c r="G220" s="159">
        <f t="shared" si="40"/>
        <v>0</v>
      </c>
      <c r="H220" s="159">
        <f t="shared" si="36"/>
        <v>0</v>
      </c>
      <c r="I220" s="159">
        <f>SUM(G220:H220)</f>
        <v>0</v>
      </c>
      <c r="J220" s="163" t="s">
        <v>872</v>
      </c>
      <c r="M220" s="36" t="str">
        <f t="shared" si="41"/>
        <v/>
      </c>
    </row>
    <row r="221" spans="1:13" x14ac:dyDescent="0.3">
      <c r="A221" s="106" t="s">
        <v>230</v>
      </c>
      <c r="B221" s="58">
        <f>SUM(B216:B220)</f>
        <v>38598009.479999997</v>
      </c>
      <c r="C221" s="58">
        <f t="shared" ref="C221:I221" si="42">SUM(C216:C220)</f>
        <v>13777379.98</v>
      </c>
      <c r="D221" s="58">
        <f t="shared" si="42"/>
        <v>28081535</v>
      </c>
      <c r="E221" s="58">
        <f t="shared" si="42"/>
        <v>16443642.899999999</v>
      </c>
      <c r="F221" s="58">
        <f t="shared" si="42"/>
        <v>11637892.1</v>
      </c>
      <c r="G221" s="58">
        <f t="shared" si="42"/>
        <v>55041652.379999995</v>
      </c>
      <c r="H221" s="58">
        <f t="shared" si="42"/>
        <v>25415272.079999998</v>
      </c>
      <c r="I221" s="58">
        <f t="shared" si="42"/>
        <v>80456924.460000008</v>
      </c>
      <c r="J221" s="160" t="s">
        <v>690</v>
      </c>
    </row>
    <row r="222" spans="1:13" x14ac:dyDescent="0.3">
      <c r="A222" s="57" t="s">
        <v>231</v>
      </c>
      <c r="B222" s="58"/>
      <c r="C222" s="58"/>
      <c r="D222" s="58"/>
      <c r="E222" s="58"/>
      <c r="F222" s="58"/>
      <c r="G222" s="58"/>
      <c r="H222" s="58"/>
      <c r="I222" s="58"/>
      <c r="J222" s="106"/>
      <c r="M222" s="36" t="str">
        <f t="shared" si="41"/>
        <v/>
      </c>
    </row>
    <row r="223" spans="1:13" x14ac:dyDescent="0.3">
      <c r="A223" s="106" t="s">
        <v>232</v>
      </c>
      <c r="B223" s="58">
        <f>IF(ISNA(VLOOKUP($J223,FM!$A:$J,3,FALSE)),0,VLOOKUP($J223,FM!$A:$J,3,FALSE))</f>
        <v>35716001.859999999</v>
      </c>
      <c r="C223" s="58">
        <f>IF(ISNA(VLOOKUP($J223,FM!$A:$J,4,FALSE)),0,VLOOKUP($J223,FM!$A:$J,4,FALSE))</f>
        <v>3071738.72</v>
      </c>
      <c r="D223" s="58">
        <f>IF(ISNA(VLOOKUP($J223,FM!$A:$J,5,FALSE)),0,VLOOKUP($J223,FM!$A:$J,5,FALSE))</f>
        <v>1929888.26</v>
      </c>
      <c r="E223" s="58">
        <f t="shared" ref="E223:E229" si="43">ROUND($D223*K223,2)</f>
        <v>1123001.98</v>
      </c>
      <c r="F223" s="58">
        <f t="shared" ref="F223:F229" si="44">ROUND($D223*L223,2)</f>
        <v>806886.28</v>
      </c>
      <c r="G223" s="58">
        <f t="shared" ref="G223:H229" si="45">B223+E223</f>
        <v>36839003.839999996</v>
      </c>
      <c r="H223" s="58">
        <f t="shared" si="45"/>
        <v>3878625</v>
      </c>
      <c r="I223" s="58">
        <f t="shared" ref="I223:I229" si="46">SUM(G223:H223)</f>
        <v>40717628.839999996</v>
      </c>
      <c r="J223" s="163" t="s">
        <v>704</v>
      </c>
      <c r="K223" s="167">
        <f>+'Allocators (CBR)'!F16</f>
        <v>0.58189999999999997</v>
      </c>
      <c r="L223" s="167">
        <f>+'Allocators (CBR)'!G16</f>
        <v>0.41810000000000003</v>
      </c>
      <c r="M223" s="36" t="str">
        <f t="shared" si="41"/>
        <v>YES</v>
      </c>
    </row>
    <row r="224" spans="1:13" x14ac:dyDescent="0.3">
      <c r="A224" s="106" t="s">
        <v>233</v>
      </c>
      <c r="B224" s="58">
        <f>IF(ISNA(VLOOKUP($J224,FM!$A:$J,3,FALSE)),0,VLOOKUP($J224,FM!$A:$J,3,FALSE))</f>
        <v>432296.49</v>
      </c>
      <c r="C224" s="58">
        <f>IF(ISNA(VLOOKUP($J224,FM!$A:$J,4,FALSE)),0,VLOOKUP($J224,FM!$A:$J,4,FALSE))</f>
        <v>224660.45</v>
      </c>
      <c r="D224" s="58">
        <f>IF(ISNA(VLOOKUP($J224,FM!$A:$J,5,FALSE)),0,VLOOKUP($J224,FM!$A:$J,5,FALSE))</f>
        <v>2492165.2400000002</v>
      </c>
      <c r="E224" s="58">
        <f t="shared" si="43"/>
        <v>1450190.95</v>
      </c>
      <c r="F224" s="58">
        <f t="shared" si="44"/>
        <v>1041974.29</v>
      </c>
      <c r="G224" s="58">
        <f t="shared" si="45"/>
        <v>1882487.44</v>
      </c>
      <c r="H224" s="58">
        <f t="shared" si="45"/>
        <v>1266634.74</v>
      </c>
      <c r="I224" s="58">
        <f t="shared" si="46"/>
        <v>3149122.1799999997</v>
      </c>
      <c r="J224" s="163" t="s">
        <v>706</v>
      </c>
      <c r="K224" s="167">
        <f>+'Allocators (CBR)'!F17</f>
        <v>0.58189999999999997</v>
      </c>
      <c r="L224" s="167">
        <f>+'Allocators (CBR)'!G17</f>
        <v>0.41810000000000003</v>
      </c>
      <c r="M224" s="36" t="str">
        <f t="shared" si="41"/>
        <v>YES</v>
      </c>
    </row>
    <row r="225" spans="1:13" x14ac:dyDescent="0.3">
      <c r="A225" s="106" t="s">
        <v>234</v>
      </c>
      <c r="B225" s="58">
        <f>IF(ISNA(VLOOKUP($J225,FM!$A:$J,3,FALSE)),0,VLOOKUP($J225,FM!$A:$J,3,FALSE))</f>
        <v>0</v>
      </c>
      <c r="C225" s="58">
        <f>IF(ISNA(VLOOKUP($J225,FM!$A:$J,4,FALSE)),0,VLOOKUP($J225,FM!$A:$J,4,FALSE))</f>
        <v>0</v>
      </c>
      <c r="D225" s="58">
        <f>IF(ISNA(VLOOKUP($J225,FM!$A:$J,5,FALSE)),0,VLOOKUP($J225,FM!$A:$J,5,FALSE))</f>
        <v>0</v>
      </c>
      <c r="E225" s="58">
        <f t="shared" si="43"/>
        <v>0</v>
      </c>
      <c r="F225" s="58">
        <f t="shared" si="44"/>
        <v>0</v>
      </c>
      <c r="G225" s="58">
        <f t="shared" si="45"/>
        <v>0</v>
      </c>
      <c r="H225" s="58">
        <f t="shared" si="45"/>
        <v>0</v>
      </c>
      <c r="I225" s="58">
        <f t="shared" si="46"/>
        <v>0</v>
      </c>
      <c r="J225" s="163" t="s">
        <v>708</v>
      </c>
      <c r="K225" s="167">
        <f>+'Allocators (CBR)'!F18</f>
        <v>0.58189999999999997</v>
      </c>
      <c r="L225" s="167">
        <f>+'Allocators (CBR)'!G18</f>
        <v>0.41810000000000003</v>
      </c>
      <c r="M225" s="36" t="str">
        <f t="shared" si="41"/>
        <v/>
      </c>
    </row>
    <row r="226" spans="1:13" x14ac:dyDescent="0.3">
      <c r="A226" s="106" t="s">
        <v>235</v>
      </c>
      <c r="B226" s="58">
        <f>IF(ISNA(VLOOKUP($J226,FM!$A:$J,3,FALSE)),0,VLOOKUP($J226,FM!$A:$J,3,FALSE))</f>
        <v>0</v>
      </c>
      <c r="C226" s="58">
        <f>IF(ISNA(VLOOKUP($J226,FM!$A:$J,4,FALSE)),0,VLOOKUP($J226,FM!$A:$J,4,FALSE))</f>
        <v>0</v>
      </c>
      <c r="D226" s="58">
        <f>IF(ISNA(VLOOKUP($J226,FM!$A:$J,5,FALSE)),0,VLOOKUP($J226,FM!$A:$J,5,FALSE))</f>
        <v>0</v>
      </c>
      <c r="E226" s="58">
        <f t="shared" si="43"/>
        <v>0</v>
      </c>
      <c r="F226" s="58">
        <f t="shared" si="44"/>
        <v>0</v>
      </c>
      <c r="G226" s="58">
        <f t="shared" si="45"/>
        <v>0</v>
      </c>
      <c r="H226" s="58">
        <f t="shared" si="45"/>
        <v>0</v>
      </c>
      <c r="I226" s="58">
        <f t="shared" si="46"/>
        <v>0</v>
      </c>
      <c r="J226" s="163" t="s">
        <v>873</v>
      </c>
      <c r="K226" s="167">
        <f>+'Allocators (CBR)'!F19</f>
        <v>0.58189999999999997</v>
      </c>
      <c r="L226" s="167">
        <f>+'Allocators (CBR)'!G19</f>
        <v>0.41810000000000003</v>
      </c>
      <c r="M226" s="36" t="str">
        <f t="shared" si="41"/>
        <v/>
      </c>
    </row>
    <row r="227" spans="1:13" x14ac:dyDescent="0.3">
      <c r="A227" s="106" t="s">
        <v>236</v>
      </c>
      <c r="B227" s="58">
        <f>IF(ISNA(VLOOKUP($J227,FM!$A:$J,3,FALSE)),0,VLOOKUP($J227,FM!$A:$J,3,FALSE))</f>
        <v>1105029.77</v>
      </c>
      <c r="C227" s="58">
        <f>IF(ISNA(VLOOKUP($J227,FM!$A:$J,4,FALSE)),0,VLOOKUP($J227,FM!$A:$J,4,FALSE))</f>
        <v>0</v>
      </c>
      <c r="D227" s="58">
        <f>IF(ISNA(VLOOKUP($J227,FM!$A:$J,5,FALSE)),0,VLOOKUP($J227,FM!$A:$J,5,FALSE))</f>
        <v>-232754.22</v>
      </c>
      <c r="E227" s="58">
        <f t="shared" si="43"/>
        <v>-135439.67999999999</v>
      </c>
      <c r="F227" s="58">
        <f t="shared" si="44"/>
        <v>-97314.54</v>
      </c>
      <c r="G227" s="58">
        <f t="shared" si="45"/>
        <v>969590.09000000008</v>
      </c>
      <c r="H227" s="58">
        <f t="shared" si="45"/>
        <v>-97314.54</v>
      </c>
      <c r="I227" s="58">
        <f t="shared" si="46"/>
        <v>872275.55</v>
      </c>
      <c r="J227" s="163" t="s">
        <v>709</v>
      </c>
      <c r="K227" s="167">
        <f>+'Allocators (CBR)'!F20</f>
        <v>0.58189999999999997</v>
      </c>
      <c r="L227" s="167">
        <f>+'Allocators (CBR)'!G20</f>
        <v>0.41810000000000003</v>
      </c>
      <c r="M227" s="36" t="str">
        <f t="shared" si="41"/>
        <v>YES</v>
      </c>
    </row>
    <row r="228" spans="1:13" x14ac:dyDescent="0.3">
      <c r="A228" s="106" t="s">
        <v>237</v>
      </c>
      <c r="B228" s="58">
        <f>IF(ISNA(VLOOKUP($J228,FM!$A:$J,3,FALSE)),0,VLOOKUP($J228,FM!$A:$J,3,FALSE))</f>
        <v>0</v>
      </c>
      <c r="C228" s="58">
        <f>IF(ISNA(VLOOKUP($J228,FM!$A:$J,4,FALSE)),0,VLOOKUP($J228,FM!$A:$J,4,FALSE))</f>
        <v>0</v>
      </c>
      <c r="D228" s="58">
        <f>IF(ISNA(VLOOKUP($J228,FM!$A:$J,5,FALSE)),0,VLOOKUP($J228,FM!$A:$J,5,FALSE))</f>
        <v>0</v>
      </c>
      <c r="E228" s="58">
        <f t="shared" si="43"/>
        <v>0</v>
      </c>
      <c r="F228" s="58">
        <f t="shared" si="44"/>
        <v>0</v>
      </c>
      <c r="G228" s="58">
        <f t="shared" si="45"/>
        <v>0</v>
      </c>
      <c r="H228" s="58">
        <f t="shared" si="45"/>
        <v>0</v>
      </c>
      <c r="I228" s="58">
        <f t="shared" si="46"/>
        <v>0</v>
      </c>
      <c r="J228" s="163" t="s">
        <v>874</v>
      </c>
      <c r="K228" s="167">
        <f>+'Allocators (CBR)'!F21</f>
        <v>0.58189999999999997</v>
      </c>
      <c r="L228" s="167">
        <f>+'Allocators (CBR)'!G21</f>
        <v>0.41810000000000003</v>
      </c>
      <c r="M228" s="36" t="str">
        <f t="shared" si="41"/>
        <v/>
      </c>
    </row>
    <row r="229" spans="1:13" x14ac:dyDescent="0.3">
      <c r="A229" s="106" t="s">
        <v>238</v>
      </c>
      <c r="B229" s="159">
        <f>IF(ISNA(VLOOKUP($J229,FM!$A:$J,3,FALSE)),0,VLOOKUP($J229,FM!$A:$J,3,FALSE))</f>
        <v>0</v>
      </c>
      <c r="C229" s="159">
        <f>IF(ISNA(VLOOKUP($J229,FM!$A:$J,4,FALSE)),0,VLOOKUP($J229,FM!$A:$J,4,FALSE))</f>
        <v>0</v>
      </c>
      <c r="D229" s="159">
        <f>IF(ISNA(VLOOKUP($J229,FM!$A:$J,5,FALSE)),0,VLOOKUP($J229,FM!$A:$J,5,FALSE))</f>
        <v>0</v>
      </c>
      <c r="E229" s="159">
        <f t="shared" si="43"/>
        <v>0</v>
      </c>
      <c r="F229" s="159">
        <f t="shared" si="44"/>
        <v>0</v>
      </c>
      <c r="G229" s="159">
        <f t="shared" si="45"/>
        <v>0</v>
      </c>
      <c r="H229" s="159">
        <f t="shared" si="45"/>
        <v>0</v>
      </c>
      <c r="I229" s="159">
        <f t="shared" si="46"/>
        <v>0</v>
      </c>
      <c r="J229" s="163" t="s">
        <v>875</v>
      </c>
      <c r="K229" s="167">
        <f>+'Allocators (CBR)'!F22</f>
        <v>0.58189999999999997</v>
      </c>
      <c r="L229" s="167">
        <f>+'Allocators (CBR)'!G22</f>
        <v>0.41810000000000003</v>
      </c>
      <c r="M229" s="36" t="str">
        <f t="shared" si="41"/>
        <v/>
      </c>
    </row>
    <row r="230" spans="1:13" x14ac:dyDescent="0.3">
      <c r="A230" s="106" t="s">
        <v>239</v>
      </c>
      <c r="B230" s="58">
        <f>SUM(B223:B229)</f>
        <v>37253328.120000005</v>
      </c>
      <c r="C230" s="58">
        <f t="shared" ref="C230:I230" si="47">SUM(C223:C229)</f>
        <v>3296399.1700000004</v>
      </c>
      <c r="D230" s="58">
        <f t="shared" si="47"/>
        <v>4189299.28</v>
      </c>
      <c r="E230" s="58">
        <f t="shared" si="47"/>
        <v>2437753.2499999995</v>
      </c>
      <c r="F230" s="58">
        <f t="shared" si="47"/>
        <v>1751546.03</v>
      </c>
      <c r="G230" s="58">
        <f t="shared" si="47"/>
        <v>39691081.369999997</v>
      </c>
      <c r="H230" s="58">
        <f t="shared" si="47"/>
        <v>5047945.2</v>
      </c>
      <c r="I230" s="58">
        <f t="shared" si="47"/>
        <v>44739026.569999993</v>
      </c>
      <c r="J230" s="160" t="s">
        <v>702</v>
      </c>
    </row>
    <row r="231" spans="1:13" x14ac:dyDescent="0.3">
      <c r="A231" s="57" t="s">
        <v>240</v>
      </c>
      <c r="B231" s="58"/>
      <c r="C231" s="58"/>
      <c r="D231" s="58"/>
      <c r="E231" s="58"/>
      <c r="F231" s="58"/>
      <c r="G231" s="58"/>
      <c r="H231" s="58"/>
      <c r="I231" s="58"/>
      <c r="J231" s="106"/>
      <c r="M231" s="36" t="str">
        <f t="shared" si="41"/>
        <v/>
      </c>
    </row>
    <row r="232" spans="1:13" x14ac:dyDescent="0.3">
      <c r="A232" s="168" t="s">
        <v>241</v>
      </c>
      <c r="B232" s="159">
        <f>IF(ISNA(VLOOKUP($J232,FM!$A:$J,3,FALSE)),0,VLOOKUP($J232,FM!$A:$J,3,FALSE))</f>
        <v>96120984.269999996</v>
      </c>
      <c r="C232" s="159">
        <f>IF(ISNA(VLOOKUP($J232,FM!$A:$J,4,FALSE)),0,VLOOKUP($J232,FM!$A:$J,4,FALSE))</f>
        <v>20820731.120000001</v>
      </c>
      <c r="D232" s="159">
        <f>IF(ISNA(VLOOKUP($J232,FM!$A:$J,5,FALSE)),0,VLOOKUP($J232,FM!$A:$J,5,FALSE))</f>
        <v>0</v>
      </c>
      <c r="E232" s="159">
        <f>IF(ISNA(VLOOKUP($J232,FM!$A:$J,6,FALSE)),0,VLOOKUP($J232,FM!$A:$J,6,FALSE))</f>
        <v>0</v>
      </c>
      <c r="F232" s="159">
        <f>IF(ISNA(VLOOKUP($J232,FM!$A:$J,7,FALSE)),0,VLOOKUP($J232,FM!$A:$J,7,FALSE))</f>
        <v>0</v>
      </c>
      <c r="G232" s="159">
        <f t="shared" ref="G232:H232" si="48">B232+E232</f>
        <v>96120984.269999996</v>
      </c>
      <c r="H232" s="159">
        <f t="shared" si="48"/>
        <v>20820731.120000001</v>
      </c>
      <c r="I232" s="159">
        <f t="shared" ref="I232" si="49">SUM(G232:H232)</f>
        <v>116941715.39</v>
      </c>
      <c r="J232" s="163" t="s">
        <v>713</v>
      </c>
      <c r="M232" s="36" t="str">
        <f t="shared" si="41"/>
        <v/>
      </c>
    </row>
    <row r="233" spans="1:13" x14ac:dyDescent="0.3">
      <c r="A233" s="106" t="s">
        <v>242</v>
      </c>
      <c r="B233" s="58">
        <f>SUM(B232)</f>
        <v>96120984.269999996</v>
      </c>
      <c r="C233" s="58">
        <f t="shared" ref="C233:I233" si="50">SUM(C232)</f>
        <v>20820731.120000001</v>
      </c>
      <c r="D233" s="58">
        <f t="shared" si="50"/>
        <v>0</v>
      </c>
      <c r="E233" s="58">
        <f t="shared" si="50"/>
        <v>0</v>
      </c>
      <c r="F233" s="58">
        <f t="shared" si="50"/>
        <v>0</v>
      </c>
      <c r="G233" s="58">
        <f t="shared" si="50"/>
        <v>96120984.269999996</v>
      </c>
      <c r="H233" s="58">
        <f t="shared" si="50"/>
        <v>20820731.120000001</v>
      </c>
      <c r="I233" s="58">
        <f t="shared" si="50"/>
        <v>116941715.39</v>
      </c>
      <c r="J233" s="160" t="s">
        <v>711</v>
      </c>
      <c r="M233" s="36" t="str">
        <f t="shared" si="41"/>
        <v/>
      </c>
    </row>
    <row r="234" spans="1:13" x14ac:dyDescent="0.3">
      <c r="A234" s="57" t="s">
        <v>243</v>
      </c>
      <c r="B234" s="156"/>
      <c r="C234" s="156"/>
      <c r="D234" s="156"/>
      <c r="E234" s="156"/>
      <c r="F234" s="156"/>
      <c r="G234" s="156"/>
      <c r="H234" s="156"/>
      <c r="I234" s="156"/>
      <c r="J234" s="106"/>
      <c r="M234" s="36" t="str">
        <f t="shared" si="41"/>
        <v/>
      </c>
    </row>
    <row r="235" spans="1:13" x14ac:dyDescent="0.3">
      <c r="A235" s="106" t="s">
        <v>244</v>
      </c>
      <c r="B235" s="58">
        <f>IF(ISNA(VLOOKUP($J235,FM!$A:$J,3,FALSE)),0,VLOOKUP($J235,FM!$A:$J,3,FALSE))</f>
        <v>9006497.2200000007</v>
      </c>
      <c r="C235" s="58">
        <f>IF(ISNA(VLOOKUP($J235,FM!$A:$J,4,FALSE)),0,VLOOKUP($J235,FM!$A:$J,4,FALSE))</f>
        <v>618022.39</v>
      </c>
      <c r="D235" s="58">
        <f>IF(ISNA(VLOOKUP($J235,FM!$A:$J,5,FALSE)),0,VLOOKUP($J235,FM!$A:$J,5,FALSE))</f>
        <v>92129846.810000002</v>
      </c>
      <c r="E235" s="58">
        <f t="shared" ref="E235:E247" si="51">ROUND($D235*K235,2)</f>
        <v>60492457.420000002</v>
      </c>
      <c r="F235" s="58">
        <f t="shared" ref="F235:F247" si="52">ROUND($D235*L235,2)</f>
        <v>31637389.390000001</v>
      </c>
      <c r="G235" s="58">
        <f t="shared" ref="G235:H247" si="53">B235+E235</f>
        <v>69498954.640000001</v>
      </c>
      <c r="H235" s="58">
        <f t="shared" si="53"/>
        <v>32255411.780000001</v>
      </c>
      <c r="I235" s="58">
        <f t="shared" ref="I235:I247" si="54">SUM(G235:H235)</f>
        <v>101754366.42</v>
      </c>
      <c r="J235" s="163" t="s">
        <v>717</v>
      </c>
      <c r="K235" s="167">
        <f>+'Allocators (CBR)'!F25</f>
        <v>0.65659999999999996</v>
      </c>
      <c r="L235" s="167">
        <f>+'Allocators (CBR)'!G25</f>
        <v>0.34339999999999998</v>
      </c>
      <c r="M235" s="36" t="str">
        <f t="shared" si="41"/>
        <v>YES</v>
      </c>
    </row>
    <row r="236" spans="1:13" x14ac:dyDescent="0.3">
      <c r="A236" s="106" t="s">
        <v>245</v>
      </c>
      <c r="B236" s="58">
        <f>IF(ISNA(VLOOKUP($J236,FM!$A:$J,3,FALSE)),0,VLOOKUP($J236,FM!$A:$J,3,FALSE))</f>
        <v>409420.44</v>
      </c>
      <c r="C236" s="58">
        <f>IF(ISNA(VLOOKUP($J236,FM!$A:$J,4,FALSE)),0,VLOOKUP($J236,FM!$A:$J,4,FALSE))</f>
        <v>152351.31</v>
      </c>
      <c r="D236" s="58">
        <f>IF(ISNA(VLOOKUP($J236,FM!$A:$J,5,FALSE)),0,VLOOKUP($J236,FM!$A:$J,5,FALSE))</f>
        <v>8287975.2199999997</v>
      </c>
      <c r="E236" s="58">
        <f t="shared" si="51"/>
        <v>5441884.5300000003</v>
      </c>
      <c r="F236" s="58">
        <f t="shared" si="52"/>
        <v>2846090.69</v>
      </c>
      <c r="G236" s="58">
        <f t="shared" si="53"/>
        <v>5851304.9700000007</v>
      </c>
      <c r="H236" s="58">
        <f t="shared" si="53"/>
        <v>2998442</v>
      </c>
      <c r="I236" s="58">
        <f t="shared" si="54"/>
        <v>8849746.9700000007</v>
      </c>
      <c r="J236" s="163" t="s">
        <v>719</v>
      </c>
      <c r="K236" s="167">
        <f>+'Allocators (CBR)'!F26</f>
        <v>0.65659999999999996</v>
      </c>
      <c r="L236" s="167">
        <f>+'Allocators (CBR)'!G26</f>
        <v>0.34339999999999998</v>
      </c>
      <c r="M236" s="36" t="str">
        <f t="shared" si="41"/>
        <v>YES</v>
      </c>
    </row>
    <row r="237" spans="1:13" x14ac:dyDescent="0.3">
      <c r="A237" s="106" t="s">
        <v>246</v>
      </c>
      <c r="B237" s="58">
        <f>IF(ISNA(VLOOKUP($J237,FM!$A:$J,3,FALSE)),0,VLOOKUP($J237,FM!$A:$J,3,FALSE))</f>
        <v>-214587.77</v>
      </c>
      <c r="C237" s="58">
        <f>IF(ISNA(VLOOKUP($J237,FM!$A:$J,4,FALSE)),0,VLOOKUP($J237,FM!$A:$J,4,FALSE))</f>
        <v>-110643.76</v>
      </c>
      <c r="D237" s="58">
        <f>IF(ISNA(VLOOKUP($J237,FM!$A:$J,5,FALSE)),0,VLOOKUP($J237,FM!$A:$J,5,FALSE))</f>
        <v>-41821805.789999999</v>
      </c>
      <c r="E237" s="58">
        <f t="shared" si="51"/>
        <v>-27460197.68</v>
      </c>
      <c r="F237" s="58">
        <f t="shared" si="52"/>
        <v>-14361608.109999999</v>
      </c>
      <c r="G237" s="58">
        <f t="shared" si="53"/>
        <v>-27674785.449999999</v>
      </c>
      <c r="H237" s="58">
        <f t="shared" si="53"/>
        <v>-14472251.869999999</v>
      </c>
      <c r="I237" s="58">
        <f t="shared" si="54"/>
        <v>-42147037.32</v>
      </c>
      <c r="J237" s="163" t="s">
        <v>721</v>
      </c>
      <c r="K237" s="167">
        <f>+'Allocators (CBR)'!F27</f>
        <v>0.65659999999999996</v>
      </c>
      <c r="L237" s="167">
        <f>+'Allocators (CBR)'!G27</f>
        <v>0.34339999999999998</v>
      </c>
      <c r="M237" s="36" t="str">
        <f t="shared" si="41"/>
        <v>YES</v>
      </c>
    </row>
    <row r="238" spans="1:13" x14ac:dyDescent="0.3">
      <c r="A238" s="106" t="s">
        <v>247</v>
      </c>
      <c r="B238" s="58">
        <f>IF(ISNA(VLOOKUP($J238,FM!$A:$J,3,FALSE)),0,VLOOKUP($J238,FM!$A:$J,3,FALSE))</f>
        <v>3893617.21</v>
      </c>
      <c r="C238" s="58">
        <f>IF(ISNA(VLOOKUP($J238,FM!$A:$J,4,FALSE)),0,VLOOKUP($J238,FM!$A:$J,4,FALSE))</f>
        <v>947400.5</v>
      </c>
      <c r="D238" s="58">
        <f>IF(ISNA(VLOOKUP($J238,FM!$A:$J,5,FALSE)),0,VLOOKUP($J238,FM!$A:$J,5,FALSE))</f>
        <v>19506395.219999999</v>
      </c>
      <c r="E238" s="58">
        <f t="shared" si="51"/>
        <v>12807899.1</v>
      </c>
      <c r="F238" s="58">
        <f t="shared" si="52"/>
        <v>6698496.1200000001</v>
      </c>
      <c r="G238" s="58">
        <f t="shared" si="53"/>
        <v>16701516.309999999</v>
      </c>
      <c r="H238" s="58">
        <f t="shared" si="53"/>
        <v>7645896.6200000001</v>
      </c>
      <c r="I238" s="58">
        <f t="shared" si="54"/>
        <v>24347412.93</v>
      </c>
      <c r="J238" s="163" t="s">
        <v>723</v>
      </c>
      <c r="K238" s="167">
        <f>+'Allocators (CBR)'!F28</f>
        <v>0.65659999999999996</v>
      </c>
      <c r="L238" s="167">
        <f>+'Allocators (CBR)'!G28</f>
        <v>0.34339999999999998</v>
      </c>
      <c r="M238" s="36" t="str">
        <f t="shared" si="41"/>
        <v>YES</v>
      </c>
    </row>
    <row r="239" spans="1:13" x14ac:dyDescent="0.3">
      <c r="A239" s="106" t="s">
        <v>248</v>
      </c>
      <c r="B239" s="58">
        <f>IF(ISNA(VLOOKUP($J239,FM!$A:$J,3,FALSE)),0,VLOOKUP($J239,FM!$A:$J,3,FALSE))</f>
        <v>5964683.5800000001</v>
      </c>
      <c r="C239" s="58">
        <f>IF(ISNA(VLOOKUP($J239,FM!$A:$J,4,FALSE)),0,VLOOKUP($J239,FM!$A:$J,4,FALSE))</f>
        <v>253712.16</v>
      </c>
      <c r="D239" s="58">
        <f>IF(ISNA(VLOOKUP($J239,FM!$A:$J,5,FALSE)),0,VLOOKUP($J239,FM!$A:$J,5,FALSE))</f>
        <v>199012.79</v>
      </c>
      <c r="E239" s="58">
        <f t="shared" si="51"/>
        <v>117596.66</v>
      </c>
      <c r="F239" s="58">
        <f t="shared" si="52"/>
        <v>81416.13</v>
      </c>
      <c r="G239" s="58">
        <f t="shared" si="53"/>
        <v>6082280.2400000002</v>
      </c>
      <c r="H239" s="58">
        <f t="shared" si="53"/>
        <v>335128.29000000004</v>
      </c>
      <c r="I239" s="58">
        <f t="shared" si="54"/>
        <v>6417408.5300000003</v>
      </c>
      <c r="J239" s="163" t="s">
        <v>725</v>
      </c>
      <c r="K239" s="167">
        <f>+'Allocators (CBR)'!F29</f>
        <v>0.59089999999999998</v>
      </c>
      <c r="L239" s="167">
        <f>+'Allocators (CBR)'!G29</f>
        <v>0.40910000000000002</v>
      </c>
      <c r="M239" s="36" t="str">
        <f t="shared" si="41"/>
        <v>YES</v>
      </c>
    </row>
    <row r="240" spans="1:13" x14ac:dyDescent="0.3">
      <c r="A240" s="106" t="s">
        <v>249</v>
      </c>
      <c r="B240" s="58">
        <f>IF(ISNA(VLOOKUP($J240,FM!$A:$J,3,FALSE)),0,VLOOKUP($J240,FM!$A:$J,3,FALSE))</f>
        <v>-68672.02</v>
      </c>
      <c r="C240" s="58">
        <f>IF(ISNA(VLOOKUP($J240,FM!$A:$J,4,FALSE)),0,VLOOKUP($J240,FM!$A:$J,4,FALSE))</f>
        <v>626766.68999999994</v>
      </c>
      <c r="D240" s="58">
        <f>IF(ISNA(VLOOKUP($J240,FM!$A:$J,5,FALSE)),0,VLOOKUP($J240,FM!$A:$J,5,FALSE))</f>
        <v>9086171.2599999998</v>
      </c>
      <c r="E240" s="58">
        <f t="shared" si="51"/>
        <v>5287243.0599999996</v>
      </c>
      <c r="F240" s="58">
        <f t="shared" si="52"/>
        <v>3798928.2</v>
      </c>
      <c r="G240" s="58">
        <f t="shared" si="53"/>
        <v>5218571.04</v>
      </c>
      <c r="H240" s="58">
        <f t="shared" si="53"/>
        <v>4425694.8900000006</v>
      </c>
      <c r="I240" s="58">
        <f t="shared" si="54"/>
        <v>9644265.9299999997</v>
      </c>
      <c r="J240" s="163" t="s">
        <v>727</v>
      </c>
      <c r="K240" s="167">
        <f>+'Allocators (CBR)'!F30</f>
        <v>0.58189999999999997</v>
      </c>
      <c r="L240" s="167">
        <f>+'Allocators (CBR)'!G30</f>
        <v>0.41810000000000003</v>
      </c>
      <c r="M240" s="36" t="str">
        <f t="shared" si="41"/>
        <v>YES</v>
      </c>
    </row>
    <row r="241" spans="1:13" x14ac:dyDescent="0.3">
      <c r="A241" s="106" t="s">
        <v>250</v>
      </c>
      <c r="B241" s="58">
        <f>IF(ISNA(VLOOKUP($J241,FM!$A:$J,3,FALSE)),0,VLOOKUP($J241,FM!$A:$J,3,FALSE))</f>
        <v>21224554.52</v>
      </c>
      <c r="C241" s="58">
        <f>IF(ISNA(VLOOKUP($J241,FM!$A:$J,4,FALSE)),0,VLOOKUP($J241,FM!$A:$J,4,FALSE))</f>
        <v>7802104.6100000003</v>
      </c>
      <c r="D241" s="58">
        <f>IF(ISNA(VLOOKUP($J241,FM!$A:$J,5,FALSE)),0,VLOOKUP($J241,FM!$A:$J,5,FALSE))</f>
        <v>14832304.33</v>
      </c>
      <c r="E241" s="58">
        <f t="shared" si="51"/>
        <v>10793467.859999999</v>
      </c>
      <c r="F241" s="58">
        <f t="shared" si="52"/>
        <v>4038836.47</v>
      </c>
      <c r="G241" s="58">
        <f t="shared" si="53"/>
        <v>32018022.379999999</v>
      </c>
      <c r="H241" s="58">
        <f t="shared" si="53"/>
        <v>11840941.08</v>
      </c>
      <c r="I241" s="58">
        <f t="shared" si="54"/>
        <v>43858963.460000001</v>
      </c>
      <c r="J241" s="163" t="s">
        <v>729</v>
      </c>
      <c r="K241" s="167">
        <f>+'Allocators (CBR)'!F31</f>
        <v>0.72770000000000001</v>
      </c>
      <c r="L241" s="167">
        <f>+'Allocators (CBR)'!G31</f>
        <v>0.27229999999999999</v>
      </c>
      <c r="M241" s="36" t="str">
        <f t="shared" si="41"/>
        <v>YES</v>
      </c>
    </row>
    <row r="242" spans="1:13" x14ac:dyDescent="0.3">
      <c r="A242" s="106" t="s">
        <v>251</v>
      </c>
      <c r="B242" s="58">
        <f>IF(ISNA(VLOOKUP($J242,FM!$A:$J,3,FALSE)),0,VLOOKUP($J242,FM!$A:$J,3,FALSE))</f>
        <v>15862484.470000001</v>
      </c>
      <c r="C242" s="58">
        <f>IF(ISNA(VLOOKUP($J242,FM!$A:$J,4,FALSE)),0,VLOOKUP($J242,FM!$A:$J,4,FALSE))</f>
        <v>5478128.1399999997</v>
      </c>
      <c r="D242" s="58">
        <f>IF(ISNA(VLOOKUP($J242,FM!$A:$J,5,FALSE)),0,VLOOKUP($J242,FM!$A:$J,5,FALSE))</f>
        <v>3883050.04</v>
      </c>
      <c r="E242" s="58">
        <f t="shared" si="51"/>
        <v>2549610.66</v>
      </c>
      <c r="F242" s="58">
        <f t="shared" si="52"/>
        <v>1333439.3799999999</v>
      </c>
      <c r="G242" s="58">
        <f t="shared" si="53"/>
        <v>18412095.130000003</v>
      </c>
      <c r="H242" s="58">
        <f t="shared" si="53"/>
        <v>6811567.5199999996</v>
      </c>
      <c r="I242" s="58">
        <f t="shared" si="54"/>
        <v>25223662.650000002</v>
      </c>
      <c r="J242" s="163" t="s">
        <v>731</v>
      </c>
      <c r="K242" s="167">
        <f>+'Allocators (CBR)'!F32</f>
        <v>0.65659999999999996</v>
      </c>
      <c r="L242" s="167">
        <f>+'Allocators (CBR)'!G32</f>
        <v>0.34339999999999998</v>
      </c>
      <c r="M242" s="36" t="str">
        <f t="shared" si="41"/>
        <v>YES</v>
      </c>
    </row>
    <row r="243" spans="1:13" x14ac:dyDescent="0.3">
      <c r="A243" s="106" t="s">
        <v>252</v>
      </c>
      <c r="B243" s="58">
        <f>IF(ISNA(VLOOKUP($J243,FM!$A:$J,3,FALSE)),0,VLOOKUP($J243,FM!$A:$J,3,FALSE))</f>
        <v>36293.53</v>
      </c>
      <c r="C243" s="58">
        <f>IF(ISNA(VLOOKUP($J243,FM!$A:$J,4,FALSE)),0,VLOOKUP($J243,FM!$A:$J,4,FALSE))</f>
        <v>0</v>
      </c>
      <c r="D243" s="58">
        <f>IF(ISNA(VLOOKUP($J243,FM!$A:$J,5,FALSE)),0,VLOOKUP($J243,FM!$A:$J,5,FALSE))</f>
        <v>29433.52</v>
      </c>
      <c r="E243" s="58">
        <f t="shared" si="51"/>
        <v>19326.05</v>
      </c>
      <c r="F243" s="58">
        <f t="shared" si="52"/>
        <v>10107.469999999999</v>
      </c>
      <c r="G243" s="58">
        <f t="shared" si="53"/>
        <v>55619.58</v>
      </c>
      <c r="H243" s="58">
        <f t="shared" si="53"/>
        <v>10107.469999999999</v>
      </c>
      <c r="I243" s="58">
        <f t="shared" si="54"/>
        <v>65727.05</v>
      </c>
      <c r="J243" s="163" t="s">
        <v>876</v>
      </c>
      <c r="K243" s="167">
        <f>+'Allocators (CBR)'!F33</f>
        <v>0.65659999999999996</v>
      </c>
      <c r="L243" s="167">
        <f>+'Allocators (CBR)'!G33</f>
        <v>0.34339999999999998</v>
      </c>
      <c r="M243" s="36" t="str">
        <f t="shared" si="41"/>
        <v>YES</v>
      </c>
    </row>
    <row r="244" spans="1:13" x14ac:dyDescent="0.3">
      <c r="A244" s="106" t="s">
        <v>253</v>
      </c>
      <c r="B244" s="58">
        <f>IF(ISNA(VLOOKUP($J244,FM!$A:$J,3,FALSE)),0,VLOOKUP($J244,FM!$A:$J,3,FALSE))</f>
        <v>337435.96</v>
      </c>
      <c r="C244" s="58">
        <f>IF(ISNA(VLOOKUP($J244,FM!$A:$J,4,FALSE)),0,VLOOKUP($J244,FM!$A:$J,4,FALSE))</f>
        <v>16607.54</v>
      </c>
      <c r="D244" s="58">
        <f>IF(ISNA(VLOOKUP($J244,FM!$A:$J,5,FALSE)),0,VLOOKUP($J244,FM!$A:$J,5,FALSE))</f>
        <v>11029992.68</v>
      </c>
      <c r="E244" s="58">
        <f t="shared" si="51"/>
        <v>7242293.1900000004</v>
      </c>
      <c r="F244" s="58">
        <f t="shared" si="52"/>
        <v>3787699.49</v>
      </c>
      <c r="G244" s="58">
        <f t="shared" si="53"/>
        <v>7579729.1500000004</v>
      </c>
      <c r="H244" s="58">
        <f t="shared" si="53"/>
        <v>3804307.0300000003</v>
      </c>
      <c r="I244" s="58">
        <f t="shared" si="54"/>
        <v>11384036.18</v>
      </c>
      <c r="J244" s="163" t="s">
        <v>733</v>
      </c>
      <c r="K244" s="167">
        <f>+'Allocators (CBR)'!F34</f>
        <v>0.65659999999999996</v>
      </c>
      <c r="L244" s="167">
        <f>+'Allocators (CBR)'!G34</f>
        <v>0.34339999999999998</v>
      </c>
      <c r="M244" s="36" t="str">
        <f t="shared" si="41"/>
        <v>YES</v>
      </c>
    </row>
    <row r="245" spans="1:13" x14ac:dyDescent="0.3">
      <c r="A245" s="106" t="s">
        <v>254</v>
      </c>
      <c r="B245" s="285">
        <f>IFERROR(SUMIF(FM!$A:$A,'Unallocated Detail (CBR)'!$J245,FM!C:C),0)</f>
        <v>2267466.0699999998</v>
      </c>
      <c r="C245" s="285">
        <f>IFERROR(SUMIF(FM!$A:$A,'Unallocated Detail (CBR)'!$J245,FM!D:D),0)</f>
        <v>0</v>
      </c>
      <c r="D245" s="285">
        <f>IFERROR(SUMIF(FM!$A:$A,'Unallocated Detail (CBR)'!$J245,FM!E:E),0)</f>
        <v>11224015.74</v>
      </c>
      <c r="E245" s="58">
        <f t="shared" si="51"/>
        <v>7369688.7300000004</v>
      </c>
      <c r="F245" s="58">
        <f t="shared" si="52"/>
        <v>3854327.01</v>
      </c>
      <c r="G245" s="58">
        <f t="shared" si="53"/>
        <v>9637154.8000000007</v>
      </c>
      <c r="H245" s="58">
        <f t="shared" si="53"/>
        <v>3854327.01</v>
      </c>
      <c r="I245" s="58">
        <f t="shared" si="54"/>
        <v>13491481.810000001</v>
      </c>
      <c r="J245" s="163" t="s">
        <v>735</v>
      </c>
      <c r="K245" s="167">
        <f>+'Allocators (CBR)'!F35</f>
        <v>0.65659999999999996</v>
      </c>
      <c r="L245" s="167">
        <f>+'Allocators (CBR)'!G35</f>
        <v>0.34339999999999998</v>
      </c>
      <c r="M245" s="36" t="str">
        <f t="shared" si="41"/>
        <v>YES</v>
      </c>
    </row>
    <row r="246" spans="1:13" x14ac:dyDescent="0.3">
      <c r="A246" s="106" t="s">
        <v>255</v>
      </c>
      <c r="B246" s="58">
        <f>IF(ISNA(VLOOKUP($J246,FM!$A:$J,3,FALSE)),0,VLOOKUP($J246,FM!$A:$J,3,FALSE))</f>
        <v>0</v>
      </c>
      <c r="C246" s="58">
        <f>IF(ISNA(VLOOKUP($J246,FM!$A:$J,4,FALSE)),0,VLOOKUP($J246,FM!$A:$J,4,FALSE))</f>
        <v>1470873.11</v>
      </c>
      <c r="D246" s="58">
        <f>IF(ISNA(VLOOKUP($J246,FM!$A:$J,5,FALSE)),0,VLOOKUP($J246,FM!$A:$J,5,FALSE))</f>
        <v>0</v>
      </c>
      <c r="E246" s="58">
        <f t="shared" si="51"/>
        <v>0</v>
      </c>
      <c r="F246" s="58">
        <f t="shared" si="52"/>
        <v>0</v>
      </c>
      <c r="G246" s="58">
        <f t="shared" si="53"/>
        <v>0</v>
      </c>
      <c r="H246" s="58">
        <f t="shared" si="53"/>
        <v>1470873.11</v>
      </c>
      <c r="I246" s="58">
        <f t="shared" si="54"/>
        <v>1470873.11</v>
      </c>
      <c r="J246" s="163" t="s">
        <v>737</v>
      </c>
      <c r="K246" s="167">
        <f>+'Allocators (CBR)'!F36</f>
        <v>0.65659999999999996</v>
      </c>
      <c r="L246" s="167">
        <f>+'Allocators (CBR)'!G36</f>
        <v>0.34339999999999998</v>
      </c>
      <c r="M246" s="36" t="str">
        <f t="shared" si="41"/>
        <v/>
      </c>
    </row>
    <row r="247" spans="1:13" x14ac:dyDescent="0.3">
      <c r="A247" s="106" t="s">
        <v>256</v>
      </c>
      <c r="B247" s="159">
        <f>IF(ISNA(VLOOKUP($J247,FM!$A:$J,3,FALSE)),0,VLOOKUP($J247,FM!$A:$J,3,FALSE))</f>
        <v>1237420.96</v>
      </c>
      <c r="C247" s="159">
        <f>IF(ISNA(VLOOKUP($J247,FM!$A:$J,4,FALSE)),0,VLOOKUP($J247,FM!$A:$J,4,FALSE))</f>
        <v>0</v>
      </c>
      <c r="D247" s="159">
        <f>IF(ISNA(VLOOKUP($J247,FM!$A:$J,5,FALSE)),0,VLOOKUP($J247,FM!$A:$J,5,FALSE))</f>
        <v>25053061.199999999</v>
      </c>
      <c r="E247" s="159">
        <f t="shared" si="51"/>
        <v>16449839.98</v>
      </c>
      <c r="F247" s="159">
        <f t="shared" si="52"/>
        <v>8603221.2200000007</v>
      </c>
      <c r="G247" s="159">
        <f t="shared" si="53"/>
        <v>17687260.940000001</v>
      </c>
      <c r="H247" s="159">
        <f t="shared" si="53"/>
        <v>8603221.2200000007</v>
      </c>
      <c r="I247" s="159">
        <f t="shared" si="54"/>
        <v>26290482.160000004</v>
      </c>
      <c r="J247" s="163" t="s">
        <v>739</v>
      </c>
      <c r="K247" s="167">
        <f>+'Allocators (CBR)'!F37</f>
        <v>0.65659999999999996</v>
      </c>
      <c r="L247" s="167">
        <f>+'Allocators (CBR)'!G37</f>
        <v>0.34339999999999998</v>
      </c>
      <c r="M247" s="36" t="str">
        <f t="shared" si="41"/>
        <v>YES</v>
      </c>
    </row>
    <row r="248" spans="1:13" x14ac:dyDescent="0.3">
      <c r="A248" s="106" t="s">
        <v>257</v>
      </c>
      <c r="B248" s="58">
        <f>SUM(B235:B247)</f>
        <v>59956614.170000002</v>
      </c>
      <c r="C248" s="58">
        <f t="shared" ref="C248:I248" si="55">SUM(C235:C247)</f>
        <v>17255322.689999998</v>
      </c>
      <c r="D248" s="58">
        <f t="shared" si="55"/>
        <v>153439453.02000001</v>
      </c>
      <c r="E248" s="58">
        <f t="shared" si="55"/>
        <v>101111109.56</v>
      </c>
      <c r="F248" s="58">
        <f t="shared" si="55"/>
        <v>52328343.460000001</v>
      </c>
      <c r="G248" s="58">
        <f t="shared" si="55"/>
        <v>161067723.72999999</v>
      </c>
      <c r="H248" s="58">
        <f t="shared" si="55"/>
        <v>69583666.150000006</v>
      </c>
      <c r="I248" s="58">
        <f t="shared" si="55"/>
        <v>230651389.88000005</v>
      </c>
      <c r="J248" s="160" t="s">
        <v>715</v>
      </c>
    </row>
    <row r="249" spans="1:13" ht="15" thickBot="1" x14ac:dyDescent="0.35">
      <c r="A249" s="106" t="s">
        <v>258</v>
      </c>
      <c r="B249" s="169">
        <f>B146+B176+B214+B221+B230+B233+B248</f>
        <v>474916506.76999998</v>
      </c>
      <c r="C249" s="169">
        <f t="shared" ref="C249:I249" si="56">C146+C176+C214+C221+C230+C233+C248</f>
        <v>124828598.89</v>
      </c>
      <c r="D249" s="169">
        <f t="shared" si="56"/>
        <v>185710287.30000001</v>
      </c>
      <c r="E249" s="169">
        <f t="shared" si="56"/>
        <v>119992505.71000001</v>
      </c>
      <c r="F249" s="169">
        <f t="shared" si="56"/>
        <v>65717781.590000004</v>
      </c>
      <c r="G249" s="169">
        <f t="shared" si="56"/>
        <v>594909012.48000002</v>
      </c>
      <c r="H249" s="169">
        <f t="shared" si="56"/>
        <v>190546380.48000002</v>
      </c>
      <c r="I249" s="169">
        <f t="shared" si="56"/>
        <v>785455392.96000004</v>
      </c>
      <c r="J249" s="160" t="s">
        <v>491</v>
      </c>
    </row>
    <row r="250" spans="1:13" ht="15" thickTop="1" x14ac:dyDescent="0.3">
      <c r="A250" s="154"/>
      <c r="B250" s="170"/>
      <c r="C250" s="170"/>
      <c r="D250" s="170"/>
      <c r="E250" s="170"/>
      <c r="F250" s="170"/>
      <c r="G250" s="170"/>
      <c r="H250" s="170"/>
      <c r="I250" s="170"/>
      <c r="J250" s="106"/>
      <c r="M250" s="36" t="str">
        <f t="shared" si="41"/>
        <v/>
      </c>
    </row>
    <row r="251" spans="1:13" x14ac:dyDescent="0.3">
      <c r="A251" s="106" t="s">
        <v>259</v>
      </c>
      <c r="B251" s="156"/>
      <c r="C251" s="156"/>
      <c r="D251" s="156"/>
      <c r="E251" s="156"/>
      <c r="F251" s="156"/>
      <c r="G251" s="156"/>
      <c r="H251" s="156"/>
      <c r="I251" s="156"/>
      <c r="J251" s="106"/>
      <c r="M251" s="36" t="str">
        <f t="shared" si="41"/>
        <v/>
      </c>
    </row>
    <row r="252" spans="1:13" x14ac:dyDescent="0.3">
      <c r="A252" s="57" t="s">
        <v>260</v>
      </c>
      <c r="B252" s="156"/>
      <c r="C252" s="156"/>
      <c r="D252" s="156"/>
      <c r="E252" s="156"/>
      <c r="F252" s="156"/>
      <c r="G252" s="156"/>
      <c r="H252" s="156"/>
      <c r="I252" s="156"/>
      <c r="M252" s="36" t="str">
        <f t="shared" si="41"/>
        <v/>
      </c>
    </row>
    <row r="253" spans="1:13" x14ac:dyDescent="0.3">
      <c r="A253" s="106" t="s">
        <v>261</v>
      </c>
      <c r="B253" s="58">
        <f>IF(ISNA(VLOOKUP($J253,FM!$A:$J,3,FALSE)),0,VLOOKUP($J253,FM!$A:$J,3,FALSE))</f>
        <v>354589151.07999998</v>
      </c>
      <c r="C253" s="58">
        <f>IF(ISNA(VLOOKUP($J253,FM!$A:$J,4,FALSE)),0,VLOOKUP($J253,FM!$A:$J,4,FALSE))</f>
        <v>140104598.90000001</v>
      </c>
      <c r="D253" s="58">
        <f>IF(ISNA(VLOOKUP($J253,FM!$A:$J,5,FALSE)),0,VLOOKUP($J253,FM!$A:$J,5,FALSE))</f>
        <v>30129177.940000001</v>
      </c>
      <c r="E253" s="58">
        <f t="shared" ref="E253:E254" si="57">ROUND($D253*K253,2)</f>
        <v>19782818.239999998</v>
      </c>
      <c r="F253" s="58">
        <f t="shared" ref="F253:F254" si="58">ROUND($D253*L253,2)</f>
        <v>10346359.699999999</v>
      </c>
      <c r="G253" s="58">
        <f t="shared" ref="G253:H254" si="59">B253+E253</f>
        <v>374371969.31999999</v>
      </c>
      <c r="H253" s="58">
        <f t="shared" si="59"/>
        <v>150450958.59999999</v>
      </c>
      <c r="I253" s="58">
        <f t="shared" ref="I253" si="60">SUM(G253:H253)</f>
        <v>524822927.91999996</v>
      </c>
      <c r="J253" s="163" t="s">
        <v>745</v>
      </c>
      <c r="K253" s="167">
        <f>+'Allocators (CBR)'!F40</f>
        <v>0.65659999999999996</v>
      </c>
      <c r="L253" s="167">
        <f>+'Allocators (CBR)'!G40</f>
        <v>0.34339999999999998</v>
      </c>
      <c r="M253" s="36" t="str">
        <f t="shared" si="41"/>
        <v>YES</v>
      </c>
    </row>
    <row r="254" spans="1:13" x14ac:dyDescent="0.3">
      <c r="A254" s="106" t="s">
        <v>262</v>
      </c>
      <c r="B254" s="159">
        <f>IF(ISNA(VLOOKUP($J254,FM!$A:$J,3,FALSE)),0,VLOOKUP($J254,FM!$A:$J,3,FALSE))</f>
        <v>8796964.1199999992</v>
      </c>
      <c r="C254" s="159">
        <f>IF(ISNA(VLOOKUP($J254,FM!$A:$J,4,FALSE)),0,VLOOKUP($J254,FM!$A:$J,4,FALSE))</f>
        <v>408175.42</v>
      </c>
      <c r="D254" s="159">
        <f>IF(ISNA(VLOOKUP($J254,FM!$A:$J,5,FALSE)),0,VLOOKUP($J254,FM!$A:$J,5,FALSE))</f>
        <v>160184.16</v>
      </c>
      <c r="E254" s="159">
        <f t="shared" si="57"/>
        <v>105176.92</v>
      </c>
      <c r="F254" s="159">
        <f t="shared" si="58"/>
        <v>55007.24</v>
      </c>
      <c r="G254" s="159">
        <f t="shared" si="59"/>
        <v>8902141.0399999991</v>
      </c>
      <c r="H254" s="159">
        <f t="shared" si="59"/>
        <v>463182.66</v>
      </c>
      <c r="I254" s="159">
        <f>SUM(G254:H254)</f>
        <v>9365323.6999999993</v>
      </c>
      <c r="J254" s="163" t="s">
        <v>747</v>
      </c>
      <c r="K254" s="167">
        <f>+'Allocators (CBR)'!F41</f>
        <v>0.65659999999999996</v>
      </c>
      <c r="L254" s="167">
        <f>+'Allocators (CBR)'!G41</f>
        <v>0.34339999999999998</v>
      </c>
      <c r="M254" s="36" t="str">
        <f t="shared" si="41"/>
        <v>YES</v>
      </c>
    </row>
    <row r="255" spans="1:13" x14ac:dyDescent="0.3">
      <c r="A255" s="106" t="s">
        <v>263</v>
      </c>
      <c r="B255" s="58">
        <f>SUM(B253:B254)</f>
        <v>363386115.19999999</v>
      </c>
      <c r="C255" s="58">
        <f t="shared" ref="C255:I255" si="61">SUM(C253:C254)</f>
        <v>140512774.31999999</v>
      </c>
      <c r="D255" s="58">
        <f t="shared" si="61"/>
        <v>30289362.100000001</v>
      </c>
      <c r="E255" s="58">
        <f t="shared" si="61"/>
        <v>19887995.16</v>
      </c>
      <c r="F255" s="58">
        <f t="shared" si="61"/>
        <v>10401366.939999999</v>
      </c>
      <c r="G255" s="58">
        <f t="shared" si="61"/>
        <v>383274110.36000001</v>
      </c>
      <c r="H255" s="58">
        <f t="shared" si="61"/>
        <v>150914141.25999999</v>
      </c>
      <c r="I255" s="58">
        <f t="shared" si="61"/>
        <v>534188251.61999995</v>
      </c>
      <c r="J255" s="160" t="s">
        <v>743</v>
      </c>
    </row>
    <row r="256" spans="1:13" x14ac:dyDescent="0.3">
      <c r="A256" s="57" t="s">
        <v>264</v>
      </c>
      <c r="B256" s="58"/>
      <c r="C256" s="58"/>
      <c r="D256" s="58"/>
      <c r="E256" s="58"/>
      <c r="F256" s="58"/>
      <c r="G256" s="58"/>
      <c r="H256" s="58"/>
      <c r="I256" s="58"/>
      <c r="M256" s="36" t="str">
        <f t="shared" si="41"/>
        <v/>
      </c>
    </row>
    <row r="257" spans="1:13" x14ac:dyDescent="0.3">
      <c r="A257" s="106" t="s">
        <v>265</v>
      </c>
      <c r="B257" s="58">
        <f>IFERROR(SUMIF(FM!$A:$A,'Unallocated Detail (CBR)'!$J257,FM!C:C),0)</f>
        <v>17165347.940000001</v>
      </c>
      <c r="C257" s="58">
        <f>IFERROR(SUMIF(FM!$A:$A,'Unallocated Detail (CBR)'!$J257,FM!D:D),0)</f>
        <v>4779899.67</v>
      </c>
      <c r="D257" s="58">
        <f>IFERROR(SUMIF(FM!$A:$A,'Unallocated Detail (CBR)'!$J257,FM!E:E),0)</f>
        <v>79890255.5</v>
      </c>
      <c r="E257" s="58">
        <f t="shared" ref="E257:E259" si="62">ROUND($D257*K257,2)</f>
        <v>52455941.759999998</v>
      </c>
      <c r="F257" s="58">
        <f t="shared" ref="F257:F259" si="63">ROUND($D257*L257,2)</f>
        <v>27434313.739999998</v>
      </c>
      <c r="G257" s="58">
        <f t="shared" ref="G257:H259" si="64">B257+E257</f>
        <v>69621289.700000003</v>
      </c>
      <c r="H257" s="58">
        <f t="shared" si="64"/>
        <v>32214213.409999996</v>
      </c>
      <c r="I257" s="58">
        <f t="shared" ref="I257" si="65">SUM(G257:H257)</f>
        <v>101835503.11</v>
      </c>
      <c r="J257" s="163" t="s">
        <v>903</v>
      </c>
      <c r="K257" s="167">
        <f>+'Allocators (CBR)'!F44</f>
        <v>0.65659999999999996</v>
      </c>
      <c r="L257" s="167">
        <f>+'Allocators (CBR)'!G44</f>
        <v>0.34339999999999998</v>
      </c>
      <c r="M257" s="36" t="str">
        <f t="shared" si="41"/>
        <v>YES</v>
      </c>
    </row>
    <row r="258" spans="1:13" x14ac:dyDescent="0.3">
      <c r="A258" s="106" t="s">
        <v>266</v>
      </c>
      <c r="B258" s="58">
        <f>IF(ISNA(VLOOKUP($J258,FM!$A:$J,3,FALSE)),0,VLOOKUP($J258,FM!$A:$J,3,FALSE))</f>
        <v>11687827.99</v>
      </c>
      <c r="C258" s="58">
        <f>IF(ISNA(VLOOKUP($J258,FM!$A:$J,4,FALSE)),0,VLOOKUP($J258,FM!$A:$J,4,FALSE))</f>
        <v>0</v>
      </c>
      <c r="D258" s="58">
        <f>IF(ISNA(VLOOKUP($J258,FM!$A:$J,5,FALSE)),0,VLOOKUP($J258,FM!$A:$J,5,FALSE))</f>
        <v>0</v>
      </c>
      <c r="E258" s="58">
        <f t="shared" si="62"/>
        <v>0</v>
      </c>
      <c r="F258" s="58">
        <f t="shared" si="63"/>
        <v>0</v>
      </c>
      <c r="G258" s="58">
        <f t="shared" si="64"/>
        <v>11687827.99</v>
      </c>
      <c r="H258" s="58">
        <f t="shared" si="64"/>
        <v>0</v>
      </c>
      <c r="I258" s="58">
        <f t="shared" ref="I258:I259" si="66">SUM(G258:H258)</f>
        <v>11687827.99</v>
      </c>
      <c r="J258" s="163" t="s">
        <v>753</v>
      </c>
      <c r="K258" s="167">
        <f>+'Allocators (CBR)'!F45</f>
        <v>0.65659999999999996</v>
      </c>
      <c r="L258" s="167">
        <f>+'Allocators (CBR)'!G45</f>
        <v>0.34339999999999998</v>
      </c>
      <c r="M258" s="36" t="str">
        <f t="shared" si="41"/>
        <v/>
      </c>
    </row>
    <row r="259" spans="1:13" x14ac:dyDescent="0.3">
      <c r="A259" s="106" t="s">
        <v>267</v>
      </c>
      <c r="B259" s="159">
        <f>IF(ISNA(VLOOKUP($J259,FM!$A:$J,3,FALSE)),0,VLOOKUP($J259,FM!$A:$J,3,FALSE))</f>
        <v>3520411.99</v>
      </c>
      <c r="C259" s="159">
        <f>IF(ISNA(VLOOKUP($J259,FM!$A:$J,4,FALSE)),0,VLOOKUP($J259,FM!$A:$J,4,FALSE))</f>
        <v>285414.68</v>
      </c>
      <c r="D259" s="159">
        <f>IF(ISNA(VLOOKUP($J259,FM!$A:$J,5,FALSE)),0,VLOOKUP($J259,FM!$A:$J,5,FALSE))</f>
        <v>29021.48</v>
      </c>
      <c r="E259" s="159">
        <f t="shared" si="62"/>
        <v>19055.5</v>
      </c>
      <c r="F259" s="159">
        <f t="shared" si="63"/>
        <v>9965.98</v>
      </c>
      <c r="G259" s="159">
        <f t="shared" si="64"/>
        <v>3539467.49</v>
      </c>
      <c r="H259" s="159">
        <f t="shared" si="64"/>
        <v>295380.65999999997</v>
      </c>
      <c r="I259" s="159">
        <f t="shared" si="66"/>
        <v>3834848.1500000004</v>
      </c>
      <c r="J259" s="163" t="s">
        <v>755</v>
      </c>
      <c r="K259" s="167">
        <f>+'Allocators (CBR)'!F46</f>
        <v>0.65659999999999996</v>
      </c>
      <c r="L259" s="167">
        <f>+'Allocators (CBR)'!G46</f>
        <v>0.34339999999999998</v>
      </c>
      <c r="M259" s="36" t="str">
        <f t="shared" si="41"/>
        <v>YES</v>
      </c>
    </row>
    <row r="260" spans="1:13" x14ac:dyDescent="0.3">
      <c r="A260" s="106" t="s">
        <v>268</v>
      </c>
      <c r="B260" s="58">
        <f>SUM(B257:B259)</f>
        <v>32373587.920000002</v>
      </c>
      <c r="C260" s="58">
        <f t="shared" ref="C260:I260" si="67">SUM(C257:C259)</f>
        <v>5065314.3499999996</v>
      </c>
      <c r="D260" s="58">
        <f t="shared" si="67"/>
        <v>79919276.980000004</v>
      </c>
      <c r="E260" s="58">
        <f t="shared" si="67"/>
        <v>52474997.259999998</v>
      </c>
      <c r="F260" s="58">
        <f t="shared" si="67"/>
        <v>27444279.719999999</v>
      </c>
      <c r="G260" s="58">
        <f t="shared" si="67"/>
        <v>84848585.179999992</v>
      </c>
      <c r="H260" s="58">
        <f t="shared" si="67"/>
        <v>32509594.069999997</v>
      </c>
      <c r="I260" s="58">
        <f t="shared" si="67"/>
        <v>117358179.25</v>
      </c>
      <c r="J260" s="160" t="s">
        <v>749</v>
      </c>
    </row>
    <row r="261" spans="1:13" x14ac:dyDescent="0.3">
      <c r="A261" s="57" t="s">
        <v>269</v>
      </c>
      <c r="B261" s="58"/>
      <c r="C261" s="58"/>
      <c r="D261" s="58"/>
      <c r="E261" s="58"/>
      <c r="F261" s="58"/>
      <c r="G261" s="58"/>
      <c r="H261" s="58"/>
      <c r="I261" s="58"/>
      <c r="J261" s="103"/>
      <c r="M261" s="36" t="str">
        <f t="shared" si="41"/>
        <v/>
      </c>
    </row>
    <row r="262" spans="1:13" x14ac:dyDescent="0.3">
      <c r="A262" s="106" t="s">
        <v>270</v>
      </c>
      <c r="B262" s="159">
        <f>IF(ISNA(VLOOKUP($J262,FM!$A:$J,3,FALSE)),0,VLOOKUP($J262,FM!$A:$J,3,FALSE))</f>
        <v>21846432</v>
      </c>
      <c r="C262" s="159">
        <f>IF(ISNA(VLOOKUP($J262,FM!$A:$J,4,FALSE)),0,VLOOKUP($J262,FM!$A:$J,4,FALSE))</f>
        <v>0</v>
      </c>
      <c r="D262" s="159">
        <f>IF(ISNA(VLOOKUP($J262,FM!$A:$J,5,FALSE)),0,VLOOKUP($J262,FM!$A:$J,5,FALSE))</f>
        <v>0</v>
      </c>
      <c r="E262" s="159">
        <f>IF(ISNA(VLOOKUP($J262,FM!$A:$J,6,FALSE)),0,VLOOKUP($J262,FM!$A:$J,6,FALSE))</f>
        <v>0</v>
      </c>
      <c r="F262" s="159">
        <f>IF(ISNA(VLOOKUP($J262,FM!$A:$J,7,FALSE)),0,VLOOKUP($J262,FM!$A:$J,7,FALSE))</f>
        <v>0</v>
      </c>
      <c r="G262" s="159">
        <f t="shared" ref="G262:H262" si="68">B262+E262</f>
        <v>21846432</v>
      </c>
      <c r="H262" s="159">
        <f t="shared" si="68"/>
        <v>0</v>
      </c>
      <c r="I262" s="159">
        <f t="shared" ref="I262" si="69">SUM(G262:H262)</f>
        <v>21846432</v>
      </c>
      <c r="J262" s="163" t="s">
        <v>761</v>
      </c>
      <c r="M262" s="36" t="str">
        <f t="shared" si="41"/>
        <v/>
      </c>
    </row>
    <row r="263" spans="1:13" x14ac:dyDescent="0.3">
      <c r="A263" s="106" t="s">
        <v>271</v>
      </c>
      <c r="B263" s="58">
        <f>SUM(B262)</f>
        <v>21846432</v>
      </c>
      <c r="C263" s="58">
        <f t="shared" ref="C263:I263" si="70">SUM(C262)</f>
        <v>0</v>
      </c>
      <c r="D263" s="58">
        <f t="shared" si="70"/>
        <v>0</v>
      </c>
      <c r="E263" s="58">
        <f t="shared" si="70"/>
        <v>0</v>
      </c>
      <c r="F263" s="58">
        <f t="shared" si="70"/>
        <v>0</v>
      </c>
      <c r="G263" s="58">
        <f t="shared" si="70"/>
        <v>21846432</v>
      </c>
      <c r="H263" s="58">
        <f t="shared" si="70"/>
        <v>0</v>
      </c>
      <c r="I263" s="58">
        <f t="shared" si="70"/>
        <v>21846432</v>
      </c>
      <c r="J263" s="160" t="s">
        <v>759</v>
      </c>
      <c r="M263" s="36" t="str">
        <f t="shared" si="41"/>
        <v/>
      </c>
    </row>
    <row r="264" spans="1:13" x14ac:dyDescent="0.3">
      <c r="A264" s="57" t="s">
        <v>272</v>
      </c>
      <c r="B264" s="58"/>
      <c r="C264" s="58"/>
      <c r="D264" s="58"/>
      <c r="E264" s="58"/>
      <c r="F264" s="58"/>
      <c r="G264" s="58"/>
      <c r="H264" s="58"/>
      <c r="I264" s="58"/>
      <c r="J264" s="103"/>
      <c r="M264" s="36" t="str">
        <f t="shared" si="41"/>
        <v/>
      </c>
    </row>
    <row r="265" spans="1:13" x14ac:dyDescent="0.3">
      <c r="A265" s="106" t="s">
        <v>273</v>
      </c>
      <c r="B265" s="58">
        <f>IF(ISNA(VLOOKUP($J265,FM!$A:$J,3,FALSE)),0,VLOOKUP($J265,FM!$A:$J,3,FALSE))</f>
        <v>12725649.48</v>
      </c>
      <c r="C265" s="58">
        <f>IF(ISNA(VLOOKUP($J265,FM!$A:$J,4,FALSE)),0,VLOOKUP($J265,FM!$A:$J,4,FALSE))</f>
        <v>8999882.0399999991</v>
      </c>
      <c r="D265" s="58">
        <f>IF(ISNA(VLOOKUP($J265,FM!$A:$J,5,FALSE)),0,VLOOKUP($J265,FM!$A:$J,5,FALSE))</f>
        <v>0</v>
      </c>
      <c r="E265" s="58">
        <f>IF(ISNA(VLOOKUP($J265,FM!$A:$J,6,FALSE)),0,VLOOKUP($J265,FM!$A:$J,6,FALSE))</f>
        <v>0</v>
      </c>
      <c r="F265" s="58">
        <f>IF(ISNA(VLOOKUP($J265,FM!$A:$J,7,FALSE)),0,VLOOKUP($J265,FM!$A:$J,7,FALSE))</f>
        <v>0</v>
      </c>
      <c r="G265" s="58">
        <f t="shared" ref="G265:H270" si="71">B265+E265</f>
        <v>12725649.48</v>
      </c>
      <c r="H265" s="58">
        <f t="shared" si="71"/>
        <v>8999882.0399999991</v>
      </c>
      <c r="I265" s="58">
        <f t="shared" ref="I265:I270" si="72">SUM(G265:H265)</f>
        <v>21725531.52</v>
      </c>
      <c r="J265" s="163" t="s">
        <v>764</v>
      </c>
      <c r="M265" s="36" t="str">
        <f t="shared" si="41"/>
        <v/>
      </c>
    </row>
    <row r="266" spans="1:13" x14ac:dyDescent="0.3">
      <c r="A266" s="106" t="s">
        <v>274</v>
      </c>
      <c r="B266" s="58">
        <f>IF(ISNA(VLOOKUP($J266,FM!$A:$J,3,FALSE)),0,VLOOKUP($J266,FM!$A:$J,3,FALSE))</f>
        <v>-25502732.109999999</v>
      </c>
      <c r="C266" s="58">
        <f>IF(ISNA(VLOOKUP($J266,FM!$A:$J,4,FALSE)),0,VLOOKUP($J266,FM!$A:$J,4,FALSE))</f>
        <v>-6603654.1600000001</v>
      </c>
      <c r="D266" s="58">
        <f>IF(ISNA(VLOOKUP($J266,FM!$A:$J,5,FALSE)),0,VLOOKUP($J266,FM!$A:$J,5,FALSE))</f>
        <v>-10408352</v>
      </c>
      <c r="E266" s="58">
        <f t="shared" ref="E266" si="73">ROUND($D266*K266,2)</f>
        <v>-6834123.9199999999</v>
      </c>
      <c r="F266" s="58">
        <f t="shared" ref="F266" si="74">ROUND($D266*L266,2)</f>
        <v>-3574228.08</v>
      </c>
      <c r="G266" s="58">
        <f t="shared" si="71"/>
        <v>-32336856.030000001</v>
      </c>
      <c r="H266" s="58">
        <f t="shared" si="71"/>
        <v>-10177882.24</v>
      </c>
      <c r="I266" s="58">
        <f t="shared" ref="I266" si="75">SUM(G266:H266)</f>
        <v>-42514738.270000003</v>
      </c>
      <c r="J266" s="163" t="s">
        <v>766</v>
      </c>
      <c r="K266" s="167">
        <f>+'Allocators (CBR)'!F49</f>
        <v>0.65659999999999996</v>
      </c>
      <c r="L266" s="167">
        <f>+'Allocators (CBR)'!G49</f>
        <v>0.34339999999999998</v>
      </c>
      <c r="M266" s="36" t="str">
        <f t="shared" si="41"/>
        <v>YES</v>
      </c>
    </row>
    <row r="267" spans="1:13" x14ac:dyDescent="0.3">
      <c r="A267" s="106" t="s">
        <v>275</v>
      </c>
      <c r="B267" s="58">
        <f>IF(ISNA(VLOOKUP($J267,FM!$A:$J,3,FALSE)),0,VLOOKUP($J267,FM!$A:$J,3,FALSE))</f>
        <v>-5013242.13</v>
      </c>
      <c r="C267" s="58">
        <f>IF(ISNA(VLOOKUP($J267,FM!$A:$J,4,FALSE)),0,VLOOKUP($J267,FM!$A:$J,4,FALSE))</f>
        <v>0</v>
      </c>
      <c r="D267" s="58">
        <f>IF(ISNA(VLOOKUP($J267,FM!$A:$J,5,FALSE)),0,VLOOKUP($J267,FM!$A:$J,5,FALSE))</f>
        <v>0</v>
      </c>
      <c r="E267" s="58">
        <f>IF(ISNA(VLOOKUP($J267,FM!$A:$J,6,FALSE)),0,VLOOKUP($J267,FM!$A:$J,6,FALSE))</f>
        <v>0</v>
      </c>
      <c r="F267" s="58">
        <f>IF(ISNA(VLOOKUP($J267,FM!$A:$J,7,FALSE)),0,VLOOKUP($J267,FM!$A:$J,7,FALSE))</f>
        <v>0</v>
      </c>
      <c r="G267" s="58">
        <f t="shared" si="71"/>
        <v>-5013242.13</v>
      </c>
      <c r="H267" s="58">
        <f t="shared" si="71"/>
        <v>0</v>
      </c>
      <c r="I267" s="58">
        <f t="shared" si="72"/>
        <v>-5013242.13</v>
      </c>
      <c r="J267" s="163" t="s">
        <v>768</v>
      </c>
      <c r="M267" s="36" t="str">
        <f t="shared" si="41"/>
        <v/>
      </c>
    </row>
    <row r="268" spans="1:13" x14ac:dyDescent="0.3">
      <c r="A268" s="106" t="s">
        <v>276</v>
      </c>
      <c r="B268" s="58">
        <f>IF(ISNA(VLOOKUP($J268,FM!$A:$J,3,FALSE)),0,VLOOKUP($J268,FM!$A:$J,3,FALSE))</f>
        <v>0</v>
      </c>
      <c r="C268" s="58">
        <f>IF(ISNA(VLOOKUP($J268,FM!$A:$J,4,FALSE)),0,VLOOKUP($J268,FM!$A:$J,4,FALSE))</f>
        <v>0</v>
      </c>
      <c r="D268" s="58">
        <f>IF(ISNA(VLOOKUP($J268,FM!$A:$J,5,FALSE)),0,VLOOKUP($J268,FM!$A:$J,5,FALSE))</f>
        <v>0</v>
      </c>
      <c r="E268" s="58">
        <f t="shared" ref="E268" si="76">ROUND($D268*K268,2)</f>
        <v>0</v>
      </c>
      <c r="F268" s="58">
        <f t="shared" ref="F268" si="77">ROUND($D268*L268,2)</f>
        <v>0</v>
      </c>
      <c r="G268" s="58">
        <f t="shared" si="71"/>
        <v>0</v>
      </c>
      <c r="H268" s="58">
        <f t="shared" si="71"/>
        <v>0</v>
      </c>
      <c r="I268" s="58">
        <f t="shared" si="72"/>
        <v>0</v>
      </c>
      <c r="J268" s="163" t="s">
        <v>770</v>
      </c>
      <c r="K268" s="167">
        <f>+'Allocators (CBR)'!F50</f>
        <v>0.65659999999999996</v>
      </c>
      <c r="L268" s="167">
        <f>+'Allocators (CBR)'!G50</f>
        <v>0.34339999999999998</v>
      </c>
      <c r="M268" s="36" t="str">
        <f t="shared" si="41"/>
        <v/>
      </c>
    </row>
    <row r="269" spans="1:13" x14ac:dyDescent="0.3">
      <c r="A269" s="106" t="s">
        <v>277</v>
      </c>
      <c r="B269" s="58">
        <f>IF(ISNA(VLOOKUP($J269,FM!$A:$J,3,FALSE)),0,VLOOKUP($J269,FM!$A:$J,3,FALSE))</f>
        <v>0</v>
      </c>
      <c r="C269" s="58">
        <f>IF(ISNA(VLOOKUP($J269,FM!$A:$J,4,FALSE)),0,VLOOKUP($J269,FM!$A:$J,4,FALSE))</f>
        <v>0</v>
      </c>
      <c r="D269" s="58">
        <f>IF(ISNA(VLOOKUP($J269,FM!$A:$J,5,FALSE)),0,VLOOKUP($J269,FM!$A:$J,5,FALSE))</f>
        <v>0</v>
      </c>
      <c r="E269" s="58">
        <f>IF(ISNA(VLOOKUP($J269,FM!$A:$J,6,FALSE)),0,VLOOKUP($J269,FM!$A:$J,6,FALSE))</f>
        <v>0</v>
      </c>
      <c r="F269" s="58">
        <f>IF(ISNA(VLOOKUP($J269,FM!$A:$J,7,FALSE)),0,VLOOKUP($J269,FM!$A:$J,7,FALSE))</f>
        <v>0</v>
      </c>
      <c r="G269" s="58">
        <f t="shared" si="71"/>
        <v>0</v>
      </c>
      <c r="H269" s="58">
        <f t="shared" si="71"/>
        <v>0</v>
      </c>
      <c r="I269" s="58">
        <f t="shared" si="72"/>
        <v>0</v>
      </c>
      <c r="J269" s="163" t="s">
        <v>771</v>
      </c>
      <c r="M269" s="36" t="str">
        <f t="shared" si="41"/>
        <v/>
      </c>
    </row>
    <row r="270" spans="1:13" x14ac:dyDescent="0.3">
      <c r="A270" s="106" t="s">
        <v>278</v>
      </c>
      <c r="B270" s="159">
        <f>IF(ISNA(VLOOKUP($J270,FM!$A:$J,3,FALSE)),0,VLOOKUP($J270,FM!$A:$J,3,FALSE))</f>
        <v>0</v>
      </c>
      <c r="C270" s="159">
        <f>IF(ISNA(VLOOKUP($J270,FM!$A:$J,4,FALSE)),0,VLOOKUP($J270,FM!$A:$J,4,FALSE))</f>
        <v>0</v>
      </c>
      <c r="D270" s="159">
        <f>IF(ISNA(VLOOKUP($J270,FM!$A:$J,5,FALSE)),0,VLOOKUP($J270,FM!$A:$J,5,FALSE))</f>
        <v>0</v>
      </c>
      <c r="E270" s="159">
        <f>IF(ISNA(VLOOKUP($J270,FM!$A:$J,6,FALSE)),0,VLOOKUP($J270,FM!$A:$J,6,FALSE))</f>
        <v>0</v>
      </c>
      <c r="F270" s="159">
        <f>IF(ISNA(VLOOKUP($J270,FM!$A:$J,7,FALSE)),0,VLOOKUP($J270,FM!$A:$J,7,FALSE))</f>
        <v>0</v>
      </c>
      <c r="G270" s="159">
        <f t="shared" si="71"/>
        <v>0</v>
      </c>
      <c r="H270" s="159">
        <f t="shared" si="71"/>
        <v>0</v>
      </c>
      <c r="I270" s="159">
        <f t="shared" si="72"/>
        <v>0</v>
      </c>
      <c r="J270" s="103"/>
      <c r="M270" s="36" t="str">
        <f t="shared" si="41"/>
        <v/>
      </c>
    </row>
    <row r="271" spans="1:13" x14ac:dyDescent="0.3">
      <c r="A271" s="106" t="s">
        <v>279</v>
      </c>
      <c r="B271" s="58">
        <f>SUM(B265:B270)</f>
        <v>-17790324.759999998</v>
      </c>
      <c r="C271" s="58">
        <f t="shared" ref="C271:I271" si="78">SUM(C265:C270)</f>
        <v>2396227.879999999</v>
      </c>
      <c r="D271" s="58">
        <f t="shared" si="78"/>
        <v>-10408352</v>
      </c>
      <c r="E271" s="58">
        <f t="shared" si="78"/>
        <v>-6834123.9199999999</v>
      </c>
      <c r="F271" s="58">
        <f t="shared" si="78"/>
        <v>-3574228.08</v>
      </c>
      <c r="G271" s="58">
        <f t="shared" si="78"/>
        <v>-24624448.68</v>
      </c>
      <c r="H271" s="58">
        <f t="shared" si="78"/>
        <v>-1178000.2000000011</v>
      </c>
      <c r="I271" s="58">
        <f t="shared" si="78"/>
        <v>-25802448.880000003</v>
      </c>
      <c r="J271" s="160" t="s">
        <v>763</v>
      </c>
    </row>
    <row r="272" spans="1:13" ht="15" thickBot="1" x14ac:dyDescent="0.35">
      <c r="A272" s="106" t="s">
        <v>280</v>
      </c>
      <c r="B272" s="169">
        <f>B255+B260+B263+B271</f>
        <v>399815810.36000001</v>
      </c>
      <c r="C272" s="169">
        <f t="shared" ref="C272:I272" si="79">C255+C260+C263+C271</f>
        <v>147974316.54999998</v>
      </c>
      <c r="D272" s="169">
        <f t="shared" si="79"/>
        <v>99800287.080000013</v>
      </c>
      <c r="E272" s="169">
        <f t="shared" si="79"/>
        <v>65528868.5</v>
      </c>
      <c r="F272" s="169">
        <f t="shared" si="79"/>
        <v>34271418.579999998</v>
      </c>
      <c r="G272" s="169">
        <f t="shared" si="79"/>
        <v>465344678.86000001</v>
      </c>
      <c r="H272" s="169">
        <f t="shared" si="79"/>
        <v>182245735.13</v>
      </c>
      <c r="I272" s="169">
        <f t="shared" si="79"/>
        <v>647590413.98999989</v>
      </c>
      <c r="J272" s="160" t="s">
        <v>741</v>
      </c>
    </row>
    <row r="273" spans="1:13" ht="15" thickTop="1" x14ac:dyDescent="0.3">
      <c r="A273" s="106" t="s">
        <v>281</v>
      </c>
      <c r="B273" s="170"/>
      <c r="C273" s="170"/>
      <c r="D273" s="170"/>
      <c r="E273" s="170"/>
      <c r="F273" s="170"/>
      <c r="G273" s="170"/>
      <c r="H273" s="170"/>
      <c r="I273" s="170"/>
      <c r="J273" s="103"/>
      <c r="M273" s="36" t="str">
        <f t="shared" si="41"/>
        <v/>
      </c>
    </row>
    <row r="274" spans="1:13" x14ac:dyDescent="0.3">
      <c r="A274" s="57" t="s">
        <v>931</v>
      </c>
      <c r="B274" s="156"/>
      <c r="C274" s="156"/>
      <c r="D274" s="156"/>
      <c r="E274" s="156"/>
      <c r="F274" s="156"/>
      <c r="G274" s="156"/>
      <c r="H274" s="156"/>
      <c r="I274" s="156"/>
      <c r="J274" s="103"/>
      <c r="M274" s="36" t="str">
        <f t="shared" si="41"/>
        <v/>
      </c>
    </row>
    <row r="275" spans="1:13" x14ac:dyDescent="0.3">
      <c r="A275" s="106" t="s">
        <v>932</v>
      </c>
      <c r="B275" s="159">
        <f>IF(ISNA(VLOOKUP($J275,FM!$A:$J,3,FALSE)),0,VLOOKUP($J275,FM!$A:$J,3,FALSE))</f>
        <v>253980113.83000001</v>
      </c>
      <c r="C275" s="159">
        <f>IF(ISNA(VLOOKUP($J275,FM!$A:$J,4,FALSE)),0,VLOOKUP($J275,FM!$A:$J,4,FALSE))</f>
        <v>124058601.47</v>
      </c>
      <c r="D275" s="159">
        <f>IF(ISNA(VLOOKUP($J275,FM!$A:$J,5,FALSE)),0,VLOOKUP($J275,FM!$A:$J,5,FALSE))</f>
        <v>8302106.4500000002</v>
      </c>
      <c r="E275" s="159">
        <f>ROUND($D275*K275,2)</f>
        <v>5451163.0999999996</v>
      </c>
      <c r="F275" s="159">
        <f>ROUND($D275*L275,2)</f>
        <v>2850943.35</v>
      </c>
      <c r="G275" s="159">
        <f t="shared" ref="G275:H275" si="80">B275+E275</f>
        <v>259431276.93000001</v>
      </c>
      <c r="H275" s="159">
        <f t="shared" si="80"/>
        <v>126909544.81999999</v>
      </c>
      <c r="I275" s="159">
        <f t="shared" ref="I275" si="81">SUM(G275:H275)</f>
        <v>386340821.75</v>
      </c>
      <c r="J275" s="158" t="s">
        <v>780</v>
      </c>
      <c r="K275" s="167">
        <f>+'Allocators (CBR)'!F50</f>
        <v>0.65659999999999996</v>
      </c>
      <c r="L275" s="167">
        <f>+'Allocators (CBR)'!G50</f>
        <v>0.34339999999999998</v>
      </c>
      <c r="M275" s="36" t="str">
        <f t="shared" si="41"/>
        <v>YES</v>
      </c>
    </row>
    <row r="276" spans="1:13" x14ac:dyDescent="0.3">
      <c r="A276" s="106" t="s">
        <v>933</v>
      </c>
      <c r="B276" s="58">
        <f>SUM(B275)</f>
        <v>253980113.83000001</v>
      </c>
      <c r="C276" s="58">
        <f t="shared" ref="C276:I276" si="82">SUM(C275)</f>
        <v>124058601.47</v>
      </c>
      <c r="D276" s="58">
        <f t="shared" si="82"/>
        <v>8302106.4500000002</v>
      </c>
      <c r="E276" s="58">
        <f t="shared" si="82"/>
        <v>5451163.0999999996</v>
      </c>
      <c r="F276" s="58">
        <f t="shared" si="82"/>
        <v>2850943.35</v>
      </c>
      <c r="G276" s="58">
        <f>SUM(G275)</f>
        <v>259431276.93000001</v>
      </c>
      <c r="H276" s="58">
        <f t="shared" si="82"/>
        <v>126909544.81999999</v>
      </c>
      <c r="I276" s="58">
        <f t="shared" si="82"/>
        <v>386340821.75</v>
      </c>
      <c r="J276" s="160" t="s">
        <v>778</v>
      </c>
    </row>
    <row r="277" spans="1:13" x14ac:dyDescent="0.3">
      <c r="A277" s="57" t="s">
        <v>934</v>
      </c>
      <c r="B277" s="156"/>
      <c r="C277" s="156"/>
      <c r="D277" s="156"/>
      <c r="E277" s="156"/>
      <c r="F277" s="156"/>
      <c r="G277" s="156"/>
      <c r="H277" s="156"/>
      <c r="I277" s="156"/>
      <c r="J277" s="103"/>
      <c r="M277" s="36" t="str">
        <f t="shared" si="41"/>
        <v/>
      </c>
    </row>
    <row r="278" spans="1:13" x14ac:dyDescent="0.3">
      <c r="A278" s="106"/>
      <c r="B278" s="58"/>
      <c r="C278" s="58"/>
      <c r="D278" s="58"/>
      <c r="E278" s="58"/>
      <c r="F278" s="58"/>
      <c r="G278" s="58"/>
      <c r="H278" s="58"/>
      <c r="I278" s="58"/>
      <c r="J278" s="158"/>
      <c r="M278" s="36" t="str">
        <f t="shared" si="41"/>
        <v/>
      </c>
    </row>
    <row r="279" spans="1:13" x14ac:dyDescent="0.3">
      <c r="A279" s="106" t="s">
        <v>935</v>
      </c>
      <c r="B279" s="58">
        <f>IF(ISNA(VLOOKUP($J279,FM!$A:$J,3,FALSE)),0,VLOOKUP($J279,FM!$A:$J,3,FALSE))</f>
        <v>869191.32</v>
      </c>
      <c r="C279" s="58">
        <f>IF(ISNA(VLOOKUP($J279,FM!$A:$J,4,FALSE)),0,VLOOKUP($J279,FM!$A:$J,4,FALSE))</f>
        <v>0</v>
      </c>
      <c r="D279" s="58">
        <f>IF(ISNA(VLOOKUP($J279,FM!$A:$J,5,FALSE)),0,VLOOKUP($J279,FM!$A:$J,5,FALSE))</f>
        <v>0</v>
      </c>
      <c r="E279" s="58">
        <f>IF(ISNA(VLOOKUP($J279,FM!$A:$J,6,FALSE)),0,VLOOKUP($J279,FM!$A:$J,6,FALSE))</f>
        <v>0</v>
      </c>
      <c r="F279" s="58">
        <f>IF(ISNA(VLOOKUP($J279,FM!$A:$J,7,FALSE)),0,VLOOKUP($J279,FM!$A:$J,7,FALSE))</f>
        <v>0</v>
      </c>
      <c r="G279" s="58">
        <f t="shared" ref="G279:H280" si="83">B279+E279</f>
        <v>869191.32</v>
      </c>
      <c r="H279" s="58">
        <f t="shared" si="83"/>
        <v>0</v>
      </c>
      <c r="I279" s="58">
        <f t="shared" ref="I279:I280" si="84">SUM(G279:H279)</f>
        <v>869191.32</v>
      </c>
      <c r="J279" s="158" t="s">
        <v>877</v>
      </c>
      <c r="M279" s="36" t="str">
        <f t="shared" si="41"/>
        <v/>
      </c>
    </row>
    <row r="280" spans="1:13" x14ac:dyDescent="0.3">
      <c r="A280" s="106" t="s">
        <v>935</v>
      </c>
      <c r="B280" s="159">
        <f>IF(ISNA(VLOOKUP($J280,FM!$A:$J,3,FALSE)),0,VLOOKUP($J280,FM!$A:$J,3,FALSE))</f>
        <v>41484612.299999997</v>
      </c>
      <c r="C280" s="159">
        <f>IF(ISNA(VLOOKUP($J280,FM!$A:$J,4,FALSE)),0,VLOOKUP($J280,FM!$A:$J,4,FALSE))</f>
        <v>40108164.859999999</v>
      </c>
      <c r="D280" s="159">
        <f>IF(ISNA(VLOOKUP($J280,FM!$A:$J,5,FALSE)),0,VLOOKUP($J280,FM!$A:$J,5,FALSE))</f>
        <v>0</v>
      </c>
      <c r="E280" s="159">
        <f>IF(ISNA(VLOOKUP($J280,FM!$A:$J,6,FALSE)),0,VLOOKUP($J280,FM!$A:$J,6,FALSE))</f>
        <v>0</v>
      </c>
      <c r="F280" s="159">
        <f>IF(ISNA(VLOOKUP($J280,FM!$A:$J,7,FALSE)),0,VLOOKUP($J280,FM!$A:$J,7,FALSE))</f>
        <v>0</v>
      </c>
      <c r="G280" s="159">
        <f t="shared" si="83"/>
        <v>41484612.299999997</v>
      </c>
      <c r="H280" s="159">
        <f t="shared" si="83"/>
        <v>40108164.859999999</v>
      </c>
      <c r="I280" s="159">
        <f t="shared" si="84"/>
        <v>81592777.159999996</v>
      </c>
      <c r="J280" s="158" t="s">
        <v>784</v>
      </c>
      <c r="M280" s="36" t="str">
        <f t="shared" si="41"/>
        <v/>
      </c>
    </row>
    <row r="281" spans="1:13" x14ac:dyDescent="0.3">
      <c r="A281" s="106" t="s">
        <v>282</v>
      </c>
      <c r="B281" s="58">
        <f>SUM(B278:B280)</f>
        <v>42353803.619999997</v>
      </c>
      <c r="C281" s="58">
        <f t="shared" ref="C281:H281" si="85">SUM(C278:C280)</f>
        <v>40108164.859999999</v>
      </c>
      <c r="D281" s="58">
        <f t="shared" si="85"/>
        <v>0</v>
      </c>
      <c r="E281" s="58">
        <f t="shared" si="85"/>
        <v>0</v>
      </c>
      <c r="F281" s="58">
        <f t="shared" si="85"/>
        <v>0</v>
      </c>
      <c r="G281" s="58">
        <f t="shared" si="85"/>
        <v>42353803.619999997</v>
      </c>
      <c r="H281" s="58">
        <f t="shared" si="85"/>
        <v>40108164.859999999</v>
      </c>
      <c r="I281" s="58">
        <f>SUM(I278:I280)</f>
        <v>82461968.479999989</v>
      </c>
      <c r="J281" s="160" t="s">
        <v>782</v>
      </c>
      <c r="M281" s="36" t="str">
        <f t="shared" ref="M281:M287" si="86">IF(D281&lt;&gt;0,"YES","")</f>
        <v/>
      </c>
    </row>
    <row r="282" spans="1:13" x14ac:dyDescent="0.3">
      <c r="A282" s="57" t="s">
        <v>936</v>
      </c>
      <c r="B282" s="156"/>
      <c r="C282" s="156"/>
      <c r="D282" s="156"/>
      <c r="E282" s="156"/>
      <c r="F282" s="156"/>
      <c r="G282" s="156"/>
      <c r="H282" s="156"/>
      <c r="I282" s="156"/>
      <c r="J282" s="103"/>
      <c r="M282" s="36" t="str">
        <f t="shared" si="86"/>
        <v/>
      </c>
    </row>
    <row r="283" spans="1:13" x14ac:dyDescent="0.3">
      <c r="A283" s="106" t="s">
        <v>937</v>
      </c>
      <c r="B283" s="58">
        <f>IF(ISNA(VLOOKUP($J283,FM!$A:$J,3,FALSE)),0,VLOOKUP($J283,FM!$A:$J,3,FALSE))</f>
        <v>264566256.69</v>
      </c>
      <c r="C283" s="58">
        <f>IF(ISNA(VLOOKUP($J283,FM!$A:$J,4,FALSE)),0,VLOOKUP($J283,FM!$A:$J,4,FALSE))</f>
        <v>201241970.38999999</v>
      </c>
      <c r="D283" s="58">
        <f>IF(ISNA(VLOOKUP($J283,FM!$A:$J,5,FALSE)),0,VLOOKUP($J283,FM!$A:$J,5,FALSE))</f>
        <v>0</v>
      </c>
      <c r="E283" s="58">
        <f t="shared" ref="E283" si="87">ROUND($D283*K283,2)</f>
        <v>0</v>
      </c>
      <c r="F283" s="58">
        <f t="shared" ref="F283" si="88">ROUND($D283*L283,2)</f>
        <v>0</v>
      </c>
      <c r="G283" s="58">
        <f t="shared" ref="G283:H285" si="89">B283+E283</f>
        <v>264566256.69</v>
      </c>
      <c r="H283" s="58">
        <f t="shared" si="89"/>
        <v>201241970.38999999</v>
      </c>
      <c r="I283" s="58">
        <f t="shared" ref="I283:I285" si="90">SUM(G283:H283)</f>
        <v>465808227.07999998</v>
      </c>
      <c r="J283" s="158" t="s">
        <v>787</v>
      </c>
      <c r="K283" s="167">
        <f>+'Allocators (CBR)'!F59</f>
        <v>0.65659999999999996</v>
      </c>
      <c r="L283" s="167">
        <f>+'Allocators (CBR)'!G59</f>
        <v>0.34339999999999998</v>
      </c>
      <c r="M283" s="36" t="str">
        <f t="shared" si="86"/>
        <v/>
      </c>
    </row>
    <row r="284" spans="1:13" x14ac:dyDescent="0.3">
      <c r="A284" s="106" t="s">
        <v>938</v>
      </c>
      <c r="B284" s="290">
        <f>IFERROR(SUMIF(FM!$A:$A,'Unallocated Detail (CBR)'!$J284,FM!C:C),0)</f>
        <v>-263542455.52999997</v>
      </c>
      <c r="C284" s="290">
        <f>IFERROR(SUMIF(FM!$A:$A,'Unallocated Detail (CBR)'!$J284,FM!D:D),0)</f>
        <v>-203938261.19</v>
      </c>
      <c r="D284" s="290">
        <f>IFERROR(SUMIF(FM!$A:$A,'Unallocated Detail (CBR)'!$J284,FM!E:E),0)</f>
        <v>0</v>
      </c>
      <c r="E284" s="290">
        <f t="shared" ref="E284" si="91">ROUND($D284*K284,2)</f>
        <v>0</v>
      </c>
      <c r="F284" s="290">
        <f t="shared" ref="F284" si="92">ROUND($D284*L284,2)</f>
        <v>0</v>
      </c>
      <c r="G284" s="290">
        <f t="shared" ref="G284" si="93">B284+E284</f>
        <v>-263542455.52999997</v>
      </c>
      <c r="H284" s="290">
        <f t="shared" ref="H284" si="94">C284+F284</f>
        <v>-203938261.19</v>
      </c>
      <c r="I284" s="290">
        <f t="shared" ref="I284" si="95">SUM(G284:H284)</f>
        <v>-467480716.71999997</v>
      </c>
      <c r="J284" s="158" t="s">
        <v>789</v>
      </c>
      <c r="K284" s="167">
        <f>+'Allocators (CBR)'!F60</f>
        <v>0.65659999999999996</v>
      </c>
      <c r="L284" s="167">
        <f>+'Allocators (CBR)'!G60</f>
        <v>0.34339999999999998</v>
      </c>
      <c r="M284" s="36" t="str">
        <f t="shared" si="86"/>
        <v/>
      </c>
    </row>
    <row r="285" spans="1:13" x14ac:dyDescent="0.3">
      <c r="A285" s="106" t="s">
        <v>939</v>
      </c>
      <c r="B285" s="159">
        <f>IF(ISNA(VLOOKUP($J285,FM!$A:$J,3,FALSE)),0,VLOOKUP($J285,FM!$A:$J,3,FALSE))</f>
        <v>0</v>
      </c>
      <c r="C285" s="159">
        <f>IF(ISNA(VLOOKUP($J285,FM!$A:$J,4,FALSE)),0,VLOOKUP($J285,FM!$A:$J,4,FALSE))</f>
        <v>0</v>
      </c>
      <c r="D285" s="159">
        <f>IF(ISNA(VLOOKUP($J285,FM!$A:$J,5,FALSE)),0,VLOOKUP($J285,FM!$A:$J,5,FALSE))</f>
        <v>0</v>
      </c>
      <c r="E285" s="159">
        <f>IF(ISNA(VLOOKUP($J285,FM!$A:$J,6,FALSE)),0,VLOOKUP($J285,FM!$A:$J,6,FALSE))</f>
        <v>0</v>
      </c>
      <c r="F285" s="159">
        <f>IF(ISNA(VLOOKUP($J285,FM!$A:$J,7,FALSE)),0,VLOOKUP($J285,FM!$A:$J,7,FALSE))</f>
        <v>0</v>
      </c>
      <c r="G285" s="159">
        <f t="shared" si="89"/>
        <v>0</v>
      </c>
      <c r="H285" s="159">
        <f t="shared" si="89"/>
        <v>0</v>
      </c>
      <c r="I285" s="159">
        <f t="shared" si="90"/>
        <v>0</v>
      </c>
      <c r="J285" s="158" t="s">
        <v>878</v>
      </c>
      <c r="M285" s="36" t="str">
        <f t="shared" si="86"/>
        <v/>
      </c>
    </row>
    <row r="286" spans="1:13" x14ac:dyDescent="0.3">
      <c r="A286" s="106" t="s">
        <v>283</v>
      </c>
      <c r="B286" s="58">
        <f>SUM(B283:B285)</f>
        <v>1023801.1600000262</v>
      </c>
      <c r="C286" s="58">
        <f t="shared" ref="C286:I286" si="96">SUM(C283:C285)</f>
        <v>-2696290.8000000119</v>
      </c>
      <c r="D286" s="58">
        <f t="shared" si="96"/>
        <v>0</v>
      </c>
      <c r="E286" s="58">
        <f t="shared" si="96"/>
        <v>0</v>
      </c>
      <c r="F286" s="58">
        <f t="shared" si="96"/>
        <v>0</v>
      </c>
      <c r="G286" s="58">
        <f t="shared" si="96"/>
        <v>1023801.1600000262</v>
      </c>
      <c r="H286" s="58">
        <f t="shared" si="96"/>
        <v>-2696290.8000000119</v>
      </c>
      <c r="I286" s="58">
        <f t="shared" si="96"/>
        <v>-1672489.6399999857</v>
      </c>
      <c r="J286" s="160" t="s">
        <v>785</v>
      </c>
      <c r="M286" s="36" t="str">
        <f t="shared" si="86"/>
        <v/>
      </c>
    </row>
    <row r="287" spans="1:13" x14ac:dyDescent="0.3">
      <c r="A287" s="154"/>
      <c r="B287" s="159"/>
      <c r="C287" s="159"/>
      <c r="D287" s="159"/>
      <c r="E287" s="159"/>
      <c r="F287" s="159"/>
      <c r="G287" s="159"/>
      <c r="H287" s="159"/>
      <c r="I287" s="159"/>
      <c r="J287" s="103"/>
      <c r="M287" s="36" t="str">
        <f t="shared" si="86"/>
        <v/>
      </c>
    </row>
    <row r="288" spans="1:13" ht="15" thickBot="1" x14ac:dyDescent="0.35">
      <c r="A288" s="105" t="s">
        <v>6</v>
      </c>
      <c r="B288" s="166">
        <f t="shared" ref="B288:I288" si="97">B65-B249-B272-B276-B281-B286</f>
        <v>482161930.43000001</v>
      </c>
      <c r="C288" s="166">
        <f t="shared" si="97"/>
        <v>274514126.37999994</v>
      </c>
      <c r="D288" s="166">
        <f t="shared" si="97"/>
        <v>-293812680.82999998</v>
      </c>
      <c r="E288" s="166">
        <f t="shared" si="97"/>
        <v>-190972537.31</v>
      </c>
      <c r="F288" s="166">
        <f t="shared" si="97"/>
        <v>-102840143.52</v>
      </c>
      <c r="G288" s="166">
        <f t="shared" si="97"/>
        <v>291189393.12</v>
      </c>
      <c r="H288" s="166">
        <f t="shared" si="97"/>
        <v>171673982.8599999</v>
      </c>
      <c r="I288" s="166">
        <f t="shared" si="97"/>
        <v>462863375.97999954</v>
      </c>
      <c r="J288" s="160" t="s">
        <v>408</v>
      </c>
    </row>
    <row r="289" spans="1:10" ht="15" thickTop="1" x14ac:dyDescent="0.3">
      <c r="A289" s="154"/>
      <c r="B289" s="156"/>
      <c r="C289" s="156"/>
      <c r="D289" s="156"/>
      <c r="E289" s="156"/>
      <c r="F289" s="156"/>
      <c r="G289" s="156"/>
      <c r="H289" s="156"/>
      <c r="I289" s="156"/>
      <c r="J289" s="103"/>
    </row>
    <row r="290" spans="1:10" x14ac:dyDescent="0.3">
      <c r="A290" s="105" t="s">
        <v>5</v>
      </c>
      <c r="B290" s="156"/>
      <c r="C290" s="156"/>
      <c r="D290" s="156"/>
      <c r="E290" s="156"/>
      <c r="F290" s="156"/>
      <c r="G290" s="156"/>
      <c r="H290" s="156"/>
      <c r="I290" s="156"/>
      <c r="J290" s="103"/>
    </row>
    <row r="291" spans="1:10" x14ac:dyDescent="0.3">
      <c r="A291" s="57" t="s">
        <v>930</v>
      </c>
      <c r="B291" s="58"/>
      <c r="C291" s="58"/>
      <c r="D291" s="58"/>
      <c r="E291" s="58"/>
      <c r="F291" s="58"/>
      <c r="G291" s="58"/>
      <c r="H291" s="58"/>
      <c r="I291" s="58"/>
      <c r="J291" s="103"/>
    </row>
    <row r="292" spans="1:10" x14ac:dyDescent="0.3">
      <c r="A292" s="106" t="s">
        <v>940</v>
      </c>
      <c r="B292" s="58">
        <f>IFERROR(SUMIF(FM!$A:$A,'Unallocated Detail (CBR)'!$J292,FM!C:C),0)</f>
        <v>-287200731.94999999</v>
      </c>
      <c r="C292" s="58">
        <f>IFERROR(SUMIF(FM!$A:$A,'Unallocated Detail (CBR)'!$J292,FM!D:D),0)</f>
        <v>0</v>
      </c>
      <c r="D292" s="58">
        <f>IFERROR(SUMIF(FM!$A:$A,'Unallocated Detail (CBR)'!$J292,FM!E:E),0)</f>
        <v>0</v>
      </c>
      <c r="E292" s="58">
        <f t="shared" ref="E292:E293" si="98">ROUND($D292*K292,2)</f>
        <v>0</v>
      </c>
      <c r="F292" s="58">
        <f t="shared" ref="F292:F293" si="99">ROUND($D292*L292,2)</f>
        <v>0</v>
      </c>
      <c r="G292" s="58">
        <f t="shared" ref="G292:G293" si="100">B292+E292</f>
        <v>-287200731.94999999</v>
      </c>
      <c r="H292" s="58">
        <f t="shared" ref="H292:H293" si="101">C292+F292</f>
        <v>0</v>
      </c>
      <c r="I292" s="58">
        <f t="shared" ref="I292:I293" si="102">SUM(G292:H292)</f>
        <v>-287200731.94999999</v>
      </c>
      <c r="J292" s="163" t="s">
        <v>774</v>
      </c>
    </row>
    <row r="293" spans="1:10" x14ac:dyDescent="0.3">
      <c r="A293" s="106" t="s">
        <v>941</v>
      </c>
      <c r="B293" s="159">
        <f>IFERROR(SUMIF(FM!$A:$A,'Unallocated Detail (CBR)'!$J293,FM!C:C),0)</f>
        <v>26023681.640000008</v>
      </c>
      <c r="C293" s="159">
        <f>IFERROR(SUMIF(FM!$A:$A,'Unallocated Detail (CBR)'!$J293,FM!D:D),0)</f>
        <v>0</v>
      </c>
      <c r="D293" s="159">
        <f>IFERROR(SUMIF(FM!$A:$A,'Unallocated Detail (CBR)'!$J293,FM!E:E),0)</f>
        <v>0</v>
      </c>
      <c r="E293" s="159">
        <f t="shared" si="98"/>
        <v>0</v>
      </c>
      <c r="F293" s="159">
        <f t="shared" si="99"/>
        <v>0</v>
      </c>
      <c r="G293" s="159">
        <f t="shared" si="100"/>
        <v>26023681.640000008</v>
      </c>
      <c r="H293" s="159">
        <f t="shared" si="101"/>
        <v>0</v>
      </c>
      <c r="I293" s="159">
        <f t="shared" si="102"/>
        <v>26023681.640000008</v>
      </c>
      <c r="J293" s="163" t="s">
        <v>776</v>
      </c>
    </row>
    <row r="294" spans="1:10" x14ac:dyDescent="0.3">
      <c r="A294" s="106" t="s">
        <v>942</v>
      </c>
      <c r="B294" s="58">
        <f>SUM(B292:B293)</f>
        <v>-261177050.30999997</v>
      </c>
      <c r="C294" s="58">
        <f t="shared" ref="C294:I294" si="103">SUM(C292:C293)</f>
        <v>0</v>
      </c>
      <c r="D294" s="58">
        <f t="shared" si="103"/>
        <v>0</v>
      </c>
      <c r="E294" s="58">
        <f t="shared" si="103"/>
        <v>0</v>
      </c>
      <c r="F294" s="58">
        <f t="shared" si="103"/>
        <v>0</v>
      </c>
      <c r="G294" s="58">
        <f t="shared" si="103"/>
        <v>-261177050.30999997</v>
      </c>
      <c r="H294" s="58">
        <f t="shared" si="103"/>
        <v>0</v>
      </c>
      <c r="I294" s="58">
        <f t="shared" si="103"/>
        <v>-261177050.30999997</v>
      </c>
      <c r="J294" s="160" t="s">
        <v>772</v>
      </c>
    </row>
    <row r="295" spans="1:10" x14ac:dyDescent="0.3">
      <c r="A295" s="57" t="s">
        <v>284</v>
      </c>
      <c r="B295" s="156"/>
      <c r="C295" s="156"/>
      <c r="D295" s="156"/>
      <c r="E295" s="156"/>
      <c r="F295" s="156"/>
      <c r="G295" s="156"/>
      <c r="H295" s="156"/>
      <c r="I295" s="156"/>
      <c r="J295" s="103"/>
    </row>
    <row r="296" spans="1:10" x14ac:dyDescent="0.3">
      <c r="A296" s="106" t="s">
        <v>285</v>
      </c>
      <c r="B296" s="58">
        <f>IF(ISNA(VLOOKUP($J296,FM!$A:$J,3,FALSE)),0,VLOOKUP($J296,FM!$A:$J,3,FALSE))</f>
        <v>672001.25</v>
      </c>
      <c r="C296" s="58">
        <f>IF(ISNA(VLOOKUP($J296,FM!$A:$J,4,FALSE)),0,VLOOKUP($J296,FM!$A:$J,4,FALSE))</f>
        <v>0</v>
      </c>
      <c r="D296" s="58">
        <f>IF(ISNA(VLOOKUP($J296,FM!$A:$J,5,FALSE)),0,VLOOKUP($J296,FM!$A:$J,5,FALSE))</f>
        <v>9436.75</v>
      </c>
      <c r="E296" s="58">
        <f>IF(ISNA(VLOOKUP($J296,FM!$A:$J,6,FALSE)),0,VLOOKUP($J296,FM!$A:$J,6,FALSE))</f>
        <v>6226.37</v>
      </c>
      <c r="F296" s="58">
        <f>IF(ISNA(VLOOKUP($J296,FM!$A:$J,7,FALSE)),0,VLOOKUP($J296,FM!$A:$J,7,FALSE))</f>
        <v>3210.38</v>
      </c>
      <c r="G296" s="58">
        <f t="shared" ref="G296:H319" si="104">B296+E296</f>
        <v>678227.62</v>
      </c>
      <c r="H296" s="58">
        <f t="shared" si="104"/>
        <v>3210.38</v>
      </c>
      <c r="I296" s="58">
        <f t="shared" ref="I296:I318" si="105">SUM(G296:H296)</f>
        <v>681438</v>
      </c>
      <c r="J296" s="108" t="s">
        <v>795</v>
      </c>
    </row>
    <row r="297" spans="1:10" x14ac:dyDescent="0.3">
      <c r="A297" s="106" t="s">
        <v>286</v>
      </c>
      <c r="B297" s="58">
        <f>IFERROR(SUMIF(FM!$A:$A,'Unallocated Detail (CBR)'!$J297,FM!C:C),0)</f>
        <v>0</v>
      </c>
      <c r="C297" s="58">
        <f>IFERROR(SUMIF(FM!$A:$A,'Unallocated Detail (CBR)'!$J297,FM!D:D),0)</f>
        <v>0</v>
      </c>
      <c r="D297" s="58">
        <f>IFERROR(SUMIF(FM!$A:$A,'Unallocated Detail (CBR)'!$J297,FM!E:E),0)</f>
        <v>-67632.81</v>
      </c>
      <c r="E297" s="58">
        <f>IFERROR(SUMIF(FM!$A:$A,'Unallocated Detail (CBR)'!$J297,FM!F:F),0)</f>
        <v>-44624.12</v>
      </c>
      <c r="F297" s="58">
        <f>IFERROR(SUMIF(FM!$A:$A,'Unallocated Detail (CBR)'!$J297,FM!G:G),0)</f>
        <v>-23008.69</v>
      </c>
      <c r="G297" s="58">
        <f t="shared" si="104"/>
        <v>-44624.12</v>
      </c>
      <c r="H297" s="58">
        <f t="shared" si="104"/>
        <v>-23008.69</v>
      </c>
      <c r="I297" s="58">
        <f t="shared" ref="I297:I298" si="106">SUM(G297:H297)</f>
        <v>-67632.81</v>
      </c>
      <c r="J297" s="108" t="s">
        <v>797</v>
      </c>
    </row>
    <row r="298" spans="1:10" x14ac:dyDescent="0.3">
      <c r="A298" s="106" t="s">
        <v>287</v>
      </c>
      <c r="B298" s="58">
        <f>IFERROR(SUMIF(FM!$A:$A,'Unallocated Detail (CBR)'!$J298,FM!C:C),0)</f>
        <v>0</v>
      </c>
      <c r="C298" s="58">
        <f>IFERROR(SUMIF(FM!$A:$A,'Unallocated Detail (CBR)'!$J298,FM!D:D),0)</f>
        <v>0</v>
      </c>
      <c r="D298" s="58">
        <f>IFERROR(SUMIF(FM!$A:$A,'Unallocated Detail (CBR)'!$J298,FM!E:E),0)</f>
        <v>-498794.83</v>
      </c>
      <c r="E298" s="58">
        <f>IFERROR(SUMIF(FM!$A:$A,'Unallocated Detail (CBR)'!$J298,FM!F:F),0)</f>
        <v>-329104.82</v>
      </c>
      <c r="F298" s="58">
        <f>IFERROR(SUMIF(FM!$A:$A,'Unallocated Detail (CBR)'!$J298,FM!G:G),0)</f>
        <v>-169690.01</v>
      </c>
      <c r="G298" s="58">
        <f t="shared" si="104"/>
        <v>-329104.82</v>
      </c>
      <c r="H298" s="58">
        <f t="shared" si="104"/>
        <v>-169690.01</v>
      </c>
      <c r="I298" s="58">
        <f t="shared" si="106"/>
        <v>-498794.83</v>
      </c>
      <c r="J298" s="108" t="s">
        <v>799</v>
      </c>
    </row>
    <row r="299" spans="1:10" x14ac:dyDescent="0.3">
      <c r="A299" s="106" t="s">
        <v>288</v>
      </c>
      <c r="B299" s="58">
        <f>IF(ISNA(VLOOKUP($J299,FM!$A:$J,3,FALSE)),0,VLOOKUP($J299,FM!$A:$J,3,FALSE))</f>
        <v>0</v>
      </c>
      <c r="C299" s="58">
        <f>IF(ISNA(VLOOKUP($J299,FM!$A:$J,4,FALSE)),0,VLOOKUP($J299,FM!$A:$J,4,FALSE))</f>
        <v>0</v>
      </c>
      <c r="D299" s="58">
        <f>IF(ISNA(VLOOKUP($J299,FM!$A:$J,5,FALSE)),0,VLOOKUP($J299,FM!$A:$J,5,FALSE))</f>
        <v>0</v>
      </c>
      <c r="E299" s="58">
        <f>IF(ISNA(VLOOKUP($J299,FM!$A:$J,6,FALSE)),0,VLOOKUP($J299,FM!$A:$J,6,FALSE))</f>
        <v>0</v>
      </c>
      <c r="F299" s="58">
        <f>IF(ISNA(VLOOKUP($J299,FM!$A:$J,7,FALSE)),0,VLOOKUP($J299,FM!$A:$J,7,FALSE))</f>
        <v>0</v>
      </c>
      <c r="G299" s="58">
        <f t="shared" si="104"/>
        <v>0</v>
      </c>
      <c r="H299" s="58">
        <f t="shared" si="104"/>
        <v>0</v>
      </c>
      <c r="I299" s="58">
        <f t="shared" si="105"/>
        <v>0</v>
      </c>
      <c r="J299" s="108" t="s">
        <v>879</v>
      </c>
    </row>
    <row r="300" spans="1:10" x14ac:dyDescent="0.3">
      <c r="A300" s="106" t="s">
        <v>289</v>
      </c>
      <c r="B300" s="58">
        <f>IF(ISNA(VLOOKUP($J300,FM!$A:$J,3,FALSE)),0,VLOOKUP($J300,FM!$A:$J,3,FALSE))</f>
        <v>0</v>
      </c>
      <c r="C300" s="58">
        <f>IF(ISNA(VLOOKUP($J300,FM!$A:$J,4,FALSE)),0,VLOOKUP($J300,FM!$A:$J,4,FALSE))</f>
        <v>0</v>
      </c>
      <c r="D300" s="58">
        <f>IF(ISNA(VLOOKUP($J300,FM!$A:$J,5,FALSE)),0,VLOOKUP($J300,FM!$A:$J,5,FALSE))</f>
        <v>-271813.24</v>
      </c>
      <c r="E300" s="58">
        <f>IF(ISNA(VLOOKUP($J300,FM!$A:$J,6,FALSE)),0,VLOOKUP($J300,FM!$A:$J,6,FALSE))</f>
        <v>-179342.38</v>
      </c>
      <c r="F300" s="58">
        <f>IF(ISNA(VLOOKUP($J300,FM!$A:$J,7,FALSE)),0,VLOOKUP($J300,FM!$A:$J,7,FALSE))</f>
        <v>-92470.86</v>
      </c>
      <c r="G300" s="58">
        <f t="shared" si="104"/>
        <v>-179342.38</v>
      </c>
      <c r="H300" s="58">
        <f t="shared" si="104"/>
        <v>-92470.86</v>
      </c>
      <c r="I300" s="58">
        <f t="shared" si="105"/>
        <v>-271813.24</v>
      </c>
      <c r="J300" s="108" t="s">
        <v>801</v>
      </c>
    </row>
    <row r="301" spans="1:10" x14ac:dyDescent="0.3">
      <c r="A301" s="106" t="s">
        <v>290</v>
      </c>
      <c r="B301" s="58">
        <f>IFERROR(SUMIF(FM!$A:$A,'Unallocated Detail (CBR)'!$J301,FM!C:C),0)</f>
        <v>0</v>
      </c>
      <c r="C301" s="58">
        <f>IFERROR(SUMIF(FM!$A:$A,'Unallocated Detail (CBR)'!$J301,FM!D:D),0)</f>
        <v>120523.84</v>
      </c>
      <c r="D301" s="58">
        <f>IFERROR(SUMIF(FM!$A:$A,'Unallocated Detail (CBR)'!$J301,FM!E:E),0)</f>
        <v>868183.32</v>
      </c>
      <c r="E301" s="58">
        <f>IFERROR(SUMIF(FM!$A:$A,'Unallocated Detail (CBR)'!$J301,FM!F:F),0)</f>
        <v>572827.23</v>
      </c>
      <c r="F301" s="58">
        <f>IFERROR(SUMIF(FM!$A:$A,'Unallocated Detail (CBR)'!$J301,FM!G:G),0)</f>
        <v>295356.09000000003</v>
      </c>
      <c r="G301" s="58">
        <f t="shared" si="104"/>
        <v>572827.23</v>
      </c>
      <c r="H301" s="58">
        <f t="shared" si="104"/>
        <v>415879.93000000005</v>
      </c>
      <c r="I301" s="58">
        <f t="shared" ref="I301" si="107">SUM(G301:H301)</f>
        <v>988707.16</v>
      </c>
      <c r="J301" s="163" t="s">
        <v>929</v>
      </c>
    </row>
    <row r="302" spans="1:10" x14ac:dyDescent="0.3">
      <c r="A302" s="106" t="s">
        <v>291</v>
      </c>
      <c r="B302" s="58">
        <f>IF(ISNA(VLOOKUP($J302,FM!$A:$J,3,FALSE)),0,VLOOKUP($J302,FM!$A:$J,3,FALSE))</f>
        <v>0</v>
      </c>
      <c r="C302" s="58">
        <f>IF(ISNA(VLOOKUP($J302,FM!$A:$J,4,FALSE)),0,VLOOKUP($J302,FM!$A:$J,4,FALSE))</f>
        <v>-41761.24</v>
      </c>
      <c r="D302" s="58">
        <f>IF(ISNA(VLOOKUP($J302,FM!$A:$J,5,FALSE)),0,VLOOKUP($J302,FM!$A:$J,5,FALSE))</f>
        <v>-44766297.920000002</v>
      </c>
      <c r="E302" s="58">
        <f>IF(ISNA(VLOOKUP($J302,FM!$A:$J,6,FALSE)),0,VLOOKUP($J302,FM!$A:$J,6,FALSE))</f>
        <v>-29536803.379999999</v>
      </c>
      <c r="F302" s="58">
        <f>IF(ISNA(VLOOKUP($J302,FM!$A:$J,7,FALSE)),0,VLOOKUP($J302,FM!$A:$J,7,FALSE))</f>
        <v>-15229494.539999999</v>
      </c>
      <c r="G302" s="58">
        <f t="shared" si="104"/>
        <v>-29536803.379999999</v>
      </c>
      <c r="H302" s="58">
        <f t="shared" si="104"/>
        <v>-15271255.779999999</v>
      </c>
      <c r="I302" s="58">
        <f t="shared" si="105"/>
        <v>-44808059.159999996</v>
      </c>
      <c r="J302" s="108" t="s">
        <v>805</v>
      </c>
    </row>
    <row r="303" spans="1:10" x14ac:dyDescent="0.3">
      <c r="A303" s="106" t="s">
        <v>292</v>
      </c>
      <c r="B303" s="58">
        <f>IF(ISNA(VLOOKUP($J303,FM!$A:$J,3,FALSE)),0,VLOOKUP($J303,FM!$A:$J,3,FALSE))</f>
        <v>0</v>
      </c>
      <c r="C303" s="58">
        <f>IF(ISNA(VLOOKUP($J303,FM!$A:$J,4,FALSE)),0,VLOOKUP($J303,FM!$A:$J,4,FALSE))</f>
        <v>0</v>
      </c>
      <c r="D303" s="58">
        <f>IF(ISNA(VLOOKUP($J303,FM!$A:$J,5,FALSE)),0,VLOOKUP($J303,FM!$A:$J,5,FALSE))</f>
        <v>0</v>
      </c>
      <c r="E303" s="58">
        <f>IF(ISNA(VLOOKUP($J303,FM!$A:$J,6,FALSE)),0,VLOOKUP($J303,FM!$A:$J,6,FALSE))</f>
        <v>0</v>
      </c>
      <c r="F303" s="58">
        <f>IF(ISNA(VLOOKUP($J303,FM!$A:$J,7,FALSE)),0,VLOOKUP($J303,FM!$A:$J,7,FALSE))</f>
        <v>0</v>
      </c>
      <c r="G303" s="58">
        <f t="shared" si="104"/>
        <v>0</v>
      </c>
      <c r="H303" s="58">
        <f t="shared" si="104"/>
        <v>0</v>
      </c>
      <c r="I303" s="58">
        <f t="shared" si="105"/>
        <v>0</v>
      </c>
      <c r="J303" s="108"/>
    </row>
    <row r="304" spans="1:10" x14ac:dyDescent="0.3">
      <c r="A304" s="106" t="s">
        <v>293</v>
      </c>
      <c r="B304" s="58">
        <f>IF(ISNA(VLOOKUP($J304,FM!$A:$J,3,FALSE)),0,VLOOKUP($J304,FM!$A:$J,3,FALSE))</f>
        <v>0</v>
      </c>
      <c r="C304" s="58">
        <f>IF(ISNA(VLOOKUP($J304,FM!$A:$J,4,FALSE)),0,VLOOKUP($J304,FM!$A:$J,4,FALSE))</f>
        <v>0</v>
      </c>
      <c r="D304" s="58">
        <f>IF(ISNA(VLOOKUP($J304,FM!$A:$J,5,FALSE)),0,VLOOKUP($J304,FM!$A:$J,5,FALSE))</f>
        <v>40561238.270000003</v>
      </c>
      <c r="E304" s="58">
        <f>IF(ISNA(VLOOKUP($J304,FM!$A:$J,6,FALSE)),0,VLOOKUP($J304,FM!$A:$J,6,FALSE))</f>
        <v>26762304.890000001</v>
      </c>
      <c r="F304" s="58">
        <f>IF(ISNA(VLOOKUP($J304,FM!$A:$J,7,FALSE)),0,VLOOKUP($J304,FM!$A:$J,7,FALSE))</f>
        <v>13798933.380000001</v>
      </c>
      <c r="G304" s="58">
        <f t="shared" si="104"/>
        <v>26762304.890000001</v>
      </c>
      <c r="H304" s="58">
        <f t="shared" si="104"/>
        <v>13798933.380000001</v>
      </c>
      <c r="I304" s="58">
        <f t="shared" si="105"/>
        <v>40561238.270000003</v>
      </c>
      <c r="J304" s="108" t="s">
        <v>807</v>
      </c>
    </row>
    <row r="305" spans="1:10" x14ac:dyDescent="0.3">
      <c r="A305" s="106" t="s">
        <v>294</v>
      </c>
      <c r="B305" s="58">
        <f>IF(ISNA(VLOOKUP($J305,FM!$A:$J,3,FALSE)),0,VLOOKUP($J305,FM!$A:$J,3,FALSE))</f>
        <v>0</v>
      </c>
      <c r="C305" s="58">
        <f>IF(ISNA(VLOOKUP($J305,FM!$A:$J,4,FALSE)),0,VLOOKUP($J305,FM!$A:$J,4,FALSE))</f>
        <v>0</v>
      </c>
      <c r="D305" s="58">
        <f>IF(ISNA(VLOOKUP($J305,FM!$A:$J,5,FALSE)),0,VLOOKUP($J305,FM!$A:$J,5,FALSE))</f>
        <v>0</v>
      </c>
      <c r="E305" s="58">
        <f>IF(ISNA(VLOOKUP($J305,FM!$A:$J,6,FALSE)),0,VLOOKUP($J305,FM!$A:$J,6,FALSE))</f>
        <v>0</v>
      </c>
      <c r="F305" s="58">
        <f>IF(ISNA(VLOOKUP($J305,FM!$A:$J,7,FALSE)),0,VLOOKUP($J305,FM!$A:$J,7,FALSE))</f>
        <v>0</v>
      </c>
      <c r="G305" s="58">
        <f t="shared" si="104"/>
        <v>0</v>
      </c>
      <c r="H305" s="58">
        <f t="shared" si="104"/>
        <v>0</v>
      </c>
      <c r="I305" s="58">
        <f t="shared" si="105"/>
        <v>0</v>
      </c>
      <c r="J305" s="108" t="s">
        <v>809</v>
      </c>
    </row>
    <row r="306" spans="1:10" x14ac:dyDescent="0.3">
      <c r="A306" s="106" t="s">
        <v>295</v>
      </c>
      <c r="B306" s="58">
        <f>IF(ISNA(VLOOKUP($J306,FM!$A:$J,3,FALSE)),0,VLOOKUP($J306,FM!$A:$J,3,FALSE))</f>
        <v>0</v>
      </c>
      <c r="C306" s="58">
        <f>IF(ISNA(VLOOKUP($J306,FM!$A:$J,4,FALSE)),0,VLOOKUP($J306,FM!$A:$J,4,FALSE))</f>
        <v>0</v>
      </c>
      <c r="D306" s="58">
        <f>IF(ISNA(VLOOKUP($J306,FM!$A:$J,5,FALSE)),0,VLOOKUP($J306,FM!$A:$J,5,FALSE))</f>
        <v>-270654.74</v>
      </c>
      <c r="E306" s="58">
        <f>IF(ISNA(VLOOKUP($J306,FM!$A:$J,6,FALSE)),0,VLOOKUP($J306,FM!$A:$J,6,FALSE))</f>
        <v>-178577.99</v>
      </c>
      <c r="F306" s="58">
        <f>IF(ISNA(VLOOKUP($J306,FM!$A:$J,7,FALSE)),0,VLOOKUP($J306,FM!$A:$J,7,FALSE))</f>
        <v>-92076.75</v>
      </c>
      <c r="G306" s="58">
        <f t="shared" si="104"/>
        <v>-178577.99</v>
      </c>
      <c r="H306" s="58">
        <f t="shared" si="104"/>
        <v>-92076.75</v>
      </c>
      <c r="I306" s="58">
        <f t="shared" si="105"/>
        <v>-270654.74</v>
      </c>
      <c r="J306" s="108" t="s">
        <v>810</v>
      </c>
    </row>
    <row r="307" spans="1:10" x14ac:dyDescent="0.3">
      <c r="A307" s="106" t="s">
        <v>296</v>
      </c>
      <c r="B307" s="290">
        <f>IFERROR(SUMIF(FM!$A:$A,'Unallocated Detail (CBR)'!$J307,FM!C:C),0)</f>
        <v>7340466.79</v>
      </c>
      <c r="C307" s="290">
        <f>IFERROR(SUMIF(FM!$A:$A,'Unallocated Detail (CBR)'!$J307,FM!D:D),0)</f>
        <v>9385501.0999999996</v>
      </c>
      <c r="D307" s="290">
        <f>IFERROR(SUMIF(FM!$A:$A,'Unallocated Detail (CBR)'!$J307,FM!E:E),0)</f>
        <v>-7994307.0899999999</v>
      </c>
      <c r="E307" s="290">
        <f>IFERROR(SUMIF(FM!$A:$A,'Unallocated Detail (CBR)'!$J307,FM!F:F),0)</f>
        <v>-5274643.8</v>
      </c>
      <c r="F307" s="290">
        <f>IFERROR(SUMIF(FM!$A:$A,'Unallocated Detail (CBR)'!$J307,FM!G:G),0)</f>
        <v>-2719663.29</v>
      </c>
      <c r="G307" s="290">
        <f t="shared" si="104"/>
        <v>2065822.9900000002</v>
      </c>
      <c r="H307" s="290">
        <f t="shared" si="104"/>
        <v>6665837.8099999996</v>
      </c>
      <c r="I307" s="290">
        <f t="shared" ref="I307" si="108">SUM(G307:H307)</f>
        <v>8731660.8000000007</v>
      </c>
      <c r="J307" s="108" t="s">
        <v>811</v>
      </c>
    </row>
    <row r="308" spans="1:10" x14ac:dyDescent="0.3">
      <c r="A308" s="106" t="s">
        <v>297</v>
      </c>
      <c r="B308" s="58">
        <f>IF(ISNA(VLOOKUP($J308,FM!$A:$J,3,FALSE)),0,VLOOKUP($J308,FM!$A:$J,3,FALSE))</f>
        <v>-22961896.18</v>
      </c>
      <c r="C308" s="58">
        <f>IF(ISNA(VLOOKUP($J308,FM!$A:$J,4,FALSE)),0,VLOOKUP($J308,FM!$A:$J,4,FALSE))</f>
        <v>-4276715.24</v>
      </c>
      <c r="D308" s="58">
        <f>IF(ISNA(VLOOKUP($J308,FM!$A:$J,5,FALSE)),0,VLOOKUP($J308,FM!$A:$J,5,FALSE))</f>
        <v>-1071731.29</v>
      </c>
      <c r="E308" s="58">
        <f>IF(ISNA(VLOOKUP($J308,FM!$A:$J,6,FALSE)),0,VLOOKUP($J308,FM!$A:$J,6,FALSE))</f>
        <v>-707128.29</v>
      </c>
      <c r="F308" s="58">
        <f>IF(ISNA(VLOOKUP($J308,FM!$A:$J,7,FALSE)),0,VLOOKUP($J308,FM!$A:$J,7,FALSE))</f>
        <v>-364603</v>
      </c>
      <c r="G308" s="58">
        <f t="shared" si="104"/>
        <v>-23669024.469999999</v>
      </c>
      <c r="H308" s="58">
        <f t="shared" si="104"/>
        <v>-4641318.24</v>
      </c>
      <c r="I308" s="58">
        <f t="shared" si="105"/>
        <v>-28310342.710000001</v>
      </c>
      <c r="J308" s="108" t="s">
        <v>813</v>
      </c>
    </row>
    <row r="309" spans="1:10" x14ac:dyDescent="0.3">
      <c r="A309" s="106" t="s">
        <v>298</v>
      </c>
      <c r="B309" s="58">
        <f>IF(ISNA(VLOOKUP($J309,FM!$A:$J,3,FALSE)),0,VLOOKUP($J309,FM!$A:$J,3,FALSE))</f>
        <v>-94127.91</v>
      </c>
      <c r="C309" s="58">
        <f>IF(ISNA(VLOOKUP($J309,FM!$A:$J,4,FALSE)),0,VLOOKUP($J309,FM!$A:$J,4,FALSE))</f>
        <v>-800</v>
      </c>
      <c r="D309" s="58">
        <f>IF(ISNA(VLOOKUP($J309,FM!$A:$J,5,FALSE)),0,VLOOKUP($J309,FM!$A:$J,5,FALSE))</f>
        <v>-2500.62</v>
      </c>
      <c r="E309" s="58">
        <f>IF(ISNA(VLOOKUP($J309,FM!$A:$J,6,FALSE)),0,VLOOKUP($J309,FM!$A:$J,6,FALSE))</f>
        <v>-1649.92</v>
      </c>
      <c r="F309" s="58">
        <f>IF(ISNA(VLOOKUP($J309,FM!$A:$J,7,FALSE)),0,VLOOKUP($J309,FM!$A:$J,7,FALSE))</f>
        <v>-850.7</v>
      </c>
      <c r="G309" s="58">
        <f t="shared" si="104"/>
        <v>-95777.83</v>
      </c>
      <c r="H309" s="58">
        <f t="shared" si="104"/>
        <v>-1650.7</v>
      </c>
      <c r="I309" s="58">
        <f t="shared" si="105"/>
        <v>-97428.53</v>
      </c>
      <c r="J309" s="108" t="s">
        <v>815</v>
      </c>
    </row>
    <row r="310" spans="1:10" x14ac:dyDescent="0.3">
      <c r="A310" s="106" t="s">
        <v>299</v>
      </c>
      <c r="B310" s="58">
        <f>IF(ISNA(VLOOKUP($J310,FM!$A:$J,3,FALSE)),0,VLOOKUP($J310,FM!$A:$J,3,FALSE))</f>
        <v>-235261.73</v>
      </c>
      <c r="C310" s="58">
        <f>IF(ISNA(VLOOKUP($J310,FM!$A:$J,4,FALSE)),0,VLOOKUP($J310,FM!$A:$J,4,FALSE))</f>
        <v>0</v>
      </c>
      <c r="D310" s="58">
        <f>IF(ISNA(VLOOKUP($J310,FM!$A:$J,5,FALSE)),0,VLOOKUP($J310,FM!$A:$J,5,FALSE))</f>
        <v>0</v>
      </c>
      <c r="E310" s="58">
        <f>IF(ISNA(VLOOKUP($J310,FM!$A:$J,6,FALSE)),0,VLOOKUP($J310,FM!$A:$J,6,FALSE))</f>
        <v>0</v>
      </c>
      <c r="F310" s="58">
        <f>IF(ISNA(VLOOKUP($J310,FM!$A:$J,7,FALSE)),0,VLOOKUP($J310,FM!$A:$J,7,FALSE))</f>
        <v>0</v>
      </c>
      <c r="G310" s="58">
        <f t="shared" si="104"/>
        <v>-235261.73</v>
      </c>
      <c r="H310" s="58">
        <f t="shared" si="104"/>
        <v>0</v>
      </c>
      <c r="I310" s="58">
        <f t="shared" si="105"/>
        <v>-235261.73</v>
      </c>
      <c r="J310" s="108" t="s">
        <v>880</v>
      </c>
    </row>
    <row r="311" spans="1:10" x14ac:dyDescent="0.3">
      <c r="A311" s="106" t="s">
        <v>300</v>
      </c>
      <c r="B311" s="58">
        <f>IF(ISNA(VLOOKUP($J311,FM!$A:$J,3,FALSE)),0,VLOOKUP($J311,FM!$A:$J,3,FALSE))</f>
        <v>0</v>
      </c>
      <c r="C311" s="58">
        <f>IF(ISNA(VLOOKUP($J311,FM!$A:$J,4,FALSE)),0,VLOOKUP($J311,FM!$A:$J,4,FALSE))</f>
        <v>0</v>
      </c>
      <c r="D311" s="58">
        <f>IF(ISNA(VLOOKUP($J311,FM!$A:$J,5,FALSE)),0,VLOOKUP($J311,FM!$A:$J,5,FALSE))</f>
        <v>0</v>
      </c>
      <c r="E311" s="58">
        <f>IF(ISNA(VLOOKUP($J311,FM!$A:$J,6,FALSE)),0,VLOOKUP($J311,FM!$A:$J,6,FALSE))</f>
        <v>0</v>
      </c>
      <c r="F311" s="58">
        <f>IF(ISNA(VLOOKUP($J311,FM!$A:$J,7,FALSE)),0,VLOOKUP($J311,FM!$A:$J,7,FALSE))</f>
        <v>0</v>
      </c>
      <c r="G311" s="58">
        <f t="shared" si="104"/>
        <v>0</v>
      </c>
      <c r="H311" s="58">
        <f t="shared" si="104"/>
        <v>0</v>
      </c>
      <c r="I311" s="58">
        <f t="shared" si="105"/>
        <v>0</v>
      </c>
      <c r="J311" s="108" t="s">
        <v>881</v>
      </c>
    </row>
    <row r="312" spans="1:10" x14ac:dyDescent="0.3">
      <c r="A312" s="106" t="s">
        <v>301</v>
      </c>
      <c r="B312" s="58">
        <f>IF(ISNA(VLOOKUP($J312,FM!$A:$J,3,FALSE)),0,VLOOKUP($J312,FM!$A:$J,3,FALSE))</f>
        <v>-2218897.37</v>
      </c>
      <c r="C312" s="58">
        <f>IF(ISNA(VLOOKUP($J312,FM!$A:$J,4,FALSE)),0,VLOOKUP($J312,FM!$A:$J,4,FALSE))</f>
        <v>0</v>
      </c>
      <c r="D312" s="58">
        <f>IF(ISNA(VLOOKUP($J312,FM!$A:$J,5,FALSE)),0,VLOOKUP($J312,FM!$A:$J,5,FALSE))</f>
        <v>0</v>
      </c>
      <c r="E312" s="58">
        <f>IF(ISNA(VLOOKUP($J312,FM!$A:$J,6,FALSE)),0,VLOOKUP($J312,FM!$A:$J,6,FALSE))</f>
        <v>0</v>
      </c>
      <c r="F312" s="58">
        <f>IF(ISNA(VLOOKUP($J312,FM!$A:$J,7,FALSE)),0,VLOOKUP($J312,FM!$A:$J,7,FALSE))</f>
        <v>0</v>
      </c>
      <c r="G312" s="58">
        <f t="shared" si="104"/>
        <v>-2218897.37</v>
      </c>
      <c r="H312" s="58">
        <f t="shared" si="104"/>
        <v>0</v>
      </c>
      <c r="I312" s="58">
        <f t="shared" si="105"/>
        <v>-2218897.37</v>
      </c>
      <c r="J312" s="108" t="s">
        <v>817</v>
      </c>
    </row>
    <row r="313" spans="1:10" x14ac:dyDescent="0.3">
      <c r="A313" s="106" t="s">
        <v>302</v>
      </c>
      <c r="B313" s="58">
        <f>IF(ISNA(VLOOKUP($J313,FM!$A:$J,3,FALSE)),0,VLOOKUP($J313,FM!$A:$J,3,FALSE))</f>
        <v>0</v>
      </c>
      <c r="C313" s="58">
        <f>IF(ISNA(VLOOKUP($J313,FM!$A:$J,4,FALSE)),0,VLOOKUP($J313,FM!$A:$J,4,FALSE))</f>
        <v>0</v>
      </c>
      <c r="D313" s="58">
        <f>IF(ISNA(VLOOKUP($J313,FM!$A:$J,5,FALSE)),0,VLOOKUP($J313,FM!$A:$J,5,FALSE))</f>
        <v>0</v>
      </c>
      <c r="E313" s="58">
        <f>IF(ISNA(VLOOKUP($J313,FM!$A:$J,6,FALSE)),0,VLOOKUP($J313,FM!$A:$J,6,FALSE))</f>
        <v>0</v>
      </c>
      <c r="F313" s="58">
        <f>IF(ISNA(VLOOKUP($J313,FM!$A:$J,7,FALSE)),0,VLOOKUP($J313,FM!$A:$J,7,FALSE))</f>
        <v>0</v>
      </c>
      <c r="G313" s="58">
        <f t="shared" si="104"/>
        <v>0</v>
      </c>
      <c r="H313" s="58">
        <f t="shared" si="104"/>
        <v>0</v>
      </c>
      <c r="I313" s="58">
        <f t="shared" si="105"/>
        <v>0</v>
      </c>
      <c r="J313" s="108"/>
    </row>
    <row r="314" spans="1:10" x14ac:dyDescent="0.3">
      <c r="A314" s="106" t="s">
        <v>303</v>
      </c>
      <c r="B314" s="58">
        <f>IF(ISNA(VLOOKUP($J314,FM!$A:$J,3,FALSE)),0,VLOOKUP($J314,FM!$A:$J,3,FALSE))</f>
        <v>0</v>
      </c>
      <c r="C314" s="58">
        <f>IF(ISNA(VLOOKUP($J314,FM!$A:$J,4,FALSE)),0,VLOOKUP($J314,FM!$A:$J,4,FALSE))</f>
        <v>0</v>
      </c>
      <c r="D314" s="58">
        <f>IF(ISNA(VLOOKUP($J314,FM!$A:$J,5,FALSE)),0,VLOOKUP($J314,FM!$A:$J,5,FALSE))</f>
        <v>0</v>
      </c>
      <c r="E314" s="58">
        <f>IF(ISNA(VLOOKUP($J314,FM!$A:$J,6,FALSE)),0,VLOOKUP($J314,FM!$A:$J,6,FALSE))</f>
        <v>0</v>
      </c>
      <c r="F314" s="58">
        <f>IF(ISNA(VLOOKUP($J314,FM!$A:$J,7,FALSE)),0,VLOOKUP($J314,FM!$A:$J,7,FALSE))</f>
        <v>0</v>
      </c>
      <c r="G314" s="58">
        <f t="shared" si="104"/>
        <v>0</v>
      </c>
      <c r="H314" s="58">
        <f t="shared" si="104"/>
        <v>0</v>
      </c>
      <c r="I314" s="58">
        <f t="shared" si="105"/>
        <v>0</v>
      </c>
      <c r="J314" s="108" t="s">
        <v>882</v>
      </c>
    </row>
    <row r="315" spans="1:10" x14ac:dyDescent="0.3">
      <c r="A315" s="106" t="s">
        <v>304</v>
      </c>
      <c r="B315" s="58">
        <f>IF(ISNA(VLOOKUP($J315,FM!$A:$J,3,FALSE)),0,VLOOKUP($J315,FM!$A:$J,3,FALSE))</f>
        <v>8400</v>
      </c>
      <c r="C315" s="58">
        <f>IF(ISNA(VLOOKUP($J315,FM!$A:$J,4,FALSE)),0,VLOOKUP($J315,FM!$A:$J,4,FALSE))</f>
        <v>0</v>
      </c>
      <c r="D315" s="58">
        <f>IF(ISNA(VLOOKUP($J315,FM!$A:$J,5,FALSE)),0,VLOOKUP($J315,FM!$A:$J,5,FALSE))</f>
        <v>28400</v>
      </c>
      <c r="E315" s="58">
        <f>IF(ISNA(VLOOKUP($J315,FM!$A:$J,6,FALSE)),0,VLOOKUP($J315,FM!$A:$J,6,FALSE))</f>
        <v>18738.32</v>
      </c>
      <c r="F315" s="58">
        <f>IF(ISNA(VLOOKUP($J315,FM!$A:$J,7,FALSE)),0,VLOOKUP($J315,FM!$A:$J,7,FALSE))</f>
        <v>9661.68</v>
      </c>
      <c r="G315" s="58">
        <f t="shared" si="104"/>
        <v>27138.32</v>
      </c>
      <c r="H315" s="58">
        <f t="shared" si="104"/>
        <v>9661.68</v>
      </c>
      <c r="I315" s="58">
        <f t="shared" si="105"/>
        <v>36800</v>
      </c>
      <c r="J315" s="108" t="s">
        <v>819</v>
      </c>
    </row>
    <row r="316" spans="1:10" x14ac:dyDescent="0.3">
      <c r="A316" s="106" t="s">
        <v>305</v>
      </c>
      <c r="B316" s="58">
        <f>IF(ISNA(VLOOKUP($J316,FM!$A:$J,3,FALSE)),0,VLOOKUP($J316,FM!$A:$J,3,FALSE))</f>
        <v>0</v>
      </c>
      <c r="C316" s="58">
        <f>IF(ISNA(VLOOKUP($J316,FM!$A:$J,4,FALSE)),0,VLOOKUP($J316,FM!$A:$J,4,FALSE))</f>
        <v>0</v>
      </c>
      <c r="D316" s="58">
        <f>IF(ISNA(VLOOKUP($J316,FM!$A:$J,5,FALSE)),0,VLOOKUP($J316,FM!$A:$J,5,FALSE))</f>
        <v>-1759019.65</v>
      </c>
      <c r="E316" s="58">
        <f>IF(ISNA(VLOOKUP($J316,FM!$A:$J,6,FALSE)),0,VLOOKUP($J316,FM!$A:$J,6,FALSE))</f>
        <v>-1160601.1599999999</v>
      </c>
      <c r="F316" s="58">
        <f>IF(ISNA(VLOOKUP($J316,FM!$A:$J,7,FALSE)),0,VLOOKUP($J316,FM!$A:$J,7,FALSE))</f>
        <v>-598418.49</v>
      </c>
      <c r="G316" s="58">
        <f t="shared" si="104"/>
        <v>-1160601.1599999999</v>
      </c>
      <c r="H316" s="58">
        <f t="shared" si="104"/>
        <v>-598418.49</v>
      </c>
      <c r="I316" s="58">
        <f t="shared" si="105"/>
        <v>-1759019.65</v>
      </c>
      <c r="J316" s="108" t="s">
        <v>821</v>
      </c>
    </row>
    <row r="317" spans="1:10" x14ac:dyDescent="0.3">
      <c r="A317" s="106" t="s">
        <v>306</v>
      </c>
      <c r="B317" s="58">
        <f>IF(ISNA(VLOOKUP($J317,FM!$A:$J,3,FALSE)),0,VLOOKUP($J317,FM!$A:$J,3,FALSE))</f>
        <v>-545006</v>
      </c>
      <c r="C317" s="58">
        <f>IF(ISNA(VLOOKUP($J317,FM!$A:$J,4,FALSE)),0,VLOOKUP($J317,FM!$A:$J,4,FALSE))</f>
        <v>315408</v>
      </c>
      <c r="D317" s="58">
        <f>IF(ISNA(VLOOKUP($J317,FM!$A:$J,5,FALSE)),0,VLOOKUP($J317,FM!$A:$J,5,FALSE))</f>
        <v>1758985.25</v>
      </c>
      <c r="E317" s="58">
        <f>IF(ISNA(VLOOKUP($J317,FM!$A:$J,6,FALSE)),0,VLOOKUP($J317,FM!$A:$J,6,FALSE))</f>
        <v>1160578.47</v>
      </c>
      <c r="F317" s="58">
        <f>IF(ISNA(VLOOKUP($J317,FM!$A:$J,7,FALSE)),0,VLOOKUP($J317,FM!$A:$J,7,FALSE))</f>
        <v>598406.78</v>
      </c>
      <c r="G317" s="58">
        <f t="shared" si="104"/>
        <v>615572.47</v>
      </c>
      <c r="H317" s="58">
        <f t="shared" si="104"/>
        <v>913814.78</v>
      </c>
      <c r="I317" s="58">
        <f t="shared" si="105"/>
        <v>1529387.25</v>
      </c>
      <c r="J317" s="108" t="s">
        <v>822</v>
      </c>
    </row>
    <row r="318" spans="1:10" x14ac:dyDescent="0.3">
      <c r="A318" s="106" t="s">
        <v>307</v>
      </c>
      <c r="B318" s="58">
        <f>IF(ISNA(VLOOKUP($J318,FM!$A:$J,3,FALSE)),0,VLOOKUP($J318,FM!$A:$J,3,FALSE))</f>
        <v>0</v>
      </c>
      <c r="C318" s="58">
        <f>IF(ISNA(VLOOKUP($J318,FM!$A:$J,4,FALSE)),0,VLOOKUP($J318,FM!$A:$J,4,FALSE))</f>
        <v>2463.7399999999998</v>
      </c>
      <c r="D318" s="58">
        <f>IF(ISNA(VLOOKUP($J318,FM!$A:$J,5,FALSE)),0,VLOOKUP($J318,FM!$A:$J,5,FALSE))</f>
        <v>8486227.2100000009</v>
      </c>
      <c r="E318" s="58">
        <f>IF(ISNA(VLOOKUP($J318,FM!$A:$J,6,FALSE)),0,VLOOKUP($J318,FM!$A:$J,6,FALSE))</f>
        <v>5599212.8399999999</v>
      </c>
      <c r="F318" s="58">
        <f>IF(ISNA(VLOOKUP($J318,FM!$A:$J,7,FALSE)),0,VLOOKUP($J318,FM!$A:$J,7,FALSE))</f>
        <v>2887014.37</v>
      </c>
      <c r="G318" s="58">
        <f t="shared" si="104"/>
        <v>5599212.8399999999</v>
      </c>
      <c r="H318" s="58">
        <f t="shared" si="104"/>
        <v>2889478.1100000003</v>
      </c>
      <c r="I318" s="58">
        <f t="shared" si="105"/>
        <v>8488690.9499999993</v>
      </c>
      <c r="J318" s="108" t="s">
        <v>823</v>
      </c>
    </row>
    <row r="319" spans="1:10" x14ac:dyDescent="0.3">
      <c r="A319" s="106" t="s">
        <v>308</v>
      </c>
      <c r="B319" s="58">
        <f>IFERROR(SUMIF(FM!$A:$A,'Unallocated Detail (CBR)'!$J319,FM!C:C),0)</f>
        <v>305372.74</v>
      </c>
      <c r="C319" s="58">
        <f>IFERROR(SUMIF(FM!$A:$A,'Unallocated Detail (CBR)'!$J319,FM!D:D),0)</f>
        <v>0</v>
      </c>
      <c r="D319" s="58">
        <f>IFERROR(SUMIF(FM!$A:$A,'Unallocated Detail (CBR)'!$J319,FM!E:E),0)</f>
        <v>14455932.699999999</v>
      </c>
      <c r="E319" s="58">
        <f>IFERROR(SUMIF(FM!$A:$A,'Unallocated Detail (CBR)'!$J319,FM!F:F),0)</f>
        <v>9538024.4399999995</v>
      </c>
      <c r="F319" s="58">
        <f>IFERROR(SUMIF(FM!$A:$A,'Unallocated Detail (CBR)'!$J319,FM!G:G),0)</f>
        <v>4917908.26</v>
      </c>
      <c r="G319" s="58">
        <f t="shared" si="104"/>
        <v>9843397.1799999997</v>
      </c>
      <c r="H319" s="58">
        <f t="shared" si="104"/>
        <v>4917908.26</v>
      </c>
      <c r="I319" s="58">
        <f t="shared" ref="I319" si="109">SUM(G319:H319)</f>
        <v>14761305.439999999</v>
      </c>
      <c r="J319" s="108" t="s">
        <v>825</v>
      </c>
    </row>
    <row r="320" spans="1:10" x14ac:dyDescent="0.3">
      <c r="A320" s="106" t="s">
        <v>309</v>
      </c>
      <c r="B320" s="58">
        <f>SUM(B296:B319)</f>
        <v>-17728948.410000004</v>
      </c>
      <c r="C320" s="58">
        <f t="shared" ref="C320:H320" si="110">SUM(C296:C319)</f>
        <v>5504620.1999999993</v>
      </c>
      <c r="D320" s="58">
        <f t="shared" si="110"/>
        <v>9465651.3099999987</v>
      </c>
      <c r="E320" s="58">
        <f t="shared" si="110"/>
        <v>6245436.700000003</v>
      </c>
      <c r="F320" s="58">
        <f t="shared" si="110"/>
        <v>3220214.6100000013</v>
      </c>
      <c r="G320" s="58">
        <f t="shared" si="110"/>
        <v>-11483511.709999997</v>
      </c>
      <c r="H320" s="58">
        <f t="shared" si="110"/>
        <v>8724834.8100000005</v>
      </c>
      <c r="I320" s="58">
        <f>SUM(I296:I319)</f>
        <v>-2758676.8999999929</v>
      </c>
      <c r="J320" s="160" t="s">
        <v>793</v>
      </c>
    </row>
    <row r="321" spans="1:10" x14ac:dyDescent="0.3">
      <c r="A321" s="57" t="s">
        <v>310</v>
      </c>
      <c r="B321" s="58"/>
      <c r="C321" s="58"/>
      <c r="D321" s="58"/>
      <c r="E321" s="58"/>
      <c r="F321" s="58"/>
      <c r="G321" s="58"/>
      <c r="H321" s="58"/>
      <c r="I321" s="58"/>
      <c r="J321" s="109"/>
    </row>
    <row r="322" spans="1:10" x14ac:dyDescent="0.3">
      <c r="A322" s="106" t="s">
        <v>311</v>
      </c>
      <c r="B322" s="58">
        <f>IF(ISNA(VLOOKUP($J322,FM!$A:$J,3,FALSE)),0,VLOOKUP($J322,FM!$A:$J,3,FALSE))</f>
        <v>0</v>
      </c>
      <c r="C322" s="58">
        <f>IF(ISNA(VLOOKUP($J322,FM!$A:$J,4,FALSE)),0,VLOOKUP($J322,FM!$A:$J,4,FALSE))</f>
        <v>0</v>
      </c>
      <c r="D322" s="58">
        <f>IF(ISNA(VLOOKUP($J322,FM!$A:$J,5,FALSE)),0,VLOOKUP($J322,FM!$A:$J,5,FALSE))</f>
        <v>240203334</v>
      </c>
      <c r="E322" s="58">
        <f>IF(ISNA(VLOOKUP($J322,FM!$A:$J,6,FALSE)),0,VLOOKUP($J322,FM!$A:$J,6,FALSE))</f>
        <v>158489088.91999999</v>
      </c>
      <c r="F322" s="58">
        <f>IF(ISNA(VLOOKUP($J322,FM!$A:$J,7,FALSE)),0,VLOOKUP($J322,FM!$A:$J,7,FALSE))</f>
        <v>81714245.079999998</v>
      </c>
      <c r="G322" s="58">
        <f t="shared" ref="G322:H330" si="111">B322+E322</f>
        <v>158489088.91999999</v>
      </c>
      <c r="H322" s="58">
        <f t="shared" si="111"/>
        <v>81714245.079999998</v>
      </c>
      <c r="I322" s="58">
        <f t="shared" ref="I322:I330" si="112">SUM(G322:H322)</f>
        <v>240203334</v>
      </c>
      <c r="J322" s="108" t="s">
        <v>829</v>
      </c>
    </row>
    <row r="323" spans="1:10" x14ac:dyDescent="0.3">
      <c r="A323" s="106" t="s">
        <v>312</v>
      </c>
      <c r="B323" s="58">
        <f>IF(ISNA(VLOOKUP($J323,FM!$A:$J,3,FALSE)),0,VLOOKUP($J323,FM!$A:$J,3,FALSE))</f>
        <v>0</v>
      </c>
      <c r="C323" s="58">
        <f>IF(ISNA(VLOOKUP($J323,FM!$A:$J,4,FALSE)),0,VLOOKUP($J323,FM!$A:$J,4,FALSE))</f>
        <v>0</v>
      </c>
      <c r="D323" s="58">
        <f>IF(ISNA(VLOOKUP($J323,FM!$A:$J,5,FALSE)),0,VLOOKUP($J323,FM!$A:$J,5,FALSE))</f>
        <v>0</v>
      </c>
      <c r="E323" s="58">
        <f>IF(ISNA(VLOOKUP($J323,FM!$A:$J,6,FALSE)),0,VLOOKUP($J323,FM!$A:$J,6,FALSE))</f>
        <v>0</v>
      </c>
      <c r="F323" s="58">
        <f>IF(ISNA(VLOOKUP($J323,FM!$A:$J,7,FALSE)),0,VLOOKUP($J323,FM!$A:$J,7,FALSE))</f>
        <v>0</v>
      </c>
      <c r="G323" s="58">
        <f t="shared" si="111"/>
        <v>0</v>
      </c>
      <c r="H323" s="58">
        <f t="shared" si="111"/>
        <v>0</v>
      </c>
      <c r="I323" s="58">
        <f t="shared" si="112"/>
        <v>0</v>
      </c>
      <c r="J323" s="109"/>
    </row>
    <row r="324" spans="1:10" x14ac:dyDescent="0.3">
      <c r="A324" s="106" t="s">
        <v>313</v>
      </c>
      <c r="B324" s="58">
        <f>IF(ISNA(VLOOKUP($J324,FM!$A:$J,3,FALSE)),0,VLOOKUP($J324,FM!$A:$J,3,FALSE))</f>
        <v>0</v>
      </c>
      <c r="C324" s="58">
        <f>IF(ISNA(VLOOKUP($J324,FM!$A:$J,4,FALSE)),0,VLOOKUP($J324,FM!$A:$J,4,FALSE))</f>
        <v>0</v>
      </c>
      <c r="D324" s="58">
        <f>IF(ISNA(VLOOKUP($J324,FM!$A:$J,5,FALSE)),0,VLOOKUP($J324,FM!$A:$J,5,FALSE))</f>
        <v>2651955.48</v>
      </c>
      <c r="E324" s="58">
        <f>IF(ISNA(VLOOKUP($J324,FM!$A:$J,6,FALSE)),0,VLOOKUP($J324,FM!$A:$J,6,FALSE))</f>
        <v>1749798.73</v>
      </c>
      <c r="F324" s="58">
        <f>IF(ISNA(VLOOKUP($J324,FM!$A:$J,7,FALSE)),0,VLOOKUP($J324,FM!$A:$J,7,FALSE))</f>
        <v>902156.75</v>
      </c>
      <c r="G324" s="58">
        <f t="shared" si="111"/>
        <v>1749798.73</v>
      </c>
      <c r="H324" s="58">
        <f t="shared" si="111"/>
        <v>902156.75</v>
      </c>
      <c r="I324" s="58">
        <f t="shared" si="112"/>
        <v>2651955.48</v>
      </c>
      <c r="J324" s="108" t="s">
        <v>831</v>
      </c>
    </row>
    <row r="325" spans="1:10" x14ac:dyDescent="0.3">
      <c r="A325" s="106" t="s">
        <v>314</v>
      </c>
      <c r="B325" s="58">
        <f>IF(ISNA(VLOOKUP($J325,FM!$A:$J,3,FALSE)),0,VLOOKUP($J325,FM!$A:$J,3,FALSE))</f>
        <v>5052.92</v>
      </c>
      <c r="C325" s="58">
        <f>IF(ISNA(VLOOKUP($J325,FM!$A:$J,4,FALSE)),0,VLOOKUP($J325,FM!$A:$J,4,FALSE))</f>
        <v>2967.65</v>
      </c>
      <c r="D325" s="58">
        <f>IF(ISNA(VLOOKUP($J325,FM!$A:$J,5,FALSE)),0,VLOOKUP($J325,FM!$A:$J,5,FALSE))</f>
        <v>2160854.9700000002</v>
      </c>
      <c r="E325" s="58">
        <f>IF(ISNA(VLOOKUP($J325,FM!$A:$J,6,FALSE)),0,VLOOKUP($J325,FM!$A:$J,6,FALSE))</f>
        <v>1425732.15</v>
      </c>
      <c r="F325" s="58">
        <f>IF(ISNA(VLOOKUP($J325,FM!$A:$J,7,FALSE)),0,VLOOKUP($J325,FM!$A:$J,7,FALSE))</f>
        <v>735122.82</v>
      </c>
      <c r="G325" s="58">
        <f t="shared" si="111"/>
        <v>1430785.0699999998</v>
      </c>
      <c r="H325" s="58">
        <f t="shared" si="111"/>
        <v>738090.47</v>
      </c>
      <c r="I325" s="58">
        <f t="shared" si="112"/>
        <v>2168875.54</v>
      </c>
      <c r="J325" s="108" t="s">
        <v>833</v>
      </c>
    </row>
    <row r="326" spans="1:10" x14ac:dyDescent="0.3">
      <c r="A326" s="106" t="s">
        <v>315</v>
      </c>
      <c r="B326" s="58">
        <f>IF(ISNA(VLOOKUP($J326,FM!$A:$J,3,FALSE)),0,VLOOKUP($J326,FM!$A:$J,3,FALSE))</f>
        <v>0</v>
      </c>
      <c r="C326" s="58">
        <f>IF(ISNA(VLOOKUP($J326,FM!$A:$J,4,FALSE)),0,VLOOKUP($J326,FM!$A:$J,4,FALSE))</f>
        <v>0</v>
      </c>
      <c r="D326" s="58">
        <f>IF(ISNA(VLOOKUP($J326,FM!$A:$J,5,FALSE)),0,VLOOKUP($J326,FM!$A:$J,5,FALSE))</f>
        <v>0</v>
      </c>
      <c r="E326" s="58">
        <f>IF(ISNA(VLOOKUP($J326,FM!$A:$J,6,FALSE)),0,VLOOKUP($J326,FM!$A:$J,6,FALSE))</f>
        <v>0</v>
      </c>
      <c r="F326" s="58">
        <f>IF(ISNA(VLOOKUP($J326,FM!$A:$J,7,FALSE)),0,VLOOKUP($J326,FM!$A:$J,7,FALSE))</f>
        <v>0</v>
      </c>
      <c r="G326" s="58">
        <f t="shared" si="111"/>
        <v>0</v>
      </c>
      <c r="H326" s="58">
        <f t="shared" si="111"/>
        <v>0</v>
      </c>
      <c r="I326" s="58">
        <f t="shared" si="112"/>
        <v>0</v>
      </c>
      <c r="J326" s="108" t="s">
        <v>883</v>
      </c>
    </row>
    <row r="327" spans="1:10" x14ac:dyDescent="0.3">
      <c r="A327" s="106" t="s">
        <v>316</v>
      </c>
      <c r="B327" s="58">
        <f>IF(ISNA(VLOOKUP($J327,FM!$A:$J,3,FALSE)),0,VLOOKUP($J327,FM!$A:$J,3,FALSE))</f>
        <v>0</v>
      </c>
      <c r="C327" s="58">
        <f>IF(ISNA(VLOOKUP($J327,FM!$A:$J,4,FALSE)),0,VLOOKUP($J327,FM!$A:$J,4,FALSE))</f>
        <v>0</v>
      </c>
      <c r="D327" s="58">
        <f>IF(ISNA(VLOOKUP($J327,FM!$A:$J,5,FALSE)),0,VLOOKUP($J327,FM!$A:$J,5,FALSE))</f>
        <v>0</v>
      </c>
      <c r="E327" s="58">
        <f>IF(ISNA(VLOOKUP($J327,FM!$A:$J,6,FALSE)),0,VLOOKUP($J327,FM!$A:$J,6,FALSE))</f>
        <v>0</v>
      </c>
      <c r="F327" s="58">
        <f>IF(ISNA(VLOOKUP($J327,FM!$A:$J,7,FALSE)),0,VLOOKUP($J327,FM!$A:$J,7,FALSE))</f>
        <v>0</v>
      </c>
      <c r="G327" s="58">
        <f t="shared" si="111"/>
        <v>0</v>
      </c>
      <c r="H327" s="58">
        <f t="shared" si="111"/>
        <v>0</v>
      </c>
      <c r="I327" s="58">
        <f t="shared" si="112"/>
        <v>0</v>
      </c>
      <c r="J327" s="108" t="s">
        <v>884</v>
      </c>
    </row>
    <row r="328" spans="1:10" x14ac:dyDescent="0.3">
      <c r="A328" s="106" t="s">
        <v>317</v>
      </c>
      <c r="B328" s="58">
        <f>IF(ISNA(VLOOKUP($J328,FM!$A:$J,3,FALSE)),0,VLOOKUP($J328,FM!$A:$J,3,FALSE))</f>
        <v>0</v>
      </c>
      <c r="C328" s="58">
        <f>IF(ISNA(VLOOKUP($J328,FM!$A:$J,4,FALSE)),0,VLOOKUP($J328,FM!$A:$J,4,FALSE))</f>
        <v>0</v>
      </c>
      <c r="D328" s="58">
        <f>IF(ISNA(VLOOKUP($J328,FM!$A:$J,5,FALSE)),0,VLOOKUP($J328,FM!$A:$J,5,FALSE))</f>
        <v>0</v>
      </c>
      <c r="E328" s="58">
        <f>IF(ISNA(VLOOKUP($J328,FM!$A:$J,6,FALSE)),0,VLOOKUP($J328,FM!$A:$J,6,FALSE))</f>
        <v>0</v>
      </c>
      <c r="F328" s="58">
        <f>IF(ISNA(VLOOKUP($J328,FM!$A:$J,7,FALSE)),0,VLOOKUP($J328,FM!$A:$J,7,FALSE))</f>
        <v>0</v>
      </c>
      <c r="G328" s="58">
        <f t="shared" si="111"/>
        <v>0</v>
      </c>
      <c r="H328" s="58">
        <f t="shared" si="111"/>
        <v>0</v>
      </c>
      <c r="I328" s="58">
        <f t="shared" si="112"/>
        <v>0</v>
      </c>
      <c r="J328" s="108" t="s">
        <v>885</v>
      </c>
    </row>
    <row r="329" spans="1:10" x14ac:dyDescent="0.3">
      <c r="A329" s="106" t="s">
        <v>318</v>
      </c>
      <c r="B329" s="58">
        <f>IF(ISNA(VLOOKUP($J329,FM!$A:$J,3,FALSE)),0,VLOOKUP($J329,FM!$A:$J,3,FALSE))</f>
        <v>6578060.3700000001</v>
      </c>
      <c r="C329" s="58">
        <f>IF(ISNA(VLOOKUP($J329,FM!$A:$J,4,FALSE)),0,VLOOKUP($J329,FM!$A:$J,4,FALSE))</f>
        <v>290266.21000000002</v>
      </c>
      <c r="D329" s="58">
        <f>IF(ISNA(VLOOKUP($J329,FM!$A:$J,5,FALSE)),0,VLOOKUP($J329,FM!$A:$J,5,FALSE))</f>
        <v>2399844.92</v>
      </c>
      <c r="E329" s="58">
        <f>IF(ISNA(VLOOKUP($J329,FM!$A:$J,6,FALSE)),0,VLOOKUP($J329,FM!$A:$J,6,FALSE))</f>
        <v>1583417.71</v>
      </c>
      <c r="F329" s="58">
        <f>IF(ISNA(VLOOKUP($J329,FM!$A:$J,7,FALSE)),0,VLOOKUP($J329,FM!$A:$J,7,FALSE))</f>
        <v>816427.21</v>
      </c>
      <c r="G329" s="58">
        <f t="shared" si="111"/>
        <v>8161478.0800000001</v>
      </c>
      <c r="H329" s="58">
        <f t="shared" si="111"/>
        <v>1106693.42</v>
      </c>
      <c r="I329" s="58">
        <f t="shared" si="112"/>
        <v>9268171.5</v>
      </c>
      <c r="J329" s="108" t="s">
        <v>835</v>
      </c>
    </row>
    <row r="330" spans="1:10" x14ac:dyDescent="0.3">
      <c r="A330" s="106" t="s">
        <v>319</v>
      </c>
      <c r="B330" s="159">
        <f>IF(ISNA(VLOOKUP($J330,FM!$A:$J,3,FALSE)),0,VLOOKUP($J330,FM!$A:$J,3,FALSE))</f>
        <v>-15096642.890000001</v>
      </c>
      <c r="C330" s="159">
        <f>IF(ISNA(VLOOKUP($J330,FM!$A:$J,4,FALSE)),0,VLOOKUP($J330,FM!$A:$J,4,FALSE))</f>
        <v>-2658862.44</v>
      </c>
      <c r="D330" s="159">
        <f>IF(ISNA(VLOOKUP($J330,FM!$A:$J,5,FALSE)),0,VLOOKUP($J330,FM!$A:$J,5,FALSE))</f>
        <v>-688115.02</v>
      </c>
      <c r="E330" s="159">
        <f>IF(ISNA(VLOOKUP($J330,FM!$A:$J,6,FALSE)),0,VLOOKUP($J330,FM!$A:$J,6,FALSE))</f>
        <v>-454018.29</v>
      </c>
      <c r="F330" s="159">
        <f>IF(ISNA(VLOOKUP($J330,FM!$A:$J,7,FALSE)),0,VLOOKUP($J330,FM!$A:$J,7,FALSE))</f>
        <v>-234096.73</v>
      </c>
      <c r="G330" s="159">
        <f t="shared" si="111"/>
        <v>-15550661.18</v>
      </c>
      <c r="H330" s="159">
        <f t="shared" si="111"/>
        <v>-2892959.17</v>
      </c>
      <c r="I330" s="159">
        <f t="shared" si="112"/>
        <v>-18443620.350000001</v>
      </c>
      <c r="J330" s="108" t="s">
        <v>837</v>
      </c>
    </row>
    <row r="331" spans="1:10" x14ac:dyDescent="0.3">
      <c r="A331" s="106" t="s">
        <v>320</v>
      </c>
      <c r="B331" s="58">
        <f>SUM(B322:B330)</f>
        <v>-8513529.6000000015</v>
      </c>
      <c r="C331" s="58">
        <f t="shared" ref="C331:I331" si="113">SUM(C322:C330)</f>
        <v>-2365628.58</v>
      </c>
      <c r="D331" s="58">
        <f t="shared" si="113"/>
        <v>246727874.34999996</v>
      </c>
      <c r="E331" s="58">
        <f t="shared" si="113"/>
        <v>162794019.22</v>
      </c>
      <c r="F331" s="58">
        <f t="shared" si="113"/>
        <v>83933855.12999998</v>
      </c>
      <c r="G331" s="58">
        <f t="shared" si="113"/>
        <v>154280489.61999997</v>
      </c>
      <c r="H331" s="58">
        <f t="shared" si="113"/>
        <v>81568226.549999997</v>
      </c>
      <c r="I331" s="58">
        <f t="shared" si="113"/>
        <v>235848716.16999999</v>
      </c>
      <c r="J331" s="171" t="s">
        <v>827</v>
      </c>
    </row>
    <row r="332" spans="1:10" x14ac:dyDescent="0.3">
      <c r="A332" s="57" t="s">
        <v>321</v>
      </c>
      <c r="B332" s="58"/>
      <c r="C332" s="58"/>
      <c r="D332" s="58"/>
      <c r="E332" s="58"/>
      <c r="F332" s="58"/>
      <c r="G332" s="58"/>
      <c r="H332" s="58"/>
      <c r="I332" s="58"/>
    </row>
    <row r="333" spans="1:10" x14ac:dyDescent="0.3">
      <c r="A333" s="106" t="s">
        <v>322</v>
      </c>
      <c r="B333" s="58">
        <f>IF(ISNA(VLOOKUP($J333,FM!$A:$J,3,FALSE)),0,VLOOKUP($J333,FM!$A:$J,3,FALSE))</f>
        <v>0</v>
      </c>
      <c r="C333" s="58">
        <f>IF(ISNA(VLOOKUP($J333,FM!$A:$J,4,FALSE)),0,VLOOKUP($J333,FM!$A:$J,4,FALSE))</f>
        <v>0</v>
      </c>
      <c r="D333" s="58">
        <f>IF(ISNA(VLOOKUP($J333,FM!$A:$J,5,FALSE)),0,VLOOKUP($J333,FM!$A:$J,5,FALSE))</f>
        <v>0</v>
      </c>
      <c r="E333" s="58">
        <f>IF(ISNA(VLOOKUP($J333,FM!$A:$J,6,FALSE)),0,VLOOKUP($J333,FM!$A:$J,6,FALSE))</f>
        <v>0</v>
      </c>
      <c r="F333" s="58">
        <f>IF(ISNA(VLOOKUP($J333,FM!$A:$J,7,FALSE)),0,VLOOKUP($J333,FM!$A:$J,7,FALSE))</f>
        <v>0</v>
      </c>
      <c r="G333" s="58">
        <f t="shared" ref="G333:H334" si="114">B333+E333</f>
        <v>0</v>
      </c>
      <c r="H333" s="58">
        <f t="shared" si="114"/>
        <v>0</v>
      </c>
      <c r="I333" s="58">
        <f t="shared" ref="I333:I334" si="115">SUM(G333:H333)</f>
        <v>0</v>
      </c>
      <c r="J333" s="103"/>
    </row>
    <row r="334" spans="1:10" x14ac:dyDescent="0.3">
      <c r="A334" s="106" t="s">
        <v>323</v>
      </c>
      <c r="B334" s="159">
        <f>IF(ISNA(VLOOKUP($J334,FM!$A:$J,3,FALSE)),0,VLOOKUP($J334,FM!$A:$J,3,FALSE))</f>
        <v>0</v>
      </c>
      <c r="C334" s="159">
        <f>IF(ISNA(VLOOKUP($J334,FM!$A:$J,4,FALSE)),0,VLOOKUP($J334,FM!$A:$J,4,FALSE))</f>
        <v>0</v>
      </c>
      <c r="D334" s="159">
        <f>IF(ISNA(VLOOKUP($J334,FM!$A:$J,5,FALSE)),0,VLOOKUP($J334,FM!$A:$J,5,FALSE))</f>
        <v>0</v>
      </c>
      <c r="E334" s="159">
        <f>IF(ISNA(VLOOKUP($J334,FM!$A:$J,6,FALSE)),0,VLOOKUP($J334,FM!$A:$J,6,FALSE))</f>
        <v>0</v>
      </c>
      <c r="F334" s="159">
        <f>IF(ISNA(VLOOKUP($J334,FM!$A:$J,7,FALSE)),0,VLOOKUP($J334,FM!$A:$J,7,FALSE))</f>
        <v>0</v>
      </c>
      <c r="G334" s="159">
        <f t="shared" si="114"/>
        <v>0</v>
      </c>
      <c r="H334" s="159">
        <f t="shared" si="114"/>
        <v>0</v>
      </c>
      <c r="I334" s="159">
        <f t="shared" si="115"/>
        <v>0</v>
      </c>
      <c r="J334" s="108" t="s">
        <v>886</v>
      </c>
    </row>
    <row r="335" spans="1:10" x14ac:dyDescent="0.3">
      <c r="A335" s="106" t="s">
        <v>324</v>
      </c>
      <c r="B335" s="58">
        <f>SUM(B333:B334)</f>
        <v>0</v>
      </c>
      <c r="C335" s="58">
        <f t="shared" ref="C335:I335" si="116">SUM(C333:C334)</f>
        <v>0</v>
      </c>
      <c r="D335" s="58">
        <f t="shared" si="116"/>
        <v>0</v>
      </c>
      <c r="E335" s="58">
        <f t="shared" si="116"/>
        <v>0</v>
      </c>
      <c r="F335" s="58">
        <f t="shared" si="116"/>
        <v>0</v>
      </c>
      <c r="G335" s="58">
        <f t="shared" si="116"/>
        <v>0</v>
      </c>
      <c r="H335" s="58">
        <f t="shared" si="116"/>
        <v>0</v>
      </c>
      <c r="I335" s="58">
        <f t="shared" si="116"/>
        <v>0</v>
      </c>
      <c r="J335" s="109"/>
    </row>
    <row r="336" spans="1:10" x14ac:dyDescent="0.3">
      <c r="A336" s="154"/>
      <c r="B336" s="58">
        <v>0</v>
      </c>
      <c r="C336" s="58">
        <v>0</v>
      </c>
      <c r="D336" s="58">
        <v>0</v>
      </c>
      <c r="E336" s="58">
        <v>0</v>
      </c>
      <c r="F336" s="58">
        <v>0</v>
      </c>
      <c r="G336" s="58">
        <v>0</v>
      </c>
      <c r="H336" s="58">
        <v>0</v>
      </c>
      <c r="I336" s="58">
        <v>0</v>
      </c>
      <c r="J336" s="106"/>
    </row>
    <row r="337" spans="1:10" x14ac:dyDescent="0.3">
      <c r="A337" s="105" t="s">
        <v>1</v>
      </c>
      <c r="B337" s="58">
        <f>B320+B331+B335+B294</f>
        <v>-287419528.31999999</v>
      </c>
      <c r="C337" s="58">
        <f t="shared" ref="C337:I337" si="117">C320+C331+C335+C294</f>
        <v>3138991.6199999992</v>
      </c>
      <c r="D337" s="58">
        <f t="shared" si="117"/>
        <v>256193525.65999997</v>
      </c>
      <c r="E337" s="58">
        <f t="shared" si="117"/>
        <v>169039455.92000002</v>
      </c>
      <c r="F337" s="58">
        <f t="shared" si="117"/>
        <v>87154069.73999998</v>
      </c>
      <c r="G337" s="58">
        <f t="shared" si="117"/>
        <v>-118380072.40000001</v>
      </c>
      <c r="H337" s="58">
        <f t="shared" si="117"/>
        <v>90293061.359999999</v>
      </c>
      <c r="I337" s="58">
        <f t="shared" si="117"/>
        <v>-28087011.039999992</v>
      </c>
      <c r="J337" s="172" t="s">
        <v>791</v>
      </c>
    </row>
    <row r="338" spans="1:10" x14ac:dyDescent="0.3">
      <c r="A338" s="154"/>
      <c r="B338" s="159"/>
      <c r="C338" s="159"/>
      <c r="D338" s="159"/>
      <c r="E338" s="159"/>
      <c r="F338" s="159"/>
      <c r="G338" s="159"/>
      <c r="H338" s="159"/>
      <c r="I338" s="159"/>
      <c r="J338" s="106"/>
    </row>
    <row r="339" spans="1:10" ht="15" thickBot="1" x14ac:dyDescent="0.35">
      <c r="A339" s="105" t="s">
        <v>0</v>
      </c>
      <c r="B339" s="173">
        <f>B288-B337</f>
        <v>769581458.75</v>
      </c>
      <c r="C339" s="173">
        <f t="shared" ref="C339:I339" si="118">C288-C337</f>
        <v>271375134.75999993</v>
      </c>
      <c r="D339" s="173">
        <f t="shared" si="118"/>
        <v>-550006206.49000001</v>
      </c>
      <c r="E339" s="173">
        <f t="shared" si="118"/>
        <v>-360011993.23000002</v>
      </c>
      <c r="F339" s="173">
        <f t="shared" si="118"/>
        <v>-189994213.25999999</v>
      </c>
      <c r="G339" s="173">
        <f t="shared" si="118"/>
        <v>409569465.51999998</v>
      </c>
      <c r="H339" s="173">
        <f t="shared" si="118"/>
        <v>81380921.499999896</v>
      </c>
      <c r="I339" s="173">
        <f t="shared" si="118"/>
        <v>490950387.0199995</v>
      </c>
      <c r="J339" s="174" t="s">
        <v>406</v>
      </c>
    </row>
    <row r="340" spans="1:10" ht="15" thickTop="1" x14ac:dyDescent="0.3">
      <c r="I340" s="268"/>
      <c r="J340" s="106"/>
    </row>
    <row r="341" spans="1:10" x14ac:dyDescent="0.3">
      <c r="A341" s="161">
        <v>0</v>
      </c>
      <c r="B341" s="161">
        <v>0</v>
      </c>
      <c r="C341" s="161">
        <v>0</v>
      </c>
      <c r="D341" s="161">
        <v>0</v>
      </c>
      <c r="E341" s="161">
        <v>0</v>
      </c>
      <c r="F341" s="161">
        <v>0</v>
      </c>
      <c r="G341" s="161">
        <v>0</v>
      </c>
      <c r="H341" s="161">
        <v>0</v>
      </c>
      <c r="I341" s="287"/>
      <c r="J341" s="106"/>
    </row>
    <row r="342" spans="1:10" x14ac:dyDescent="0.3">
      <c r="B342" s="161"/>
      <c r="C342" s="161"/>
      <c r="D342" s="161"/>
      <c r="E342" s="161"/>
      <c r="F342" s="161"/>
      <c r="G342" s="161"/>
      <c r="H342" s="161"/>
      <c r="I342" s="16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39" activePane="bottomRight" state="frozen"/>
      <selection activeCell="H29" sqref="H29"/>
      <selection pane="topRight" activeCell="H29" sqref="H29"/>
      <selection pane="bottomLeft" activeCell="H29" sqref="H29"/>
      <selection pane="bottomRight" activeCell="H29" sqref="H29"/>
    </sheetView>
  </sheetViews>
  <sheetFormatPr defaultColWidth="9.109375" defaultRowHeight="14.4" x14ac:dyDescent="0.3"/>
  <cols>
    <col min="1" max="1" width="40" style="3" bestFit="1" customWidth="1"/>
    <col min="2" max="2" width="17.5546875" style="36" customWidth="1"/>
    <col min="3" max="4" width="15.44140625" style="36" customWidth="1"/>
    <col min="5" max="5" width="14.44140625" style="36" customWidth="1"/>
    <col min="6" max="6" width="15" style="36" bestFit="1" customWidth="1"/>
    <col min="7" max="7" width="9.109375" style="36"/>
    <col min="8" max="8" width="32.44140625" style="36" customWidth="1"/>
    <col min="9" max="10" width="9.109375" style="36"/>
    <col min="11" max="16384" width="9.109375" style="3"/>
  </cols>
  <sheetData>
    <row r="1" spans="1:7" s="3" customFormat="1" ht="18" customHeight="1" x14ac:dyDescent="0.3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3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3">
      <c r="A3" s="34" t="str">
        <f>'Allocated (CBR)'!A3</f>
        <v>FOR THE YEAR ENDED DECEMBER 31, 2022</v>
      </c>
      <c r="B3" s="54"/>
      <c r="C3" s="54"/>
      <c r="D3" s="54"/>
      <c r="E3" s="54"/>
      <c r="F3" s="54"/>
      <c r="G3" s="36"/>
    </row>
    <row r="4" spans="1:7" s="3" customFormat="1" ht="12" customHeight="1" x14ac:dyDescent="0.3">
      <c r="B4" s="36"/>
      <c r="C4" s="36"/>
      <c r="D4" s="36"/>
      <c r="E4" s="36"/>
      <c r="F4" s="36"/>
      <c r="G4" s="36"/>
    </row>
    <row r="5" spans="1:7" s="3" customFormat="1" ht="18" customHeight="1" x14ac:dyDescent="0.3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3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3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3">
      <c r="A8" s="13" t="s">
        <v>31</v>
      </c>
      <c r="B8" s="15">
        <f>'Unallocated Detail (CBR)'!B18</f>
        <v>2508927601.7400002</v>
      </c>
      <c r="C8" s="15">
        <f>'Unallocated Detail (CBR)'!C18</f>
        <v>1205997643.1699998</v>
      </c>
      <c r="D8" s="15">
        <f>'Unallocated Detail (CBR)'!D18</f>
        <v>0</v>
      </c>
      <c r="E8" s="15">
        <v>0</v>
      </c>
      <c r="F8" s="14">
        <f>SUM(B8:E8)</f>
        <v>3714925244.9099998</v>
      </c>
      <c r="G8" s="37"/>
    </row>
    <row r="9" spans="1:7" s="3" customFormat="1" ht="18" customHeight="1" x14ac:dyDescent="0.3">
      <c r="A9" s="13" t="s">
        <v>30</v>
      </c>
      <c r="B9" s="45">
        <f>'Unallocated Detail (CBR)'!B21</f>
        <v>343676.59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343676.59</v>
      </c>
      <c r="G9" s="37"/>
    </row>
    <row r="10" spans="1:7" s="3" customFormat="1" ht="18" customHeight="1" x14ac:dyDescent="0.3">
      <c r="A10" s="13" t="s">
        <v>29</v>
      </c>
      <c r="B10" s="45">
        <f>'Unallocated Detail (CBR)'!B25</f>
        <v>546617002.22000003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546617002.22000003</v>
      </c>
      <c r="G10" s="37"/>
    </row>
    <row r="11" spans="1:7" s="3" customFormat="1" ht="18" customHeight="1" x14ac:dyDescent="0.3">
      <c r="A11" s="13" t="s">
        <v>28</v>
      </c>
      <c r="B11" s="25">
        <f>'Unallocated Detail (CBR)'!B40</f>
        <v>122597205.63999999</v>
      </c>
      <c r="C11" s="24">
        <f>'Unallocated Detail (CBR)'!C40</f>
        <v>3638584.55</v>
      </c>
      <c r="D11" s="24">
        <f>'Unallocated Detail (CBR)'!D40</f>
        <v>0</v>
      </c>
      <c r="E11" s="24">
        <v>0</v>
      </c>
      <c r="F11" s="23">
        <f>SUM(B11:E11)</f>
        <v>126235790.18999998</v>
      </c>
      <c r="G11" s="37"/>
    </row>
    <row r="12" spans="1:7" s="3" customFormat="1" ht="18" customHeight="1" x14ac:dyDescent="0.3">
      <c r="A12" s="13" t="s">
        <v>27</v>
      </c>
      <c r="B12" s="15">
        <f>SUM(B8:B11)</f>
        <v>3178485486.1900001</v>
      </c>
      <c r="C12" s="15">
        <f>SUM(C8:C11)</f>
        <v>1209636227.7199998</v>
      </c>
      <c r="D12" s="15">
        <f>SUM(D8:D11)</f>
        <v>0</v>
      </c>
      <c r="E12" s="15">
        <f>SUM(E8:E11)</f>
        <v>0</v>
      </c>
      <c r="F12" s="14">
        <f>SUM(F8:F11)</f>
        <v>4388121713.9099998</v>
      </c>
      <c r="G12" s="37"/>
    </row>
    <row r="13" spans="1:7" s="3" customFormat="1" ht="18" customHeight="1" x14ac:dyDescent="0.3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3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3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3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3">
      <c r="A17" s="13" t="s">
        <v>26</v>
      </c>
      <c r="B17" s="15">
        <f>'Unallocated Detail (CBR)'!B47</f>
        <v>348159303.03999996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348159303.03999996</v>
      </c>
      <c r="G17" s="37"/>
    </row>
    <row r="18" spans="1:7" s="3" customFormat="1" ht="18" customHeight="1" x14ac:dyDescent="0.3">
      <c r="A18" s="13" t="s">
        <v>25</v>
      </c>
      <c r="B18" s="45">
        <f>'Unallocated Detail (CBR)'!B56</f>
        <v>1108872530.4100001</v>
      </c>
      <c r="C18" s="45">
        <f>'Unallocated Detail (CBR)'!C56</f>
        <v>500848710.36999995</v>
      </c>
      <c r="D18" s="45">
        <f>'Unallocated Detail (CBR)'!D56</f>
        <v>0</v>
      </c>
      <c r="E18" s="45">
        <v>0</v>
      </c>
      <c r="F18" s="21">
        <f>SUM(B18:E18)</f>
        <v>1609721240.78</v>
      </c>
      <c r="G18" s="37"/>
    </row>
    <row r="19" spans="1:7" s="3" customFormat="1" ht="18" customHeight="1" x14ac:dyDescent="0.3">
      <c r="A19" s="13" t="s">
        <v>24</v>
      </c>
      <c r="B19" s="45">
        <f>'Unallocated Detail (CBR)'!B59</f>
        <v>144916421.78999999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144916421.78999999</v>
      </c>
      <c r="G19" s="37"/>
    </row>
    <row r="20" spans="1:7" s="3" customFormat="1" ht="18" customHeight="1" x14ac:dyDescent="0.3">
      <c r="A20" s="13" t="s">
        <v>23</v>
      </c>
      <c r="B20" s="25">
        <f>'Unallocated Detail (CBR)'!B62</f>
        <v>-77714735.219999999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-77714735.219999999</v>
      </c>
      <c r="G20" s="37"/>
    </row>
    <row r="21" spans="1:7" s="3" customFormat="1" ht="18" customHeight="1" x14ac:dyDescent="0.3">
      <c r="A21" s="13" t="s">
        <v>22</v>
      </c>
      <c r="B21" s="15">
        <f>SUM(B17:B20)</f>
        <v>1524233520.02</v>
      </c>
      <c r="C21" s="15">
        <f>SUM(C17:C20)</f>
        <v>500848710.36999995</v>
      </c>
      <c r="D21" s="15">
        <f>SUM(D17:D20)</f>
        <v>0</v>
      </c>
      <c r="E21" s="15">
        <f>SUM(E17:E20)</f>
        <v>0</v>
      </c>
      <c r="F21" s="14">
        <f>SUM(F17:F20)</f>
        <v>2025082230.3899999</v>
      </c>
      <c r="G21" s="37"/>
    </row>
    <row r="22" spans="1:7" s="3" customFormat="1" ht="18" customHeight="1" x14ac:dyDescent="0.3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3">
      <c r="A23" s="13" t="s">
        <v>21</v>
      </c>
      <c r="B23" s="15">
        <f>'Unallocated Detail (CBR)'!B146</f>
        <v>116594846.31999998</v>
      </c>
      <c r="C23" s="15">
        <f>'Unallocated Detail (CBR)'!C146</f>
        <v>7410984.3900000015</v>
      </c>
      <c r="D23" s="15">
        <f>'Unallocated Detail (CBR)'!D146</f>
        <v>0</v>
      </c>
      <c r="E23" s="15">
        <v>0</v>
      </c>
      <c r="F23" s="14">
        <f t="shared" ref="F23:F36" si="0">SUM(B23:E23)</f>
        <v>124005830.70999998</v>
      </c>
      <c r="G23" s="37"/>
    </row>
    <row r="24" spans="1:7" s="3" customFormat="1" ht="18" customHeight="1" x14ac:dyDescent="0.3">
      <c r="A24" s="13" t="s">
        <v>20</v>
      </c>
      <c r="B24" s="46">
        <f>'Unallocated Detail (CBR)'!B176</f>
        <v>26129106.810000002</v>
      </c>
      <c r="C24" s="45">
        <f>'Unallocated Detail (CBR)'!C176</f>
        <v>0</v>
      </c>
      <c r="D24" s="45">
        <f>'Unallocated Detail (CBR)'!D176</f>
        <v>0</v>
      </c>
      <c r="E24" s="45">
        <v>0</v>
      </c>
      <c r="F24" s="21">
        <f t="shared" si="0"/>
        <v>26129106.810000002</v>
      </c>
      <c r="G24" s="37"/>
    </row>
    <row r="25" spans="1:7" s="3" customFormat="1" ht="18" customHeight="1" x14ac:dyDescent="0.3">
      <c r="A25" s="13" t="s">
        <v>19</v>
      </c>
      <c r="B25" s="46">
        <f>'Unallocated Detail (CBR)'!B214</f>
        <v>100263617.59999999</v>
      </c>
      <c r="C25" s="27">
        <f>'Unallocated Detail (CBR)'!C214</f>
        <v>62267781.539999992</v>
      </c>
      <c r="D25" s="27">
        <f>'Unallocated Detail (CBR)'!D214</f>
        <v>0</v>
      </c>
      <c r="E25" s="45">
        <v>0</v>
      </c>
      <c r="F25" s="21">
        <f t="shared" si="0"/>
        <v>162531399.13999999</v>
      </c>
      <c r="G25" s="37"/>
    </row>
    <row r="26" spans="1:7" s="3" customFormat="1" ht="18" customHeight="1" x14ac:dyDescent="0.3">
      <c r="A26" s="20" t="s">
        <v>18</v>
      </c>
      <c r="B26" s="46">
        <f>'Unallocated Detail (CBR)'!B221</f>
        <v>38598009.479999997</v>
      </c>
      <c r="C26" s="27">
        <f>'Unallocated Detail (CBR)'!C221</f>
        <v>13777379.98</v>
      </c>
      <c r="D26" s="27">
        <f>'Unallocated Detail (CBR)'!D221</f>
        <v>28081535</v>
      </c>
      <c r="E26" s="45">
        <v>0</v>
      </c>
      <c r="F26" s="21">
        <f t="shared" si="0"/>
        <v>80456924.459999993</v>
      </c>
      <c r="G26" s="37"/>
    </row>
    <row r="27" spans="1:7" s="3" customFormat="1" ht="18" customHeight="1" x14ac:dyDescent="0.3">
      <c r="A27" s="13" t="s">
        <v>17</v>
      </c>
      <c r="B27" s="46">
        <f>'Unallocated Detail (CBR)'!B230</f>
        <v>37253328.120000005</v>
      </c>
      <c r="C27" s="27">
        <f>'Unallocated Detail (CBR)'!C230</f>
        <v>3296399.1700000004</v>
      </c>
      <c r="D27" s="27">
        <f>'Unallocated Detail (CBR)'!D230</f>
        <v>4189299.28</v>
      </c>
      <c r="E27" s="45">
        <v>0</v>
      </c>
      <c r="F27" s="21">
        <f t="shared" si="0"/>
        <v>44739026.570000008</v>
      </c>
      <c r="G27" s="37"/>
    </row>
    <row r="28" spans="1:7" s="3" customFormat="1" ht="18" customHeight="1" x14ac:dyDescent="0.3">
      <c r="A28" s="13" t="s">
        <v>16</v>
      </c>
      <c r="B28" s="46">
        <f>'Unallocated Detail (CBR)'!B233</f>
        <v>96120984.269999996</v>
      </c>
      <c r="C28" s="27">
        <f>'Unallocated Detail (CBR)'!C233</f>
        <v>20820731.120000001</v>
      </c>
      <c r="D28" s="27">
        <f>'Unallocated Detail (CBR)'!D233</f>
        <v>0</v>
      </c>
      <c r="E28" s="45">
        <v>0</v>
      </c>
      <c r="F28" s="21">
        <f t="shared" si="0"/>
        <v>116941715.39</v>
      </c>
      <c r="G28" s="37"/>
    </row>
    <row r="29" spans="1:7" s="3" customFormat="1" ht="18" customHeight="1" x14ac:dyDescent="0.3">
      <c r="A29" s="20" t="s">
        <v>15</v>
      </c>
      <c r="B29" s="46">
        <f>'Unallocated Detail (CBR)'!B248</f>
        <v>59956614.170000002</v>
      </c>
      <c r="C29" s="27">
        <f>'Unallocated Detail (CBR)'!C248</f>
        <v>17255322.689999998</v>
      </c>
      <c r="D29" s="27">
        <f>'Unallocated Detail (CBR)'!D248</f>
        <v>153439453.02000001</v>
      </c>
      <c r="E29" s="45">
        <v>0</v>
      </c>
      <c r="F29" s="21">
        <f t="shared" si="0"/>
        <v>230651389.88</v>
      </c>
      <c r="G29" s="37"/>
    </row>
    <row r="30" spans="1:7" s="3" customFormat="1" ht="18" customHeight="1" x14ac:dyDescent="0.3">
      <c r="A30" s="13" t="s">
        <v>14</v>
      </c>
      <c r="B30" s="46">
        <f>'Unallocated Detail (CBR)'!B255</f>
        <v>363386115.19999999</v>
      </c>
      <c r="C30" s="27">
        <f>'Unallocated Detail (CBR)'!C255</f>
        <v>140512774.31999999</v>
      </c>
      <c r="D30" s="27">
        <f>'Unallocated Detail (CBR)'!D255</f>
        <v>30289362.100000001</v>
      </c>
      <c r="E30" s="45">
        <v>0</v>
      </c>
      <c r="F30" s="21">
        <f t="shared" si="0"/>
        <v>534188251.62</v>
      </c>
      <c r="G30" s="37"/>
    </row>
    <row r="31" spans="1:7" s="3" customFormat="1" ht="18" customHeight="1" x14ac:dyDescent="0.3">
      <c r="A31" s="13" t="s">
        <v>13</v>
      </c>
      <c r="B31" s="46">
        <f>'Unallocated Detail (CBR)'!B260</f>
        <v>32373587.920000002</v>
      </c>
      <c r="C31" s="27">
        <f>'Unallocated Detail (CBR)'!C260</f>
        <v>5065314.3499999996</v>
      </c>
      <c r="D31" s="27">
        <f>'Unallocated Detail (CBR)'!D260</f>
        <v>79919276.980000004</v>
      </c>
      <c r="E31" s="45">
        <v>0</v>
      </c>
      <c r="F31" s="21">
        <f t="shared" si="0"/>
        <v>117358179.25</v>
      </c>
      <c r="G31" s="37"/>
    </row>
    <row r="32" spans="1:7" s="3" customFormat="1" ht="18" customHeight="1" x14ac:dyDescent="0.3">
      <c r="A32" s="13" t="s">
        <v>12</v>
      </c>
      <c r="B32" s="46">
        <f>'Unallocated Detail (CBR)'!B263</f>
        <v>21846432</v>
      </c>
      <c r="C32" s="45">
        <f>'Unallocated Detail (CBR)'!C263</f>
        <v>0</v>
      </c>
      <c r="D32" s="45">
        <f>'Unallocated Detail (CBR)'!D263</f>
        <v>0</v>
      </c>
      <c r="E32" s="45">
        <v>0</v>
      </c>
      <c r="F32" s="21">
        <f t="shared" si="0"/>
        <v>21846432</v>
      </c>
      <c r="G32" s="37"/>
    </row>
    <row r="33" spans="1:10" ht="18" customHeight="1" x14ac:dyDescent="0.3">
      <c r="A33" s="20" t="s">
        <v>11</v>
      </c>
      <c r="B33" s="46">
        <f>'Unallocated Detail (CBR)'!B271</f>
        <v>-17790324.759999998</v>
      </c>
      <c r="C33" s="27">
        <f>'Unallocated Detail (CBR)'!C271</f>
        <v>2396227.879999999</v>
      </c>
      <c r="D33" s="27">
        <f>'Unallocated Detail (CBR)'!D271</f>
        <v>-10408352</v>
      </c>
      <c r="E33" s="45">
        <v>0</v>
      </c>
      <c r="F33" s="21">
        <f t="shared" si="0"/>
        <v>-25802448.879999999</v>
      </c>
      <c r="G33" s="37"/>
      <c r="I33" s="3"/>
      <c r="J33" s="3"/>
    </row>
    <row r="34" spans="1:10" ht="18" customHeight="1" x14ac:dyDescent="0.3">
      <c r="A34" s="13" t="s">
        <v>10</v>
      </c>
      <c r="B34" s="46">
        <f>'Unallocated Detail (CBR)'!B276</f>
        <v>253980113.83000001</v>
      </c>
      <c r="C34" s="27">
        <f>'Unallocated Detail (CBR)'!C276</f>
        <v>124058601.47</v>
      </c>
      <c r="D34" s="27">
        <f>'Unallocated Detail (CBR)'!D276</f>
        <v>8302106.4500000002</v>
      </c>
      <c r="E34" s="45">
        <v>0</v>
      </c>
      <c r="F34" s="21">
        <f t="shared" si="0"/>
        <v>386340821.75</v>
      </c>
      <c r="G34" s="37"/>
      <c r="I34" s="3"/>
      <c r="J34" s="3"/>
    </row>
    <row r="35" spans="1:10" ht="18" customHeight="1" x14ac:dyDescent="0.3">
      <c r="A35" s="13" t="s">
        <v>9</v>
      </c>
      <c r="B35" s="46">
        <f>'Unallocated Detail (CBR)'!B281</f>
        <v>42353803.619999997</v>
      </c>
      <c r="C35" s="45">
        <f>'Unallocated Detail (CBR)'!C281</f>
        <v>40108164.859999999</v>
      </c>
      <c r="D35" s="45">
        <f>'Unallocated Detail (CBR)'!D281</f>
        <v>0</v>
      </c>
      <c r="E35" s="45">
        <v>0</v>
      </c>
      <c r="F35" s="21">
        <f t="shared" si="0"/>
        <v>82461968.479999989</v>
      </c>
      <c r="G35" s="37"/>
      <c r="I35" s="3"/>
      <c r="J35" s="3"/>
    </row>
    <row r="36" spans="1:10" ht="18" customHeight="1" x14ac:dyDescent="0.3">
      <c r="A36" s="13" t="s">
        <v>8</v>
      </c>
      <c r="B36" s="25">
        <f>'Unallocated Detail (CBR)'!B286</f>
        <v>1023801.1600000262</v>
      </c>
      <c r="C36" s="48">
        <f>'Unallocated Detail (CBR)'!C286</f>
        <v>-2696290.8000000119</v>
      </c>
      <c r="D36" s="48">
        <f>'Unallocated Detail (CBR)'!D286</f>
        <v>0</v>
      </c>
      <c r="E36" s="24">
        <v>0</v>
      </c>
      <c r="F36" s="23">
        <f t="shared" si="0"/>
        <v>-1672489.6399999857</v>
      </c>
      <c r="G36" s="37"/>
      <c r="I36" s="3"/>
      <c r="J36" s="3"/>
    </row>
    <row r="37" spans="1:10" ht="18" customHeight="1" x14ac:dyDescent="0.3">
      <c r="A37" s="16" t="s">
        <v>7</v>
      </c>
      <c r="B37" s="15">
        <f>SUM(B21:B36)</f>
        <v>2696323555.7599993</v>
      </c>
      <c r="C37" s="15">
        <f>SUM(C21:C36)</f>
        <v>935122101.33999991</v>
      </c>
      <c r="D37" s="15">
        <f>SUM(D21:D36)</f>
        <v>293812680.82999998</v>
      </c>
      <c r="E37" s="15">
        <f>SUM(E21:E36)</f>
        <v>0</v>
      </c>
      <c r="F37" s="14">
        <f>SUM(F21:F36)</f>
        <v>3925258337.9299998</v>
      </c>
      <c r="G37" s="37"/>
      <c r="I37" s="3"/>
      <c r="J37" s="3"/>
    </row>
    <row r="38" spans="1:10" ht="12" customHeight="1" x14ac:dyDescent="0.3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3">
      <c r="A39" s="10" t="s">
        <v>6</v>
      </c>
      <c r="B39" s="15">
        <f>B12-B37</f>
        <v>482161930.43000078</v>
      </c>
      <c r="C39" s="15">
        <f>C12-C37</f>
        <v>274514126.37999988</v>
      </c>
      <c r="D39" s="15">
        <f>D12-D37</f>
        <v>-293812680.82999998</v>
      </c>
      <c r="E39" s="15">
        <f>E12-E37</f>
        <v>0</v>
      </c>
      <c r="F39" s="135">
        <f>F12-F37</f>
        <v>462863375.98000002</v>
      </c>
      <c r="G39" s="37"/>
      <c r="H39" s="47"/>
      <c r="I39" s="3"/>
      <c r="J39" s="3"/>
    </row>
    <row r="40" spans="1:10" ht="13.5" customHeight="1" x14ac:dyDescent="0.3">
      <c r="A40" s="13"/>
      <c r="B40" s="27"/>
      <c r="C40" s="27"/>
      <c r="D40" s="27"/>
      <c r="E40" s="27"/>
      <c r="F40" s="5"/>
      <c r="G40" s="37"/>
      <c r="H40" s="287"/>
      <c r="I40" s="3"/>
      <c r="J40" s="3"/>
    </row>
    <row r="41" spans="1:10" ht="18" customHeight="1" x14ac:dyDescent="0.3">
      <c r="A41" s="10" t="s">
        <v>5</v>
      </c>
      <c r="B41" s="27"/>
      <c r="C41" s="27"/>
      <c r="D41" s="27"/>
      <c r="E41" s="27"/>
      <c r="F41" s="5"/>
      <c r="G41" s="37"/>
      <c r="I41" s="3"/>
      <c r="J41" s="3"/>
    </row>
    <row r="42" spans="1:10" ht="18" customHeight="1" x14ac:dyDescent="0.3">
      <c r="A42" s="20" t="s">
        <v>928</v>
      </c>
      <c r="B42" s="15">
        <f>+'Unallocated Detail (CBR)'!B294</f>
        <v>-261177050.30999997</v>
      </c>
      <c r="C42" s="15">
        <f>+'Unallocated Detail (CBR)'!C294</f>
        <v>0</v>
      </c>
      <c r="D42" s="15">
        <f>+'Unallocated Detail (CBR)'!D294</f>
        <v>0</v>
      </c>
      <c r="E42" s="15">
        <f>+'Unallocated Detail (CBR)'!E294</f>
        <v>0</v>
      </c>
      <c r="F42" s="117">
        <f>SUM(B42:E42)</f>
        <v>-261177050.30999997</v>
      </c>
      <c r="G42" s="37"/>
      <c r="I42" s="3"/>
      <c r="J42" s="3"/>
    </row>
    <row r="43" spans="1:10" ht="18" customHeight="1" x14ac:dyDescent="0.3">
      <c r="A43" s="13" t="s">
        <v>4</v>
      </c>
      <c r="B43" s="46">
        <v>0</v>
      </c>
      <c r="C43" s="95">
        <v>0</v>
      </c>
      <c r="D43" s="95">
        <v>0</v>
      </c>
      <c r="E43" s="95">
        <f>'Unallocated Detail (CBR)'!I320</f>
        <v>-2758676.8999999929</v>
      </c>
      <c r="F43" s="68">
        <f>SUM(B43:E43)</f>
        <v>-2758676.8999999929</v>
      </c>
      <c r="G43" s="37"/>
      <c r="I43" s="3"/>
      <c r="J43" s="3"/>
    </row>
    <row r="44" spans="1:10" ht="18" customHeight="1" x14ac:dyDescent="0.3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(CBR)'!I331</f>
        <v>235848716.16999999</v>
      </c>
      <c r="F44" s="21">
        <f>SUM(B44:E44)</f>
        <v>235848716.16999999</v>
      </c>
      <c r="G44" s="37"/>
      <c r="I44" s="3"/>
      <c r="J44" s="3"/>
    </row>
    <row r="45" spans="1:10" ht="18" customHeight="1" x14ac:dyDescent="0.3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(CBR)'!I335</f>
        <v>0</v>
      </c>
      <c r="F45" s="23">
        <v>0</v>
      </c>
      <c r="G45" s="37"/>
      <c r="I45" s="3"/>
      <c r="J45" s="3"/>
    </row>
    <row r="46" spans="1:10" ht="18" customHeight="1" x14ac:dyDescent="0.3">
      <c r="A46" s="10" t="s">
        <v>1</v>
      </c>
      <c r="B46" s="15">
        <f>SUM(B42:B45)</f>
        <v>-261177050.30999997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233090039.26999998</v>
      </c>
      <c r="F46" s="15">
        <f t="shared" si="1"/>
        <v>-28087011.039999992</v>
      </c>
      <c r="G46" s="37"/>
      <c r="I46" s="3"/>
      <c r="J46" s="3"/>
    </row>
    <row r="47" spans="1:10" ht="18" customHeight="1" x14ac:dyDescent="0.3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55000000000000004">
      <c r="A48" s="43" t="s">
        <v>0</v>
      </c>
      <c r="B48" s="42">
        <f>B39-B46</f>
        <v>743338980.74000072</v>
      </c>
      <c r="C48" s="42">
        <f>C39-C46</f>
        <v>274514126.37999988</v>
      </c>
      <c r="D48" s="175">
        <f>D39-D46</f>
        <v>-293812680.82999998</v>
      </c>
      <c r="E48" s="42">
        <f>E39-E46</f>
        <v>-233090039.26999998</v>
      </c>
      <c r="F48" s="41">
        <f>F39-F46</f>
        <v>490950387.01999998</v>
      </c>
      <c r="G48" s="37"/>
      <c r="I48" s="3"/>
      <c r="J48" s="3"/>
    </row>
    <row r="49" spans="1:10" ht="9.9" customHeight="1" x14ac:dyDescent="0.3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3">
      <c r="F50" s="269"/>
      <c r="G50" s="37"/>
      <c r="H50" s="3"/>
      <c r="I50" s="3"/>
      <c r="J50" s="3"/>
    </row>
    <row r="51" spans="1:10" ht="18" customHeight="1" x14ac:dyDescent="0.3">
      <c r="F51" s="288"/>
      <c r="G51" s="37"/>
      <c r="H51" s="3"/>
      <c r="I51" s="3"/>
      <c r="J51" s="3"/>
    </row>
    <row r="52" spans="1:10" ht="18" customHeight="1" x14ac:dyDescent="0.3">
      <c r="G52" s="37"/>
      <c r="H52" s="3"/>
      <c r="I52" s="3"/>
      <c r="J52" s="3"/>
    </row>
    <row r="53" spans="1:10" ht="18" customHeight="1" x14ac:dyDescent="0.3">
      <c r="G53" s="37"/>
      <c r="H53" s="3"/>
      <c r="I53" s="3"/>
      <c r="J53" s="3"/>
    </row>
    <row r="54" spans="1:10" ht="18" customHeight="1" x14ac:dyDescent="0.3">
      <c r="G54" s="37"/>
      <c r="H54" s="3"/>
      <c r="I54" s="3"/>
      <c r="J54" s="3"/>
    </row>
    <row r="55" spans="1:10" ht="18" customHeight="1" x14ac:dyDescent="0.3">
      <c r="G55" s="37"/>
      <c r="H55" s="3"/>
      <c r="I55" s="3"/>
      <c r="J55" s="3"/>
    </row>
    <row r="56" spans="1:10" ht="18" customHeight="1" x14ac:dyDescent="0.3">
      <c r="G56" s="37"/>
      <c r="H56" s="3"/>
      <c r="I56" s="3"/>
      <c r="J56" s="3"/>
    </row>
    <row r="57" spans="1:10" ht="18" customHeight="1" x14ac:dyDescent="0.3">
      <c r="G57" s="37"/>
      <c r="H57" s="3"/>
      <c r="I57" s="3"/>
      <c r="J57" s="3"/>
    </row>
    <row r="58" spans="1:10" ht="18" customHeight="1" x14ac:dyDescent="0.3">
      <c r="G58" s="37"/>
      <c r="H58" s="3"/>
      <c r="I58" s="3"/>
      <c r="J58" s="3"/>
    </row>
    <row r="59" spans="1:10" ht="18" customHeight="1" x14ac:dyDescent="0.3">
      <c r="G59" s="37"/>
      <c r="H59" s="3"/>
      <c r="I59" s="3"/>
      <c r="J59" s="3"/>
    </row>
    <row r="60" spans="1:10" ht="18" customHeight="1" x14ac:dyDescent="0.3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3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3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3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3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Normal="100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activeCell="H29" sqref="H29"/>
    </sheetView>
  </sheetViews>
  <sheetFormatPr defaultColWidth="8.88671875" defaultRowHeight="13.2" x14ac:dyDescent="0.25"/>
  <cols>
    <col min="1" max="1" width="5.44140625" style="180" customWidth="1"/>
    <col min="2" max="2" width="55.5546875" style="180" customWidth="1"/>
    <col min="3" max="3" width="17.44140625" style="180" customWidth="1"/>
    <col min="4" max="4" width="21.5546875" style="180" customWidth="1"/>
    <col min="5" max="5" width="17.109375" style="180" customWidth="1"/>
    <col min="6" max="6" width="13.88671875" style="180" customWidth="1"/>
    <col min="7" max="7" width="13.5546875" style="180" customWidth="1"/>
    <col min="8" max="8" width="16.44140625" style="180" customWidth="1"/>
    <col min="9" max="9" width="8.88671875" style="60" customWidth="1"/>
    <col min="10" max="16384" width="8.88671875" style="60"/>
  </cols>
  <sheetData>
    <row r="1" spans="1:8" ht="15.9" customHeight="1" x14ac:dyDescent="0.25">
      <c r="A1" s="176"/>
      <c r="B1" s="176" t="s">
        <v>335</v>
      </c>
      <c r="C1" s="176"/>
      <c r="D1" s="176"/>
      <c r="E1" s="176"/>
      <c r="F1" s="176"/>
      <c r="G1" s="176"/>
      <c r="H1" s="176"/>
    </row>
    <row r="2" spans="1:8" ht="15.9" customHeight="1" x14ac:dyDescent="0.25">
      <c r="A2" s="147"/>
      <c r="B2" s="147" t="s">
        <v>345</v>
      </c>
      <c r="C2" s="147"/>
      <c r="D2" s="147"/>
      <c r="E2" s="147"/>
      <c r="F2" s="147"/>
      <c r="G2" s="147"/>
      <c r="H2" s="147"/>
    </row>
    <row r="3" spans="1:8" ht="15.9" customHeight="1" x14ac:dyDescent="0.25">
      <c r="A3" s="147"/>
      <c r="B3" s="147" t="str">
        <f>+'Allocated (CBR)'!A3</f>
        <v>FOR THE YEAR ENDED DECEMBER 31, 2022</v>
      </c>
      <c r="C3" s="147"/>
      <c r="D3" s="147"/>
      <c r="E3" s="147"/>
      <c r="F3" s="147"/>
      <c r="G3" s="147"/>
      <c r="H3" s="147"/>
    </row>
    <row r="4" spans="1:8" ht="15" customHeight="1" x14ac:dyDescent="0.25">
      <c r="A4" s="177"/>
      <c r="B4" s="178" t="str">
        <f>'Allocated (CBR)'!A4:A4</f>
        <v>(spread is based on allocation factors developed for the December 2022 CBR)</v>
      </c>
      <c r="C4" s="178"/>
      <c r="D4" s="178"/>
      <c r="E4" s="178"/>
      <c r="F4" s="178"/>
      <c r="G4" s="178"/>
      <c r="H4" s="178"/>
    </row>
    <row r="5" spans="1:8" ht="15.9" customHeight="1" x14ac:dyDescent="0.25">
      <c r="A5" s="177"/>
      <c r="B5" s="179"/>
      <c r="C5" s="179"/>
      <c r="D5" s="179"/>
      <c r="E5" s="179"/>
      <c r="F5" s="179"/>
      <c r="G5" s="179"/>
      <c r="H5" s="179"/>
    </row>
    <row r="6" spans="1:8" ht="10.5" customHeight="1" x14ac:dyDescent="0.25"/>
    <row r="7" spans="1:8" ht="26.4" x14ac:dyDescent="0.25">
      <c r="A7" s="181"/>
      <c r="B7" s="182" t="s">
        <v>346</v>
      </c>
      <c r="C7" s="183" t="s">
        <v>347</v>
      </c>
      <c r="D7" s="183" t="s">
        <v>348</v>
      </c>
      <c r="E7" s="184" t="s">
        <v>349</v>
      </c>
      <c r="F7" s="185" t="s">
        <v>350</v>
      </c>
      <c r="G7" s="186" t="s">
        <v>351</v>
      </c>
      <c r="H7" s="183" t="s">
        <v>35</v>
      </c>
    </row>
    <row r="8" spans="1:8" ht="15.9" customHeight="1" x14ac:dyDescent="0.25">
      <c r="A8" s="187" t="s">
        <v>18</v>
      </c>
      <c r="B8" s="188"/>
      <c r="C8" s="189"/>
      <c r="D8" s="189"/>
      <c r="E8" s="190"/>
      <c r="F8" s="191"/>
      <c r="G8" s="191"/>
      <c r="H8" s="192"/>
    </row>
    <row r="9" spans="1:8" ht="15.9" customHeight="1" x14ac:dyDescent="0.25">
      <c r="A9" s="187"/>
      <c r="B9" s="193" t="s">
        <v>352</v>
      </c>
      <c r="C9" s="194">
        <f>'Unallocated Detail (CBR)'!E216</f>
        <v>123236.45</v>
      </c>
      <c r="D9" s="194">
        <f>'Unallocated Detail (CBR)'!F216</f>
        <v>88546.42</v>
      </c>
      <c r="E9" s="195">
        <v>1</v>
      </c>
      <c r="F9" s="139">
        <f>+C9/H9</f>
        <v>0.58189999030610928</v>
      </c>
      <c r="G9" s="139">
        <f>+D9/H9</f>
        <v>0.41810000969389072</v>
      </c>
      <c r="H9" s="196">
        <f>C9+D9</f>
        <v>211782.87</v>
      </c>
    </row>
    <row r="10" spans="1:8" ht="15.9" customHeight="1" x14ac:dyDescent="0.25">
      <c r="A10" s="187" t="s">
        <v>353</v>
      </c>
      <c r="B10" s="193" t="s">
        <v>354</v>
      </c>
      <c r="C10" s="197">
        <f>'Unallocated Detail (CBR)'!E217</f>
        <v>1396367.39</v>
      </c>
      <c r="D10" s="197">
        <f>'Unallocated Detail (CBR)'!F217</f>
        <v>830693.84</v>
      </c>
      <c r="E10" s="195">
        <v>2</v>
      </c>
      <c r="F10" s="139">
        <f>+C10/H10</f>
        <v>0.62699999945668305</v>
      </c>
      <c r="G10" s="139">
        <f>+D10/H10</f>
        <v>0.37300000054331689</v>
      </c>
      <c r="H10" s="198">
        <f>C10+D10</f>
        <v>2227061.23</v>
      </c>
    </row>
    <row r="11" spans="1:8" ht="15.9" customHeight="1" x14ac:dyDescent="0.25">
      <c r="A11" s="187" t="s">
        <v>353</v>
      </c>
      <c r="B11" s="193" t="s">
        <v>355</v>
      </c>
      <c r="C11" s="197">
        <f>'Unallocated Detail (CBR)'!E218</f>
        <v>14901561.439999999</v>
      </c>
      <c r="D11" s="197">
        <f>'Unallocated Detail (CBR)'!F218</f>
        <v>10706896.1</v>
      </c>
      <c r="E11" s="195">
        <v>1</v>
      </c>
      <c r="F11" s="139">
        <f>+C11/H11</f>
        <v>0.58189999990136076</v>
      </c>
      <c r="G11" s="139">
        <f>+D11/H11</f>
        <v>0.41810000009863929</v>
      </c>
      <c r="H11" s="198">
        <f>C11+D11</f>
        <v>25608457.539999999</v>
      </c>
    </row>
    <row r="12" spans="1:8" ht="15.9" customHeight="1" x14ac:dyDescent="0.25">
      <c r="A12" s="187" t="s">
        <v>353</v>
      </c>
      <c r="B12" s="199" t="s">
        <v>891</v>
      </c>
      <c r="C12" s="197">
        <f>'Unallocated Detail (CBR)'!E219</f>
        <v>22477.62</v>
      </c>
      <c r="D12" s="197">
        <f>'Unallocated Detail (CBR)'!F219</f>
        <v>11755.74</v>
      </c>
      <c r="E12" s="195">
        <v>4</v>
      </c>
      <c r="F12" s="139">
        <f t="shared" ref="F12" si="0">+C12/H12</f>
        <v>0.65659987801372688</v>
      </c>
      <c r="G12" s="139">
        <f>+D12/H12</f>
        <v>0.34340012198627301</v>
      </c>
      <c r="H12" s="198">
        <f>C12+D12</f>
        <v>34233.360000000001</v>
      </c>
    </row>
    <row r="13" spans="1:8" ht="15.9" customHeight="1" x14ac:dyDescent="0.25">
      <c r="A13" s="187" t="s">
        <v>353</v>
      </c>
      <c r="B13" s="193" t="s">
        <v>356</v>
      </c>
      <c r="C13" s="200">
        <f>'Unallocated Detail (CBR)'!E220</f>
        <v>0</v>
      </c>
      <c r="D13" s="200">
        <f>'Unallocated Detail (CBR)'!F220</f>
        <v>0</v>
      </c>
      <c r="E13" s="201">
        <v>1</v>
      </c>
      <c r="F13" s="202"/>
      <c r="G13" s="202"/>
      <c r="H13" s="200">
        <f>C13+D13</f>
        <v>0</v>
      </c>
    </row>
    <row r="14" spans="1:8" ht="15.9" customHeight="1" x14ac:dyDescent="0.25">
      <c r="A14" s="187" t="s">
        <v>353</v>
      </c>
      <c r="B14" s="188" t="s">
        <v>357</v>
      </c>
      <c r="C14" s="197">
        <f>SUM(C9:C13)</f>
        <v>16443642.899999999</v>
      </c>
      <c r="D14" s="197">
        <f>SUM(D9:D13)</f>
        <v>11637892.1</v>
      </c>
      <c r="E14" s="195"/>
      <c r="F14" s="203"/>
      <c r="G14" s="204"/>
      <c r="H14" s="198">
        <f>SUM(H9:H13)</f>
        <v>28081535</v>
      </c>
    </row>
    <row r="15" spans="1:8" ht="15.9" customHeight="1" x14ac:dyDescent="0.25">
      <c r="A15" s="187" t="s">
        <v>17</v>
      </c>
      <c r="B15" s="188"/>
      <c r="C15" s="197"/>
      <c r="D15" s="197"/>
      <c r="E15" s="195"/>
      <c r="F15" s="204"/>
      <c r="G15" s="204"/>
      <c r="H15" s="198"/>
    </row>
    <row r="16" spans="1:8" ht="15.9" customHeight="1" x14ac:dyDescent="0.25">
      <c r="A16" s="187"/>
      <c r="B16" s="193" t="s">
        <v>358</v>
      </c>
      <c r="C16" s="197">
        <f>'Unallocated Detail (CBR)'!E223</f>
        <v>1123001.98</v>
      </c>
      <c r="D16" s="197">
        <f>'Unallocated Detail (CBR)'!F223</f>
        <v>806886.28</v>
      </c>
      <c r="E16" s="195">
        <v>1</v>
      </c>
      <c r="F16" s="139">
        <f>+C16/H16</f>
        <v>0.58190000078035609</v>
      </c>
      <c r="G16" s="139">
        <f>+D16/H16</f>
        <v>0.41809999921964397</v>
      </c>
      <c r="H16" s="198">
        <f t="shared" ref="H16:H22" si="1">C16+D16</f>
        <v>1929888.26</v>
      </c>
    </row>
    <row r="17" spans="1:8" ht="15.9" customHeight="1" x14ac:dyDescent="0.25">
      <c r="A17" s="187" t="s">
        <v>353</v>
      </c>
      <c r="B17" s="193" t="s">
        <v>359</v>
      </c>
      <c r="C17" s="197">
        <f>'Unallocated Detail (CBR)'!E224</f>
        <v>1450190.95</v>
      </c>
      <c r="D17" s="197">
        <f>'Unallocated Detail (CBR)'!F224</f>
        <v>1041974.29</v>
      </c>
      <c r="E17" s="195">
        <v>1</v>
      </c>
      <c r="F17" s="139">
        <f>+C17/H17</f>
        <v>0.5818999987336313</v>
      </c>
      <c r="G17" s="139">
        <f>+D17/H17</f>
        <v>0.41810000126636865</v>
      </c>
      <c r="H17" s="198">
        <f t="shared" si="1"/>
        <v>2492165.2400000002</v>
      </c>
    </row>
    <row r="18" spans="1:8" ht="15.9" customHeight="1" x14ac:dyDescent="0.25">
      <c r="A18" s="187" t="s">
        <v>353</v>
      </c>
      <c r="B18" s="193" t="s">
        <v>360</v>
      </c>
      <c r="C18" s="197">
        <f>'Unallocated Detail (CBR)'!E225</f>
        <v>0</v>
      </c>
      <c r="D18" s="197">
        <f>'Unallocated Detail (CBR)'!F225</f>
        <v>0</v>
      </c>
      <c r="E18" s="195">
        <v>1</v>
      </c>
      <c r="F18" s="139"/>
      <c r="G18" s="139"/>
      <c r="H18" s="198">
        <f t="shared" si="1"/>
        <v>0</v>
      </c>
    </row>
    <row r="19" spans="1:8" ht="15.9" customHeight="1" x14ac:dyDescent="0.25">
      <c r="A19" s="187"/>
      <c r="B19" s="193" t="s">
        <v>361</v>
      </c>
      <c r="C19" s="197">
        <f>'Unallocated Detail (CBR)'!E226</f>
        <v>0</v>
      </c>
      <c r="D19" s="197">
        <f>'Unallocated Detail (CBR)'!F226</f>
        <v>0</v>
      </c>
      <c r="E19" s="195">
        <v>1</v>
      </c>
      <c r="F19" s="139"/>
      <c r="G19" s="139"/>
      <c r="H19" s="198">
        <f t="shared" si="1"/>
        <v>0</v>
      </c>
    </row>
    <row r="20" spans="1:8" ht="15.9" customHeight="1" x14ac:dyDescent="0.25">
      <c r="A20" s="187" t="s">
        <v>353</v>
      </c>
      <c r="B20" s="193" t="s">
        <v>362</v>
      </c>
      <c r="C20" s="197">
        <f>'Unallocated Detail (CBR)'!E227</f>
        <v>-135439.67999999999</v>
      </c>
      <c r="D20" s="197">
        <f>'Unallocated Detail (CBR)'!F227</f>
        <v>-97314.54</v>
      </c>
      <c r="E20" s="195">
        <v>1</v>
      </c>
      <c r="F20" s="139">
        <f>+C20/H20</f>
        <v>0.58189999734483877</v>
      </c>
      <c r="G20" s="139">
        <f>+D20/H20</f>
        <v>0.41810000265516134</v>
      </c>
      <c r="H20" s="198">
        <f t="shared" si="1"/>
        <v>-232754.21999999997</v>
      </c>
    </row>
    <row r="21" spans="1:8" ht="15.9" customHeight="1" x14ac:dyDescent="0.25">
      <c r="A21" s="187"/>
      <c r="B21" s="193" t="s">
        <v>363</v>
      </c>
      <c r="C21" s="197">
        <f>'Unallocated Detail (CBR)'!E228</f>
        <v>0</v>
      </c>
      <c r="D21" s="197">
        <f>'Unallocated Detail (CBR)'!F228</f>
        <v>0</v>
      </c>
      <c r="E21" s="195">
        <v>1</v>
      </c>
      <c r="F21" s="139"/>
      <c r="G21" s="139"/>
      <c r="H21" s="198">
        <f t="shared" si="1"/>
        <v>0</v>
      </c>
    </row>
    <row r="22" spans="1:8" ht="15.9" customHeight="1" x14ac:dyDescent="0.25">
      <c r="A22" s="187"/>
      <c r="B22" s="193" t="s">
        <v>364</v>
      </c>
      <c r="C22" s="200">
        <f>'Unallocated Detail (CBR)'!E229</f>
        <v>0</v>
      </c>
      <c r="D22" s="200">
        <f>'Unallocated Detail (CBR)'!F229</f>
        <v>0</v>
      </c>
      <c r="E22" s="201">
        <v>1</v>
      </c>
      <c r="F22" s="202"/>
      <c r="G22" s="202"/>
      <c r="H22" s="200">
        <f t="shared" si="1"/>
        <v>0</v>
      </c>
    </row>
    <row r="23" spans="1:8" ht="15.9" customHeight="1" x14ac:dyDescent="0.25">
      <c r="A23" s="187" t="s">
        <v>353</v>
      </c>
      <c r="B23" s="188" t="s">
        <v>357</v>
      </c>
      <c r="C23" s="197">
        <f>SUM(C16:C21)</f>
        <v>2437753.2499999995</v>
      </c>
      <c r="D23" s="197">
        <f>SUM(D16:D21)</f>
        <v>1751546.03</v>
      </c>
      <c r="E23" s="195"/>
      <c r="F23" s="203"/>
      <c r="G23" s="204"/>
      <c r="H23" s="198">
        <f>SUM(H16:H21)</f>
        <v>4189299.2800000003</v>
      </c>
    </row>
    <row r="24" spans="1:8" ht="15.9" customHeight="1" x14ac:dyDescent="0.25">
      <c r="A24" s="187" t="s">
        <v>15</v>
      </c>
      <c r="B24" s="188"/>
      <c r="C24" s="197"/>
      <c r="D24" s="197"/>
      <c r="E24" s="195"/>
      <c r="F24" s="204"/>
      <c r="G24" s="204"/>
      <c r="H24" s="198"/>
    </row>
    <row r="25" spans="1:8" ht="15.9" customHeight="1" x14ac:dyDescent="0.25">
      <c r="A25" s="187"/>
      <c r="B25" s="193" t="s">
        <v>365</v>
      </c>
      <c r="C25" s="197">
        <f>'Unallocated Detail (CBR)'!E235</f>
        <v>60492457.420000002</v>
      </c>
      <c r="D25" s="197">
        <f>'Unallocated Detail (CBR)'!F235</f>
        <v>31637389.390000001</v>
      </c>
      <c r="E25" s="195">
        <v>4</v>
      </c>
      <c r="F25" s="139">
        <f t="shared" ref="F25:F31" si="2">+C25/H25</f>
        <v>0.6566000000494302</v>
      </c>
      <c r="G25" s="139">
        <f t="shared" ref="G25:G31" si="3">+D25/H25</f>
        <v>0.34339999995056975</v>
      </c>
      <c r="H25" s="198">
        <f t="shared" ref="H25:H37" si="4">C25+D25</f>
        <v>92129846.810000002</v>
      </c>
    </row>
    <row r="26" spans="1:8" ht="15.9" customHeight="1" x14ac:dyDescent="0.25">
      <c r="A26" s="187"/>
      <c r="B26" s="193" t="s">
        <v>366</v>
      </c>
      <c r="C26" s="197">
        <f>'Unallocated Detail (CBR)'!E236</f>
        <v>5441884.5300000003</v>
      </c>
      <c r="D26" s="197">
        <f>'Unallocated Detail (CBR)'!F236</f>
        <v>2846090.69</v>
      </c>
      <c r="E26" s="195">
        <v>4</v>
      </c>
      <c r="F26" s="139">
        <f t="shared" si="2"/>
        <v>0.65660000006611985</v>
      </c>
      <c r="G26" s="139">
        <f t="shared" si="3"/>
        <v>0.3433999999338801</v>
      </c>
      <c r="H26" s="198">
        <f t="shared" si="4"/>
        <v>8287975.2200000007</v>
      </c>
    </row>
    <row r="27" spans="1:8" ht="15.9" customHeight="1" x14ac:dyDescent="0.25">
      <c r="A27" s="187" t="s">
        <v>353</v>
      </c>
      <c r="B27" s="193" t="s">
        <v>367</v>
      </c>
      <c r="C27" s="197">
        <f>'Unallocated Detail (CBR)'!E237</f>
        <v>-27460197.68</v>
      </c>
      <c r="D27" s="197">
        <f>'Unallocated Detail (CBR)'!F237</f>
        <v>-14361608.109999999</v>
      </c>
      <c r="E27" s="195">
        <v>4</v>
      </c>
      <c r="F27" s="139">
        <f t="shared" si="2"/>
        <v>0.65659999995901663</v>
      </c>
      <c r="G27" s="139">
        <f t="shared" si="3"/>
        <v>0.34340000004098342</v>
      </c>
      <c r="H27" s="198">
        <f t="shared" si="4"/>
        <v>-41821805.789999999</v>
      </c>
    </row>
    <row r="28" spans="1:8" ht="15.9" customHeight="1" x14ac:dyDescent="0.25">
      <c r="A28" s="187" t="s">
        <v>353</v>
      </c>
      <c r="B28" s="193" t="s">
        <v>368</v>
      </c>
      <c r="C28" s="197">
        <f>'Unallocated Detail (CBR)'!E238</f>
        <v>12807899.1</v>
      </c>
      <c r="D28" s="197">
        <f>'Unallocated Detail (CBR)'!F238</f>
        <v>6698496.1200000001</v>
      </c>
      <c r="E28" s="195">
        <v>4</v>
      </c>
      <c r="F28" s="139">
        <f t="shared" si="2"/>
        <v>0.65659999992556295</v>
      </c>
      <c r="G28" s="139">
        <f t="shared" si="3"/>
        <v>0.34340000007443716</v>
      </c>
      <c r="H28" s="198">
        <f t="shared" si="4"/>
        <v>19506395.219999999</v>
      </c>
    </row>
    <row r="29" spans="1:8" ht="15.9" customHeight="1" x14ac:dyDescent="0.25">
      <c r="A29" s="187" t="s">
        <v>353</v>
      </c>
      <c r="B29" s="193" t="s">
        <v>369</v>
      </c>
      <c r="C29" s="197">
        <f>'Unallocated Detail (CBR)'!E239</f>
        <v>117596.66</v>
      </c>
      <c r="D29" s="197">
        <f>'Unallocated Detail (CBR)'!F239</f>
        <v>81416.13</v>
      </c>
      <c r="E29" s="195">
        <v>3</v>
      </c>
      <c r="F29" s="139">
        <f t="shared" si="2"/>
        <v>0.59090001200425357</v>
      </c>
      <c r="G29" s="139">
        <f t="shared" si="3"/>
        <v>0.40909998799574643</v>
      </c>
      <c r="H29" s="198">
        <f t="shared" si="4"/>
        <v>199012.79</v>
      </c>
    </row>
    <row r="30" spans="1:8" ht="15.9" customHeight="1" x14ac:dyDescent="0.25">
      <c r="A30" s="187" t="s">
        <v>353</v>
      </c>
      <c r="B30" s="193" t="s">
        <v>370</v>
      </c>
      <c r="C30" s="197">
        <f>'Unallocated Detail (CBR)'!E240</f>
        <v>5287243.0599999996</v>
      </c>
      <c r="D30" s="197">
        <f>'Unallocated Detail (CBR)'!F240</f>
        <v>3798928.2</v>
      </c>
      <c r="E30" s="195">
        <v>1</v>
      </c>
      <c r="F30" s="139">
        <f t="shared" si="2"/>
        <v>0.58190000041887824</v>
      </c>
      <c r="G30" s="139">
        <f t="shared" si="3"/>
        <v>0.41809999958112171</v>
      </c>
      <c r="H30" s="198">
        <f t="shared" si="4"/>
        <v>9086171.2599999998</v>
      </c>
    </row>
    <row r="31" spans="1:8" ht="15.9" customHeight="1" x14ac:dyDescent="0.25">
      <c r="A31" s="187" t="s">
        <v>353</v>
      </c>
      <c r="B31" s="193" t="s">
        <v>371</v>
      </c>
      <c r="C31" s="197">
        <f>'Unallocated Detail (CBR)'!E241</f>
        <v>10793467.859999999</v>
      </c>
      <c r="D31" s="197">
        <f>'Unallocated Detail (CBR)'!F241</f>
        <v>4038836.47</v>
      </c>
      <c r="E31" s="195">
        <v>5</v>
      </c>
      <c r="F31" s="139">
        <f t="shared" si="2"/>
        <v>0.72769999993655732</v>
      </c>
      <c r="G31" s="139">
        <f t="shared" si="3"/>
        <v>0.27230000006344263</v>
      </c>
      <c r="H31" s="198">
        <f t="shared" si="4"/>
        <v>14832304.33</v>
      </c>
    </row>
    <row r="32" spans="1:8" ht="15.9" customHeight="1" x14ac:dyDescent="0.25">
      <c r="A32" s="187"/>
      <c r="B32" s="193" t="s">
        <v>372</v>
      </c>
      <c r="C32" s="197">
        <f>'Unallocated Detail (CBR)'!E242</f>
        <v>2549610.66</v>
      </c>
      <c r="D32" s="197">
        <f>'Unallocated Detail (CBR)'!F242</f>
        <v>1333439.3799999999</v>
      </c>
      <c r="E32" s="195">
        <v>4</v>
      </c>
      <c r="F32" s="139">
        <f t="shared" ref="F32" si="5">+C32/H32</f>
        <v>0.65660000096213034</v>
      </c>
      <c r="G32" s="139">
        <f t="shared" ref="G32" si="6">+D32/H32</f>
        <v>0.34339999903786972</v>
      </c>
      <c r="H32" s="198">
        <f t="shared" si="4"/>
        <v>3883050.04</v>
      </c>
    </row>
    <row r="33" spans="1:8" ht="15.9" customHeight="1" x14ac:dyDescent="0.25">
      <c r="A33" s="187" t="s">
        <v>353</v>
      </c>
      <c r="B33" s="193" t="s">
        <v>373</v>
      </c>
      <c r="C33" s="197">
        <f>'Unallocated Detail (CBR)'!E243</f>
        <v>19326.05</v>
      </c>
      <c r="D33" s="197">
        <f>'Unallocated Detail (CBR)'!F243</f>
        <v>10107.469999999999</v>
      </c>
      <c r="E33" s="195">
        <v>4</v>
      </c>
      <c r="F33" s="139">
        <f>IFERROR(+C33/H33,0)</f>
        <v>0.65660002609269985</v>
      </c>
      <c r="G33" s="139">
        <f>IFERROR(+D33/H33,0)</f>
        <v>0.34339997390730026</v>
      </c>
      <c r="H33" s="198">
        <f t="shared" si="4"/>
        <v>29433.519999999997</v>
      </c>
    </row>
    <row r="34" spans="1:8" ht="15.9" customHeight="1" x14ac:dyDescent="0.25">
      <c r="A34" s="187" t="s">
        <v>353</v>
      </c>
      <c r="B34" s="193" t="s">
        <v>374</v>
      </c>
      <c r="C34" s="197">
        <f>'Unallocated Detail (CBR)'!E244</f>
        <v>7242293.1900000004</v>
      </c>
      <c r="D34" s="197">
        <f>'Unallocated Detail (CBR)'!F244</f>
        <v>3787699.49</v>
      </c>
      <c r="E34" s="195">
        <v>4</v>
      </c>
      <c r="F34" s="139">
        <f>+C34/H34</f>
        <v>0.65659999966563898</v>
      </c>
      <c r="G34" s="139">
        <f>+D34/H34</f>
        <v>0.34340000033436108</v>
      </c>
      <c r="H34" s="198">
        <f t="shared" si="4"/>
        <v>11029992.68</v>
      </c>
    </row>
    <row r="35" spans="1:8" ht="15.9" customHeight="1" x14ac:dyDescent="0.25">
      <c r="A35" s="187" t="s">
        <v>353</v>
      </c>
      <c r="B35" s="193" t="s">
        <v>375</v>
      </c>
      <c r="C35" s="197">
        <f>'Unallocated Detail (CBR)'!E245</f>
        <v>7369688.7300000004</v>
      </c>
      <c r="D35" s="197">
        <f>'Unallocated Detail (CBR)'!F245</f>
        <v>3854327.01</v>
      </c>
      <c r="E35" s="195">
        <v>4</v>
      </c>
      <c r="F35" s="139">
        <f>+C35/H35</f>
        <v>0.6565999995648617</v>
      </c>
      <c r="G35" s="139">
        <f>+D35/H35</f>
        <v>0.34340000043513835</v>
      </c>
      <c r="H35" s="198">
        <f t="shared" si="4"/>
        <v>11224015.74</v>
      </c>
    </row>
    <row r="36" spans="1:8" ht="15.9" customHeight="1" x14ac:dyDescent="0.25">
      <c r="A36" s="187"/>
      <c r="B36" s="193" t="s">
        <v>376</v>
      </c>
      <c r="C36" s="197">
        <f>'Unallocated Detail (CBR)'!E246</f>
        <v>0</v>
      </c>
      <c r="D36" s="197">
        <f>'Unallocated Detail (CBR)'!F246</f>
        <v>0</v>
      </c>
      <c r="E36" s="195">
        <v>4</v>
      </c>
      <c r="F36" s="139"/>
      <c r="G36" s="139"/>
      <c r="H36" s="198">
        <f t="shared" si="4"/>
        <v>0</v>
      </c>
    </row>
    <row r="37" spans="1:8" ht="15.9" customHeight="1" x14ac:dyDescent="0.25">
      <c r="A37" s="187"/>
      <c r="B37" s="193" t="s">
        <v>377</v>
      </c>
      <c r="C37" s="200">
        <f>'Unallocated Detail (CBR)'!E247</f>
        <v>16449839.98</v>
      </c>
      <c r="D37" s="200">
        <f>'Unallocated Detail (CBR)'!F247</f>
        <v>8603221.2200000007</v>
      </c>
      <c r="E37" s="201">
        <v>4</v>
      </c>
      <c r="F37" s="202">
        <f>+C37/H37</f>
        <v>0.65659999984353201</v>
      </c>
      <c r="G37" s="202">
        <f>+D37/H37</f>
        <v>0.34340000015646788</v>
      </c>
      <c r="H37" s="200">
        <f t="shared" si="4"/>
        <v>25053061.200000003</v>
      </c>
    </row>
    <row r="38" spans="1:8" ht="15.9" customHeight="1" x14ac:dyDescent="0.25">
      <c r="A38" s="187" t="s">
        <v>353</v>
      </c>
      <c r="B38" s="188" t="s">
        <v>357</v>
      </c>
      <c r="C38" s="197">
        <f>SUM(C25:C37)</f>
        <v>101111109.56</v>
      </c>
      <c r="D38" s="197">
        <f>SUM(D25:D37)</f>
        <v>52328343.460000001</v>
      </c>
      <c r="E38" s="195"/>
      <c r="F38" s="203"/>
      <c r="G38" s="204"/>
      <c r="H38" s="198">
        <f>SUM(H25:H37)</f>
        <v>153439453.02000001</v>
      </c>
    </row>
    <row r="39" spans="1:8" ht="15.9" customHeight="1" x14ac:dyDescent="0.25">
      <c r="A39" s="187" t="s">
        <v>378</v>
      </c>
      <c r="B39" s="188"/>
      <c r="C39" s="197"/>
      <c r="D39" s="197"/>
      <c r="E39" s="195"/>
      <c r="F39" s="204"/>
      <c r="G39" s="204"/>
      <c r="H39" s="198"/>
    </row>
    <row r="40" spans="1:8" ht="15.9" customHeight="1" x14ac:dyDescent="0.25">
      <c r="A40" s="187"/>
      <c r="B40" s="193" t="s">
        <v>379</v>
      </c>
      <c r="C40" s="197">
        <f>'Unallocated Detail (CBR)'!E253</f>
        <v>19782818.239999998</v>
      </c>
      <c r="D40" s="197">
        <f>'Unallocated Detail (CBR)'!F253</f>
        <v>10346359.699999999</v>
      </c>
      <c r="E40" s="195">
        <v>4</v>
      </c>
      <c r="F40" s="139">
        <f>+C40/H40</f>
        <v>0.65660000015254316</v>
      </c>
      <c r="G40" s="139">
        <f>+D40/H40</f>
        <v>0.34339999984745684</v>
      </c>
      <c r="H40" s="198">
        <f>C40+D40</f>
        <v>30129177.939999998</v>
      </c>
    </row>
    <row r="41" spans="1:8" ht="15.9" customHeight="1" x14ac:dyDescent="0.25">
      <c r="A41" s="187"/>
      <c r="B41" s="205" t="s">
        <v>380</v>
      </c>
      <c r="C41" s="200">
        <f>'Unallocated Detail (CBR)'!E254</f>
        <v>105176.92</v>
      </c>
      <c r="D41" s="200">
        <f>'Unallocated Detail (CBR)'!F254</f>
        <v>55007.24</v>
      </c>
      <c r="E41" s="201">
        <v>4</v>
      </c>
      <c r="F41" s="202">
        <f>+C41/H41</f>
        <v>0.65660000339609104</v>
      </c>
      <c r="G41" s="202">
        <f>+D41/H41</f>
        <v>0.34339999660390891</v>
      </c>
      <c r="H41" s="200">
        <f>C41+D41</f>
        <v>160184.16</v>
      </c>
    </row>
    <row r="42" spans="1:8" ht="15.9" customHeight="1" x14ac:dyDescent="0.25">
      <c r="A42" s="187"/>
      <c r="B42" s="188" t="s">
        <v>357</v>
      </c>
      <c r="C42" s="197">
        <f>SUM(C40:C41)</f>
        <v>19887995.16</v>
      </c>
      <c r="D42" s="197">
        <f>SUM(D40:D41)</f>
        <v>10401366.939999999</v>
      </c>
      <c r="E42" s="195"/>
      <c r="F42" s="204"/>
      <c r="G42" s="204"/>
      <c r="H42" s="198">
        <f>SUM(H40:H41)</f>
        <v>30289362.099999998</v>
      </c>
    </row>
    <row r="43" spans="1:8" ht="15.9" customHeight="1" x14ac:dyDescent="0.25">
      <c r="A43" s="187" t="s">
        <v>13</v>
      </c>
      <c r="B43" s="193"/>
      <c r="C43" s="197"/>
      <c r="D43" s="197"/>
      <c r="E43" s="195"/>
      <c r="F43" s="204"/>
      <c r="G43" s="204"/>
      <c r="H43" s="198"/>
    </row>
    <row r="44" spans="1:8" ht="15.9" customHeight="1" x14ac:dyDescent="0.25">
      <c r="A44" s="187"/>
      <c r="B44" s="193" t="s">
        <v>381</v>
      </c>
      <c r="C44" s="197">
        <f>'Unallocated Detail (CBR)'!E257</f>
        <v>52455941.759999998</v>
      </c>
      <c r="D44" s="197">
        <f>'Unallocated Detail (CBR)'!F257</f>
        <v>27434313.739999998</v>
      </c>
      <c r="E44" s="195">
        <v>4</v>
      </c>
      <c r="F44" s="139">
        <f>+C44/H44</f>
        <v>0.65659999998372764</v>
      </c>
      <c r="G44" s="139">
        <f>+D44/H44</f>
        <v>0.3434000000162723</v>
      </c>
      <c r="H44" s="198">
        <f>C44+D44</f>
        <v>79890255.5</v>
      </c>
    </row>
    <row r="45" spans="1:8" ht="15.9" customHeight="1" x14ac:dyDescent="0.25">
      <c r="A45" s="187"/>
      <c r="B45" s="193" t="s">
        <v>382</v>
      </c>
      <c r="C45" s="197">
        <f>'Unallocated Detail (CBR)'!E258</f>
        <v>0</v>
      </c>
      <c r="D45" s="197">
        <f>'Unallocated Detail (CBR)'!F258</f>
        <v>0</v>
      </c>
      <c r="E45" s="195">
        <v>4</v>
      </c>
      <c r="F45" s="139"/>
      <c r="G45" s="139"/>
      <c r="H45" s="198">
        <f>C45+D45</f>
        <v>0</v>
      </c>
    </row>
    <row r="46" spans="1:8" ht="15.9" customHeight="1" x14ac:dyDescent="0.25">
      <c r="A46" s="187"/>
      <c r="B46" s="205" t="s">
        <v>383</v>
      </c>
      <c r="C46" s="200">
        <f>'Unallocated Detail (CBR)'!E259</f>
        <v>19055.5</v>
      </c>
      <c r="D46" s="200">
        <f>'Unallocated Detail (CBR)'!F259</f>
        <v>9965.98</v>
      </c>
      <c r="E46" s="201">
        <v>4</v>
      </c>
      <c r="F46" s="202">
        <f>+C46/H46</f>
        <v>0.65659987016513288</v>
      </c>
      <c r="G46" s="202">
        <f>+D46/H46</f>
        <v>0.34340012983486712</v>
      </c>
      <c r="H46" s="198">
        <f>C46+D46</f>
        <v>29021.48</v>
      </c>
    </row>
    <row r="47" spans="1:8" ht="15.9" customHeight="1" x14ac:dyDescent="0.25">
      <c r="A47" s="187" t="s">
        <v>353</v>
      </c>
      <c r="B47" s="188" t="s">
        <v>357</v>
      </c>
      <c r="C47" s="197">
        <f>SUM(C44:C46)</f>
        <v>52474997.259999998</v>
      </c>
      <c r="D47" s="197">
        <f>SUM(D44:D46)</f>
        <v>27444279.719999999</v>
      </c>
      <c r="E47" s="195"/>
      <c r="F47" s="204"/>
      <c r="G47" s="204"/>
      <c r="H47" s="206">
        <f>SUM(H44:H46)</f>
        <v>79919276.980000004</v>
      </c>
    </row>
    <row r="48" spans="1:8" ht="15.9" customHeight="1" x14ac:dyDescent="0.25">
      <c r="A48" s="207" t="s">
        <v>384</v>
      </c>
      <c r="B48" s="188"/>
      <c r="C48" s="197"/>
      <c r="D48" s="197"/>
      <c r="E48" s="195"/>
      <c r="F48" s="204"/>
      <c r="G48" s="204"/>
      <c r="H48" s="198"/>
    </row>
    <row r="49" spans="1:8" ht="15.9" customHeight="1" x14ac:dyDescent="0.25">
      <c r="A49" s="187" t="s">
        <v>273</v>
      </c>
      <c r="B49" s="188"/>
      <c r="C49" s="197">
        <f>'Unallocated Detail (CBR)'!E265</f>
        <v>0</v>
      </c>
      <c r="D49" s="197">
        <f>'Unallocated Detail (CBR)'!F265</f>
        <v>0</v>
      </c>
      <c r="E49" s="195"/>
      <c r="F49" s="204"/>
      <c r="G49" s="204"/>
      <c r="H49" s="198">
        <f t="shared" ref="H49:H54" si="7">C49+D49</f>
        <v>0</v>
      </c>
    </row>
    <row r="50" spans="1:8" ht="15.9" customHeight="1" x14ac:dyDescent="0.25">
      <c r="A50" s="187" t="s">
        <v>274</v>
      </c>
      <c r="B50" s="188"/>
      <c r="C50" s="197">
        <f>'Unallocated Detail (CBR)'!E266</f>
        <v>-6834123.9199999999</v>
      </c>
      <c r="D50" s="197">
        <f>'Unallocated Detail (CBR)'!F266</f>
        <v>-3574228.08</v>
      </c>
      <c r="E50" s="195">
        <v>4</v>
      </c>
      <c r="F50" s="139">
        <f>+C50/H50</f>
        <v>0.65659999969255456</v>
      </c>
      <c r="G50" s="139">
        <f>+D50/H50</f>
        <v>0.34340000030744539</v>
      </c>
      <c r="H50" s="198">
        <f t="shared" si="7"/>
        <v>-10408352</v>
      </c>
    </row>
    <row r="51" spans="1:8" ht="15.9" customHeight="1" x14ac:dyDescent="0.25">
      <c r="A51" s="187" t="s">
        <v>275</v>
      </c>
      <c r="B51" s="188"/>
      <c r="C51" s="197">
        <f>'Unallocated Detail (CBR)'!E267</f>
        <v>0</v>
      </c>
      <c r="D51" s="197">
        <f>'Unallocated Detail (CBR)'!F267</f>
        <v>0</v>
      </c>
      <c r="E51" s="195">
        <v>4</v>
      </c>
      <c r="F51" s="204"/>
      <c r="G51" s="204"/>
      <c r="H51" s="198">
        <f t="shared" si="7"/>
        <v>0</v>
      </c>
    </row>
    <row r="52" spans="1:8" ht="15.9" customHeight="1" x14ac:dyDescent="0.25">
      <c r="A52" s="187" t="s">
        <v>276</v>
      </c>
      <c r="B52" s="188"/>
      <c r="C52" s="197">
        <f>'Unallocated Detail (CBR)'!E268</f>
        <v>0</v>
      </c>
      <c r="D52" s="197">
        <f>'Unallocated Detail (CBR)'!F268</f>
        <v>0</v>
      </c>
      <c r="E52" s="195">
        <v>4</v>
      </c>
      <c r="F52" s="139"/>
      <c r="G52" s="139"/>
      <c r="H52" s="198">
        <f t="shared" si="7"/>
        <v>0</v>
      </c>
    </row>
    <row r="53" spans="1:8" ht="15.9" customHeight="1" x14ac:dyDescent="0.25">
      <c r="A53" s="187" t="s">
        <v>277</v>
      </c>
      <c r="B53" s="188"/>
      <c r="C53" s="197">
        <f>'Unallocated Detail (CBR)'!E269</f>
        <v>0</v>
      </c>
      <c r="D53" s="197">
        <f>'Unallocated Detail (CBR)'!F269</f>
        <v>0</v>
      </c>
      <c r="E53" s="195"/>
      <c r="F53" s="204"/>
      <c r="G53" s="204"/>
      <c r="H53" s="198">
        <f t="shared" si="7"/>
        <v>0</v>
      </c>
    </row>
    <row r="54" spans="1:8" ht="15.9" customHeight="1" x14ac:dyDescent="0.25">
      <c r="A54" s="187" t="s">
        <v>278</v>
      </c>
      <c r="B54" s="188"/>
      <c r="C54" s="200">
        <f>'Unallocated Detail (CBR)'!E270</f>
        <v>0</v>
      </c>
      <c r="D54" s="200">
        <f>'Unallocated Detail (CBR)'!F270</f>
        <v>0</v>
      </c>
      <c r="E54" s="201"/>
      <c r="F54" s="208"/>
      <c r="G54" s="208"/>
      <c r="H54" s="209">
        <f t="shared" si="7"/>
        <v>0</v>
      </c>
    </row>
    <row r="55" spans="1:8" ht="15.9" customHeight="1" x14ac:dyDescent="0.25">
      <c r="A55" s="187" t="s">
        <v>279</v>
      </c>
      <c r="B55" s="188"/>
      <c r="C55" s="197">
        <f>SUM(C49:C54)</f>
        <v>-6834123.9199999999</v>
      </c>
      <c r="D55" s="197">
        <f>SUM(D49:D54)</f>
        <v>-3574228.08</v>
      </c>
      <c r="E55" s="195"/>
      <c r="F55" s="204"/>
      <c r="G55" s="204"/>
      <c r="H55" s="197">
        <f>SUM(H49:H54)</f>
        <v>-10408352</v>
      </c>
    </row>
    <row r="56" spans="1:8" ht="15.9" customHeight="1" x14ac:dyDescent="0.25">
      <c r="A56" s="187" t="s">
        <v>385</v>
      </c>
      <c r="B56" s="210"/>
      <c r="C56" s="197"/>
      <c r="D56" s="197"/>
      <c r="E56" s="195"/>
      <c r="F56" s="204"/>
      <c r="G56" s="204"/>
      <c r="H56" s="198"/>
    </row>
    <row r="57" spans="1:8" ht="15.9" customHeight="1" x14ac:dyDescent="0.25">
      <c r="A57" s="187"/>
      <c r="B57" s="205" t="s">
        <v>326</v>
      </c>
      <c r="C57" s="200">
        <f>'Unallocated Detail (CBR)'!E275</f>
        <v>5451163.0999999996</v>
      </c>
      <c r="D57" s="200">
        <f>'Unallocated Detail (CBR)'!F275</f>
        <v>2850943.35</v>
      </c>
      <c r="E57" s="201">
        <v>4</v>
      </c>
      <c r="F57" s="202">
        <f>+C57/H57</f>
        <v>0.65660000059382517</v>
      </c>
      <c r="G57" s="202">
        <f>+D57/H57</f>
        <v>0.34339999940617483</v>
      </c>
      <c r="H57" s="198">
        <f>C57+D57</f>
        <v>8302106.4499999993</v>
      </c>
    </row>
    <row r="58" spans="1:8" ht="15.9" customHeight="1" x14ac:dyDescent="0.25">
      <c r="A58" s="187" t="s">
        <v>353</v>
      </c>
      <c r="B58" s="188" t="s">
        <v>357</v>
      </c>
      <c r="C58" s="197">
        <f>C57</f>
        <v>5451163.0999999996</v>
      </c>
      <c r="D58" s="197">
        <f>D57</f>
        <v>2850943.35</v>
      </c>
      <c r="E58" s="195"/>
      <c r="F58" s="204"/>
      <c r="G58" s="204"/>
      <c r="H58" s="206">
        <f>SUM(H57)</f>
        <v>8302106.4499999993</v>
      </c>
    </row>
    <row r="59" spans="1:8" ht="15.9" customHeight="1" x14ac:dyDescent="0.25">
      <c r="A59" s="187"/>
      <c r="B59" s="188"/>
      <c r="C59" s="197"/>
      <c r="D59" s="197"/>
      <c r="E59" s="195"/>
      <c r="F59" s="204"/>
      <c r="G59" s="204"/>
      <c r="H59" s="198"/>
    </row>
    <row r="60" spans="1:8" ht="15.9" customHeight="1" x14ac:dyDescent="0.25">
      <c r="A60" s="211" t="s">
        <v>386</v>
      </c>
      <c r="B60" s="210"/>
      <c r="C60" s="197"/>
      <c r="D60" s="197"/>
      <c r="E60" s="212"/>
      <c r="F60" s="212"/>
      <c r="G60" s="212"/>
      <c r="H60" s="198"/>
    </row>
    <row r="61" spans="1:8" ht="15.9" customHeight="1" x14ac:dyDescent="0.25">
      <c r="A61" s="211"/>
      <c r="B61" s="205" t="s">
        <v>387</v>
      </c>
      <c r="C61" s="197">
        <f>'Unallocated Detail (CBR)'!E279</f>
        <v>0</v>
      </c>
      <c r="D61" s="197">
        <f>'Unallocated Detail (CBR)'!F279</f>
        <v>0</v>
      </c>
      <c r="E61" s="195">
        <v>4</v>
      </c>
      <c r="F61" s="139"/>
      <c r="G61" s="139"/>
      <c r="H61" s="198">
        <f t="shared" ref="H61:H62" si="8">C61+D61</f>
        <v>0</v>
      </c>
    </row>
    <row r="62" spans="1:8" ht="15.9" customHeight="1" x14ac:dyDescent="0.25">
      <c r="A62" s="211"/>
      <c r="B62" s="205" t="s">
        <v>387</v>
      </c>
      <c r="C62" s="200">
        <f>'Unallocated Detail (CBR)'!E280</f>
        <v>0</v>
      </c>
      <c r="D62" s="200">
        <f>'Unallocated Detail (CBR)'!F280</f>
        <v>0</v>
      </c>
      <c r="E62" s="201">
        <v>4</v>
      </c>
      <c r="F62" s="202"/>
      <c r="G62" s="202"/>
      <c r="H62" s="209">
        <f t="shared" si="8"/>
        <v>0</v>
      </c>
    </row>
    <row r="63" spans="1:8" ht="15.9" customHeight="1" x14ac:dyDescent="0.25">
      <c r="A63" s="211"/>
      <c r="B63" s="188" t="s">
        <v>357</v>
      </c>
      <c r="C63" s="197">
        <f>SUM(C61:C62)</f>
        <v>0</v>
      </c>
      <c r="D63" s="197">
        <f>SUM(D61:D62)</f>
        <v>0</v>
      </c>
      <c r="E63" s="195"/>
      <c r="F63" s="204"/>
      <c r="G63" s="204"/>
      <c r="H63" s="198">
        <f>SUM(H62)</f>
        <v>0</v>
      </c>
    </row>
    <row r="64" spans="1:8" ht="15.9" customHeight="1" x14ac:dyDescent="0.25">
      <c r="A64" s="211"/>
      <c r="B64" s="210"/>
      <c r="C64" s="197"/>
      <c r="D64" s="197"/>
      <c r="E64" s="195"/>
      <c r="F64" s="204"/>
      <c r="G64" s="204"/>
      <c r="H64" s="198"/>
    </row>
    <row r="65" spans="1:8" ht="15.9" customHeight="1" x14ac:dyDescent="0.25">
      <c r="A65" s="187" t="s">
        <v>388</v>
      </c>
      <c r="B65" s="188"/>
      <c r="C65" s="197"/>
      <c r="D65" s="197"/>
      <c r="E65" s="195"/>
      <c r="F65" s="204"/>
      <c r="G65" s="204"/>
      <c r="H65" s="198"/>
    </row>
    <row r="66" spans="1:8" ht="15.9" customHeight="1" x14ac:dyDescent="0.25">
      <c r="A66" s="187"/>
      <c r="B66" s="205" t="s">
        <v>389</v>
      </c>
      <c r="C66" s="197">
        <f>'Unallocated Detail (CBR)'!E283</f>
        <v>0</v>
      </c>
      <c r="D66" s="197">
        <f>'Unallocated Detail (CBR)'!F283</f>
        <v>0</v>
      </c>
      <c r="E66" s="195">
        <v>4</v>
      </c>
      <c r="F66" s="139"/>
      <c r="G66" s="139"/>
      <c r="H66" s="198">
        <f>C66+D66</f>
        <v>0</v>
      </c>
    </row>
    <row r="67" spans="1:8" ht="15.9" customHeight="1" x14ac:dyDescent="0.25">
      <c r="A67" s="187"/>
      <c r="B67" s="205" t="s">
        <v>390</v>
      </c>
      <c r="C67" s="200">
        <f>'Unallocated Detail (CBR)'!E284</f>
        <v>0</v>
      </c>
      <c r="D67" s="200">
        <f>'Unallocated Detail (CBR)'!F284</f>
        <v>0</v>
      </c>
      <c r="E67" s="213">
        <v>4</v>
      </c>
      <c r="F67" s="202"/>
      <c r="G67" s="202"/>
      <c r="H67" s="200">
        <f>C67+D67</f>
        <v>0</v>
      </c>
    </row>
    <row r="68" spans="1:8" ht="15.9" customHeight="1" x14ac:dyDescent="0.25">
      <c r="A68" s="214" t="s">
        <v>353</v>
      </c>
      <c r="B68" s="215" t="s">
        <v>357</v>
      </c>
      <c r="C68" s="200">
        <f>SUM(C66:C67)</f>
        <v>0</v>
      </c>
      <c r="D68" s="200">
        <f>SUM(D66:D67)</f>
        <v>0</v>
      </c>
      <c r="E68" s="201"/>
      <c r="F68" s="208"/>
      <c r="G68" s="208"/>
      <c r="H68" s="200">
        <f>SUM(H66:H67)</f>
        <v>0</v>
      </c>
    </row>
    <row r="69" spans="1:8" ht="12" customHeight="1" x14ac:dyDescent="0.25">
      <c r="A69" s="187"/>
      <c r="B69" s="188"/>
      <c r="C69" s="197"/>
      <c r="D69" s="197"/>
      <c r="E69" s="216"/>
      <c r="F69" s="204"/>
      <c r="G69" s="204"/>
      <c r="H69" s="198"/>
    </row>
    <row r="70" spans="1:8" ht="15.9" customHeight="1" x14ac:dyDescent="0.55000000000000004">
      <c r="A70" s="214" t="s">
        <v>391</v>
      </c>
      <c r="B70" s="215"/>
      <c r="C70" s="217">
        <f>C68+C63+C58+C47+C42+C38+C23+C14+C55</f>
        <v>190972537.31</v>
      </c>
      <c r="D70" s="217">
        <f>D68+D63+D58+D47+D42+D38+D23+D14+D55</f>
        <v>102840143.52</v>
      </c>
      <c r="E70" s="218"/>
      <c r="F70" s="218"/>
      <c r="G70" s="219"/>
      <c r="H70" s="217">
        <f>H68+H63+H58+H47+H42+H38+H23+H14+H55</f>
        <v>293812680.82999998</v>
      </c>
    </row>
    <row r="71" spans="1:8" ht="11.25" customHeight="1" x14ac:dyDescent="0.25">
      <c r="C71" s="220"/>
      <c r="D71" s="220"/>
      <c r="E71" s="220"/>
      <c r="F71" s="220"/>
    </row>
    <row r="72" spans="1:8" ht="15.9" customHeight="1" x14ac:dyDescent="0.25">
      <c r="E72" s="221"/>
      <c r="F72" s="222" t="s">
        <v>34</v>
      </c>
      <c r="G72" s="223" t="s">
        <v>33</v>
      </c>
      <c r="H72" s="224"/>
    </row>
    <row r="73" spans="1:8" ht="15.9" customHeight="1" x14ac:dyDescent="0.25">
      <c r="B73" s="225" t="s">
        <v>921</v>
      </c>
      <c r="C73" s="226"/>
      <c r="D73" s="226"/>
      <c r="E73" s="227"/>
      <c r="F73" s="228"/>
      <c r="G73" s="229"/>
      <c r="H73" s="230"/>
    </row>
    <row r="74" spans="1:8" ht="15.9" customHeight="1" x14ac:dyDescent="0.25">
      <c r="B74" s="231">
        <v>1</v>
      </c>
      <c r="C74" s="232" t="s">
        <v>393</v>
      </c>
      <c r="D74" s="233"/>
      <c r="E74" s="234"/>
      <c r="F74" s="235">
        <f>+'Allocators (CBR)'!F67</f>
        <v>0.58189999999999997</v>
      </c>
      <c r="G74" s="236">
        <f>+'Allocators (CBR)'!G67</f>
        <v>0.41810000000000003</v>
      </c>
      <c r="H74" s="236"/>
    </row>
    <row r="75" spans="1:8" ht="15.9" customHeight="1" x14ac:dyDescent="0.25">
      <c r="B75" s="231">
        <v>2</v>
      </c>
      <c r="C75" s="232" t="s">
        <v>394</v>
      </c>
      <c r="D75" s="233"/>
      <c r="E75" s="234"/>
      <c r="F75" s="237">
        <f>+'Allocators (CBR)'!F68</f>
        <v>0.627</v>
      </c>
      <c r="G75" s="234">
        <f>+'Allocators (CBR)'!G68</f>
        <v>0.373</v>
      </c>
      <c r="H75" s="234"/>
    </row>
    <row r="76" spans="1:8" ht="15.9" customHeight="1" x14ac:dyDescent="0.25">
      <c r="B76" s="231">
        <v>3</v>
      </c>
      <c r="C76" s="233" t="s">
        <v>395</v>
      </c>
      <c r="D76" s="233"/>
      <c r="E76" s="234"/>
      <c r="F76" s="237">
        <f>+'Allocators (CBR)'!F69</f>
        <v>0.59089999999999998</v>
      </c>
      <c r="G76" s="234">
        <f>+'Allocators (CBR)'!G69</f>
        <v>0.40910000000000002</v>
      </c>
      <c r="H76" s="234"/>
    </row>
    <row r="77" spans="1:8" ht="15.9" customHeight="1" x14ac:dyDescent="0.25">
      <c r="B77" s="231">
        <v>4</v>
      </c>
      <c r="C77" s="232" t="s">
        <v>396</v>
      </c>
      <c r="D77" s="233"/>
      <c r="E77" s="234"/>
      <c r="F77" s="237">
        <f>+'Allocators (CBR)'!F70</f>
        <v>0.65659999999999996</v>
      </c>
      <c r="G77" s="234">
        <f>+'Allocators (CBR)'!G70</f>
        <v>0.34339999999999998</v>
      </c>
      <c r="H77" s="234"/>
    </row>
    <row r="78" spans="1:8" ht="15.9" customHeight="1" x14ac:dyDescent="0.25">
      <c r="B78" s="213">
        <v>5</v>
      </c>
      <c r="C78" s="238" t="s">
        <v>397</v>
      </c>
      <c r="D78" s="239"/>
      <c r="E78" s="240"/>
      <c r="F78" s="241">
        <f>+'Allocators (CBR)'!F71</f>
        <v>0.72770000000000001</v>
      </c>
      <c r="G78" s="240">
        <f>+'Allocators (CBR)'!G71</f>
        <v>0.27229999999999999</v>
      </c>
      <c r="H78" s="240"/>
    </row>
    <row r="79" spans="1:8" ht="15.9" customHeight="1" x14ac:dyDescent="0.25">
      <c r="A79" s="242"/>
      <c r="C79" s="243"/>
      <c r="D79" s="243"/>
      <c r="E79" s="243"/>
      <c r="F79" s="243"/>
      <c r="G79" s="243"/>
      <c r="H79" s="243"/>
    </row>
    <row r="80" spans="1:8" ht="15.9" customHeight="1" x14ac:dyDescent="0.25">
      <c r="C80" s="243"/>
      <c r="D80" s="243"/>
      <c r="E80" s="243"/>
      <c r="F80" s="243"/>
      <c r="G80" s="243"/>
      <c r="H80" s="24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9" sqref="H29"/>
    </sheetView>
  </sheetViews>
  <sheetFormatPr defaultRowHeight="14.4" x14ac:dyDescent="0.3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workbookViewId="0">
      <pane xSplit="2" ySplit="7" topLeftCell="C22" activePane="bottomRight" state="frozen"/>
      <selection activeCell="H29" sqref="H29"/>
      <selection pane="topRight" activeCell="H29" sqref="H29"/>
      <selection pane="bottomLeft" activeCell="H29" sqref="H29"/>
      <selection pane="bottomRight" activeCell="H29" sqref="H29"/>
    </sheetView>
  </sheetViews>
  <sheetFormatPr defaultColWidth="8.88671875" defaultRowHeight="13.2" x14ac:dyDescent="0.25"/>
  <cols>
    <col min="1" max="1" width="5.44140625" style="60" customWidth="1"/>
    <col min="2" max="2" width="48.44140625" style="60" customWidth="1"/>
    <col min="3" max="3" width="17.44140625" style="60" customWidth="1"/>
    <col min="4" max="4" width="17.109375" style="60" customWidth="1"/>
    <col min="5" max="5" width="13.109375" style="60" customWidth="1"/>
    <col min="6" max="6" width="14.109375" style="60" customWidth="1"/>
    <col min="7" max="7" width="11.88671875" style="60" customWidth="1"/>
    <col min="8" max="8" width="16.44140625" style="60" customWidth="1"/>
    <col min="9" max="10" width="8.88671875" style="60" customWidth="1"/>
    <col min="11" max="16384" width="8.88671875" style="60"/>
  </cols>
  <sheetData>
    <row r="1" spans="1:9" x14ac:dyDescent="0.25">
      <c r="A1" s="59"/>
      <c r="B1" s="59" t="s">
        <v>335</v>
      </c>
      <c r="C1" s="59"/>
      <c r="D1" s="59"/>
      <c r="E1" s="59"/>
      <c r="F1" s="59"/>
      <c r="G1" s="59"/>
      <c r="H1" s="59"/>
    </row>
    <row r="2" spans="1:9" x14ac:dyDescent="0.25">
      <c r="A2" s="61"/>
      <c r="B2" s="61" t="s">
        <v>345</v>
      </c>
      <c r="C2" s="61"/>
      <c r="D2" s="61"/>
      <c r="E2" s="61"/>
      <c r="F2" s="61"/>
      <c r="G2" s="61"/>
      <c r="H2" s="61"/>
    </row>
    <row r="3" spans="1:9" x14ac:dyDescent="0.25">
      <c r="A3" s="61"/>
      <c r="B3" s="61" t="str">
        <f>+'Allocated (CBR)'!A3</f>
        <v>FOR THE YEAR ENDED DECEMBER 31, 2022</v>
      </c>
      <c r="C3" s="61"/>
      <c r="D3" s="61"/>
      <c r="E3" s="61"/>
      <c r="F3" s="61"/>
      <c r="G3" s="61"/>
      <c r="H3" s="61"/>
    </row>
    <row r="4" spans="1:9" x14ac:dyDescent="0.25">
      <c r="A4" s="61"/>
      <c r="B4" s="244" t="str">
        <f>+'Allocated (CBR)'!A4</f>
        <v>(spread is based on allocation factors developed for the December 2022 CBR)</v>
      </c>
      <c r="C4" s="133"/>
      <c r="D4" s="133"/>
      <c r="E4" s="133"/>
      <c r="F4" s="133"/>
      <c r="G4" s="133"/>
      <c r="H4" s="133"/>
    </row>
    <row r="5" spans="1:9" x14ac:dyDescent="0.25">
      <c r="A5" s="110"/>
      <c r="B5" s="311"/>
      <c r="C5" s="311"/>
      <c r="D5" s="311"/>
      <c r="E5" s="311"/>
      <c r="F5" s="311"/>
      <c r="G5" s="311"/>
      <c r="H5" s="311"/>
    </row>
    <row r="7" spans="1:9" ht="26.4" x14ac:dyDescent="0.25">
      <c r="A7" s="62"/>
      <c r="B7" s="63" t="s">
        <v>346</v>
      </c>
      <c r="C7" s="64" t="s">
        <v>347</v>
      </c>
      <c r="D7" s="64" t="s">
        <v>348</v>
      </c>
      <c r="E7" s="65" t="s">
        <v>349</v>
      </c>
      <c r="F7" s="111" t="s">
        <v>887</v>
      </c>
      <c r="G7" s="112" t="s">
        <v>888</v>
      </c>
      <c r="H7" s="64" t="s">
        <v>35</v>
      </c>
    </row>
    <row r="8" spans="1:9" x14ac:dyDescent="0.25">
      <c r="A8" s="66" t="s">
        <v>18</v>
      </c>
      <c r="B8" s="67"/>
      <c r="C8" s="113"/>
      <c r="D8" s="113"/>
      <c r="E8" s="114"/>
      <c r="F8" s="115"/>
      <c r="G8" s="115"/>
      <c r="H8" s="68"/>
    </row>
    <row r="9" spans="1:9" x14ac:dyDescent="0.25">
      <c r="A9" s="66"/>
      <c r="B9" s="69" t="s">
        <v>352</v>
      </c>
      <c r="C9" s="88"/>
      <c r="D9" s="88"/>
      <c r="E9" s="70">
        <v>1</v>
      </c>
      <c r="F9" s="116">
        <f t="shared" ref="F9:G13" si="0">SUMIF($B$67:$B$71,$E9,F$67:F$71)</f>
        <v>0.58189999999999997</v>
      </c>
      <c r="G9" s="116">
        <f t="shared" si="0"/>
        <v>0.41810000000000003</v>
      </c>
      <c r="H9" s="117"/>
      <c r="I9" s="134"/>
    </row>
    <row r="10" spans="1:9" x14ac:dyDescent="0.25">
      <c r="A10" s="66" t="s">
        <v>353</v>
      </c>
      <c r="B10" s="69" t="s">
        <v>354</v>
      </c>
      <c r="C10" s="88"/>
      <c r="D10" s="88"/>
      <c r="E10" s="71">
        <v>2</v>
      </c>
      <c r="F10" s="116">
        <f t="shared" si="0"/>
        <v>0.627</v>
      </c>
      <c r="G10" s="116">
        <f t="shared" si="0"/>
        <v>0.373</v>
      </c>
      <c r="H10" s="68"/>
    </row>
    <row r="11" spans="1:9" x14ac:dyDescent="0.25">
      <c r="A11" s="66" t="s">
        <v>353</v>
      </c>
      <c r="B11" s="69" t="s">
        <v>355</v>
      </c>
      <c r="C11" s="88"/>
      <c r="D11" s="88"/>
      <c r="E11" s="71">
        <v>1</v>
      </c>
      <c r="F11" s="116">
        <f t="shared" si="0"/>
        <v>0.58189999999999997</v>
      </c>
      <c r="G11" s="116">
        <f t="shared" si="0"/>
        <v>0.41810000000000003</v>
      </c>
      <c r="H11" s="68"/>
    </row>
    <row r="12" spans="1:9" x14ac:dyDescent="0.25">
      <c r="A12" s="83" t="s">
        <v>353</v>
      </c>
      <c r="B12" s="130" t="s">
        <v>891</v>
      </c>
      <c r="C12" s="88"/>
      <c r="D12" s="88"/>
      <c r="E12" s="71">
        <v>4</v>
      </c>
      <c r="F12" s="139">
        <f t="shared" si="0"/>
        <v>0.65659999999999996</v>
      </c>
      <c r="G12" s="139">
        <f t="shared" si="0"/>
        <v>0.34339999999999998</v>
      </c>
      <c r="H12" s="82"/>
    </row>
    <row r="13" spans="1:9" x14ac:dyDescent="0.25">
      <c r="A13" s="66" t="s">
        <v>353</v>
      </c>
      <c r="B13" s="69" t="s">
        <v>356</v>
      </c>
      <c r="C13" s="88"/>
      <c r="D13" s="88"/>
      <c r="E13" s="72">
        <v>1</v>
      </c>
      <c r="F13" s="119">
        <f t="shared" si="0"/>
        <v>0.58189999999999997</v>
      </c>
      <c r="G13" s="119">
        <f t="shared" si="0"/>
        <v>0.41810000000000003</v>
      </c>
      <c r="H13" s="68"/>
    </row>
    <row r="14" spans="1:9" x14ac:dyDescent="0.25">
      <c r="A14" s="66" t="s">
        <v>353</v>
      </c>
      <c r="B14" s="67" t="s">
        <v>357</v>
      </c>
      <c r="C14" s="88"/>
      <c r="D14" s="88"/>
      <c r="E14" s="70"/>
      <c r="F14" s="73"/>
      <c r="G14" s="74"/>
      <c r="H14" s="113"/>
    </row>
    <row r="15" spans="1:9" x14ac:dyDescent="0.25">
      <c r="A15" s="66" t="s">
        <v>17</v>
      </c>
      <c r="B15" s="67"/>
      <c r="C15" s="88"/>
      <c r="D15" s="88"/>
      <c r="E15" s="71"/>
      <c r="F15" s="74"/>
      <c r="G15" s="74"/>
      <c r="H15" s="88"/>
    </row>
    <row r="16" spans="1:9" x14ac:dyDescent="0.25">
      <c r="A16" s="66"/>
      <c r="B16" s="69" t="s">
        <v>358</v>
      </c>
      <c r="C16" s="88"/>
      <c r="D16" s="88"/>
      <c r="E16" s="70">
        <v>1</v>
      </c>
      <c r="F16" s="116">
        <f t="shared" ref="F16:G22" si="1">SUMIF($B$67:$B$71,$E16,F$67:F$71)</f>
        <v>0.58189999999999997</v>
      </c>
      <c r="G16" s="116">
        <f t="shared" si="1"/>
        <v>0.41810000000000003</v>
      </c>
      <c r="H16" s="68"/>
    </row>
    <row r="17" spans="1:8" x14ac:dyDescent="0.25">
      <c r="A17" s="66" t="s">
        <v>353</v>
      </c>
      <c r="B17" s="69" t="s">
        <v>359</v>
      </c>
      <c r="C17" s="88"/>
      <c r="D17" s="88"/>
      <c r="E17" s="71">
        <v>1</v>
      </c>
      <c r="F17" s="116">
        <f t="shared" si="1"/>
        <v>0.58189999999999997</v>
      </c>
      <c r="G17" s="116">
        <f t="shared" si="1"/>
        <v>0.41810000000000003</v>
      </c>
      <c r="H17" s="68"/>
    </row>
    <row r="18" spans="1:8" x14ac:dyDescent="0.25">
      <c r="A18" s="66" t="s">
        <v>353</v>
      </c>
      <c r="B18" s="69" t="s">
        <v>360</v>
      </c>
      <c r="C18" s="88"/>
      <c r="D18" s="88"/>
      <c r="E18" s="71">
        <v>1</v>
      </c>
      <c r="F18" s="116">
        <f t="shared" si="1"/>
        <v>0.58189999999999997</v>
      </c>
      <c r="G18" s="116">
        <f t="shared" si="1"/>
        <v>0.41810000000000003</v>
      </c>
      <c r="H18" s="68"/>
    </row>
    <row r="19" spans="1:8" x14ac:dyDescent="0.25">
      <c r="A19" s="66"/>
      <c r="B19" s="69" t="s">
        <v>361</v>
      </c>
      <c r="C19" s="88"/>
      <c r="D19" s="88"/>
      <c r="E19" s="71">
        <v>1</v>
      </c>
      <c r="F19" s="116">
        <f t="shared" si="1"/>
        <v>0.58189999999999997</v>
      </c>
      <c r="G19" s="116">
        <f t="shared" si="1"/>
        <v>0.41810000000000003</v>
      </c>
      <c r="H19" s="68"/>
    </row>
    <row r="20" spans="1:8" x14ac:dyDescent="0.25">
      <c r="A20" s="66" t="s">
        <v>353</v>
      </c>
      <c r="B20" s="69" t="s">
        <v>362</v>
      </c>
      <c r="C20" s="88"/>
      <c r="D20" s="88"/>
      <c r="E20" s="71">
        <v>1</v>
      </c>
      <c r="F20" s="116">
        <f t="shared" si="1"/>
        <v>0.58189999999999997</v>
      </c>
      <c r="G20" s="116">
        <f t="shared" si="1"/>
        <v>0.41810000000000003</v>
      </c>
      <c r="H20" s="68"/>
    </row>
    <row r="21" spans="1:8" x14ac:dyDescent="0.25">
      <c r="A21" s="66"/>
      <c r="B21" s="69" t="s">
        <v>363</v>
      </c>
      <c r="C21" s="88"/>
      <c r="D21" s="88"/>
      <c r="E21" s="71">
        <v>1</v>
      </c>
      <c r="F21" s="116">
        <f t="shared" si="1"/>
        <v>0.58189999999999997</v>
      </c>
      <c r="G21" s="116">
        <f t="shared" si="1"/>
        <v>0.41810000000000003</v>
      </c>
      <c r="H21" s="68"/>
    </row>
    <row r="22" spans="1:8" x14ac:dyDescent="0.25">
      <c r="A22" s="66"/>
      <c r="B22" s="69" t="s">
        <v>364</v>
      </c>
      <c r="C22" s="118"/>
      <c r="D22" s="118"/>
      <c r="E22" s="72">
        <v>1</v>
      </c>
      <c r="F22" s="119">
        <f t="shared" si="1"/>
        <v>0.58189999999999997</v>
      </c>
      <c r="G22" s="119">
        <f t="shared" si="1"/>
        <v>0.41810000000000003</v>
      </c>
      <c r="H22" s="118"/>
    </row>
    <row r="23" spans="1:8" x14ac:dyDescent="0.25">
      <c r="A23" s="66" t="s">
        <v>353</v>
      </c>
      <c r="B23" s="67" t="s">
        <v>357</v>
      </c>
      <c r="C23" s="88"/>
      <c r="D23" s="88"/>
      <c r="E23" s="70"/>
      <c r="F23" s="73"/>
      <c r="G23" s="74"/>
      <c r="H23" s="68"/>
    </row>
    <row r="24" spans="1:8" x14ac:dyDescent="0.25">
      <c r="A24" s="66" t="s">
        <v>15</v>
      </c>
      <c r="B24" s="67"/>
      <c r="C24" s="88"/>
      <c r="D24" s="88"/>
      <c r="E24" s="71"/>
      <c r="F24" s="74"/>
      <c r="G24" s="74"/>
      <c r="H24" s="68"/>
    </row>
    <row r="25" spans="1:8" x14ac:dyDescent="0.25">
      <c r="A25" s="66"/>
      <c r="B25" s="69" t="s">
        <v>365</v>
      </c>
      <c r="C25" s="88"/>
      <c r="D25" s="88"/>
      <c r="E25" s="70">
        <v>4</v>
      </c>
      <c r="F25" s="116">
        <f t="shared" ref="F25:G37" si="2">SUMIF($B$67:$B$71,$E25,F$67:F$71)</f>
        <v>0.65659999999999996</v>
      </c>
      <c r="G25" s="116">
        <f t="shared" si="2"/>
        <v>0.34339999999999998</v>
      </c>
      <c r="H25" s="68"/>
    </row>
    <row r="26" spans="1:8" x14ac:dyDescent="0.25">
      <c r="A26" s="66"/>
      <c r="B26" s="69" t="s">
        <v>366</v>
      </c>
      <c r="C26" s="88"/>
      <c r="D26" s="88"/>
      <c r="E26" s="70">
        <v>4</v>
      </c>
      <c r="F26" s="116">
        <f t="shared" si="2"/>
        <v>0.65659999999999996</v>
      </c>
      <c r="G26" s="116">
        <f t="shared" si="2"/>
        <v>0.34339999999999998</v>
      </c>
      <c r="H26" s="68"/>
    </row>
    <row r="27" spans="1:8" x14ac:dyDescent="0.25">
      <c r="A27" s="66" t="s">
        <v>353</v>
      </c>
      <c r="B27" s="69" t="s">
        <v>367</v>
      </c>
      <c r="C27" s="88"/>
      <c r="D27" s="88"/>
      <c r="E27" s="71">
        <v>4</v>
      </c>
      <c r="F27" s="116">
        <f t="shared" si="2"/>
        <v>0.65659999999999996</v>
      </c>
      <c r="G27" s="116">
        <f t="shared" si="2"/>
        <v>0.34339999999999998</v>
      </c>
      <c r="H27" s="68"/>
    </row>
    <row r="28" spans="1:8" x14ac:dyDescent="0.25">
      <c r="A28" s="66" t="s">
        <v>353</v>
      </c>
      <c r="B28" s="69" t="s">
        <v>368</v>
      </c>
      <c r="C28" s="88"/>
      <c r="D28" s="88"/>
      <c r="E28" s="71">
        <v>4</v>
      </c>
      <c r="F28" s="116">
        <f t="shared" si="2"/>
        <v>0.65659999999999996</v>
      </c>
      <c r="G28" s="116">
        <f t="shared" si="2"/>
        <v>0.34339999999999998</v>
      </c>
      <c r="H28" s="68"/>
    </row>
    <row r="29" spans="1:8" x14ac:dyDescent="0.25">
      <c r="A29" s="66" t="s">
        <v>353</v>
      </c>
      <c r="B29" s="69" t="s">
        <v>369</v>
      </c>
      <c r="C29" s="88"/>
      <c r="D29" s="88"/>
      <c r="E29" s="71">
        <v>3</v>
      </c>
      <c r="F29" s="116">
        <f t="shared" si="2"/>
        <v>0.59089999999999998</v>
      </c>
      <c r="G29" s="116">
        <f t="shared" si="2"/>
        <v>0.40910000000000002</v>
      </c>
      <c r="H29" s="68"/>
    </row>
    <row r="30" spans="1:8" x14ac:dyDescent="0.25">
      <c r="A30" s="66" t="s">
        <v>353</v>
      </c>
      <c r="B30" s="69" t="s">
        <v>370</v>
      </c>
      <c r="C30" s="88"/>
      <c r="D30" s="88"/>
      <c r="E30" s="71">
        <v>1</v>
      </c>
      <c r="F30" s="116">
        <f t="shared" si="2"/>
        <v>0.58189999999999997</v>
      </c>
      <c r="G30" s="116">
        <f t="shared" si="2"/>
        <v>0.41810000000000003</v>
      </c>
      <c r="H30" s="68"/>
    </row>
    <row r="31" spans="1:8" x14ac:dyDescent="0.25">
      <c r="A31" s="66" t="s">
        <v>353</v>
      </c>
      <c r="B31" s="69" t="s">
        <v>371</v>
      </c>
      <c r="C31" s="88"/>
      <c r="D31" s="88"/>
      <c r="E31" s="71">
        <v>5</v>
      </c>
      <c r="F31" s="116">
        <f t="shared" si="2"/>
        <v>0.72770000000000001</v>
      </c>
      <c r="G31" s="116">
        <f t="shared" si="2"/>
        <v>0.27229999999999999</v>
      </c>
      <c r="H31" s="68"/>
    </row>
    <row r="32" spans="1:8" x14ac:dyDescent="0.25">
      <c r="A32" s="66"/>
      <c r="B32" s="69" t="s">
        <v>372</v>
      </c>
      <c r="C32" s="88"/>
      <c r="D32" s="88"/>
      <c r="E32" s="71">
        <v>4</v>
      </c>
      <c r="F32" s="116">
        <f t="shared" si="2"/>
        <v>0.65659999999999996</v>
      </c>
      <c r="G32" s="116">
        <f t="shared" si="2"/>
        <v>0.34339999999999998</v>
      </c>
      <c r="H32" s="68"/>
    </row>
    <row r="33" spans="1:8" x14ac:dyDescent="0.25">
      <c r="A33" s="66" t="s">
        <v>353</v>
      </c>
      <c r="B33" s="69" t="s">
        <v>373</v>
      </c>
      <c r="C33" s="88"/>
      <c r="D33" s="88"/>
      <c r="E33" s="71">
        <v>4</v>
      </c>
      <c r="F33" s="116">
        <f t="shared" si="2"/>
        <v>0.65659999999999996</v>
      </c>
      <c r="G33" s="116">
        <f t="shared" si="2"/>
        <v>0.34339999999999998</v>
      </c>
      <c r="H33" s="68"/>
    </row>
    <row r="34" spans="1:8" x14ac:dyDescent="0.25">
      <c r="A34" s="66" t="s">
        <v>353</v>
      </c>
      <c r="B34" s="69" t="s">
        <v>374</v>
      </c>
      <c r="C34" s="88"/>
      <c r="D34" s="88"/>
      <c r="E34" s="71">
        <v>4</v>
      </c>
      <c r="F34" s="116">
        <f t="shared" si="2"/>
        <v>0.65659999999999996</v>
      </c>
      <c r="G34" s="116">
        <f t="shared" si="2"/>
        <v>0.34339999999999998</v>
      </c>
      <c r="H34" s="68"/>
    </row>
    <row r="35" spans="1:8" x14ac:dyDescent="0.25">
      <c r="A35" s="66" t="s">
        <v>353</v>
      </c>
      <c r="B35" s="69" t="s">
        <v>375</v>
      </c>
      <c r="C35" s="88"/>
      <c r="D35" s="88"/>
      <c r="E35" s="71">
        <v>4</v>
      </c>
      <c r="F35" s="116">
        <f t="shared" si="2"/>
        <v>0.65659999999999996</v>
      </c>
      <c r="G35" s="116">
        <f t="shared" si="2"/>
        <v>0.34339999999999998</v>
      </c>
      <c r="H35" s="68"/>
    </row>
    <row r="36" spans="1:8" x14ac:dyDescent="0.25">
      <c r="A36" s="66"/>
      <c r="B36" s="69" t="s">
        <v>376</v>
      </c>
      <c r="C36" s="88"/>
      <c r="D36" s="88"/>
      <c r="E36" s="71">
        <v>4</v>
      </c>
      <c r="F36" s="116">
        <f t="shared" si="2"/>
        <v>0.65659999999999996</v>
      </c>
      <c r="G36" s="116">
        <f t="shared" si="2"/>
        <v>0.34339999999999998</v>
      </c>
      <c r="H36" s="68"/>
    </row>
    <row r="37" spans="1:8" x14ac:dyDescent="0.25">
      <c r="A37" s="66"/>
      <c r="B37" s="69" t="s">
        <v>377</v>
      </c>
      <c r="C37" s="118"/>
      <c r="D37" s="118"/>
      <c r="E37" s="72">
        <v>4</v>
      </c>
      <c r="F37" s="119">
        <f t="shared" si="2"/>
        <v>0.65659999999999996</v>
      </c>
      <c r="G37" s="119">
        <f t="shared" si="2"/>
        <v>0.34339999999999998</v>
      </c>
      <c r="H37" s="118"/>
    </row>
    <row r="38" spans="1:8" x14ac:dyDescent="0.25">
      <c r="A38" s="66" t="s">
        <v>353</v>
      </c>
      <c r="B38" s="67" t="s">
        <v>357</v>
      </c>
      <c r="C38" s="88"/>
      <c r="D38" s="88"/>
      <c r="E38" s="70"/>
      <c r="F38" s="73"/>
      <c r="G38" s="74"/>
      <c r="H38" s="68"/>
    </row>
    <row r="39" spans="1:8" x14ac:dyDescent="0.25">
      <c r="A39" s="66" t="s">
        <v>378</v>
      </c>
      <c r="B39" s="67"/>
      <c r="C39" s="88"/>
      <c r="D39" s="88"/>
      <c r="E39" s="71"/>
      <c r="F39" s="74"/>
      <c r="G39" s="74"/>
      <c r="H39" s="68"/>
    </row>
    <row r="40" spans="1:8" x14ac:dyDescent="0.25">
      <c r="A40" s="66"/>
      <c r="B40" s="69" t="s">
        <v>379</v>
      </c>
      <c r="C40" s="88"/>
      <c r="D40" s="88"/>
      <c r="E40" s="71">
        <v>4</v>
      </c>
      <c r="F40" s="116">
        <f>SUMIF($B$67:$B$71,$E40,F$67:F$71)</f>
        <v>0.65659999999999996</v>
      </c>
      <c r="G40" s="116">
        <f>SUMIF($B$67:$B$71,$E40,G$67:G$71)</f>
        <v>0.34339999999999998</v>
      </c>
      <c r="H40" s="68"/>
    </row>
    <row r="41" spans="1:8" x14ac:dyDescent="0.25">
      <c r="A41" s="66"/>
      <c r="B41" s="76" t="s">
        <v>380</v>
      </c>
      <c r="C41" s="118"/>
      <c r="D41" s="118"/>
      <c r="E41" s="72">
        <v>4</v>
      </c>
      <c r="F41" s="119">
        <f>SUMIF($B$67:$B$71,$E41,F$67:F$71)</f>
        <v>0.65659999999999996</v>
      </c>
      <c r="G41" s="119">
        <f>SUMIF($B$67:$B$71,$E41,G$67:G$71)</f>
        <v>0.34339999999999998</v>
      </c>
      <c r="H41" s="118"/>
    </row>
    <row r="42" spans="1:8" x14ac:dyDescent="0.25">
      <c r="A42" s="66"/>
      <c r="B42" s="67" t="s">
        <v>357</v>
      </c>
      <c r="C42" s="88"/>
      <c r="D42" s="88"/>
      <c r="E42" s="70"/>
      <c r="F42" s="74"/>
      <c r="G42" s="74"/>
      <c r="H42" s="68"/>
    </row>
    <row r="43" spans="1:8" x14ac:dyDescent="0.25">
      <c r="A43" s="66" t="s">
        <v>13</v>
      </c>
      <c r="B43" s="69"/>
      <c r="C43" s="88"/>
      <c r="D43" s="88"/>
      <c r="E43" s="70"/>
      <c r="F43" s="74"/>
      <c r="G43" s="74"/>
      <c r="H43" s="68"/>
    </row>
    <row r="44" spans="1:8" x14ac:dyDescent="0.25">
      <c r="A44" s="66"/>
      <c r="B44" s="69" t="s">
        <v>381</v>
      </c>
      <c r="C44" s="88"/>
      <c r="D44" s="88"/>
      <c r="E44" s="71">
        <v>4</v>
      </c>
      <c r="F44" s="116">
        <f t="shared" ref="F44:G46" si="3">SUMIF($B$67:$B$71,$E44,F$67:F$71)</f>
        <v>0.65659999999999996</v>
      </c>
      <c r="G44" s="116">
        <f t="shared" si="3"/>
        <v>0.34339999999999998</v>
      </c>
      <c r="H44" s="68"/>
    </row>
    <row r="45" spans="1:8" x14ac:dyDescent="0.25">
      <c r="A45" s="66"/>
      <c r="B45" s="69" t="s">
        <v>382</v>
      </c>
      <c r="C45" s="88"/>
      <c r="D45" s="88"/>
      <c r="E45" s="71">
        <v>4</v>
      </c>
      <c r="F45" s="116">
        <f t="shared" si="3"/>
        <v>0.65659999999999996</v>
      </c>
      <c r="G45" s="116">
        <f t="shared" si="3"/>
        <v>0.34339999999999998</v>
      </c>
      <c r="H45" s="68"/>
    </row>
    <row r="46" spans="1:8" x14ac:dyDescent="0.25">
      <c r="A46" s="66"/>
      <c r="B46" s="76" t="s">
        <v>383</v>
      </c>
      <c r="C46" s="118"/>
      <c r="D46" s="118"/>
      <c r="E46" s="72">
        <v>4</v>
      </c>
      <c r="F46" s="119">
        <f t="shared" si="3"/>
        <v>0.65659999999999996</v>
      </c>
      <c r="G46" s="119">
        <f t="shared" si="3"/>
        <v>0.34339999999999998</v>
      </c>
      <c r="H46" s="68"/>
    </row>
    <row r="47" spans="1:8" x14ac:dyDescent="0.25">
      <c r="A47" s="66" t="s">
        <v>353</v>
      </c>
      <c r="B47" s="67" t="s">
        <v>357</v>
      </c>
      <c r="C47" s="88"/>
      <c r="D47" s="88"/>
      <c r="E47" s="70"/>
      <c r="F47" s="74"/>
      <c r="G47" s="74"/>
      <c r="H47" s="120"/>
    </row>
    <row r="48" spans="1:8" x14ac:dyDescent="0.25">
      <c r="A48" s="66" t="s">
        <v>384</v>
      </c>
      <c r="B48" s="67"/>
      <c r="C48" s="88"/>
      <c r="D48" s="88"/>
      <c r="E48" s="71"/>
      <c r="F48" s="74"/>
      <c r="G48" s="74"/>
      <c r="H48" s="68"/>
    </row>
    <row r="49" spans="1:8" x14ac:dyDescent="0.25">
      <c r="A49" s="83"/>
      <c r="B49" s="76" t="s">
        <v>920</v>
      </c>
      <c r="C49" s="88"/>
      <c r="D49" s="88"/>
      <c r="E49" s="71">
        <v>4</v>
      </c>
      <c r="F49" s="116">
        <f>SUMIF($B$67:$B$71,$E49,F$67:F$71)</f>
        <v>0.65659999999999996</v>
      </c>
      <c r="G49" s="116">
        <f>SUMIF($B$67:$B$71,$E49,G$67:G$71)</f>
        <v>0.34339999999999998</v>
      </c>
      <c r="H49" s="68"/>
    </row>
    <row r="50" spans="1:8" x14ac:dyDescent="0.25">
      <c r="A50" s="66"/>
      <c r="B50" s="76" t="s">
        <v>1005</v>
      </c>
      <c r="C50" s="118"/>
      <c r="D50" s="118"/>
      <c r="E50" s="78">
        <v>4</v>
      </c>
      <c r="F50" s="119">
        <f>SUMIF($B$67:$B$71,$E50,F$67:F$71)</f>
        <v>0.65659999999999996</v>
      </c>
      <c r="G50" s="119">
        <f>SUMIF($B$67:$B$71,$E50,G$67:G$71)</f>
        <v>0.34339999999999998</v>
      </c>
      <c r="H50" s="68"/>
    </row>
    <row r="51" spans="1:8" x14ac:dyDescent="0.25">
      <c r="A51" s="66" t="s">
        <v>353</v>
      </c>
      <c r="B51" s="67" t="s">
        <v>357</v>
      </c>
      <c r="C51" s="88"/>
      <c r="D51" s="88"/>
      <c r="E51" s="70"/>
      <c r="F51" s="74"/>
      <c r="G51" s="74"/>
      <c r="H51" s="120"/>
    </row>
    <row r="52" spans="1:8" x14ac:dyDescent="0.25">
      <c r="A52" s="83" t="s">
        <v>385</v>
      </c>
      <c r="B52" s="67"/>
      <c r="C52" s="88"/>
      <c r="D52" s="88"/>
      <c r="E52" s="71"/>
      <c r="F52" s="74"/>
      <c r="G52" s="74"/>
      <c r="H52" s="68"/>
    </row>
    <row r="53" spans="1:8" x14ac:dyDescent="0.25">
      <c r="A53" s="83"/>
      <c r="B53" s="76" t="s">
        <v>326</v>
      </c>
      <c r="C53" s="118"/>
      <c r="D53" s="118"/>
      <c r="E53" s="78">
        <v>4</v>
      </c>
      <c r="F53" s="119">
        <f>SUMIF($B$67:$B$71,$E53,F$67:F$71)</f>
        <v>0.65659999999999996</v>
      </c>
      <c r="G53" s="119">
        <f>SUMIF($B$67:$B$71,$E53,G$67:G$71)</f>
        <v>0.34339999999999998</v>
      </c>
      <c r="H53" s="68"/>
    </row>
    <row r="54" spans="1:8" x14ac:dyDescent="0.25">
      <c r="A54" s="83" t="s">
        <v>353</v>
      </c>
      <c r="B54" s="67" t="s">
        <v>357</v>
      </c>
      <c r="C54" s="88"/>
      <c r="D54" s="88"/>
      <c r="E54" s="71"/>
      <c r="F54" s="74"/>
      <c r="G54" s="74"/>
      <c r="H54" s="120"/>
    </row>
    <row r="55" spans="1:8" x14ac:dyDescent="0.25">
      <c r="A55" s="79" t="s">
        <v>386</v>
      </c>
      <c r="B55" s="77"/>
      <c r="C55" s="88"/>
      <c r="D55" s="88"/>
      <c r="E55" s="80"/>
      <c r="F55" s="81"/>
      <c r="G55" s="81"/>
      <c r="H55" s="68"/>
    </row>
    <row r="56" spans="1:8" x14ac:dyDescent="0.25">
      <c r="A56" s="79"/>
      <c r="B56" s="76" t="s">
        <v>387</v>
      </c>
      <c r="C56" s="118"/>
      <c r="D56" s="118"/>
      <c r="E56" s="78">
        <v>4</v>
      </c>
      <c r="F56" s="119">
        <f>SUMIF($B$67:$B$71,$E56,F$67:F$71)</f>
        <v>0.65659999999999996</v>
      </c>
      <c r="G56" s="119">
        <f>SUMIF($B$67:$B$71,$E56,G$67:G$71)</f>
        <v>0.34339999999999998</v>
      </c>
      <c r="H56" s="121"/>
    </row>
    <row r="57" spans="1:8" x14ac:dyDescent="0.25">
      <c r="A57" s="79"/>
      <c r="B57" s="67" t="s">
        <v>357</v>
      </c>
      <c r="C57" s="88"/>
      <c r="D57" s="88"/>
      <c r="E57" s="70"/>
      <c r="F57" s="74"/>
      <c r="G57" s="74"/>
      <c r="H57" s="68"/>
    </row>
    <row r="58" spans="1:8" x14ac:dyDescent="0.25">
      <c r="A58" s="83" t="s">
        <v>388</v>
      </c>
      <c r="B58" s="67"/>
      <c r="C58" s="88"/>
      <c r="D58" s="88"/>
      <c r="E58" s="71"/>
      <c r="F58" s="74"/>
      <c r="G58" s="74"/>
      <c r="H58" s="68"/>
    </row>
    <row r="59" spans="1:8" x14ac:dyDescent="0.25">
      <c r="A59" s="83"/>
      <c r="B59" s="76" t="s">
        <v>389</v>
      </c>
      <c r="C59" s="88"/>
      <c r="D59" s="88"/>
      <c r="E59" s="71">
        <v>4</v>
      </c>
      <c r="F59" s="116">
        <f>SUMIF($B$67:$B$71,$E59,F$67:F$71)</f>
        <v>0.65659999999999996</v>
      </c>
      <c r="G59" s="116">
        <f>SUMIF($B$67:$B$71,$E59,G$67:G$71)</f>
        <v>0.34339999999999998</v>
      </c>
      <c r="H59" s="68"/>
    </row>
    <row r="60" spans="1:8" x14ac:dyDescent="0.25">
      <c r="A60" s="66"/>
      <c r="B60" s="76" t="s">
        <v>390</v>
      </c>
      <c r="C60" s="118"/>
      <c r="D60" s="118"/>
      <c r="E60" s="72">
        <v>4</v>
      </c>
      <c r="F60" s="119">
        <f>SUMIF($B$67:$B$71,$E60,F$67:F$71)</f>
        <v>0.65659999999999996</v>
      </c>
      <c r="G60" s="119">
        <f>SUMIF($B$67:$B$71,$E60,G$67:G$71)</f>
        <v>0.34339999999999998</v>
      </c>
      <c r="H60" s="121"/>
    </row>
    <row r="61" spans="1:8" x14ac:dyDescent="0.25">
      <c r="A61" s="85" t="s">
        <v>353</v>
      </c>
      <c r="B61" s="86" t="s">
        <v>357</v>
      </c>
      <c r="C61" s="118"/>
      <c r="D61" s="118"/>
      <c r="E61" s="78"/>
      <c r="F61" s="87"/>
      <c r="G61" s="87"/>
      <c r="H61" s="118"/>
    </row>
    <row r="62" spans="1:8" x14ac:dyDescent="0.25">
      <c r="A62" s="66"/>
      <c r="B62" s="67"/>
      <c r="C62" s="88"/>
      <c r="D62" s="88"/>
      <c r="E62" s="88"/>
      <c r="F62" s="74"/>
      <c r="G62" s="74"/>
      <c r="H62" s="68"/>
    </row>
    <row r="63" spans="1:8" ht="16.8" x14ac:dyDescent="0.55000000000000004">
      <c r="A63" s="85" t="s">
        <v>391</v>
      </c>
      <c r="B63" s="86"/>
      <c r="C63" s="89"/>
      <c r="D63" s="89"/>
      <c r="E63" s="89"/>
      <c r="F63" s="90"/>
      <c r="G63" s="91"/>
      <c r="H63" s="89"/>
    </row>
    <row r="64" spans="1:8" x14ac:dyDescent="0.25">
      <c r="C64" s="92"/>
      <c r="D64" s="92"/>
      <c r="E64" s="92"/>
      <c r="F64" s="92"/>
    </row>
    <row r="65" spans="2:10" x14ac:dyDescent="0.25">
      <c r="E65" s="144"/>
      <c r="F65" s="122" t="s">
        <v>34</v>
      </c>
      <c r="G65" s="123" t="s">
        <v>33</v>
      </c>
      <c r="H65" s="138"/>
    </row>
    <row r="66" spans="2:10" x14ac:dyDescent="0.25">
      <c r="B66" s="124" t="s">
        <v>392</v>
      </c>
      <c r="C66" s="125"/>
      <c r="D66" s="125"/>
      <c r="E66" s="143"/>
      <c r="F66" s="140"/>
      <c r="G66" s="141"/>
      <c r="H66" s="142"/>
      <c r="I66" s="270">
        <v>2021</v>
      </c>
      <c r="J66" s="270">
        <v>2021</v>
      </c>
    </row>
    <row r="67" spans="2:10" x14ac:dyDescent="0.25">
      <c r="B67" s="93">
        <v>1</v>
      </c>
      <c r="C67" s="94" t="s">
        <v>393</v>
      </c>
      <c r="D67" s="95"/>
      <c r="E67" s="98"/>
      <c r="F67" s="126">
        <f>[1]Lead!$E$9</f>
        <v>0.58189999999999997</v>
      </c>
      <c r="G67" s="127">
        <f>[1]Lead!$F$9</f>
        <v>0.41810000000000003</v>
      </c>
      <c r="H67" s="127"/>
      <c r="I67" s="271">
        <v>0.58179999999999998</v>
      </c>
      <c r="J67" s="272">
        <v>0.41820000000000002</v>
      </c>
    </row>
    <row r="68" spans="2:10" x14ac:dyDescent="0.25">
      <c r="B68" s="93">
        <v>2</v>
      </c>
      <c r="C68" s="94" t="s">
        <v>394</v>
      </c>
      <c r="D68" s="95"/>
      <c r="E68" s="98"/>
      <c r="F68" s="97">
        <f>[1]Lead!$E$12</f>
        <v>0.627</v>
      </c>
      <c r="G68" s="98">
        <f>[1]Lead!$F$12</f>
        <v>0.373</v>
      </c>
      <c r="H68" s="98"/>
      <c r="I68" s="273">
        <v>0.62690000000000001</v>
      </c>
      <c r="J68" s="274">
        <v>0.37309999999999999</v>
      </c>
    </row>
    <row r="69" spans="2:10" x14ac:dyDescent="0.25">
      <c r="B69" s="93">
        <v>3</v>
      </c>
      <c r="C69" s="95" t="s">
        <v>395</v>
      </c>
      <c r="D69" s="95"/>
      <c r="E69" s="98"/>
      <c r="F69" s="97">
        <f>[1]Lead!$E$19</f>
        <v>0.59089999999999998</v>
      </c>
      <c r="G69" s="98">
        <f>[1]Lead!$F$19</f>
        <v>0.40910000000000002</v>
      </c>
      <c r="H69" s="98"/>
      <c r="I69" s="273">
        <v>0.59189999999999998</v>
      </c>
      <c r="J69" s="274">
        <v>0.40810000000000002</v>
      </c>
    </row>
    <row r="70" spans="2:10" x14ac:dyDescent="0.25">
      <c r="B70" s="93">
        <v>4</v>
      </c>
      <c r="C70" s="94" t="s">
        <v>396</v>
      </c>
      <c r="D70" s="95"/>
      <c r="E70" s="98"/>
      <c r="F70" s="97">
        <f>[1]Lead!$E$35</f>
        <v>0.65659999999999996</v>
      </c>
      <c r="G70" s="98">
        <f>[1]Lead!$F$35</f>
        <v>0.34339999999999998</v>
      </c>
      <c r="H70" s="98"/>
      <c r="I70" s="273">
        <v>0.65980000000000005</v>
      </c>
      <c r="J70" s="274">
        <v>0.3402</v>
      </c>
    </row>
    <row r="71" spans="2:10" x14ac:dyDescent="0.25">
      <c r="B71" s="84">
        <v>5</v>
      </c>
      <c r="C71" s="99" t="s">
        <v>397</v>
      </c>
      <c r="D71" s="100"/>
      <c r="E71" s="102"/>
      <c r="F71" s="101">
        <f>[1]Lead!$E$40</f>
        <v>0.72770000000000001</v>
      </c>
      <c r="G71" s="102">
        <f>[1]Lead!$F$40</f>
        <v>0.27229999999999999</v>
      </c>
      <c r="H71" s="102"/>
      <c r="I71" s="275">
        <v>0.7248</v>
      </c>
      <c r="J71" s="276">
        <v>0.2752</v>
      </c>
    </row>
    <row r="72" spans="2:10" x14ac:dyDescent="0.25">
      <c r="B72" s="128"/>
      <c r="C72" s="128"/>
      <c r="D72" s="128"/>
      <c r="E72" s="128"/>
      <c r="F72" s="128"/>
      <c r="G72" s="128"/>
    </row>
    <row r="73" spans="2:10" x14ac:dyDescent="0.25">
      <c r="C73" s="96"/>
      <c r="D73" s="96"/>
      <c r="E73" s="96"/>
      <c r="F73" s="96"/>
      <c r="G73" s="96"/>
      <c r="H73" s="96"/>
    </row>
  </sheetData>
  <mergeCells count="1">
    <mergeCell ref="B5:H5"/>
  </mergeCells>
  <printOptions headings="1"/>
  <pageMargins left="0.7" right="0.7" top="0.75" bottom="0.75" header="0.3" footer="0.3"/>
  <pageSetup scale="61" fitToHeight="0" orientation="portrait" r:id="rId1"/>
  <headerFooter>
    <oddFooter>&amp;R&amp;"Arial,Regular"&amp;9&amp;A</oddFooter>
  </headerFooter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zoomScale="107" zoomScaleNormal="107" workbookViewId="0">
      <pane xSplit="2" ySplit="2" topLeftCell="G15" activePane="bottomRight" state="frozen"/>
      <selection activeCell="H29" sqref="H29"/>
      <selection pane="topRight" activeCell="H29" sqref="H29"/>
      <selection pane="bottomLeft" activeCell="H29" sqref="H29"/>
      <selection pane="bottomRight" activeCell="H29" sqref="H29"/>
    </sheetView>
  </sheetViews>
  <sheetFormatPr defaultColWidth="8.6640625" defaultRowHeight="14.4" x14ac:dyDescent="0.3"/>
  <cols>
    <col min="1" max="1" width="36.109375" style="245" customWidth="1"/>
    <col min="2" max="2" width="21.5546875" style="245" customWidth="1"/>
    <col min="3" max="4" width="16.109375" style="245" customWidth="1"/>
    <col min="5" max="5" width="14" style="245" customWidth="1"/>
    <col min="6" max="6" width="24.109375" style="245" customWidth="1"/>
    <col min="7" max="7" width="23.5546875" style="245" customWidth="1"/>
    <col min="8" max="10" width="16.109375" style="245" customWidth="1"/>
    <col min="11" max="11" width="14.5546875" style="245" bestFit="1" customWidth="1"/>
    <col min="12" max="12" width="17.5546875" style="245" bestFit="1" customWidth="1"/>
    <col min="13" max="13" width="14" style="245" bestFit="1" customWidth="1"/>
    <col min="14" max="14" width="14.5546875" style="245" bestFit="1" customWidth="1"/>
    <col min="15" max="16384" width="8.6640625" style="245"/>
  </cols>
  <sheetData>
    <row r="1" spans="1:14" ht="21.6" x14ac:dyDescent="0.3">
      <c r="A1" s="250" t="s">
        <v>353</v>
      </c>
      <c r="B1" s="250" t="s">
        <v>353</v>
      </c>
      <c r="C1" s="251" t="s">
        <v>401</v>
      </c>
      <c r="D1" s="251" t="s">
        <v>402</v>
      </c>
      <c r="E1" s="251" t="s">
        <v>894</v>
      </c>
      <c r="F1" s="251" t="s">
        <v>403</v>
      </c>
      <c r="G1" s="251" t="s">
        <v>404</v>
      </c>
      <c r="H1" s="252" t="s">
        <v>405</v>
      </c>
      <c r="I1" s="251" t="s">
        <v>895</v>
      </c>
      <c r="J1" s="251" t="s">
        <v>333</v>
      </c>
    </row>
    <row r="2" spans="1:14" x14ac:dyDescent="0.3">
      <c r="A2" s="250" t="s">
        <v>400</v>
      </c>
      <c r="B2" s="250" t="s">
        <v>353</v>
      </c>
      <c r="C2" s="253" t="s">
        <v>896</v>
      </c>
      <c r="D2" s="253" t="s">
        <v>896</v>
      </c>
      <c r="E2" s="253" t="s">
        <v>896</v>
      </c>
      <c r="F2" s="253" t="s">
        <v>896</v>
      </c>
      <c r="G2" s="253" t="s">
        <v>896</v>
      </c>
      <c r="H2" s="253" t="s">
        <v>896</v>
      </c>
      <c r="I2" s="253" t="s">
        <v>896</v>
      </c>
      <c r="J2" s="253" t="s">
        <v>896</v>
      </c>
      <c r="M2" s="277"/>
      <c r="N2" s="277"/>
    </row>
    <row r="3" spans="1:14" x14ac:dyDescent="0.3">
      <c r="A3" s="254" t="s">
        <v>406</v>
      </c>
      <c r="B3" s="255" t="s">
        <v>407</v>
      </c>
      <c r="C3" s="246">
        <v>-739774555.53999996</v>
      </c>
      <c r="D3" s="246">
        <v>-273180478.75999999</v>
      </c>
      <c r="E3" s="246">
        <v>550006206.49000001</v>
      </c>
      <c r="F3" s="246">
        <v>359344015.20999998</v>
      </c>
      <c r="G3" s="246">
        <v>190662191.28</v>
      </c>
      <c r="H3" s="246">
        <v>-380430540.32999998</v>
      </c>
      <c r="I3" s="246">
        <v>-82518287.480000004</v>
      </c>
      <c r="J3" s="248">
        <v>-462948827.81</v>
      </c>
      <c r="K3" s="283"/>
      <c r="L3" s="283"/>
      <c r="M3" s="291"/>
      <c r="N3" s="291"/>
    </row>
    <row r="4" spans="1:14" x14ac:dyDescent="0.3">
      <c r="A4" s="256" t="s">
        <v>408</v>
      </c>
      <c r="B4" s="257" t="s">
        <v>409</v>
      </c>
      <c r="C4" s="246">
        <v>-490085284.43000001</v>
      </c>
      <c r="D4" s="246">
        <v>-274034224.38</v>
      </c>
      <c r="E4" s="246">
        <v>293812680.82999998</v>
      </c>
      <c r="F4" s="246">
        <v>190304559.28999999</v>
      </c>
      <c r="G4" s="246">
        <v>103508121.54000001</v>
      </c>
      <c r="H4" s="246">
        <v>-299780725.13999999</v>
      </c>
      <c r="I4" s="246">
        <v>-170526102.84</v>
      </c>
      <c r="J4" s="248">
        <v>-470306827.98000002</v>
      </c>
      <c r="M4" s="291"/>
    </row>
    <row r="5" spans="1:14" x14ac:dyDescent="0.3">
      <c r="A5" s="258" t="s">
        <v>410</v>
      </c>
      <c r="B5" s="259" t="s">
        <v>411</v>
      </c>
      <c r="C5" s="246">
        <v>-3178485486.1900001</v>
      </c>
      <c r="D5" s="246">
        <v>-1209636227.72</v>
      </c>
      <c r="E5" s="246"/>
      <c r="F5" s="246"/>
      <c r="G5" s="246"/>
      <c r="H5" s="246">
        <v>-3178485486.1900001</v>
      </c>
      <c r="I5" s="246">
        <v>-1209636227.72</v>
      </c>
      <c r="J5" s="248">
        <v>-4388121713.9099998</v>
      </c>
      <c r="K5" s="292"/>
      <c r="L5" s="292"/>
    </row>
    <row r="6" spans="1:14" x14ac:dyDescent="0.3">
      <c r="A6" s="260" t="s">
        <v>412</v>
      </c>
      <c r="B6" s="261" t="s">
        <v>413</v>
      </c>
      <c r="C6" s="246">
        <v>-2508927601.7399998</v>
      </c>
      <c r="D6" s="246">
        <v>-1205997643.1700001</v>
      </c>
      <c r="E6" s="246"/>
      <c r="F6" s="246"/>
      <c r="G6" s="246"/>
      <c r="H6" s="246">
        <v>-2508927601.7399998</v>
      </c>
      <c r="I6" s="246">
        <v>-1205997643.1700001</v>
      </c>
      <c r="J6" s="248">
        <v>-3714925244.9099998</v>
      </c>
      <c r="K6" s="291"/>
      <c r="L6" s="277"/>
    </row>
    <row r="7" spans="1:14" x14ac:dyDescent="0.3">
      <c r="A7" s="262" t="s">
        <v>414</v>
      </c>
      <c r="B7" s="263" t="s">
        <v>415</v>
      </c>
      <c r="C7" s="246">
        <v>-1381833367.55</v>
      </c>
      <c r="D7" s="246"/>
      <c r="E7" s="246"/>
      <c r="F7" s="246"/>
      <c r="G7" s="246"/>
      <c r="H7" s="246">
        <v>-1381833367.55</v>
      </c>
      <c r="I7" s="246"/>
      <c r="J7" s="248">
        <v>-1381833367.55</v>
      </c>
    </row>
    <row r="8" spans="1:14" x14ac:dyDescent="0.3">
      <c r="A8" s="262" t="s">
        <v>416</v>
      </c>
      <c r="B8" s="263" t="s">
        <v>417</v>
      </c>
      <c r="C8" s="246">
        <v>-1108679410.5799999</v>
      </c>
      <c r="D8" s="246"/>
      <c r="E8" s="246"/>
      <c r="F8" s="246"/>
      <c r="G8" s="246"/>
      <c r="H8" s="246">
        <v>-1108679410.5799999</v>
      </c>
      <c r="I8" s="246"/>
      <c r="J8" s="248">
        <v>-1108679410.5799999</v>
      </c>
    </row>
    <row r="9" spans="1:14" x14ac:dyDescent="0.3">
      <c r="A9" s="262" t="s">
        <v>418</v>
      </c>
      <c r="B9" s="263" t="s">
        <v>419</v>
      </c>
      <c r="C9" s="246">
        <v>-18414823.609999999</v>
      </c>
      <c r="D9" s="246"/>
      <c r="E9" s="246"/>
      <c r="F9" s="246"/>
      <c r="G9" s="246"/>
      <c r="H9" s="246">
        <v>-18414823.609999999</v>
      </c>
      <c r="I9" s="246"/>
      <c r="J9" s="248">
        <v>-18414823.609999999</v>
      </c>
    </row>
    <row r="10" spans="1:14" x14ac:dyDescent="0.3">
      <c r="A10" s="262" t="s">
        <v>420</v>
      </c>
      <c r="B10" s="263" t="s">
        <v>421</v>
      </c>
      <c r="C10" s="246"/>
      <c r="D10" s="246">
        <v>-808377190.04999995</v>
      </c>
      <c r="E10" s="246"/>
      <c r="F10" s="246"/>
      <c r="G10" s="246"/>
      <c r="H10" s="246"/>
      <c r="I10" s="246">
        <v>-808377190.04999995</v>
      </c>
      <c r="J10" s="248">
        <v>-808377190.04999995</v>
      </c>
    </row>
    <row r="11" spans="1:14" x14ac:dyDescent="0.3">
      <c r="A11" s="262" t="s">
        <v>422</v>
      </c>
      <c r="B11" s="263" t="s">
        <v>423</v>
      </c>
      <c r="C11" s="246"/>
      <c r="D11" s="246">
        <v>-377288846.25</v>
      </c>
      <c r="E11" s="246"/>
      <c r="F11" s="246"/>
      <c r="G11" s="246"/>
      <c r="H11" s="246"/>
      <c r="I11" s="246">
        <v>-377288846.25</v>
      </c>
      <c r="J11" s="248">
        <v>-377288846.25</v>
      </c>
    </row>
    <row r="12" spans="1:14" x14ac:dyDescent="0.3">
      <c r="A12" s="262" t="s">
        <v>424</v>
      </c>
      <c r="B12" s="263" t="s">
        <v>425</v>
      </c>
      <c r="C12" s="246"/>
      <c r="D12" s="246">
        <v>-20331606.870000001</v>
      </c>
      <c r="E12" s="246"/>
      <c r="F12" s="246"/>
      <c r="G12" s="246"/>
      <c r="H12" s="246"/>
      <c r="I12" s="246">
        <v>-20331606.870000001</v>
      </c>
      <c r="J12" s="248">
        <v>-20331606.870000001</v>
      </c>
    </row>
    <row r="13" spans="1:14" x14ac:dyDescent="0.3">
      <c r="A13" s="260" t="s">
        <v>426</v>
      </c>
      <c r="B13" s="261" t="s">
        <v>427</v>
      </c>
      <c r="C13" s="246">
        <v>-343676.59</v>
      </c>
      <c r="D13" s="246"/>
      <c r="E13" s="246"/>
      <c r="F13" s="246"/>
      <c r="G13" s="246"/>
      <c r="H13" s="246">
        <v>-343676.59</v>
      </c>
      <c r="I13" s="246"/>
      <c r="J13" s="248">
        <v>-343676.59</v>
      </c>
    </row>
    <row r="14" spans="1:14" x14ac:dyDescent="0.3">
      <c r="A14" s="262" t="s">
        <v>428</v>
      </c>
      <c r="B14" s="263" t="s">
        <v>429</v>
      </c>
      <c r="C14" s="246">
        <v>-343676.59</v>
      </c>
      <c r="D14" s="246"/>
      <c r="E14" s="246"/>
      <c r="F14" s="246"/>
      <c r="G14" s="246"/>
      <c r="H14" s="246">
        <v>-343676.59</v>
      </c>
      <c r="I14" s="246"/>
      <c r="J14" s="248">
        <v>-343676.59</v>
      </c>
      <c r="L14" s="287"/>
    </row>
    <row r="15" spans="1:14" x14ac:dyDescent="0.3">
      <c r="A15" s="260" t="s">
        <v>430</v>
      </c>
      <c r="B15" s="261" t="s">
        <v>431</v>
      </c>
      <c r="C15" s="246">
        <v>-546617002.22000003</v>
      </c>
      <c r="D15" s="246"/>
      <c r="E15" s="246"/>
      <c r="F15" s="246"/>
      <c r="G15" s="246"/>
      <c r="H15" s="246">
        <v>-546617002.22000003</v>
      </c>
      <c r="I15" s="246"/>
      <c r="J15" s="248">
        <v>-546617002.22000003</v>
      </c>
    </row>
    <row r="16" spans="1:14" x14ac:dyDescent="0.3">
      <c r="A16" s="262" t="s">
        <v>432</v>
      </c>
      <c r="B16" s="263" t="s">
        <v>433</v>
      </c>
      <c r="C16" s="246">
        <v>-329588903.31</v>
      </c>
      <c r="D16" s="246"/>
      <c r="E16" s="246"/>
      <c r="F16" s="246"/>
      <c r="G16" s="246"/>
      <c r="H16" s="246">
        <v>-329588903.31</v>
      </c>
      <c r="I16" s="246"/>
      <c r="J16" s="248">
        <v>-329588903.31</v>
      </c>
    </row>
    <row r="17" spans="1:10" x14ac:dyDescent="0.3">
      <c r="A17" s="262" t="s">
        <v>434</v>
      </c>
      <c r="B17" s="263" t="s">
        <v>435</v>
      </c>
      <c r="C17" s="246">
        <v>-217028098.91</v>
      </c>
      <c r="D17" s="246"/>
      <c r="E17" s="246"/>
      <c r="F17" s="246"/>
      <c r="G17" s="246"/>
      <c r="H17" s="246">
        <v>-217028098.91</v>
      </c>
      <c r="I17" s="246"/>
      <c r="J17" s="248">
        <v>-217028098.91</v>
      </c>
    </row>
    <row r="18" spans="1:10" x14ac:dyDescent="0.3">
      <c r="A18" s="260" t="s">
        <v>436</v>
      </c>
      <c r="B18" s="261" t="s">
        <v>437</v>
      </c>
      <c r="C18" s="246">
        <v>-122597205.64</v>
      </c>
      <c r="D18" s="246">
        <v>-3638584.55</v>
      </c>
      <c r="E18" s="246"/>
      <c r="F18" s="246"/>
      <c r="G18" s="246"/>
      <c r="H18" s="246">
        <v>-122597205.64</v>
      </c>
      <c r="I18" s="246">
        <v>-3638584.55</v>
      </c>
      <c r="J18" s="248">
        <v>-126235790.19</v>
      </c>
    </row>
    <row r="19" spans="1:10" x14ac:dyDescent="0.3">
      <c r="A19" s="262" t="s">
        <v>438</v>
      </c>
      <c r="B19" s="263" t="s">
        <v>439</v>
      </c>
      <c r="C19" s="246">
        <v>1091.73</v>
      </c>
      <c r="D19" s="246"/>
      <c r="E19" s="246"/>
      <c r="F19" s="246"/>
      <c r="G19" s="246"/>
      <c r="H19" s="246">
        <v>1091.73</v>
      </c>
      <c r="I19" s="246"/>
      <c r="J19" s="248">
        <v>1091.73</v>
      </c>
    </row>
    <row r="20" spans="1:10" x14ac:dyDescent="0.3">
      <c r="A20" s="262" t="s">
        <v>440</v>
      </c>
      <c r="B20" s="263" t="s">
        <v>441</v>
      </c>
      <c r="C20" s="246">
        <v>-14470160.359999999</v>
      </c>
      <c r="D20" s="246"/>
      <c r="E20" s="246"/>
      <c r="F20" s="246"/>
      <c r="G20" s="246"/>
      <c r="H20" s="246">
        <v>-14470160.359999999</v>
      </c>
      <c r="I20" s="246"/>
      <c r="J20" s="248">
        <v>-14470160.359999999</v>
      </c>
    </row>
    <row r="21" spans="1:10" x14ac:dyDescent="0.3">
      <c r="A21" s="262" t="s">
        <v>442</v>
      </c>
      <c r="B21" s="263" t="s">
        <v>443</v>
      </c>
      <c r="C21" s="246">
        <v>-19386737.890000001</v>
      </c>
      <c r="D21" s="246"/>
      <c r="E21" s="246"/>
      <c r="F21" s="246"/>
      <c r="G21" s="246"/>
      <c r="H21" s="246">
        <v>-19386737.890000001</v>
      </c>
      <c r="I21" s="246"/>
      <c r="J21" s="248">
        <v>-19386737.890000001</v>
      </c>
    </row>
    <row r="22" spans="1:10" x14ac:dyDescent="0.3">
      <c r="A22" s="262" t="s">
        <v>444</v>
      </c>
      <c r="B22" s="263" t="s">
        <v>445</v>
      </c>
      <c r="C22" s="246">
        <v>-36229674.509999998</v>
      </c>
      <c r="D22" s="246"/>
      <c r="E22" s="246"/>
      <c r="F22" s="246"/>
      <c r="G22" s="246"/>
      <c r="H22" s="246">
        <v>-36229674.509999998</v>
      </c>
      <c r="I22" s="246"/>
      <c r="J22" s="248">
        <v>-36229674.509999998</v>
      </c>
    </row>
    <row r="23" spans="1:10" x14ac:dyDescent="0.3">
      <c r="A23" s="262" t="s">
        <v>446</v>
      </c>
      <c r="B23" s="263" t="s">
        <v>447</v>
      </c>
      <c r="C23" s="246">
        <v>-52511724.609999999</v>
      </c>
      <c r="D23" s="246"/>
      <c r="E23" s="246"/>
      <c r="F23" s="246"/>
      <c r="G23" s="246"/>
      <c r="H23" s="246">
        <v>-52511724.609999999</v>
      </c>
      <c r="I23" s="246"/>
      <c r="J23" s="248">
        <v>-52511724.609999999</v>
      </c>
    </row>
    <row r="24" spans="1:10" x14ac:dyDescent="0.3">
      <c r="A24" s="262" t="s">
        <v>448</v>
      </c>
      <c r="B24" s="263" t="s">
        <v>449</v>
      </c>
      <c r="C24" s="246"/>
      <c r="D24" s="246">
        <v>70.84</v>
      </c>
      <c r="E24" s="246"/>
      <c r="F24" s="246"/>
      <c r="G24" s="246"/>
      <c r="H24" s="246"/>
      <c r="I24" s="246">
        <v>70.84</v>
      </c>
      <c r="J24" s="248">
        <v>70.84</v>
      </c>
    </row>
    <row r="25" spans="1:10" x14ac:dyDescent="0.3">
      <c r="A25" s="262" t="s">
        <v>450</v>
      </c>
      <c r="B25" s="263" t="s">
        <v>451</v>
      </c>
      <c r="C25" s="246"/>
      <c r="D25" s="246">
        <v>-1984119.82</v>
      </c>
      <c r="E25" s="246"/>
      <c r="F25" s="246"/>
      <c r="G25" s="246"/>
      <c r="H25" s="246"/>
      <c r="I25" s="246">
        <v>-1984119.82</v>
      </c>
      <c r="J25" s="248">
        <v>-1984119.82</v>
      </c>
    </row>
    <row r="26" spans="1:10" x14ac:dyDescent="0.3">
      <c r="A26" s="262" t="s">
        <v>452</v>
      </c>
      <c r="B26" s="263" t="s">
        <v>453</v>
      </c>
      <c r="C26" s="246"/>
      <c r="D26" s="246">
        <v>-2397440.31</v>
      </c>
      <c r="E26" s="246"/>
      <c r="F26" s="246"/>
      <c r="G26" s="246"/>
      <c r="H26" s="246"/>
      <c r="I26" s="246">
        <v>-2397440.31</v>
      </c>
      <c r="J26" s="248">
        <v>-2397440.31</v>
      </c>
    </row>
    <row r="27" spans="1:10" x14ac:dyDescent="0.3">
      <c r="A27" s="262" t="s">
        <v>454</v>
      </c>
      <c r="B27" s="263" t="s">
        <v>455</v>
      </c>
      <c r="C27" s="246"/>
      <c r="D27" s="246">
        <v>-9832.14</v>
      </c>
      <c r="E27" s="246"/>
      <c r="F27" s="246"/>
      <c r="G27" s="246"/>
      <c r="H27" s="246"/>
      <c r="I27" s="246">
        <v>-9832.14</v>
      </c>
      <c r="J27" s="248">
        <v>-9832.14</v>
      </c>
    </row>
    <row r="28" spans="1:10" x14ac:dyDescent="0.3">
      <c r="A28" s="262" t="s">
        <v>456</v>
      </c>
      <c r="B28" s="263" t="s">
        <v>457</v>
      </c>
      <c r="C28" s="246"/>
      <c r="D28" s="246">
        <v>752736.88</v>
      </c>
      <c r="E28" s="246"/>
      <c r="F28" s="246"/>
      <c r="G28" s="246"/>
      <c r="H28" s="246"/>
      <c r="I28" s="246">
        <v>752736.88</v>
      </c>
      <c r="J28" s="248">
        <v>752736.88</v>
      </c>
    </row>
    <row r="29" spans="1:10" x14ac:dyDescent="0.3">
      <c r="A29" s="258" t="s">
        <v>458</v>
      </c>
      <c r="B29" s="259" t="s">
        <v>411</v>
      </c>
      <c r="C29" s="246">
        <v>2688400201.7600002</v>
      </c>
      <c r="D29" s="246">
        <v>935602003.34000003</v>
      </c>
      <c r="E29" s="246">
        <v>293812680.82999998</v>
      </c>
      <c r="F29" s="246">
        <v>190304559.28999999</v>
      </c>
      <c r="G29" s="246">
        <v>103508121.54000001</v>
      </c>
      <c r="H29" s="246">
        <v>2878704761.0500002</v>
      </c>
      <c r="I29" s="246">
        <v>1039110124.88</v>
      </c>
      <c r="J29" s="248">
        <v>3917814885.9299998</v>
      </c>
    </row>
    <row r="30" spans="1:10" x14ac:dyDescent="0.3">
      <c r="A30" s="260" t="s">
        <v>459</v>
      </c>
      <c r="B30" s="261" t="s">
        <v>460</v>
      </c>
      <c r="C30" s="246">
        <v>1524233520.02</v>
      </c>
      <c r="D30" s="246">
        <v>500848710.37</v>
      </c>
      <c r="E30" s="246"/>
      <c r="F30" s="246"/>
      <c r="G30" s="246"/>
      <c r="H30" s="246">
        <v>1524233520.02</v>
      </c>
      <c r="I30" s="246">
        <v>500848710.37</v>
      </c>
      <c r="J30" s="248">
        <v>2025082230.3900001</v>
      </c>
    </row>
    <row r="31" spans="1:10" x14ac:dyDescent="0.3">
      <c r="A31" s="264" t="s">
        <v>461</v>
      </c>
      <c r="B31" s="263" t="s">
        <v>462</v>
      </c>
      <c r="C31" s="246">
        <v>348159303.04000002</v>
      </c>
      <c r="D31" s="246"/>
      <c r="E31" s="246"/>
      <c r="F31" s="246"/>
      <c r="G31" s="246"/>
      <c r="H31" s="246">
        <v>348159303.04000002</v>
      </c>
      <c r="I31" s="246"/>
      <c r="J31" s="248">
        <v>348159303.04000002</v>
      </c>
    </row>
    <row r="32" spans="1:10" x14ac:dyDescent="0.3">
      <c r="A32" s="265" t="s">
        <v>463</v>
      </c>
      <c r="B32" s="263" t="s">
        <v>464</v>
      </c>
      <c r="C32" s="246">
        <v>57889027.399999999</v>
      </c>
      <c r="D32" s="246"/>
      <c r="E32" s="246"/>
      <c r="F32" s="246"/>
      <c r="G32" s="246"/>
      <c r="H32" s="246">
        <v>57889027.399999999</v>
      </c>
      <c r="I32" s="246"/>
      <c r="J32" s="248">
        <v>57889027.399999999</v>
      </c>
    </row>
    <row r="33" spans="1:10" x14ac:dyDescent="0.3">
      <c r="A33" s="265" t="s">
        <v>465</v>
      </c>
      <c r="B33" s="263" t="s">
        <v>466</v>
      </c>
      <c r="C33" s="246">
        <v>290270275.63999999</v>
      </c>
      <c r="D33" s="246"/>
      <c r="E33" s="246"/>
      <c r="F33" s="246"/>
      <c r="G33" s="246"/>
      <c r="H33" s="246">
        <v>290270275.63999999</v>
      </c>
      <c r="I33" s="246"/>
      <c r="J33" s="248">
        <v>290270275.63999999</v>
      </c>
    </row>
    <row r="34" spans="1:10" x14ac:dyDescent="0.3">
      <c r="A34" s="264" t="s">
        <v>467</v>
      </c>
      <c r="B34" s="263" t="s">
        <v>468</v>
      </c>
      <c r="C34" s="246">
        <v>1108872530.4100001</v>
      </c>
      <c r="D34" s="246">
        <v>500848710.37</v>
      </c>
      <c r="E34" s="246"/>
      <c r="F34" s="246"/>
      <c r="G34" s="246"/>
      <c r="H34" s="246">
        <v>1108872530.4100001</v>
      </c>
      <c r="I34" s="246">
        <v>500848710.37</v>
      </c>
      <c r="J34" s="248">
        <v>1609721240.78</v>
      </c>
    </row>
    <row r="35" spans="1:10" x14ac:dyDescent="0.3">
      <c r="A35" s="265" t="s">
        <v>469</v>
      </c>
      <c r="B35" s="263" t="s">
        <v>470</v>
      </c>
      <c r="C35" s="246">
        <v>1120722592.8800001</v>
      </c>
      <c r="D35" s="246"/>
      <c r="E35" s="246"/>
      <c r="F35" s="246"/>
      <c r="G35" s="246"/>
      <c r="H35" s="246">
        <v>1120722592.8800001</v>
      </c>
      <c r="I35" s="246"/>
      <c r="J35" s="248">
        <v>1120722592.8800001</v>
      </c>
    </row>
    <row r="36" spans="1:10" x14ac:dyDescent="0.3">
      <c r="A36" s="265" t="s">
        <v>471</v>
      </c>
      <c r="B36" s="263" t="s">
        <v>472</v>
      </c>
      <c r="C36" s="246">
        <v>-11850062.470000001</v>
      </c>
      <c r="D36" s="246"/>
      <c r="E36" s="246"/>
      <c r="F36" s="246"/>
      <c r="G36" s="246"/>
      <c r="H36" s="246">
        <v>-11850062.470000001</v>
      </c>
      <c r="I36" s="246"/>
      <c r="J36" s="248">
        <v>-11850062.470000001</v>
      </c>
    </row>
    <row r="37" spans="1:10" x14ac:dyDescent="0.3">
      <c r="A37" s="265" t="s">
        <v>473</v>
      </c>
      <c r="B37" s="263" t="s">
        <v>474</v>
      </c>
      <c r="C37" s="246"/>
      <c r="D37" s="246">
        <v>488213853.85000002</v>
      </c>
      <c r="E37" s="246"/>
      <c r="F37" s="246"/>
      <c r="G37" s="246"/>
      <c r="H37" s="246"/>
      <c r="I37" s="246">
        <v>488213853.85000002</v>
      </c>
      <c r="J37" s="248">
        <v>488213853.85000002</v>
      </c>
    </row>
    <row r="38" spans="1:10" x14ac:dyDescent="0.3">
      <c r="A38" s="265" t="s">
        <v>475</v>
      </c>
      <c r="B38" s="263" t="s">
        <v>476</v>
      </c>
      <c r="C38" s="246"/>
      <c r="D38" s="246">
        <v>1315000</v>
      </c>
      <c r="E38" s="246"/>
      <c r="F38" s="246"/>
      <c r="G38" s="246"/>
      <c r="H38" s="246"/>
      <c r="I38" s="246">
        <v>1315000</v>
      </c>
      <c r="J38" s="248">
        <v>1315000</v>
      </c>
    </row>
    <row r="39" spans="1:10" x14ac:dyDescent="0.3">
      <c r="A39" s="265" t="s">
        <v>477</v>
      </c>
      <c r="B39" s="263" t="s">
        <v>478</v>
      </c>
      <c r="C39" s="246"/>
      <c r="D39" s="246">
        <v>39037247.270000003</v>
      </c>
      <c r="E39" s="246"/>
      <c r="F39" s="246"/>
      <c r="G39" s="246"/>
      <c r="H39" s="246"/>
      <c r="I39" s="246">
        <v>39037247.270000003</v>
      </c>
      <c r="J39" s="248">
        <v>39037247.270000003</v>
      </c>
    </row>
    <row r="40" spans="1:10" x14ac:dyDescent="0.3">
      <c r="A40" s="265" t="s">
        <v>479</v>
      </c>
      <c r="B40" s="263" t="s">
        <v>480</v>
      </c>
      <c r="C40" s="246"/>
      <c r="D40" s="246">
        <v>65884347.799999997</v>
      </c>
      <c r="E40" s="246"/>
      <c r="F40" s="246"/>
      <c r="G40" s="246"/>
      <c r="H40" s="246"/>
      <c r="I40" s="246">
        <v>65884347.799999997</v>
      </c>
      <c r="J40" s="248">
        <v>65884347.799999997</v>
      </c>
    </row>
    <row r="41" spans="1:10" x14ac:dyDescent="0.3">
      <c r="A41" s="265" t="s">
        <v>481</v>
      </c>
      <c r="B41" s="263" t="s">
        <v>482</v>
      </c>
      <c r="C41" s="246"/>
      <c r="D41" s="246">
        <v>-93601738.549999997</v>
      </c>
      <c r="E41" s="246"/>
      <c r="F41" s="246"/>
      <c r="G41" s="246"/>
      <c r="H41" s="246"/>
      <c r="I41" s="246">
        <v>-93601738.549999997</v>
      </c>
      <c r="J41" s="248">
        <v>-93601738.549999997</v>
      </c>
    </row>
    <row r="42" spans="1:10" x14ac:dyDescent="0.3">
      <c r="A42" s="264" t="s">
        <v>483</v>
      </c>
      <c r="B42" s="263" t="s">
        <v>484</v>
      </c>
      <c r="C42" s="246">
        <v>144916421.78999999</v>
      </c>
      <c r="D42" s="246"/>
      <c r="E42" s="246"/>
      <c r="F42" s="246"/>
      <c r="G42" s="246"/>
      <c r="H42" s="246">
        <v>144916421.78999999</v>
      </c>
      <c r="I42" s="246"/>
      <c r="J42" s="248">
        <v>144916421.78999999</v>
      </c>
    </row>
    <row r="43" spans="1:10" x14ac:dyDescent="0.3">
      <c r="A43" s="265" t="s">
        <v>485</v>
      </c>
      <c r="B43" s="263" t="s">
        <v>486</v>
      </c>
      <c r="C43" s="246">
        <v>144916421.78999999</v>
      </c>
      <c r="D43" s="246"/>
      <c r="E43" s="246"/>
      <c r="F43" s="246"/>
      <c r="G43" s="246"/>
      <c r="H43" s="246">
        <v>144916421.78999999</v>
      </c>
      <c r="I43" s="246"/>
      <c r="J43" s="248">
        <v>144916421.78999999</v>
      </c>
    </row>
    <row r="44" spans="1:10" x14ac:dyDescent="0.3">
      <c r="A44" s="264" t="s">
        <v>487</v>
      </c>
      <c r="B44" s="263" t="s">
        <v>488</v>
      </c>
      <c r="C44" s="246">
        <v>-77714735.219999999</v>
      </c>
      <c r="D44" s="246"/>
      <c r="E44" s="246"/>
      <c r="F44" s="246"/>
      <c r="G44" s="246"/>
      <c r="H44" s="246">
        <v>-77714735.219999999</v>
      </c>
      <c r="I44" s="246"/>
      <c r="J44" s="248">
        <v>-77714735.219999999</v>
      </c>
    </row>
    <row r="45" spans="1:10" x14ac:dyDescent="0.3">
      <c r="A45" s="265" t="s">
        <v>489</v>
      </c>
      <c r="B45" s="263" t="s">
        <v>490</v>
      </c>
      <c r="C45" s="246">
        <v>-77714735.219999999</v>
      </c>
      <c r="D45" s="246"/>
      <c r="E45" s="246"/>
      <c r="F45" s="246"/>
      <c r="G45" s="246"/>
      <c r="H45" s="246">
        <v>-77714735.219999999</v>
      </c>
      <c r="I45" s="246"/>
      <c r="J45" s="248">
        <v>-77714735.219999999</v>
      </c>
    </row>
    <row r="46" spans="1:10" x14ac:dyDescent="0.3">
      <c r="A46" s="260" t="s">
        <v>491</v>
      </c>
      <c r="B46" s="261" t="s">
        <v>492</v>
      </c>
      <c r="C46" s="246">
        <v>474916506.76999998</v>
      </c>
      <c r="D46" s="246">
        <v>124828598.89</v>
      </c>
      <c r="E46" s="246">
        <v>185565837.56999999</v>
      </c>
      <c r="F46" s="246">
        <v>118980451.17</v>
      </c>
      <c r="G46" s="246">
        <v>66585386.399999999</v>
      </c>
      <c r="H46" s="246">
        <v>593896957.94000006</v>
      </c>
      <c r="I46" s="246">
        <v>191413985.28999999</v>
      </c>
      <c r="J46" s="248">
        <v>785310943.23000002</v>
      </c>
    </row>
    <row r="47" spans="1:10" x14ac:dyDescent="0.3">
      <c r="A47" s="264" t="s">
        <v>493</v>
      </c>
      <c r="B47" s="263" t="s">
        <v>494</v>
      </c>
      <c r="C47" s="246">
        <v>116594846.31999999</v>
      </c>
      <c r="D47" s="246">
        <v>7410984.3899999997</v>
      </c>
      <c r="E47" s="246"/>
      <c r="F47" s="246"/>
      <c r="G47" s="246"/>
      <c r="H47" s="246">
        <v>116594846.31999999</v>
      </c>
      <c r="I47" s="246">
        <v>7410984.3899999997</v>
      </c>
      <c r="J47" s="248">
        <v>124005830.70999999</v>
      </c>
    </row>
    <row r="48" spans="1:10" x14ac:dyDescent="0.3">
      <c r="A48" s="265" t="s">
        <v>495</v>
      </c>
      <c r="B48" s="263" t="s">
        <v>496</v>
      </c>
      <c r="C48" s="246">
        <v>1386767.46</v>
      </c>
      <c r="D48" s="246"/>
      <c r="E48" s="246"/>
      <c r="F48" s="246"/>
      <c r="G48" s="246"/>
      <c r="H48" s="246">
        <v>1386767.46</v>
      </c>
      <c r="I48" s="246"/>
      <c r="J48" s="248">
        <v>1386767.46</v>
      </c>
    </row>
    <row r="49" spans="1:10" x14ac:dyDescent="0.3">
      <c r="A49" s="265" t="s">
        <v>497</v>
      </c>
      <c r="B49" s="263" t="s">
        <v>498</v>
      </c>
      <c r="C49" s="246">
        <v>6461529.5800000001</v>
      </c>
      <c r="D49" s="246"/>
      <c r="E49" s="246"/>
      <c r="F49" s="246"/>
      <c r="G49" s="246"/>
      <c r="H49" s="246">
        <v>6461529.5800000001</v>
      </c>
      <c r="I49" s="246"/>
      <c r="J49" s="248">
        <v>6461529.5800000001</v>
      </c>
    </row>
    <row r="50" spans="1:10" x14ac:dyDescent="0.3">
      <c r="A50" s="265" t="s">
        <v>499</v>
      </c>
      <c r="B50" s="263" t="s">
        <v>500</v>
      </c>
      <c r="C50" s="246">
        <v>1850235.17</v>
      </c>
      <c r="D50" s="246"/>
      <c r="E50" s="246"/>
      <c r="F50" s="246"/>
      <c r="G50" s="246"/>
      <c r="H50" s="246">
        <v>1850235.17</v>
      </c>
      <c r="I50" s="246"/>
      <c r="J50" s="248">
        <v>1850235.17</v>
      </c>
    </row>
    <row r="51" spans="1:10" x14ac:dyDescent="0.3">
      <c r="A51" s="265" t="s">
        <v>501</v>
      </c>
      <c r="B51" s="263" t="s">
        <v>502</v>
      </c>
      <c r="C51" s="246">
        <v>9838218.3900000006</v>
      </c>
      <c r="D51" s="246"/>
      <c r="E51" s="246"/>
      <c r="F51" s="246"/>
      <c r="G51" s="246"/>
      <c r="H51" s="246">
        <v>9838218.3900000006</v>
      </c>
      <c r="I51" s="246"/>
      <c r="J51" s="248">
        <v>9838218.3900000006</v>
      </c>
    </row>
    <row r="52" spans="1:10" x14ac:dyDescent="0.3">
      <c r="A52" s="265" t="s">
        <v>504</v>
      </c>
      <c r="B52" s="263" t="s">
        <v>505</v>
      </c>
      <c r="C52" s="246">
        <v>1027118.77</v>
      </c>
      <c r="D52" s="246"/>
      <c r="E52" s="246"/>
      <c r="F52" s="246"/>
      <c r="G52" s="246"/>
      <c r="H52" s="246">
        <v>1027118.77</v>
      </c>
      <c r="I52" s="246"/>
      <c r="J52" s="248">
        <v>1027118.77</v>
      </c>
    </row>
    <row r="53" spans="1:10" x14ac:dyDescent="0.3">
      <c r="A53" s="265" t="s">
        <v>506</v>
      </c>
      <c r="B53" s="263" t="s">
        <v>507</v>
      </c>
      <c r="C53" s="246">
        <v>1572490.9</v>
      </c>
      <c r="D53" s="246"/>
      <c r="E53" s="246"/>
      <c r="F53" s="246"/>
      <c r="G53" s="246"/>
      <c r="H53" s="246">
        <v>1572490.9</v>
      </c>
      <c r="I53" s="246"/>
      <c r="J53" s="248">
        <v>1572490.9</v>
      </c>
    </row>
    <row r="54" spans="1:10" x14ac:dyDescent="0.3">
      <c r="A54" s="265" t="s">
        <v>508</v>
      </c>
      <c r="B54" s="263" t="s">
        <v>509</v>
      </c>
      <c r="C54" s="246">
        <v>10200515.51</v>
      </c>
      <c r="D54" s="246"/>
      <c r="E54" s="246"/>
      <c r="F54" s="246"/>
      <c r="G54" s="246"/>
      <c r="H54" s="246">
        <v>10200515.51</v>
      </c>
      <c r="I54" s="246"/>
      <c r="J54" s="248">
        <v>10200515.51</v>
      </c>
    </row>
    <row r="55" spans="1:10" x14ac:dyDescent="0.3">
      <c r="A55" s="265" t="s">
        <v>510</v>
      </c>
      <c r="B55" s="263" t="s">
        <v>511</v>
      </c>
      <c r="C55" s="246">
        <v>3777527.02</v>
      </c>
      <c r="D55" s="246"/>
      <c r="E55" s="246"/>
      <c r="F55" s="246"/>
      <c r="G55" s="246"/>
      <c r="H55" s="246">
        <v>3777527.02</v>
      </c>
      <c r="I55" s="246"/>
      <c r="J55" s="248">
        <v>3777527.02</v>
      </c>
    </row>
    <row r="56" spans="1:10" x14ac:dyDescent="0.3">
      <c r="A56" s="265" t="s">
        <v>512</v>
      </c>
      <c r="B56" s="263" t="s">
        <v>513</v>
      </c>
      <c r="C56" s="246">
        <v>1652630.3</v>
      </c>
      <c r="D56" s="246"/>
      <c r="E56" s="246"/>
      <c r="F56" s="246"/>
      <c r="G56" s="246"/>
      <c r="H56" s="246">
        <v>1652630.3</v>
      </c>
      <c r="I56" s="246"/>
      <c r="J56" s="248">
        <v>1652630.3</v>
      </c>
    </row>
    <row r="57" spans="1:10" x14ac:dyDescent="0.3">
      <c r="A57" s="265" t="s">
        <v>514</v>
      </c>
      <c r="B57" s="263" t="s">
        <v>515</v>
      </c>
      <c r="C57" s="246">
        <v>1838698.07</v>
      </c>
      <c r="D57" s="246"/>
      <c r="E57" s="246"/>
      <c r="F57" s="246"/>
      <c r="G57" s="246"/>
      <c r="H57" s="246">
        <v>1838698.07</v>
      </c>
      <c r="I57" s="246"/>
      <c r="J57" s="248">
        <v>1838698.07</v>
      </c>
    </row>
    <row r="58" spans="1:10" x14ac:dyDescent="0.3">
      <c r="A58" s="265" t="s">
        <v>516</v>
      </c>
      <c r="B58" s="263" t="s">
        <v>517</v>
      </c>
      <c r="C58" s="246">
        <v>3493326.58</v>
      </c>
      <c r="D58" s="246"/>
      <c r="E58" s="246"/>
      <c r="F58" s="246"/>
      <c r="G58" s="246"/>
      <c r="H58" s="246">
        <v>3493326.58</v>
      </c>
      <c r="I58" s="246"/>
      <c r="J58" s="248">
        <v>3493326.58</v>
      </c>
    </row>
    <row r="59" spans="1:10" x14ac:dyDescent="0.3">
      <c r="A59" s="265" t="s">
        <v>518</v>
      </c>
      <c r="B59" s="263" t="s">
        <v>519</v>
      </c>
      <c r="C59" s="246">
        <v>278162.68</v>
      </c>
      <c r="D59" s="246"/>
      <c r="E59" s="246"/>
      <c r="F59" s="246"/>
      <c r="G59" s="246"/>
      <c r="H59" s="246">
        <v>278162.68</v>
      </c>
      <c r="I59" s="246"/>
      <c r="J59" s="248">
        <v>278162.68</v>
      </c>
    </row>
    <row r="60" spans="1:10" x14ac:dyDescent="0.3">
      <c r="A60" s="265" t="s">
        <v>520</v>
      </c>
      <c r="B60" s="263" t="s">
        <v>521</v>
      </c>
      <c r="C60" s="246">
        <v>1916301.11</v>
      </c>
      <c r="D60" s="246"/>
      <c r="E60" s="246"/>
      <c r="F60" s="246"/>
      <c r="G60" s="246"/>
      <c r="H60" s="246">
        <v>1916301.11</v>
      </c>
      <c r="I60" s="246"/>
      <c r="J60" s="248">
        <v>1916301.11</v>
      </c>
    </row>
    <row r="61" spans="1:10" x14ac:dyDescent="0.3">
      <c r="A61" s="265" t="s">
        <v>522</v>
      </c>
      <c r="B61" s="263" t="s">
        <v>523</v>
      </c>
      <c r="C61" s="246">
        <v>61778.39</v>
      </c>
      <c r="D61" s="246"/>
      <c r="E61" s="246"/>
      <c r="F61" s="246"/>
      <c r="G61" s="246"/>
      <c r="H61" s="246">
        <v>61778.39</v>
      </c>
      <c r="I61" s="246"/>
      <c r="J61" s="248">
        <v>61778.39</v>
      </c>
    </row>
    <row r="62" spans="1:10" x14ac:dyDescent="0.3">
      <c r="A62" s="265" t="s">
        <v>524</v>
      </c>
      <c r="B62" s="263" t="s">
        <v>525</v>
      </c>
      <c r="C62" s="246">
        <v>316883.11</v>
      </c>
      <c r="D62" s="246"/>
      <c r="E62" s="246"/>
      <c r="F62" s="246"/>
      <c r="G62" s="246"/>
      <c r="H62" s="246">
        <v>316883.11</v>
      </c>
      <c r="I62" s="246"/>
      <c r="J62" s="248">
        <v>316883.11</v>
      </c>
    </row>
    <row r="63" spans="1:10" x14ac:dyDescent="0.3">
      <c r="A63" s="265" t="s">
        <v>526</v>
      </c>
      <c r="B63" s="263" t="s">
        <v>527</v>
      </c>
      <c r="C63" s="246">
        <v>515032.15</v>
      </c>
      <c r="D63" s="246"/>
      <c r="E63" s="246"/>
      <c r="F63" s="246"/>
      <c r="G63" s="246"/>
      <c r="H63" s="246">
        <v>515032.15</v>
      </c>
      <c r="I63" s="246"/>
      <c r="J63" s="248">
        <v>515032.15</v>
      </c>
    </row>
    <row r="64" spans="1:10" x14ac:dyDescent="0.3">
      <c r="A64" s="265" t="s">
        <v>528</v>
      </c>
      <c r="B64" s="263" t="s">
        <v>529</v>
      </c>
      <c r="C64" s="246">
        <v>1198620.72</v>
      </c>
      <c r="D64" s="246"/>
      <c r="E64" s="246"/>
      <c r="F64" s="246"/>
      <c r="G64" s="246"/>
      <c r="H64" s="246">
        <v>1198620.72</v>
      </c>
      <c r="I64" s="246"/>
      <c r="J64" s="248">
        <v>1198620.72</v>
      </c>
    </row>
    <row r="65" spans="1:10" x14ac:dyDescent="0.3">
      <c r="A65" s="265" t="s">
        <v>530</v>
      </c>
      <c r="B65" s="263" t="s">
        <v>531</v>
      </c>
      <c r="C65" s="246">
        <v>3392652.16</v>
      </c>
      <c r="D65" s="246"/>
      <c r="E65" s="246"/>
      <c r="F65" s="246"/>
      <c r="G65" s="246"/>
      <c r="H65" s="246">
        <v>3392652.16</v>
      </c>
      <c r="I65" s="246"/>
      <c r="J65" s="248">
        <v>3392652.16</v>
      </c>
    </row>
    <row r="66" spans="1:10" x14ac:dyDescent="0.3">
      <c r="A66" s="265" t="s">
        <v>532</v>
      </c>
      <c r="B66" s="263" t="s">
        <v>533</v>
      </c>
      <c r="C66" s="246">
        <v>5767406.9800000004</v>
      </c>
      <c r="D66" s="246"/>
      <c r="E66" s="246"/>
      <c r="F66" s="246"/>
      <c r="G66" s="246"/>
      <c r="H66" s="246">
        <v>5767406.9800000004</v>
      </c>
      <c r="I66" s="246"/>
      <c r="J66" s="248">
        <v>5767406.9800000004</v>
      </c>
    </row>
    <row r="67" spans="1:10" x14ac:dyDescent="0.3">
      <c r="A67" s="265" t="s">
        <v>534</v>
      </c>
      <c r="B67" s="263" t="s">
        <v>535</v>
      </c>
      <c r="C67" s="246">
        <v>14012623.859999999</v>
      </c>
      <c r="D67" s="246"/>
      <c r="E67" s="246"/>
      <c r="F67" s="246"/>
      <c r="G67" s="246"/>
      <c r="H67" s="246">
        <v>14012623.859999999</v>
      </c>
      <c r="I67" s="246"/>
      <c r="J67" s="248">
        <v>14012623.859999999</v>
      </c>
    </row>
    <row r="68" spans="1:10" x14ac:dyDescent="0.3">
      <c r="A68" s="265" t="s">
        <v>536</v>
      </c>
      <c r="B68" s="263" t="s">
        <v>537</v>
      </c>
      <c r="C68" s="246">
        <v>4076262.89</v>
      </c>
      <c r="D68" s="246"/>
      <c r="E68" s="246"/>
      <c r="F68" s="246"/>
      <c r="G68" s="246"/>
      <c r="H68" s="246">
        <v>4076262.89</v>
      </c>
      <c r="I68" s="246"/>
      <c r="J68" s="248">
        <v>4076262.89</v>
      </c>
    </row>
    <row r="69" spans="1:10" x14ac:dyDescent="0.3">
      <c r="A69" s="265" t="s">
        <v>538</v>
      </c>
      <c r="B69" s="263" t="s">
        <v>539</v>
      </c>
      <c r="C69" s="246">
        <v>6982020.9900000002</v>
      </c>
      <c r="D69" s="246"/>
      <c r="E69" s="246"/>
      <c r="F69" s="246"/>
      <c r="G69" s="246"/>
      <c r="H69" s="246">
        <v>6982020.9900000002</v>
      </c>
      <c r="I69" s="246"/>
      <c r="J69" s="248">
        <v>6982020.9900000002</v>
      </c>
    </row>
    <row r="70" spans="1:10" x14ac:dyDescent="0.3">
      <c r="A70" s="265" t="s">
        <v>540</v>
      </c>
      <c r="B70" s="263" t="s">
        <v>541</v>
      </c>
      <c r="C70" s="246">
        <v>395881.44</v>
      </c>
      <c r="D70" s="246"/>
      <c r="E70" s="246"/>
      <c r="F70" s="246"/>
      <c r="G70" s="246"/>
      <c r="H70" s="246">
        <v>395881.44</v>
      </c>
      <c r="I70" s="246"/>
      <c r="J70" s="248">
        <v>395881.44</v>
      </c>
    </row>
    <row r="71" spans="1:10" x14ac:dyDescent="0.3">
      <c r="A71" s="265" t="s">
        <v>542</v>
      </c>
      <c r="B71" s="263" t="s">
        <v>543</v>
      </c>
      <c r="C71" s="246">
        <v>744224.21</v>
      </c>
      <c r="D71" s="246"/>
      <c r="E71" s="246"/>
      <c r="F71" s="246"/>
      <c r="G71" s="246"/>
      <c r="H71" s="246">
        <v>744224.21</v>
      </c>
      <c r="I71" s="246"/>
      <c r="J71" s="248">
        <v>744224.21</v>
      </c>
    </row>
    <row r="72" spans="1:10" x14ac:dyDescent="0.3">
      <c r="A72" s="265" t="s">
        <v>544</v>
      </c>
      <c r="B72" s="263" t="s">
        <v>545</v>
      </c>
      <c r="C72" s="246">
        <v>32559417.460000001</v>
      </c>
      <c r="D72" s="246"/>
      <c r="E72" s="246"/>
      <c r="F72" s="246"/>
      <c r="G72" s="246"/>
      <c r="H72" s="246">
        <v>32559417.460000001</v>
      </c>
      <c r="I72" s="246"/>
      <c r="J72" s="248">
        <v>32559417.460000001</v>
      </c>
    </row>
    <row r="73" spans="1:10" x14ac:dyDescent="0.3">
      <c r="A73" s="265" t="s">
        <v>546</v>
      </c>
      <c r="B73" s="263" t="s">
        <v>547</v>
      </c>
      <c r="C73" s="246">
        <v>1249908.42</v>
      </c>
      <c r="D73" s="246"/>
      <c r="E73" s="246"/>
      <c r="F73" s="246"/>
      <c r="G73" s="246"/>
      <c r="H73" s="246">
        <v>1249908.42</v>
      </c>
      <c r="I73" s="246"/>
      <c r="J73" s="248">
        <v>1249908.42</v>
      </c>
    </row>
    <row r="74" spans="1:10" x14ac:dyDescent="0.3">
      <c r="A74" s="265" t="s">
        <v>548</v>
      </c>
      <c r="B74" s="263" t="s">
        <v>549</v>
      </c>
      <c r="C74" s="246">
        <v>28612</v>
      </c>
      <c r="D74" s="246"/>
      <c r="E74" s="246"/>
      <c r="F74" s="246"/>
      <c r="G74" s="246"/>
      <c r="H74" s="246">
        <v>28612</v>
      </c>
      <c r="I74" s="246"/>
      <c r="J74" s="248">
        <v>28612</v>
      </c>
    </row>
    <row r="75" spans="1:10" x14ac:dyDescent="0.3">
      <c r="A75" s="265" t="s">
        <v>550</v>
      </c>
      <c r="B75" s="263" t="s">
        <v>551</v>
      </c>
      <c r="C75" s="246"/>
      <c r="D75" s="246">
        <v>136705.28</v>
      </c>
      <c r="E75" s="246"/>
      <c r="F75" s="246"/>
      <c r="G75" s="246"/>
      <c r="H75" s="246"/>
      <c r="I75" s="246">
        <v>136705.28</v>
      </c>
      <c r="J75" s="248">
        <v>136705.28</v>
      </c>
    </row>
    <row r="76" spans="1:10" x14ac:dyDescent="0.3">
      <c r="A76" s="265" t="s">
        <v>899</v>
      </c>
      <c r="B76" s="263" t="s">
        <v>904</v>
      </c>
      <c r="C76" s="246"/>
      <c r="D76" s="246">
        <v>353789.93</v>
      </c>
      <c r="E76" s="246"/>
      <c r="F76" s="246"/>
      <c r="G76" s="246"/>
      <c r="H76" s="246"/>
      <c r="I76" s="246">
        <v>353789.93</v>
      </c>
      <c r="J76" s="248">
        <v>353789.93</v>
      </c>
    </row>
    <row r="77" spans="1:10" x14ac:dyDescent="0.3">
      <c r="A77" s="265" t="s">
        <v>552</v>
      </c>
      <c r="B77" s="263" t="s">
        <v>553</v>
      </c>
      <c r="C77" s="246"/>
      <c r="D77" s="246">
        <v>2655712.88</v>
      </c>
      <c r="E77" s="246"/>
      <c r="F77" s="246"/>
      <c r="G77" s="246"/>
      <c r="H77" s="246"/>
      <c r="I77" s="246">
        <v>2655712.88</v>
      </c>
      <c r="J77" s="248">
        <v>2655712.88</v>
      </c>
    </row>
    <row r="78" spans="1:10" x14ac:dyDescent="0.3">
      <c r="A78" s="265" t="s">
        <v>554</v>
      </c>
      <c r="B78" s="263" t="s">
        <v>555</v>
      </c>
      <c r="C78" s="246"/>
      <c r="D78" s="246">
        <v>-40308.269999999997</v>
      </c>
      <c r="E78" s="246"/>
      <c r="F78" s="246"/>
      <c r="G78" s="246"/>
      <c r="H78" s="246"/>
      <c r="I78" s="246">
        <v>-40308.269999999997</v>
      </c>
      <c r="J78" s="248">
        <v>-40308.269999999997</v>
      </c>
    </row>
    <row r="79" spans="1:10" x14ac:dyDescent="0.3">
      <c r="A79" s="265" t="s">
        <v>556</v>
      </c>
      <c r="B79" s="263" t="s">
        <v>557</v>
      </c>
      <c r="C79" s="246"/>
      <c r="D79" s="246">
        <v>611755.5</v>
      </c>
      <c r="E79" s="246"/>
      <c r="F79" s="246"/>
      <c r="G79" s="246"/>
      <c r="H79" s="246"/>
      <c r="I79" s="246">
        <v>611755.5</v>
      </c>
      <c r="J79" s="248">
        <v>611755.5</v>
      </c>
    </row>
    <row r="80" spans="1:10" x14ac:dyDescent="0.3">
      <c r="A80" s="265" t="s">
        <v>558</v>
      </c>
      <c r="B80" s="263" t="s">
        <v>559</v>
      </c>
      <c r="C80" s="246"/>
      <c r="D80" s="246">
        <v>182334.95</v>
      </c>
      <c r="E80" s="246"/>
      <c r="F80" s="246"/>
      <c r="G80" s="246"/>
      <c r="H80" s="246"/>
      <c r="I80" s="246">
        <v>182334.95</v>
      </c>
      <c r="J80" s="248">
        <v>182334.95</v>
      </c>
    </row>
    <row r="81" spans="1:10" x14ac:dyDescent="0.3">
      <c r="A81" s="265" t="s">
        <v>560</v>
      </c>
      <c r="B81" s="263" t="s">
        <v>561</v>
      </c>
      <c r="C81" s="246"/>
      <c r="D81" s="246">
        <v>15806.92</v>
      </c>
      <c r="E81" s="246"/>
      <c r="F81" s="246"/>
      <c r="G81" s="246"/>
      <c r="H81" s="246"/>
      <c r="I81" s="246">
        <v>15806.92</v>
      </c>
      <c r="J81" s="248">
        <v>15806.92</v>
      </c>
    </row>
    <row r="82" spans="1:10" x14ac:dyDescent="0.3">
      <c r="A82" s="265" t="s">
        <v>562</v>
      </c>
      <c r="B82" s="263" t="s">
        <v>563</v>
      </c>
      <c r="C82" s="246"/>
      <c r="D82" s="246">
        <v>29990.71</v>
      </c>
      <c r="E82" s="246"/>
      <c r="F82" s="246"/>
      <c r="G82" s="246"/>
      <c r="H82" s="246"/>
      <c r="I82" s="246">
        <v>29990.71</v>
      </c>
      <c r="J82" s="248">
        <v>29990.71</v>
      </c>
    </row>
    <row r="83" spans="1:10" x14ac:dyDescent="0.3">
      <c r="A83" s="265" t="s">
        <v>564</v>
      </c>
      <c r="B83" s="263" t="s">
        <v>565</v>
      </c>
      <c r="C83" s="246"/>
      <c r="D83" s="246">
        <v>294067.94</v>
      </c>
      <c r="E83" s="246"/>
      <c r="F83" s="246"/>
      <c r="G83" s="246"/>
      <c r="H83" s="246"/>
      <c r="I83" s="246">
        <v>294067.94</v>
      </c>
      <c r="J83" s="248">
        <v>294067.94</v>
      </c>
    </row>
    <row r="84" spans="1:10" x14ac:dyDescent="0.3">
      <c r="A84" s="265" t="s">
        <v>566</v>
      </c>
      <c r="B84" s="263" t="s">
        <v>567</v>
      </c>
      <c r="C84" s="246"/>
      <c r="D84" s="246">
        <v>65490.8</v>
      </c>
      <c r="E84" s="246"/>
      <c r="F84" s="246"/>
      <c r="G84" s="246"/>
      <c r="H84" s="246"/>
      <c r="I84" s="246">
        <v>65490.8</v>
      </c>
      <c r="J84" s="248">
        <v>65490.8</v>
      </c>
    </row>
    <row r="85" spans="1:10" x14ac:dyDescent="0.3">
      <c r="A85" s="265" t="s">
        <v>568</v>
      </c>
      <c r="B85" s="263" t="s">
        <v>569</v>
      </c>
      <c r="C85" s="246"/>
      <c r="D85" s="246">
        <v>119.54</v>
      </c>
      <c r="E85" s="246"/>
      <c r="F85" s="246"/>
      <c r="G85" s="246"/>
      <c r="H85" s="246"/>
      <c r="I85" s="246">
        <v>119.54</v>
      </c>
      <c r="J85" s="248">
        <v>119.54</v>
      </c>
    </row>
    <row r="86" spans="1:10" x14ac:dyDescent="0.3">
      <c r="A86" s="265" t="s">
        <v>570</v>
      </c>
      <c r="B86" s="263" t="s">
        <v>571</v>
      </c>
      <c r="C86" s="246"/>
      <c r="D86" s="246">
        <v>100350.11</v>
      </c>
      <c r="E86" s="246"/>
      <c r="F86" s="246"/>
      <c r="G86" s="246"/>
      <c r="H86" s="246"/>
      <c r="I86" s="246">
        <v>100350.11</v>
      </c>
      <c r="J86" s="248">
        <v>100350.11</v>
      </c>
    </row>
    <row r="87" spans="1:10" x14ac:dyDescent="0.3">
      <c r="A87" s="265" t="s">
        <v>572</v>
      </c>
      <c r="B87" s="263" t="s">
        <v>905</v>
      </c>
      <c r="C87" s="246"/>
      <c r="D87" s="246">
        <v>21646.17</v>
      </c>
      <c r="E87" s="246"/>
      <c r="F87" s="246"/>
      <c r="G87" s="246"/>
      <c r="H87" s="246"/>
      <c r="I87" s="246">
        <v>21646.17</v>
      </c>
      <c r="J87" s="248">
        <v>21646.17</v>
      </c>
    </row>
    <row r="88" spans="1:10" x14ac:dyDescent="0.3">
      <c r="A88" s="265" t="s">
        <v>573</v>
      </c>
      <c r="B88" s="263" t="s">
        <v>574</v>
      </c>
      <c r="C88" s="246"/>
      <c r="D88" s="246">
        <v>164320.39000000001</v>
      </c>
      <c r="E88" s="246"/>
      <c r="F88" s="246"/>
      <c r="G88" s="246"/>
      <c r="H88" s="246"/>
      <c r="I88" s="246">
        <v>164320.39000000001</v>
      </c>
      <c r="J88" s="248">
        <v>164320.39000000001</v>
      </c>
    </row>
    <row r="89" spans="1:10" x14ac:dyDescent="0.3">
      <c r="A89" s="265" t="s">
        <v>575</v>
      </c>
      <c r="B89" s="263" t="s">
        <v>576</v>
      </c>
      <c r="C89" s="246"/>
      <c r="D89" s="246">
        <v>47142.5</v>
      </c>
      <c r="E89" s="246"/>
      <c r="F89" s="246"/>
      <c r="G89" s="246"/>
      <c r="H89" s="246"/>
      <c r="I89" s="246">
        <v>47142.5</v>
      </c>
      <c r="J89" s="248">
        <v>47142.5</v>
      </c>
    </row>
    <row r="90" spans="1:10" x14ac:dyDescent="0.3">
      <c r="A90" s="265" t="s">
        <v>577</v>
      </c>
      <c r="B90" s="263" t="s">
        <v>578</v>
      </c>
      <c r="C90" s="246"/>
      <c r="D90" s="246">
        <v>1352351.36</v>
      </c>
      <c r="E90" s="246"/>
      <c r="F90" s="246"/>
      <c r="G90" s="246"/>
      <c r="H90" s="246"/>
      <c r="I90" s="246">
        <v>1352351.36</v>
      </c>
      <c r="J90" s="248">
        <v>1352351.36</v>
      </c>
    </row>
    <row r="91" spans="1:10" x14ac:dyDescent="0.3">
      <c r="A91" s="265" t="s">
        <v>579</v>
      </c>
      <c r="B91" s="263" t="s">
        <v>906</v>
      </c>
      <c r="C91" s="246"/>
      <c r="D91" s="246">
        <v>9139.7000000000007</v>
      </c>
      <c r="E91" s="246"/>
      <c r="F91" s="246"/>
      <c r="G91" s="246"/>
      <c r="H91" s="246"/>
      <c r="I91" s="246">
        <v>9139.7000000000007</v>
      </c>
      <c r="J91" s="248">
        <v>9139.7000000000007</v>
      </c>
    </row>
    <row r="92" spans="1:10" x14ac:dyDescent="0.3">
      <c r="A92" s="265" t="s">
        <v>580</v>
      </c>
      <c r="B92" s="263" t="s">
        <v>581</v>
      </c>
      <c r="C92" s="246"/>
      <c r="D92" s="246">
        <v>489269.53</v>
      </c>
      <c r="E92" s="246"/>
      <c r="F92" s="246"/>
      <c r="G92" s="246"/>
      <c r="H92" s="246"/>
      <c r="I92" s="246">
        <v>489269.53</v>
      </c>
      <c r="J92" s="248">
        <v>489269.53</v>
      </c>
    </row>
    <row r="93" spans="1:10" x14ac:dyDescent="0.3">
      <c r="A93" s="265" t="s">
        <v>855</v>
      </c>
      <c r="B93" s="263" t="s">
        <v>1007</v>
      </c>
      <c r="C93" s="246"/>
      <c r="D93" s="246">
        <v>125.05</v>
      </c>
      <c r="E93" s="246"/>
      <c r="F93" s="246"/>
      <c r="G93" s="246"/>
      <c r="H93" s="246"/>
      <c r="I93" s="246">
        <v>125.05</v>
      </c>
      <c r="J93" s="248">
        <v>125.05</v>
      </c>
    </row>
    <row r="94" spans="1:10" x14ac:dyDescent="0.3">
      <c r="A94" s="265" t="s">
        <v>582</v>
      </c>
      <c r="B94" s="263" t="s">
        <v>583</v>
      </c>
      <c r="C94" s="246"/>
      <c r="D94" s="246">
        <v>8980.4599999999991</v>
      </c>
      <c r="E94" s="246"/>
      <c r="F94" s="246"/>
      <c r="G94" s="246"/>
      <c r="H94" s="246"/>
      <c r="I94" s="246">
        <v>8980.4599999999991</v>
      </c>
      <c r="J94" s="248">
        <v>8980.4599999999991</v>
      </c>
    </row>
    <row r="95" spans="1:10" x14ac:dyDescent="0.3">
      <c r="A95" s="265" t="s">
        <v>584</v>
      </c>
      <c r="B95" s="263" t="s">
        <v>585</v>
      </c>
      <c r="C95" s="246"/>
      <c r="D95" s="246">
        <v>16631.580000000002</v>
      </c>
      <c r="E95" s="246"/>
      <c r="F95" s="246"/>
      <c r="G95" s="246"/>
      <c r="H95" s="246"/>
      <c r="I95" s="246">
        <v>16631.580000000002</v>
      </c>
      <c r="J95" s="248">
        <v>16631.580000000002</v>
      </c>
    </row>
    <row r="96" spans="1:10" x14ac:dyDescent="0.3">
      <c r="A96" s="265" t="s">
        <v>944</v>
      </c>
      <c r="B96" s="263" t="s">
        <v>945</v>
      </c>
      <c r="C96" s="246"/>
      <c r="D96" s="246">
        <v>0</v>
      </c>
      <c r="E96" s="246"/>
      <c r="F96" s="246"/>
      <c r="G96" s="246"/>
      <c r="H96" s="246"/>
      <c r="I96" s="246">
        <v>0</v>
      </c>
      <c r="J96" s="248">
        <v>0</v>
      </c>
    </row>
    <row r="97" spans="1:10" x14ac:dyDescent="0.3">
      <c r="A97" s="265" t="s">
        <v>586</v>
      </c>
      <c r="B97" s="263" t="s">
        <v>587</v>
      </c>
      <c r="C97" s="246"/>
      <c r="D97" s="246">
        <v>919259.19</v>
      </c>
      <c r="E97" s="246"/>
      <c r="F97" s="246"/>
      <c r="G97" s="246"/>
      <c r="H97" s="246"/>
      <c r="I97" s="246">
        <v>919259.19</v>
      </c>
      <c r="J97" s="248">
        <v>919259.19</v>
      </c>
    </row>
    <row r="98" spans="1:10" x14ac:dyDescent="0.3">
      <c r="A98" s="265" t="s">
        <v>1008</v>
      </c>
      <c r="B98" s="263" t="s">
        <v>1009</v>
      </c>
      <c r="C98" s="246"/>
      <c r="D98" s="246">
        <v>0</v>
      </c>
      <c r="E98" s="246"/>
      <c r="F98" s="246"/>
      <c r="G98" s="246"/>
      <c r="H98" s="246"/>
      <c r="I98" s="246">
        <v>0</v>
      </c>
      <c r="J98" s="248">
        <v>0</v>
      </c>
    </row>
    <row r="99" spans="1:10" x14ac:dyDescent="0.3">
      <c r="A99" s="265" t="s">
        <v>1010</v>
      </c>
      <c r="B99" s="263" t="s">
        <v>1011</v>
      </c>
      <c r="C99" s="246"/>
      <c r="D99" s="246">
        <v>0</v>
      </c>
      <c r="E99" s="246"/>
      <c r="F99" s="246"/>
      <c r="G99" s="246"/>
      <c r="H99" s="246"/>
      <c r="I99" s="246">
        <v>0</v>
      </c>
      <c r="J99" s="248">
        <v>0</v>
      </c>
    </row>
    <row r="100" spans="1:10" x14ac:dyDescent="0.3">
      <c r="A100" s="265" t="s">
        <v>857</v>
      </c>
      <c r="B100" s="263" t="s">
        <v>1012</v>
      </c>
      <c r="C100" s="246"/>
      <c r="D100" s="246">
        <v>0</v>
      </c>
      <c r="E100" s="246"/>
      <c r="F100" s="246"/>
      <c r="G100" s="246"/>
      <c r="H100" s="246"/>
      <c r="I100" s="246">
        <v>0</v>
      </c>
      <c r="J100" s="248">
        <v>0</v>
      </c>
    </row>
    <row r="101" spans="1:10" x14ac:dyDescent="0.3">
      <c r="A101" s="265" t="s">
        <v>1013</v>
      </c>
      <c r="B101" s="263" t="s">
        <v>1014</v>
      </c>
      <c r="C101" s="246"/>
      <c r="D101" s="246">
        <v>0</v>
      </c>
      <c r="E101" s="246"/>
      <c r="F101" s="246"/>
      <c r="G101" s="246"/>
      <c r="H101" s="246"/>
      <c r="I101" s="246">
        <v>0</v>
      </c>
      <c r="J101" s="248">
        <v>0</v>
      </c>
    </row>
    <row r="102" spans="1:10" x14ac:dyDescent="0.3">
      <c r="A102" s="265" t="s">
        <v>858</v>
      </c>
      <c r="B102" s="263" t="s">
        <v>1015</v>
      </c>
      <c r="C102" s="246"/>
      <c r="D102" s="246">
        <v>0</v>
      </c>
      <c r="E102" s="246"/>
      <c r="F102" s="246"/>
      <c r="G102" s="246"/>
      <c r="H102" s="246"/>
      <c r="I102" s="246">
        <v>0</v>
      </c>
      <c r="J102" s="248">
        <v>0</v>
      </c>
    </row>
    <row r="103" spans="1:10" x14ac:dyDescent="0.3">
      <c r="A103" s="265" t="s">
        <v>860</v>
      </c>
      <c r="B103" s="263" t="s">
        <v>1016</v>
      </c>
      <c r="C103" s="246"/>
      <c r="D103" s="246">
        <v>0</v>
      </c>
      <c r="E103" s="246"/>
      <c r="F103" s="246"/>
      <c r="G103" s="246"/>
      <c r="H103" s="246"/>
      <c r="I103" s="246">
        <v>0</v>
      </c>
      <c r="J103" s="248">
        <v>0</v>
      </c>
    </row>
    <row r="104" spans="1:10" x14ac:dyDescent="0.3">
      <c r="A104" s="265" t="s">
        <v>588</v>
      </c>
      <c r="B104" s="263" t="s">
        <v>589</v>
      </c>
      <c r="C104" s="246"/>
      <c r="D104" s="246">
        <v>-20842.09</v>
      </c>
      <c r="E104" s="246"/>
      <c r="F104" s="246"/>
      <c r="G104" s="246"/>
      <c r="H104" s="246"/>
      <c r="I104" s="246">
        <v>-20842.09</v>
      </c>
      <c r="J104" s="248">
        <v>-20842.09</v>
      </c>
    </row>
    <row r="105" spans="1:10" x14ac:dyDescent="0.3">
      <c r="A105" s="265" t="s">
        <v>1017</v>
      </c>
      <c r="B105" s="263" t="s">
        <v>1018</v>
      </c>
      <c r="C105" s="246"/>
      <c r="D105" s="246">
        <v>0</v>
      </c>
      <c r="E105" s="246"/>
      <c r="F105" s="246"/>
      <c r="G105" s="246"/>
      <c r="H105" s="246"/>
      <c r="I105" s="246">
        <v>0</v>
      </c>
      <c r="J105" s="248">
        <v>0</v>
      </c>
    </row>
    <row r="106" spans="1:10" x14ac:dyDescent="0.3">
      <c r="A106" s="265" t="s">
        <v>1019</v>
      </c>
      <c r="B106" s="263" t="s">
        <v>1020</v>
      </c>
      <c r="C106" s="246"/>
      <c r="D106" s="246">
        <v>0</v>
      </c>
      <c r="E106" s="246"/>
      <c r="F106" s="246"/>
      <c r="G106" s="246"/>
      <c r="H106" s="246"/>
      <c r="I106" s="246">
        <v>0</v>
      </c>
      <c r="J106" s="248">
        <v>0</v>
      </c>
    </row>
    <row r="107" spans="1:10" x14ac:dyDescent="0.3">
      <c r="A107" s="265" t="s">
        <v>1021</v>
      </c>
      <c r="B107" s="263" t="s">
        <v>1022</v>
      </c>
      <c r="C107" s="246"/>
      <c r="D107" s="246">
        <v>-823.39</v>
      </c>
      <c r="E107" s="246"/>
      <c r="F107" s="246"/>
      <c r="G107" s="246"/>
      <c r="H107" s="246"/>
      <c r="I107" s="246">
        <v>-823.39</v>
      </c>
      <c r="J107" s="248">
        <v>-823.39</v>
      </c>
    </row>
    <row r="108" spans="1:10" x14ac:dyDescent="0.3">
      <c r="A108" s="265" t="s">
        <v>1023</v>
      </c>
      <c r="B108" s="263" t="s">
        <v>1024</v>
      </c>
      <c r="C108" s="246"/>
      <c r="D108" s="246">
        <v>-1990.52</v>
      </c>
      <c r="E108" s="246"/>
      <c r="F108" s="246"/>
      <c r="G108" s="246"/>
      <c r="H108" s="246"/>
      <c r="I108" s="246">
        <v>-1990.52</v>
      </c>
      <c r="J108" s="248">
        <v>-1990.52</v>
      </c>
    </row>
    <row r="109" spans="1:10" x14ac:dyDescent="0.3">
      <c r="A109" s="265" t="s">
        <v>1025</v>
      </c>
      <c r="B109" s="263" t="s">
        <v>1026</v>
      </c>
      <c r="C109" s="246"/>
      <c r="D109" s="246">
        <v>0</v>
      </c>
      <c r="E109" s="246"/>
      <c r="F109" s="246"/>
      <c r="G109" s="246"/>
      <c r="H109" s="246"/>
      <c r="I109" s="246">
        <v>0</v>
      </c>
      <c r="J109" s="248">
        <v>0</v>
      </c>
    </row>
    <row r="110" spans="1:10" x14ac:dyDescent="0.3">
      <c r="A110" s="265" t="s">
        <v>1027</v>
      </c>
      <c r="B110" s="263" t="s">
        <v>1028</v>
      </c>
      <c r="C110" s="246"/>
      <c r="D110" s="246">
        <v>-41.83</v>
      </c>
      <c r="E110" s="246"/>
      <c r="F110" s="246"/>
      <c r="G110" s="246"/>
      <c r="H110" s="246"/>
      <c r="I110" s="246">
        <v>-41.83</v>
      </c>
      <c r="J110" s="248">
        <v>-41.83</v>
      </c>
    </row>
    <row r="111" spans="1:10" x14ac:dyDescent="0.3">
      <c r="A111" s="265" t="s">
        <v>1029</v>
      </c>
      <c r="B111" s="263" t="s">
        <v>1030</v>
      </c>
      <c r="C111" s="246"/>
      <c r="D111" s="246">
        <v>0</v>
      </c>
      <c r="E111" s="246"/>
      <c r="F111" s="246"/>
      <c r="G111" s="246"/>
      <c r="H111" s="246"/>
      <c r="I111" s="246">
        <v>0</v>
      </c>
      <c r="J111" s="248">
        <v>0</v>
      </c>
    </row>
    <row r="112" spans="1:10" x14ac:dyDescent="0.3">
      <c r="A112" s="264" t="s">
        <v>590</v>
      </c>
      <c r="B112" s="263" t="s">
        <v>591</v>
      </c>
      <c r="C112" s="246">
        <v>26129106.809999999</v>
      </c>
      <c r="D112" s="246"/>
      <c r="E112" s="246"/>
      <c r="F112" s="246"/>
      <c r="G112" s="246"/>
      <c r="H112" s="246">
        <v>26129106.809999999</v>
      </c>
      <c r="I112" s="246"/>
      <c r="J112" s="248">
        <v>26129106.809999999</v>
      </c>
    </row>
    <row r="113" spans="1:10" x14ac:dyDescent="0.3">
      <c r="A113" s="265" t="s">
        <v>592</v>
      </c>
      <c r="B113" s="263" t="s">
        <v>593</v>
      </c>
      <c r="C113" s="246">
        <v>3459252.08</v>
      </c>
      <c r="D113" s="246"/>
      <c r="E113" s="246"/>
      <c r="F113" s="246"/>
      <c r="G113" s="246"/>
      <c r="H113" s="246">
        <v>3459252.08</v>
      </c>
      <c r="I113" s="246"/>
      <c r="J113" s="248">
        <v>3459252.08</v>
      </c>
    </row>
    <row r="114" spans="1:10" x14ac:dyDescent="0.3">
      <c r="A114" s="265" t="s">
        <v>594</v>
      </c>
      <c r="B114" s="263" t="s">
        <v>595</v>
      </c>
      <c r="C114" s="246">
        <v>43541.3</v>
      </c>
      <c r="D114" s="246"/>
      <c r="E114" s="246"/>
      <c r="F114" s="246"/>
      <c r="G114" s="246"/>
      <c r="H114" s="246">
        <v>43541.3</v>
      </c>
      <c r="I114" s="246"/>
      <c r="J114" s="248">
        <v>43541.3</v>
      </c>
    </row>
    <row r="115" spans="1:10" x14ac:dyDescent="0.3">
      <c r="A115" s="265" t="s">
        <v>596</v>
      </c>
      <c r="B115" s="263" t="s">
        <v>597</v>
      </c>
      <c r="C115" s="246">
        <v>2084721.65</v>
      </c>
      <c r="D115" s="246"/>
      <c r="E115" s="246"/>
      <c r="F115" s="246"/>
      <c r="G115" s="246"/>
      <c r="H115" s="246">
        <v>2084721.65</v>
      </c>
      <c r="I115" s="246"/>
      <c r="J115" s="248">
        <v>2084721.65</v>
      </c>
    </row>
    <row r="116" spans="1:10" x14ac:dyDescent="0.3">
      <c r="A116" s="265" t="s">
        <v>598</v>
      </c>
      <c r="B116" s="263" t="s">
        <v>599</v>
      </c>
      <c r="C116" s="246">
        <v>941407.31</v>
      </c>
      <c r="D116" s="246"/>
      <c r="E116" s="246"/>
      <c r="F116" s="246"/>
      <c r="G116" s="246"/>
      <c r="H116" s="246">
        <v>941407.31</v>
      </c>
      <c r="I116" s="246"/>
      <c r="J116" s="248">
        <v>941407.31</v>
      </c>
    </row>
    <row r="117" spans="1:10" x14ac:dyDescent="0.3">
      <c r="A117" s="265" t="s">
        <v>600</v>
      </c>
      <c r="B117" s="263" t="s">
        <v>601</v>
      </c>
      <c r="C117" s="246">
        <v>1835915.26</v>
      </c>
      <c r="D117" s="246"/>
      <c r="E117" s="246"/>
      <c r="F117" s="246"/>
      <c r="G117" s="246"/>
      <c r="H117" s="246">
        <v>1835915.26</v>
      </c>
      <c r="I117" s="246"/>
      <c r="J117" s="248">
        <v>1835915.26</v>
      </c>
    </row>
    <row r="118" spans="1:10" x14ac:dyDescent="0.3">
      <c r="A118" s="265" t="s">
        <v>602</v>
      </c>
      <c r="B118" s="263" t="s">
        <v>603</v>
      </c>
      <c r="C118" s="246">
        <v>2476217.0299999998</v>
      </c>
      <c r="D118" s="246"/>
      <c r="E118" s="246"/>
      <c r="F118" s="246"/>
      <c r="G118" s="246"/>
      <c r="H118" s="246">
        <v>2476217.0299999998</v>
      </c>
      <c r="I118" s="246"/>
      <c r="J118" s="248">
        <v>2476217.0299999998</v>
      </c>
    </row>
    <row r="119" spans="1:10" x14ac:dyDescent="0.3">
      <c r="A119" s="265" t="s">
        <v>604</v>
      </c>
      <c r="B119" s="263" t="s">
        <v>605</v>
      </c>
      <c r="C119" s="246">
        <v>66314.23</v>
      </c>
      <c r="D119" s="246"/>
      <c r="E119" s="246"/>
      <c r="F119" s="246"/>
      <c r="G119" s="246"/>
      <c r="H119" s="246">
        <v>66314.23</v>
      </c>
      <c r="I119" s="246"/>
      <c r="J119" s="248">
        <v>66314.23</v>
      </c>
    </row>
    <row r="120" spans="1:10" x14ac:dyDescent="0.3">
      <c r="A120" s="265" t="s">
        <v>606</v>
      </c>
      <c r="B120" s="263" t="s">
        <v>607</v>
      </c>
      <c r="C120" s="246">
        <v>1288207.6399999999</v>
      </c>
      <c r="D120" s="246"/>
      <c r="E120" s="246"/>
      <c r="F120" s="246"/>
      <c r="G120" s="246"/>
      <c r="H120" s="246">
        <v>1288207.6399999999</v>
      </c>
      <c r="I120" s="246"/>
      <c r="J120" s="248">
        <v>1288207.6399999999</v>
      </c>
    </row>
    <row r="121" spans="1:10" x14ac:dyDescent="0.3">
      <c r="A121" s="265" t="s">
        <v>608</v>
      </c>
      <c r="B121" s="263" t="s">
        <v>609</v>
      </c>
      <c r="C121" s="246">
        <v>390690.33</v>
      </c>
      <c r="D121" s="246"/>
      <c r="E121" s="246"/>
      <c r="F121" s="246"/>
      <c r="G121" s="246"/>
      <c r="H121" s="246">
        <v>390690.33</v>
      </c>
      <c r="I121" s="246"/>
      <c r="J121" s="248">
        <v>390690.33</v>
      </c>
    </row>
    <row r="122" spans="1:10" x14ac:dyDescent="0.3">
      <c r="A122" s="265" t="s">
        <v>610</v>
      </c>
      <c r="B122" s="263" t="s">
        <v>611</v>
      </c>
      <c r="C122" s="246">
        <v>3305488.83</v>
      </c>
      <c r="D122" s="246"/>
      <c r="E122" s="246"/>
      <c r="F122" s="246"/>
      <c r="G122" s="246"/>
      <c r="H122" s="246">
        <v>3305488.83</v>
      </c>
      <c r="I122" s="246"/>
      <c r="J122" s="248">
        <v>3305488.83</v>
      </c>
    </row>
    <row r="123" spans="1:10" x14ac:dyDescent="0.3">
      <c r="A123" s="265" t="s">
        <v>612</v>
      </c>
      <c r="B123" s="263" t="s">
        <v>613</v>
      </c>
      <c r="C123" s="246">
        <v>398644.31</v>
      </c>
      <c r="D123" s="246"/>
      <c r="E123" s="246"/>
      <c r="F123" s="246"/>
      <c r="G123" s="246"/>
      <c r="H123" s="246">
        <v>398644.31</v>
      </c>
      <c r="I123" s="246"/>
      <c r="J123" s="248">
        <v>398644.31</v>
      </c>
    </row>
    <row r="124" spans="1:10" x14ac:dyDescent="0.3">
      <c r="A124" s="265" t="s">
        <v>614</v>
      </c>
      <c r="B124" s="263" t="s">
        <v>615</v>
      </c>
      <c r="C124" s="246">
        <v>21612.880000000001</v>
      </c>
      <c r="D124" s="246"/>
      <c r="E124" s="246"/>
      <c r="F124" s="246"/>
      <c r="G124" s="246"/>
      <c r="H124" s="246">
        <v>21612.880000000001</v>
      </c>
      <c r="I124" s="246"/>
      <c r="J124" s="248">
        <v>21612.880000000001</v>
      </c>
    </row>
    <row r="125" spans="1:10" x14ac:dyDescent="0.3">
      <c r="A125" s="265" t="s">
        <v>616</v>
      </c>
      <c r="B125" s="263" t="s">
        <v>907</v>
      </c>
      <c r="C125" s="246">
        <v>1204.56</v>
      </c>
      <c r="D125" s="246"/>
      <c r="E125" s="246"/>
      <c r="F125" s="246"/>
      <c r="G125" s="246"/>
      <c r="H125" s="246">
        <v>1204.56</v>
      </c>
      <c r="I125" s="246"/>
      <c r="J125" s="248">
        <v>1204.56</v>
      </c>
    </row>
    <row r="126" spans="1:10" x14ac:dyDescent="0.3">
      <c r="A126" s="265" t="s">
        <v>862</v>
      </c>
      <c r="B126" s="263" t="s">
        <v>908</v>
      </c>
      <c r="C126" s="246">
        <v>40.950000000000003</v>
      </c>
      <c r="D126" s="246"/>
      <c r="E126" s="246"/>
      <c r="F126" s="246"/>
      <c r="G126" s="246"/>
      <c r="H126" s="246">
        <v>40.950000000000003</v>
      </c>
      <c r="I126" s="246"/>
      <c r="J126" s="248">
        <v>40.950000000000003</v>
      </c>
    </row>
    <row r="127" spans="1:10" x14ac:dyDescent="0.3">
      <c r="A127" s="265" t="s">
        <v>617</v>
      </c>
      <c r="B127" s="263" t="s">
        <v>618</v>
      </c>
      <c r="C127" s="246">
        <v>4469.6499999999996</v>
      </c>
      <c r="D127" s="246"/>
      <c r="E127" s="246"/>
      <c r="F127" s="246"/>
      <c r="G127" s="246"/>
      <c r="H127" s="246">
        <v>4469.6499999999996</v>
      </c>
      <c r="I127" s="246"/>
      <c r="J127" s="248">
        <v>4469.6499999999996</v>
      </c>
    </row>
    <row r="128" spans="1:10" x14ac:dyDescent="0.3">
      <c r="A128" s="265" t="s">
        <v>619</v>
      </c>
      <c r="B128" s="263" t="s">
        <v>620</v>
      </c>
      <c r="C128" s="246">
        <v>2371329.39</v>
      </c>
      <c r="D128" s="246"/>
      <c r="E128" s="246"/>
      <c r="F128" s="246"/>
      <c r="G128" s="246"/>
      <c r="H128" s="246">
        <v>2371329.39</v>
      </c>
      <c r="I128" s="246"/>
      <c r="J128" s="248">
        <v>2371329.39</v>
      </c>
    </row>
    <row r="129" spans="1:10" x14ac:dyDescent="0.3">
      <c r="A129" s="265" t="s">
        <v>621</v>
      </c>
      <c r="B129" s="263" t="s">
        <v>622</v>
      </c>
      <c r="C129" s="246">
        <v>7339306.9400000004</v>
      </c>
      <c r="D129" s="246"/>
      <c r="E129" s="246"/>
      <c r="F129" s="246"/>
      <c r="G129" s="246"/>
      <c r="H129" s="246">
        <v>7339306.9400000004</v>
      </c>
      <c r="I129" s="246"/>
      <c r="J129" s="248">
        <v>7339306.9400000004</v>
      </c>
    </row>
    <row r="130" spans="1:10" x14ac:dyDescent="0.3">
      <c r="A130" s="265" t="s">
        <v>623</v>
      </c>
      <c r="B130" s="263" t="s">
        <v>624</v>
      </c>
      <c r="C130" s="246">
        <v>100742.47</v>
      </c>
      <c r="D130" s="246"/>
      <c r="E130" s="246"/>
      <c r="F130" s="246"/>
      <c r="G130" s="246"/>
      <c r="H130" s="246">
        <v>100742.47</v>
      </c>
      <c r="I130" s="246"/>
      <c r="J130" s="248">
        <v>100742.47</v>
      </c>
    </row>
    <row r="131" spans="1:10" x14ac:dyDescent="0.3">
      <c r="A131" s="264" t="s">
        <v>626</v>
      </c>
      <c r="B131" s="263" t="s">
        <v>627</v>
      </c>
      <c r="C131" s="246">
        <v>100263617.59999999</v>
      </c>
      <c r="D131" s="246">
        <v>62267781.539999999</v>
      </c>
      <c r="E131" s="246"/>
      <c r="F131" s="246"/>
      <c r="G131" s="246"/>
      <c r="H131" s="246">
        <v>100263617.59999999</v>
      </c>
      <c r="I131" s="246">
        <v>62267781.539999999</v>
      </c>
      <c r="J131" s="248">
        <v>162531399.13999999</v>
      </c>
    </row>
    <row r="132" spans="1:10" x14ac:dyDescent="0.3">
      <c r="A132" s="265" t="s">
        <v>628</v>
      </c>
      <c r="B132" s="263" t="s">
        <v>629</v>
      </c>
      <c r="C132" s="246">
        <v>3845378.62</v>
      </c>
      <c r="D132" s="246"/>
      <c r="E132" s="246"/>
      <c r="F132" s="246"/>
      <c r="G132" s="246"/>
      <c r="H132" s="246">
        <v>3845378.62</v>
      </c>
      <c r="I132" s="246"/>
      <c r="J132" s="248">
        <v>3845378.62</v>
      </c>
    </row>
    <row r="133" spans="1:10" x14ac:dyDescent="0.3">
      <c r="A133" s="265" t="s">
        <v>630</v>
      </c>
      <c r="B133" s="263" t="s">
        <v>631</v>
      </c>
      <c r="C133" s="246">
        <v>1233905.07</v>
      </c>
      <c r="D133" s="246"/>
      <c r="E133" s="246"/>
      <c r="F133" s="246"/>
      <c r="G133" s="246"/>
      <c r="H133" s="246">
        <v>1233905.07</v>
      </c>
      <c r="I133" s="246"/>
      <c r="J133" s="248">
        <v>1233905.07</v>
      </c>
    </row>
    <row r="134" spans="1:10" x14ac:dyDescent="0.3">
      <c r="A134" s="265" t="s">
        <v>632</v>
      </c>
      <c r="B134" s="263" t="s">
        <v>633</v>
      </c>
      <c r="C134" s="246">
        <v>2046280.89</v>
      </c>
      <c r="D134" s="246"/>
      <c r="E134" s="246"/>
      <c r="F134" s="246"/>
      <c r="G134" s="246"/>
      <c r="H134" s="246">
        <v>2046280.89</v>
      </c>
      <c r="I134" s="246"/>
      <c r="J134" s="248">
        <v>2046280.89</v>
      </c>
    </row>
    <row r="135" spans="1:10" x14ac:dyDescent="0.3">
      <c r="A135" s="265" t="s">
        <v>634</v>
      </c>
      <c r="B135" s="263" t="s">
        <v>635</v>
      </c>
      <c r="C135" s="246">
        <v>4788508.25</v>
      </c>
      <c r="D135" s="246"/>
      <c r="E135" s="246"/>
      <c r="F135" s="246"/>
      <c r="G135" s="246"/>
      <c r="H135" s="246">
        <v>4788508.25</v>
      </c>
      <c r="I135" s="246"/>
      <c r="J135" s="248">
        <v>4788508.25</v>
      </c>
    </row>
    <row r="136" spans="1:10" x14ac:dyDescent="0.3">
      <c r="A136" s="265" t="s">
        <v>636</v>
      </c>
      <c r="B136" s="263" t="s">
        <v>637</v>
      </c>
      <c r="C136" s="246">
        <v>5860853.79</v>
      </c>
      <c r="D136" s="246"/>
      <c r="E136" s="246"/>
      <c r="F136" s="246"/>
      <c r="G136" s="246"/>
      <c r="H136" s="246">
        <v>5860853.79</v>
      </c>
      <c r="I136" s="246"/>
      <c r="J136" s="248">
        <v>5860853.79</v>
      </c>
    </row>
    <row r="137" spans="1:10" x14ac:dyDescent="0.3">
      <c r="A137" s="265" t="s">
        <v>639</v>
      </c>
      <c r="B137" s="263" t="s">
        <v>640</v>
      </c>
      <c r="C137" s="246">
        <v>3538415.72</v>
      </c>
      <c r="D137" s="246"/>
      <c r="E137" s="246"/>
      <c r="F137" s="246"/>
      <c r="G137" s="246"/>
      <c r="H137" s="246">
        <v>3538415.72</v>
      </c>
      <c r="I137" s="246"/>
      <c r="J137" s="248">
        <v>3538415.72</v>
      </c>
    </row>
    <row r="138" spans="1:10" x14ac:dyDescent="0.3">
      <c r="A138" s="265" t="s">
        <v>641</v>
      </c>
      <c r="B138" s="263" t="s">
        <v>642</v>
      </c>
      <c r="C138" s="246">
        <v>5698725.7000000002</v>
      </c>
      <c r="D138" s="246"/>
      <c r="E138" s="246"/>
      <c r="F138" s="246"/>
      <c r="G138" s="246"/>
      <c r="H138" s="246">
        <v>5698725.7000000002</v>
      </c>
      <c r="I138" s="246"/>
      <c r="J138" s="248">
        <v>5698725.7000000002</v>
      </c>
    </row>
    <row r="139" spans="1:10" x14ac:dyDescent="0.3">
      <c r="A139" s="265" t="s">
        <v>643</v>
      </c>
      <c r="B139" s="263" t="s">
        <v>644</v>
      </c>
      <c r="C139" s="246">
        <v>10714944.609999999</v>
      </c>
      <c r="D139" s="246"/>
      <c r="E139" s="246"/>
      <c r="F139" s="246"/>
      <c r="G139" s="246"/>
      <c r="H139" s="246">
        <v>10714944.609999999</v>
      </c>
      <c r="I139" s="246"/>
      <c r="J139" s="248">
        <v>10714944.609999999</v>
      </c>
    </row>
    <row r="140" spans="1:10" x14ac:dyDescent="0.3">
      <c r="A140" s="265" t="s">
        <v>645</v>
      </c>
      <c r="B140" s="263" t="s">
        <v>646</v>
      </c>
      <c r="C140" s="246">
        <v>1450313.23</v>
      </c>
      <c r="D140" s="246"/>
      <c r="E140" s="246"/>
      <c r="F140" s="246"/>
      <c r="G140" s="246"/>
      <c r="H140" s="246">
        <v>1450313.23</v>
      </c>
      <c r="I140" s="246"/>
      <c r="J140" s="248">
        <v>1450313.23</v>
      </c>
    </row>
    <row r="141" spans="1:10" x14ac:dyDescent="0.3">
      <c r="A141" s="265" t="s">
        <v>647</v>
      </c>
      <c r="B141" s="263" t="s">
        <v>648</v>
      </c>
      <c r="C141" s="246">
        <v>136537.32</v>
      </c>
      <c r="D141" s="246"/>
      <c r="E141" s="246"/>
      <c r="F141" s="246"/>
      <c r="G141" s="246"/>
      <c r="H141" s="246">
        <v>136537.32</v>
      </c>
      <c r="I141" s="246"/>
      <c r="J141" s="248">
        <v>136537.32</v>
      </c>
    </row>
    <row r="142" spans="1:10" x14ac:dyDescent="0.3">
      <c r="A142" s="265" t="s">
        <v>649</v>
      </c>
      <c r="B142" s="263" t="s">
        <v>650</v>
      </c>
      <c r="C142" s="246">
        <v>2071573.94</v>
      </c>
      <c r="D142" s="246"/>
      <c r="E142" s="246"/>
      <c r="F142" s="246"/>
      <c r="G142" s="246"/>
      <c r="H142" s="246">
        <v>2071573.94</v>
      </c>
      <c r="I142" s="246"/>
      <c r="J142" s="248">
        <v>2071573.94</v>
      </c>
    </row>
    <row r="143" spans="1:10" x14ac:dyDescent="0.3">
      <c r="A143" s="265" t="s">
        <v>651</v>
      </c>
      <c r="B143" s="263" t="s">
        <v>652</v>
      </c>
      <c r="C143" s="246">
        <v>40470706.789999999</v>
      </c>
      <c r="D143" s="246"/>
      <c r="E143" s="246"/>
      <c r="F143" s="246"/>
      <c r="G143" s="246"/>
      <c r="H143" s="246">
        <v>40470706.789999999</v>
      </c>
      <c r="I143" s="246"/>
      <c r="J143" s="248">
        <v>40470706.789999999</v>
      </c>
    </row>
    <row r="144" spans="1:10" x14ac:dyDescent="0.3">
      <c r="A144" s="265" t="s">
        <v>653</v>
      </c>
      <c r="B144" s="263" t="s">
        <v>654</v>
      </c>
      <c r="C144" s="246">
        <v>13977521.49</v>
      </c>
      <c r="D144" s="246"/>
      <c r="E144" s="246"/>
      <c r="F144" s="246"/>
      <c r="G144" s="246"/>
      <c r="H144" s="246">
        <v>13977521.49</v>
      </c>
      <c r="I144" s="246"/>
      <c r="J144" s="248">
        <v>13977521.49</v>
      </c>
    </row>
    <row r="145" spans="1:10" x14ac:dyDescent="0.3">
      <c r="A145" s="265" t="s">
        <v>655</v>
      </c>
      <c r="B145" s="263" t="s">
        <v>656</v>
      </c>
      <c r="C145" s="246">
        <v>724550.15</v>
      </c>
      <c r="D145" s="246"/>
      <c r="E145" s="246"/>
      <c r="F145" s="246"/>
      <c r="G145" s="246"/>
      <c r="H145" s="246">
        <v>724550.15</v>
      </c>
      <c r="I145" s="246"/>
      <c r="J145" s="248">
        <v>724550.15</v>
      </c>
    </row>
    <row r="146" spans="1:10" x14ac:dyDescent="0.3">
      <c r="A146" s="265" t="s">
        <v>657</v>
      </c>
      <c r="B146" s="263" t="s">
        <v>658</v>
      </c>
      <c r="C146" s="246">
        <v>2984435.38</v>
      </c>
      <c r="D146" s="246"/>
      <c r="E146" s="246"/>
      <c r="F146" s="246"/>
      <c r="G146" s="246"/>
      <c r="H146" s="246">
        <v>2984435.38</v>
      </c>
      <c r="I146" s="246"/>
      <c r="J146" s="248">
        <v>2984435.38</v>
      </c>
    </row>
    <row r="147" spans="1:10" x14ac:dyDescent="0.3">
      <c r="A147" s="265" t="s">
        <v>659</v>
      </c>
      <c r="B147" s="263" t="s">
        <v>660</v>
      </c>
      <c r="C147" s="246">
        <v>720966.65</v>
      </c>
      <c r="D147" s="246"/>
      <c r="E147" s="246"/>
      <c r="F147" s="246"/>
      <c r="G147" s="246"/>
      <c r="H147" s="246">
        <v>720966.65</v>
      </c>
      <c r="I147" s="246"/>
      <c r="J147" s="248">
        <v>720966.65</v>
      </c>
    </row>
    <row r="148" spans="1:10" x14ac:dyDescent="0.3">
      <c r="A148" s="265" t="s">
        <v>661</v>
      </c>
      <c r="B148" s="263" t="s">
        <v>629</v>
      </c>
      <c r="C148" s="246"/>
      <c r="D148" s="246">
        <v>1733895.34</v>
      </c>
      <c r="E148" s="246"/>
      <c r="F148" s="246"/>
      <c r="G148" s="246"/>
      <c r="H148" s="246"/>
      <c r="I148" s="246">
        <v>1733895.34</v>
      </c>
      <c r="J148" s="248">
        <v>1733895.34</v>
      </c>
    </row>
    <row r="149" spans="1:10" x14ac:dyDescent="0.3">
      <c r="A149" s="265" t="s">
        <v>662</v>
      </c>
      <c r="B149" s="263" t="s">
        <v>631</v>
      </c>
      <c r="C149" s="246"/>
      <c r="D149" s="246">
        <v>305962.45</v>
      </c>
      <c r="E149" s="246"/>
      <c r="F149" s="246"/>
      <c r="G149" s="246"/>
      <c r="H149" s="246"/>
      <c r="I149" s="246">
        <v>305962.45</v>
      </c>
      <c r="J149" s="248">
        <v>305962.45</v>
      </c>
    </row>
    <row r="150" spans="1:10" x14ac:dyDescent="0.3">
      <c r="A150" s="265" t="s">
        <v>663</v>
      </c>
      <c r="B150" s="263" t="s">
        <v>664</v>
      </c>
      <c r="C150" s="246"/>
      <c r="D150" s="246">
        <v>20762773.07</v>
      </c>
      <c r="E150" s="246"/>
      <c r="F150" s="246"/>
      <c r="G150" s="246"/>
      <c r="H150" s="246"/>
      <c r="I150" s="246">
        <v>20762773.07</v>
      </c>
      <c r="J150" s="248">
        <v>20762773.07</v>
      </c>
    </row>
    <row r="151" spans="1:10" x14ac:dyDescent="0.3">
      <c r="A151" s="265" t="s">
        <v>665</v>
      </c>
      <c r="B151" s="263" t="s">
        <v>666</v>
      </c>
      <c r="C151" s="246"/>
      <c r="D151" s="246">
        <v>1366044.84</v>
      </c>
      <c r="E151" s="246"/>
      <c r="F151" s="246"/>
      <c r="G151" s="246"/>
      <c r="H151" s="246"/>
      <c r="I151" s="246">
        <v>1366044.84</v>
      </c>
      <c r="J151" s="248">
        <v>1366044.84</v>
      </c>
    </row>
    <row r="152" spans="1:10" x14ac:dyDescent="0.3">
      <c r="A152" s="265" t="s">
        <v>667</v>
      </c>
      <c r="B152" s="263" t="s">
        <v>668</v>
      </c>
      <c r="C152" s="246"/>
      <c r="D152" s="246">
        <v>967965.68</v>
      </c>
      <c r="E152" s="246"/>
      <c r="F152" s="246"/>
      <c r="G152" s="246"/>
      <c r="H152" s="246"/>
      <c r="I152" s="246">
        <v>967965.68</v>
      </c>
      <c r="J152" s="248">
        <v>967965.68</v>
      </c>
    </row>
    <row r="153" spans="1:10" x14ac:dyDescent="0.3">
      <c r="A153" s="265" t="s">
        <v>669</v>
      </c>
      <c r="B153" s="263" t="s">
        <v>670</v>
      </c>
      <c r="C153" s="246"/>
      <c r="D153" s="246">
        <v>1912271</v>
      </c>
      <c r="E153" s="246"/>
      <c r="F153" s="246"/>
      <c r="G153" s="246"/>
      <c r="H153" s="246"/>
      <c r="I153" s="246">
        <v>1912271</v>
      </c>
      <c r="J153" s="248">
        <v>1912271</v>
      </c>
    </row>
    <row r="154" spans="1:10" x14ac:dyDescent="0.3">
      <c r="A154" s="265" t="s">
        <v>671</v>
      </c>
      <c r="B154" s="263" t="s">
        <v>642</v>
      </c>
      <c r="C154" s="246"/>
      <c r="D154" s="246">
        <v>1874810.99</v>
      </c>
      <c r="E154" s="246"/>
      <c r="F154" s="246"/>
      <c r="G154" s="246"/>
      <c r="H154" s="246"/>
      <c r="I154" s="246">
        <v>1874810.99</v>
      </c>
      <c r="J154" s="248">
        <v>1874810.99</v>
      </c>
    </row>
    <row r="155" spans="1:10" x14ac:dyDescent="0.3">
      <c r="A155" s="265" t="s">
        <v>672</v>
      </c>
      <c r="B155" s="263" t="s">
        <v>673</v>
      </c>
      <c r="C155" s="246"/>
      <c r="D155" s="246">
        <v>17528070.539999999</v>
      </c>
      <c r="E155" s="246"/>
      <c r="F155" s="246"/>
      <c r="G155" s="246"/>
      <c r="H155" s="246"/>
      <c r="I155" s="246">
        <v>17528070.539999999</v>
      </c>
      <c r="J155" s="248">
        <v>17528070.539999999</v>
      </c>
    </row>
    <row r="156" spans="1:10" x14ac:dyDescent="0.3">
      <c r="A156" s="265" t="s">
        <v>674</v>
      </c>
      <c r="B156" s="263" t="s">
        <v>646</v>
      </c>
      <c r="C156" s="246"/>
      <c r="D156" s="246">
        <v>254482.31</v>
      </c>
      <c r="E156" s="246"/>
      <c r="F156" s="246"/>
      <c r="G156" s="246"/>
      <c r="H156" s="246"/>
      <c r="I156" s="246">
        <v>254482.31</v>
      </c>
      <c r="J156" s="248">
        <v>254482.31</v>
      </c>
    </row>
    <row r="157" spans="1:10" x14ac:dyDescent="0.3">
      <c r="A157" s="265" t="s">
        <v>675</v>
      </c>
      <c r="B157" s="263" t="s">
        <v>648</v>
      </c>
      <c r="C157" s="246"/>
      <c r="D157" s="246">
        <v>34655.06</v>
      </c>
      <c r="E157" s="246"/>
      <c r="F157" s="246"/>
      <c r="G157" s="246"/>
      <c r="H157" s="246"/>
      <c r="I157" s="246">
        <v>34655.06</v>
      </c>
      <c r="J157" s="248">
        <v>34655.06</v>
      </c>
    </row>
    <row r="158" spans="1:10" x14ac:dyDescent="0.3">
      <c r="A158" s="265" t="s">
        <v>676</v>
      </c>
      <c r="B158" s="263" t="s">
        <v>677</v>
      </c>
      <c r="C158" s="246"/>
      <c r="D158" s="246">
        <v>128799.83</v>
      </c>
      <c r="E158" s="246"/>
      <c r="F158" s="246"/>
      <c r="G158" s="246"/>
      <c r="H158" s="246"/>
      <c r="I158" s="246">
        <v>128799.83</v>
      </c>
      <c r="J158" s="248">
        <v>128799.83</v>
      </c>
    </row>
    <row r="159" spans="1:10" x14ac:dyDescent="0.3">
      <c r="A159" s="265" t="s">
        <v>678</v>
      </c>
      <c r="B159" s="263" t="s">
        <v>679</v>
      </c>
      <c r="C159" s="246"/>
      <c r="D159" s="246">
        <v>8692658.2699999996</v>
      </c>
      <c r="E159" s="246"/>
      <c r="F159" s="246"/>
      <c r="G159" s="246"/>
      <c r="H159" s="246"/>
      <c r="I159" s="246">
        <v>8692658.2699999996</v>
      </c>
      <c r="J159" s="248">
        <v>8692658.2699999996</v>
      </c>
    </row>
    <row r="160" spans="1:10" x14ac:dyDescent="0.3">
      <c r="A160" s="265" t="s">
        <v>680</v>
      </c>
      <c r="B160" s="263" t="s">
        <v>681</v>
      </c>
      <c r="C160" s="246"/>
      <c r="D160" s="246">
        <v>901500.9</v>
      </c>
      <c r="E160" s="246"/>
      <c r="F160" s="246"/>
      <c r="G160" s="246"/>
      <c r="H160" s="246"/>
      <c r="I160" s="246">
        <v>901500.9</v>
      </c>
      <c r="J160" s="248">
        <v>901500.9</v>
      </c>
    </row>
    <row r="161" spans="1:10" x14ac:dyDescent="0.3">
      <c r="A161" s="265" t="s">
        <v>682</v>
      </c>
      <c r="B161" s="263" t="s">
        <v>683</v>
      </c>
      <c r="C161" s="246"/>
      <c r="D161" s="246">
        <v>162470.26</v>
      </c>
      <c r="E161" s="246"/>
      <c r="F161" s="246"/>
      <c r="G161" s="246"/>
      <c r="H161" s="246"/>
      <c r="I161" s="246">
        <v>162470.26</v>
      </c>
      <c r="J161" s="248">
        <v>162470.26</v>
      </c>
    </row>
    <row r="162" spans="1:10" x14ac:dyDescent="0.3">
      <c r="A162" s="265" t="s">
        <v>684</v>
      </c>
      <c r="B162" s="263" t="s">
        <v>685</v>
      </c>
      <c r="C162" s="246"/>
      <c r="D162" s="246">
        <v>4754188.08</v>
      </c>
      <c r="E162" s="246"/>
      <c r="F162" s="246"/>
      <c r="G162" s="246"/>
      <c r="H162" s="246"/>
      <c r="I162" s="246">
        <v>4754188.08</v>
      </c>
      <c r="J162" s="248">
        <v>4754188.08</v>
      </c>
    </row>
    <row r="163" spans="1:10" x14ac:dyDescent="0.3">
      <c r="A163" s="265" t="s">
        <v>686</v>
      </c>
      <c r="B163" s="263" t="s">
        <v>687</v>
      </c>
      <c r="C163" s="246"/>
      <c r="D163" s="246">
        <v>540324.39</v>
      </c>
      <c r="E163" s="246"/>
      <c r="F163" s="246"/>
      <c r="G163" s="246"/>
      <c r="H163" s="246"/>
      <c r="I163" s="246">
        <v>540324.39</v>
      </c>
      <c r="J163" s="248">
        <v>540324.39</v>
      </c>
    </row>
    <row r="164" spans="1:10" x14ac:dyDescent="0.3">
      <c r="A164" s="265" t="s">
        <v>688</v>
      </c>
      <c r="B164" s="263" t="s">
        <v>689</v>
      </c>
      <c r="C164" s="246"/>
      <c r="D164" s="246">
        <v>346908.53</v>
      </c>
      <c r="E164" s="246"/>
      <c r="F164" s="246"/>
      <c r="G164" s="246"/>
      <c r="H164" s="246"/>
      <c r="I164" s="246">
        <v>346908.53</v>
      </c>
      <c r="J164" s="248">
        <v>346908.53</v>
      </c>
    </row>
    <row r="165" spans="1:10" x14ac:dyDescent="0.3">
      <c r="A165" s="264" t="s">
        <v>690</v>
      </c>
      <c r="B165" s="263" t="s">
        <v>691</v>
      </c>
      <c r="C165" s="246">
        <v>38598009.479999997</v>
      </c>
      <c r="D165" s="246">
        <v>13777379.98</v>
      </c>
      <c r="E165" s="246">
        <v>28081535</v>
      </c>
      <c r="F165" s="246">
        <v>16440933.85</v>
      </c>
      <c r="G165" s="246">
        <v>11640601.15</v>
      </c>
      <c r="H165" s="246">
        <v>55038943.329999998</v>
      </c>
      <c r="I165" s="246">
        <v>25417981.129999999</v>
      </c>
      <c r="J165" s="248">
        <v>80456924.459999993</v>
      </c>
    </row>
    <row r="166" spans="1:10" x14ac:dyDescent="0.3">
      <c r="A166" s="265" t="s">
        <v>692</v>
      </c>
      <c r="B166" s="263" t="s">
        <v>693</v>
      </c>
      <c r="C166" s="246">
        <v>0</v>
      </c>
      <c r="D166" s="246">
        <v>0</v>
      </c>
      <c r="E166" s="246">
        <v>211782.87</v>
      </c>
      <c r="F166" s="246">
        <v>123215.2</v>
      </c>
      <c r="G166" s="246">
        <v>88567.67</v>
      </c>
      <c r="H166" s="246">
        <v>123215.2</v>
      </c>
      <c r="I166" s="246">
        <v>88567.67</v>
      </c>
      <c r="J166" s="248">
        <v>211782.87</v>
      </c>
    </row>
    <row r="167" spans="1:10" x14ac:dyDescent="0.3">
      <c r="A167" s="265" t="s">
        <v>694</v>
      </c>
      <c r="B167" s="263" t="s">
        <v>695</v>
      </c>
      <c r="C167" s="246">
        <v>10653433.800000001</v>
      </c>
      <c r="D167" s="246">
        <v>8570788.2300000004</v>
      </c>
      <c r="E167" s="246">
        <v>2227061.23</v>
      </c>
      <c r="F167" s="246">
        <v>1396144.76</v>
      </c>
      <c r="G167" s="246">
        <v>830916.47</v>
      </c>
      <c r="H167" s="246">
        <v>12049578.560000001</v>
      </c>
      <c r="I167" s="246">
        <v>9401704.6999999993</v>
      </c>
      <c r="J167" s="248">
        <v>21451283.260000002</v>
      </c>
    </row>
    <row r="168" spans="1:10" x14ac:dyDescent="0.3">
      <c r="A168" s="265" t="s">
        <v>909</v>
      </c>
      <c r="B168" s="263" t="s">
        <v>910</v>
      </c>
      <c r="C168" s="246">
        <v>92534.44</v>
      </c>
      <c r="D168" s="246"/>
      <c r="E168" s="246"/>
      <c r="F168" s="246"/>
      <c r="G168" s="246"/>
      <c r="H168" s="246">
        <v>92534.44</v>
      </c>
      <c r="I168" s="246"/>
      <c r="J168" s="248">
        <v>92534.44</v>
      </c>
    </row>
    <row r="169" spans="1:10" x14ac:dyDescent="0.3">
      <c r="A169" s="265" t="s">
        <v>911</v>
      </c>
      <c r="B169" s="263" t="s">
        <v>912</v>
      </c>
      <c r="C169" s="246"/>
      <c r="D169" s="246">
        <v>321667.52</v>
      </c>
      <c r="E169" s="246"/>
      <c r="F169" s="246"/>
      <c r="G169" s="246"/>
      <c r="H169" s="246"/>
      <c r="I169" s="246">
        <v>321667.52</v>
      </c>
      <c r="J169" s="248">
        <v>321667.52</v>
      </c>
    </row>
    <row r="170" spans="1:10" x14ac:dyDescent="0.3">
      <c r="A170" s="265" t="s">
        <v>696</v>
      </c>
      <c r="B170" s="263" t="s">
        <v>697</v>
      </c>
      <c r="C170" s="246">
        <v>8761215.7599999998</v>
      </c>
      <c r="D170" s="246">
        <v>192116.35</v>
      </c>
      <c r="E170" s="246">
        <v>25608457.539999999</v>
      </c>
      <c r="F170" s="246">
        <v>14898986.720000001</v>
      </c>
      <c r="G170" s="246">
        <v>10709470.82</v>
      </c>
      <c r="H170" s="246">
        <v>23660202.48</v>
      </c>
      <c r="I170" s="246">
        <v>10901587.17</v>
      </c>
      <c r="J170" s="248">
        <v>34561789.649999999</v>
      </c>
    </row>
    <row r="171" spans="1:10" x14ac:dyDescent="0.3">
      <c r="A171" s="265" t="s">
        <v>698</v>
      </c>
      <c r="B171" s="263" t="s">
        <v>699</v>
      </c>
      <c r="C171" s="246">
        <v>564144.9</v>
      </c>
      <c r="D171" s="246"/>
      <c r="E171" s="246"/>
      <c r="F171" s="246"/>
      <c r="G171" s="246"/>
      <c r="H171" s="246">
        <v>564144.9</v>
      </c>
      <c r="I171" s="246"/>
      <c r="J171" s="248">
        <v>564144.9</v>
      </c>
    </row>
    <row r="172" spans="1:10" x14ac:dyDescent="0.3">
      <c r="A172" s="265" t="s">
        <v>913</v>
      </c>
      <c r="B172" s="263" t="s">
        <v>914</v>
      </c>
      <c r="C172" s="246"/>
      <c r="D172" s="246">
        <v>200813.87</v>
      </c>
      <c r="E172" s="246"/>
      <c r="F172" s="246"/>
      <c r="G172" s="246"/>
      <c r="H172" s="246"/>
      <c r="I172" s="246">
        <v>200813.87</v>
      </c>
      <c r="J172" s="248">
        <v>200813.87</v>
      </c>
    </row>
    <row r="173" spans="1:10" x14ac:dyDescent="0.3">
      <c r="A173" s="265" t="s">
        <v>700</v>
      </c>
      <c r="B173" s="263" t="s">
        <v>701</v>
      </c>
      <c r="C173" s="246">
        <v>18526680.579999998</v>
      </c>
      <c r="D173" s="246">
        <v>4491994.01</v>
      </c>
      <c r="E173" s="246">
        <v>34233.360000000001</v>
      </c>
      <c r="F173" s="246">
        <v>22587.17</v>
      </c>
      <c r="G173" s="246">
        <v>11646.19</v>
      </c>
      <c r="H173" s="246">
        <v>18549267.75</v>
      </c>
      <c r="I173" s="246">
        <v>4503640.2</v>
      </c>
      <c r="J173" s="248">
        <v>23052907.949999999</v>
      </c>
    </row>
    <row r="174" spans="1:10" x14ac:dyDescent="0.3">
      <c r="A174" s="264" t="s">
        <v>702</v>
      </c>
      <c r="B174" s="263" t="s">
        <v>703</v>
      </c>
      <c r="C174" s="246">
        <v>37253328.119999997</v>
      </c>
      <c r="D174" s="246">
        <v>3296399.17</v>
      </c>
      <c r="E174" s="246">
        <v>4189299.28</v>
      </c>
      <c r="F174" s="246">
        <v>2444306.2400000002</v>
      </c>
      <c r="G174" s="246">
        <v>1744993.04</v>
      </c>
      <c r="H174" s="246">
        <v>39697634.359999999</v>
      </c>
      <c r="I174" s="246">
        <v>5041392.21</v>
      </c>
      <c r="J174" s="248">
        <v>44739026.57</v>
      </c>
    </row>
    <row r="175" spans="1:10" x14ac:dyDescent="0.3">
      <c r="A175" s="265" t="s">
        <v>704</v>
      </c>
      <c r="B175" s="263" t="s">
        <v>705</v>
      </c>
      <c r="C175" s="246">
        <v>35716001.859999999</v>
      </c>
      <c r="D175" s="246">
        <v>3071738.72</v>
      </c>
      <c r="E175" s="246">
        <v>1929888.26</v>
      </c>
      <c r="F175" s="246">
        <v>1129784.0900000001</v>
      </c>
      <c r="G175" s="246">
        <v>800104.17</v>
      </c>
      <c r="H175" s="246">
        <v>36845785.950000003</v>
      </c>
      <c r="I175" s="246">
        <v>3871842.89</v>
      </c>
      <c r="J175" s="248">
        <v>40717628.840000004</v>
      </c>
    </row>
    <row r="176" spans="1:10" x14ac:dyDescent="0.3">
      <c r="A176" s="265" t="s">
        <v>706</v>
      </c>
      <c r="B176" s="263" t="s">
        <v>707</v>
      </c>
      <c r="C176" s="246">
        <v>432296.49</v>
      </c>
      <c r="D176" s="246">
        <v>224660.45</v>
      </c>
      <c r="E176" s="246">
        <v>2492165.2400000002</v>
      </c>
      <c r="F176" s="246">
        <v>1449938.62</v>
      </c>
      <c r="G176" s="246">
        <v>1042226.62</v>
      </c>
      <c r="H176" s="246">
        <v>1882235.11</v>
      </c>
      <c r="I176" s="246">
        <v>1266887.07</v>
      </c>
      <c r="J176" s="248">
        <v>3149122.18</v>
      </c>
    </row>
    <row r="177" spans="1:10" x14ac:dyDescent="0.3">
      <c r="A177" s="265" t="s">
        <v>709</v>
      </c>
      <c r="B177" s="263" t="s">
        <v>710</v>
      </c>
      <c r="C177" s="246">
        <v>1105029.77</v>
      </c>
      <c r="D177" s="246">
        <v>0</v>
      </c>
      <c r="E177" s="246">
        <v>-232754.22</v>
      </c>
      <c r="F177" s="246">
        <v>-135416.47</v>
      </c>
      <c r="G177" s="246">
        <v>-97337.75</v>
      </c>
      <c r="H177" s="246">
        <v>969613.3</v>
      </c>
      <c r="I177" s="246">
        <v>-97337.75</v>
      </c>
      <c r="J177" s="248">
        <v>872275.55</v>
      </c>
    </row>
    <row r="178" spans="1:10" x14ac:dyDescent="0.3">
      <c r="A178" s="264" t="s">
        <v>711</v>
      </c>
      <c r="B178" s="263" t="s">
        <v>712</v>
      </c>
      <c r="C178" s="246">
        <v>96120984.269999996</v>
      </c>
      <c r="D178" s="246">
        <v>20820731.120000001</v>
      </c>
      <c r="E178" s="246"/>
      <c r="F178" s="246"/>
      <c r="G178" s="246"/>
      <c r="H178" s="246">
        <v>96120984.269999996</v>
      </c>
      <c r="I178" s="246">
        <v>20820731.120000001</v>
      </c>
      <c r="J178" s="248">
        <v>116941715.39</v>
      </c>
    </row>
    <row r="179" spans="1:10" x14ac:dyDescent="0.3">
      <c r="A179" s="265" t="s">
        <v>713</v>
      </c>
      <c r="B179" s="263" t="s">
        <v>714</v>
      </c>
      <c r="C179" s="246">
        <v>96120984.269999996</v>
      </c>
      <c r="D179" s="246">
        <v>20820731.120000001</v>
      </c>
      <c r="E179" s="246"/>
      <c r="F179" s="246"/>
      <c r="G179" s="246"/>
      <c r="H179" s="246">
        <v>96120984.269999996</v>
      </c>
      <c r="I179" s="246">
        <v>20820731.120000001</v>
      </c>
      <c r="J179" s="248">
        <v>116941715.39</v>
      </c>
    </row>
    <row r="180" spans="1:10" x14ac:dyDescent="0.3">
      <c r="A180" s="264" t="s">
        <v>715</v>
      </c>
      <c r="B180" s="263" t="s">
        <v>716</v>
      </c>
      <c r="C180" s="246">
        <v>59956614.170000002</v>
      </c>
      <c r="D180" s="246">
        <v>17255322.690000001</v>
      </c>
      <c r="E180" s="246">
        <v>153295003.28999999</v>
      </c>
      <c r="F180" s="246">
        <v>100095211.08</v>
      </c>
      <c r="G180" s="246">
        <v>53199792.210000001</v>
      </c>
      <c r="H180" s="246">
        <v>160051825.25</v>
      </c>
      <c r="I180" s="246">
        <v>70455114.900000006</v>
      </c>
      <c r="J180" s="248">
        <v>230506940.15000001</v>
      </c>
    </row>
    <row r="181" spans="1:10" x14ac:dyDescent="0.3">
      <c r="A181" s="265" t="s">
        <v>717</v>
      </c>
      <c r="B181" s="263" t="s">
        <v>718</v>
      </c>
      <c r="C181" s="246">
        <v>9006497.2200000007</v>
      </c>
      <c r="D181" s="246">
        <v>618022.39</v>
      </c>
      <c r="E181" s="246">
        <v>92129846.810000002</v>
      </c>
      <c r="F181" s="246">
        <v>60788500.710000001</v>
      </c>
      <c r="G181" s="246">
        <v>31341346.100000001</v>
      </c>
      <c r="H181" s="246">
        <v>69794997.930000007</v>
      </c>
      <c r="I181" s="246">
        <v>31959368.489999998</v>
      </c>
      <c r="J181" s="248">
        <v>101754366.42</v>
      </c>
    </row>
    <row r="182" spans="1:10" x14ac:dyDescent="0.3">
      <c r="A182" s="265" t="s">
        <v>719</v>
      </c>
      <c r="B182" s="263" t="s">
        <v>720</v>
      </c>
      <c r="C182" s="246">
        <v>409420.44</v>
      </c>
      <c r="D182" s="246">
        <v>152351.31</v>
      </c>
      <c r="E182" s="246">
        <v>8287975.2199999997</v>
      </c>
      <c r="F182" s="246">
        <v>5468658.2599999998</v>
      </c>
      <c r="G182" s="246">
        <v>2819316.96</v>
      </c>
      <c r="H182" s="246">
        <v>5878078.7000000002</v>
      </c>
      <c r="I182" s="246">
        <v>2971668.27</v>
      </c>
      <c r="J182" s="248">
        <v>8849746.9700000007</v>
      </c>
    </row>
    <row r="183" spans="1:10" x14ac:dyDescent="0.3">
      <c r="A183" s="265" t="s">
        <v>721</v>
      </c>
      <c r="B183" s="263" t="s">
        <v>722</v>
      </c>
      <c r="C183" s="246">
        <v>-214587.77</v>
      </c>
      <c r="D183" s="246">
        <v>-110643.76</v>
      </c>
      <c r="E183" s="246">
        <v>-41821805.789999999</v>
      </c>
      <c r="F183" s="246">
        <v>-27594027.52</v>
      </c>
      <c r="G183" s="246">
        <v>-14227778.27</v>
      </c>
      <c r="H183" s="246">
        <v>-27808615.289999999</v>
      </c>
      <c r="I183" s="246">
        <v>-14338422.029999999</v>
      </c>
      <c r="J183" s="248">
        <v>-42147037.32</v>
      </c>
    </row>
    <row r="184" spans="1:10" x14ac:dyDescent="0.3">
      <c r="A184" s="265" t="s">
        <v>723</v>
      </c>
      <c r="B184" s="263" t="s">
        <v>724</v>
      </c>
      <c r="C184" s="246">
        <v>3893617.21</v>
      </c>
      <c r="D184" s="246">
        <v>947400.5</v>
      </c>
      <c r="E184" s="246">
        <v>19506395.219999999</v>
      </c>
      <c r="F184" s="246">
        <v>12870428.859999999</v>
      </c>
      <c r="G184" s="246">
        <v>6635966.3600000003</v>
      </c>
      <c r="H184" s="246">
        <v>16764046.07</v>
      </c>
      <c r="I184" s="246">
        <v>7583366.8600000003</v>
      </c>
      <c r="J184" s="248">
        <v>24347412.93</v>
      </c>
    </row>
    <row r="185" spans="1:10" x14ac:dyDescent="0.3">
      <c r="A185" s="265" t="s">
        <v>725</v>
      </c>
      <c r="B185" s="263" t="s">
        <v>726</v>
      </c>
      <c r="C185" s="246">
        <v>5964683.5800000001</v>
      </c>
      <c r="D185" s="246">
        <v>253712.16</v>
      </c>
      <c r="E185" s="246">
        <v>199012.79</v>
      </c>
      <c r="F185" s="246">
        <v>117795.59</v>
      </c>
      <c r="G185" s="246">
        <v>81217.2</v>
      </c>
      <c r="H185" s="246">
        <v>6082479.1699999999</v>
      </c>
      <c r="I185" s="246">
        <v>334929.36</v>
      </c>
      <c r="J185" s="248">
        <v>6417408.5300000003</v>
      </c>
    </row>
    <row r="186" spans="1:10" x14ac:dyDescent="0.3">
      <c r="A186" s="265" t="s">
        <v>727</v>
      </c>
      <c r="B186" s="263" t="s">
        <v>728</v>
      </c>
      <c r="C186" s="246">
        <v>-68672.02</v>
      </c>
      <c r="D186" s="246">
        <v>626766.68999999994</v>
      </c>
      <c r="E186" s="246">
        <v>9086171.2599999998</v>
      </c>
      <c r="F186" s="246">
        <v>5286334.26</v>
      </c>
      <c r="G186" s="246">
        <v>3799837</v>
      </c>
      <c r="H186" s="246">
        <v>5217662.24</v>
      </c>
      <c r="I186" s="246">
        <v>4426603.6900000004</v>
      </c>
      <c r="J186" s="248">
        <v>9644265.9299999997</v>
      </c>
    </row>
    <row r="187" spans="1:10" x14ac:dyDescent="0.3">
      <c r="A187" s="265" t="s">
        <v>729</v>
      </c>
      <c r="B187" s="263" t="s">
        <v>730</v>
      </c>
      <c r="C187" s="246">
        <v>21224554.52</v>
      </c>
      <c r="D187" s="246">
        <v>7802104.6100000003</v>
      </c>
      <c r="E187" s="246">
        <v>14832304.33</v>
      </c>
      <c r="F187" s="246">
        <v>9457573.1199999992</v>
      </c>
      <c r="G187" s="246">
        <v>5374731.21</v>
      </c>
      <c r="H187" s="246">
        <v>30682127.640000001</v>
      </c>
      <c r="I187" s="246">
        <v>13176835.82</v>
      </c>
      <c r="J187" s="248">
        <v>43858963.460000001</v>
      </c>
    </row>
    <row r="188" spans="1:10" x14ac:dyDescent="0.3">
      <c r="A188" s="265" t="s">
        <v>731</v>
      </c>
      <c r="B188" s="263" t="s">
        <v>732</v>
      </c>
      <c r="C188" s="246">
        <v>15862484.470000001</v>
      </c>
      <c r="D188" s="246">
        <v>5478128.1399999997</v>
      </c>
      <c r="E188" s="246">
        <v>3883050.04</v>
      </c>
      <c r="F188" s="246">
        <v>2562036.44</v>
      </c>
      <c r="G188" s="246">
        <v>1321013.6000000001</v>
      </c>
      <c r="H188" s="246">
        <v>18424520.91</v>
      </c>
      <c r="I188" s="246">
        <v>6799141.7400000002</v>
      </c>
      <c r="J188" s="248">
        <v>25223662.649999999</v>
      </c>
    </row>
    <row r="189" spans="1:10" x14ac:dyDescent="0.3">
      <c r="A189" s="265" t="s">
        <v>876</v>
      </c>
      <c r="B189" s="263" t="s">
        <v>915</v>
      </c>
      <c r="C189" s="246">
        <v>36293.53</v>
      </c>
      <c r="D189" s="246">
        <v>0</v>
      </c>
      <c r="E189" s="246">
        <v>29433.52</v>
      </c>
      <c r="F189" s="246">
        <v>19420.23</v>
      </c>
      <c r="G189" s="246">
        <v>10013.290000000001</v>
      </c>
      <c r="H189" s="246">
        <v>55713.760000000002</v>
      </c>
      <c r="I189" s="246">
        <v>10013.290000000001</v>
      </c>
      <c r="J189" s="248">
        <v>65727.05</v>
      </c>
    </row>
    <row r="190" spans="1:10" x14ac:dyDescent="0.3">
      <c r="A190" s="265" t="s">
        <v>733</v>
      </c>
      <c r="B190" s="263" t="s">
        <v>734</v>
      </c>
      <c r="C190" s="246">
        <v>337435.96</v>
      </c>
      <c r="D190" s="246">
        <v>16607.54</v>
      </c>
      <c r="E190" s="246">
        <v>11029992.68</v>
      </c>
      <c r="F190" s="246">
        <v>7277900.1500000004</v>
      </c>
      <c r="G190" s="246">
        <v>3752092.53</v>
      </c>
      <c r="H190" s="246">
        <v>7615336.1100000003</v>
      </c>
      <c r="I190" s="246">
        <v>3768700.07</v>
      </c>
      <c r="J190" s="248">
        <v>11384036.18</v>
      </c>
    </row>
    <row r="191" spans="1:10" x14ac:dyDescent="0.3">
      <c r="A191" s="265" t="s">
        <v>735</v>
      </c>
      <c r="B191" s="263" t="s">
        <v>736</v>
      </c>
      <c r="C191" s="246">
        <v>2267466.0699999998</v>
      </c>
      <c r="D191" s="246">
        <v>0</v>
      </c>
      <c r="E191" s="246">
        <v>11079566.01</v>
      </c>
      <c r="F191" s="246">
        <v>7310384.8300000001</v>
      </c>
      <c r="G191" s="246">
        <v>3769181.18</v>
      </c>
      <c r="H191" s="246">
        <v>9577850.9000000004</v>
      </c>
      <c r="I191" s="246">
        <v>3769181.18</v>
      </c>
      <c r="J191" s="248">
        <v>13347032.08</v>
      </c>
    </row>
    <row r="192" spans="1:10" x14ac:dyDescent="0.3">
      <c r="A192" s="265" t="s">
        <v>737</v>
      </c>
      <c r="B192" s="263" t="s">
        <v>738</v>
      </c>
      <c r="C192" s="246"/>
      <c r="D192" s="246">
        <v>1470873.11</v>
      </c>
      <c r="E192" s="246"/>
      <c r="F192" s="246"/>
      <c r="G192" s="246"/>
      <c r="H192" s="246"/>
      <c r="I192" s="246">
        <v>1470873.11</v>
      </c>
      <c r="J192" s="248">
        <v>1470873.11</v>
      </c>
    </row>
    <row r="193" spans="1:10" x14ac:dyDescent="0.3">
      <c r="A193" s="265" t="s">
        <v>739</v>
      </c>
      <c r="B193" s="263" t="s">
        <v>740</v>
      </c>
      <c r="C193" s="246">
        <v>1237420.96</v>
      </c>
      <c r="D193" s="246">
        <v>0</v>
      </c>
      <c r="E193" s="246">
        <v>25053061.199999999</v>
      </c>
      <c r="F193" s="246">
        <v>16530206.15</v>
      </c>
      <c r="G193" s="246">
        <v>8522855.0500000007</v>
      </c>
      <c r="H193" s="246">
        <v>17767627.109999999</v>
      </c>
      <c r="I193" s="246">
        <v>8522855.0500000007</v>
      </c>
      <c r="J193" s="248">
        <v>26290482.16</v>
      </c>
    </row>
    <row r="194" spans="1:10" x14ac:dyDescent="0.3">
      <c r="A194" s="260" t="s">
        <v>741</v>
      </c>
      <c r="B194" s="261" t="s">
        <v>742</v>
      </c>
      <c r="C194" s="246">
        <v>399815810.36000001</v>
      </c>
      <c r="D194" s="246">
        <v>147974316.55000001</v>
      </c>
      <c r="E194" s="246">
        <v>99944736.810000002</v>
      </c>
      <c r="F194" s="246">
        <v>65943537.439999998</v>
      </c>
      <c r="G194" s="246">
        <v>34001199.369999997</v>
      </c>
      <c r="H194" s="246">
        <v>465759347.80000001</v>
      </c>
      <c r="I194" s="246">
        <v>181975515.91999999</v>
      </c>
      <c r="J194" s="248">
        <v>647734863.72000003</v>
      </c>
    </row>
    <row r="195" spans="1:10" x14ac:dyDescent="0.3">
      <c r="A195" s="264" t="s">
        <v>743</v>
      </c>
      <c r="B195" s="263" t="s">
        <v>744</v>
      </c>
      <c r="C195" s="246">
        <v>363386115.19999999</v>
      </c>
      <c r="D195" s="246">
        <v>140512774.31999999</v>
      </c>
      <c r="E195" s="246">
        <v>30289362.100000001</v>
      </c>
      <c r="F195" s="246">
        <v>19984921.120000001</v>
      </c>
      <c r="G195" s="246">
        <v>10304440.98</v>
      </c>
      <c r="H195" s="246">
        <v>383371036.31999999</v>
      </c>
      <c r="I195" s="246">
        <v>150817215.30000001</v>
      </c>
      <c r="J195" s="248">
        <v>534188251.62</v>
      </c>
    </row>
    <row r="196" spans="1:10" x14ac:dyDescent="0.3">
      <c r="A196" s="265" t="s">
        <v>745</v>
      </c>
      <c r="B196" s="263" t="s">
        <v>746</v>
      </c>
      <c r="C196" s="246">
        <v>354589151.07999998</v>
      </c>
      <c r="D196" s="246">
        <v>140104598.90000001</v>
      </c>
      <c r="E196" s="246">
        <v>30129177.940000001</v>
      </c>
      <c r="F196" s="246">
        <v>19879231.600000001</v>
      </c>
      <c r="G196" s="246">
        <v>10249946.34</v>
      </c>
      <c r="H196" s="246">
        <v>374468382.68000001</v>
      </c>
      <c r="I196" s="246">
        <v>150354545.24000001</v>
      </c>
      <c r="J196" s="248">
        <v>524822927.92000002</v>
      </c>
    </row>
    <row r="197" spans="1:10" x14ac:dyDescent="0.3">
      <c r="A197" s="265" t="s">
        <v>747</v>
      </c>
      <c r="B197" s="263" t="s">
        <v>748</v>
      </c>
      <c r="C197" s="246">
        <v>8796964.1199999992</v>
      </c>
      <c r="D197" s="246">
        <v>408175.42</v>
      </c>
      <c r="E197" s="246">
        <v>160184.16</v>
      </c>
      <c r="F197" s="246">
        <v>105689.52</v>
      </c>
      <c r="G197" s="246">
        <v>54494.64</v>
      </c>
      <c r="H197" s="246">
        <v>8902653.6400000006</v>
      </c>
      <c r="I197" s="246">
        <v>462670.06</v>
      </c>
      <c r="J197" s="248">
        <v>9365323.6999999993</v>
      </c>
    </row>
    <row r="198" spans="1:10" x14ac:dyDescent="0.3">
      <c r="A198" s="264" t="s">
        <v>749</v>
      </c>
      <c r="B198" s="263" t="s">
        <v>750</v>
      </c>
      <c r="C198" s="246">
        <v>32373587.920000002</v>
      </c>
      <c r="D198" s="246">
        <v>5065314.3499999996</v>
      </c>
      <c r="E198" s="246">
        <v>80063726.709999993</v>
      </c>
      <c r="F198" s="246">
        <v>52826046.950000003</v>
      </c>
      <c r="G198" s="246">
        <v>27237679.760000002</v>
      </c>
      <c r="H198" s="246">
        <v>85199634.870000005</v>
      </c>
      <c r="I198" s="246">
        <v>32302994.109999999</v>
      </c>
      <c r="J198" s="248">
        <v>117502628.98</v>
      </c>
    </row>
    <row r="199" spans="1:10" x14ac:dyDescent="0.3">
      <c r="A199" s="265" t="s">
        <v>751</v>
      </c>
      <c r="B199" s="263" t="s">
        <v>752</v>
      </c>
      <c r="C199" s="246">
        <v>17165347.940000001</v>
      </c>
      <c r="D199" s="246">
        <v>0</v>
      </c>
      <c r="E199" s="246">
        <v>80034705.230000004</v>
      </c>
      <c r="F199" s="246">
        <v>52806898.560000002</v>
      </c>
      <c r="G199" s="246">
        <v>27227806.670000002</v>
      </c>
      <c r="H199" s="246">
        <v>69972246.5</v>
      </c>
      <c r="I199" s="246">
        <v>27227806.670000002</v>
      </c>
      <c r="J199" s="248">
        <v>97200053.170000002</v>
      </c>
    </row>
    <row r="200" spans="1:10" x14ac:dyDescent="0.3">
      <c r="A200" s="265" t="s">
        <v>753</v>
      </c>
      <c r="B200" s="263" t="s">
        <v>754</v>
      </c>
      <c r="C200" s="246">
        <v>11687827.99</v>
      </c>
      <c r="D200" s="246"/>
      <c r="E200" s="246"/>
      <c r="F200" s="246"/>
      <c r="G200" s="246"/>
      <c r="H200" s="246">
        <v>11687827.99</v>
      </c>
      <c r="I200" s="246"/>
      <c r="J200" s="248">
        <v>11687827.99</v>
      </c>
    </row>
    <row r="201" spans="1:10" x14ac:dyDescent="0.3">
      <c r="A201" s="265" t="s">
        <v>755</v>
      </c>
      <c r="B201" s="263" t="s">
        <v>756</v>
      </c>
      <c r="C201" s="246">
        <v>3520411.99</v>
      </c>
      <c r="D201" s="246">
        <v>285414.68</v>
      </c>
      <c r="E201" s="246">
        <v>29021.48</v>
      </c>
      <c r="F201" s="246">
        <v>19148.39</v>
      </c>
      <c r="G201" s="246">
        <v>9873.09</v>
      </c>
      <c r="H201" s="246">
        <v>3539560.38</v>
      </c>
      <c r="I201" s="246">
        <v>295287.77</v>
      </c>
      <c r="J201" s="248">
        <v>3834848.15</v>
      </c>
    </row>
    <row r="202" spans="1:10" x14ac:dyDescent="0.3">
      <c r="A202" s="265" t="s">
        <v>757</v>
      </c>
      <c r="B202" s="263" t="s">
        <v>758</v>
      </c>
      <c r="C202" s="246"/>
      <c r="D202" s="246">
        <v>4779899.67</v>
      </c>
      <c r="E202" s="246"/>
      <c r="F202" s="246"/>
      <c r="G202" s="246"/>
      <c r="H202" s="246"/>
      <c r="I202" s="246">
        <v>4779899.67</v>
      </c>
      <c r="J202" s="248">
        <v>4779899.67</v>
      </c>
    </row>
    <row r="203" spans="1:10" x14ac:dyDescent="0.3">
      <c r="A203" s="264" t="s">
        <v>759</v>
      </c>
      <c r="B203" s="263" t="s">
        <v>760</v>
      </c>
      <c r="C203" s="246">
        <v>21846432</v>
      </c>
      <c r="D203" s="246"/>
      <c r="E203" s="246"/>
      <c r="F203" s="246"/>
      <c r="G203" s="246"/>
      <c r="H203" s="246">
        <v>21846432</v>
      </c>
      <c r="I203" s="246"/>
      <c r="J203" s="248">
        <v>21846432</v>
      </c>
    </row>
    <row r="204" spans="1:10" x14ac:dyDescent="0.3">
      <c r="A204" s="265" t="s">
        <v>761</v>
      </c>
      <c r="B204" s="263" t="s">
        <v>762</v>
      </c>
      <c r="C204" s="246">
        <v>21846432</v>
      </c>
      <c r="D204" s="246"/>
      <c r="E204" s="246"/>
      <c r="F204" s="246"/>
      <c r="G204" s="246"/>
      <c r="H204" s="246">
        <v>21846432</v>
      </c>
      <c r="I204" s="246"/>
      <c r="J204" s="248">
        <v>21846432</v>
      </c>
    </row>
    <row r="205" spans="1:10" x14ac:dyDescent="0.3">
      <c r="A205" s="264" t="s">
        <v>763</v>
      </c>
      <c r="B205" s="263" t="s">
        <v>437</v>
      </c>
      <c r="C205" s="246">
        <v>-17790324.760000002</v>
      </c>
      <c r="D205" s="246">
        <v>2396227.88</v>
      </c>
      <c r="E205" s="246">
        <v>-10408352</v>
      </c>
      <c r="F205" s="246">
        <v>-6867430.6299999999</v>
      </c>
      <c r="G205" s="246">
        <v>-3540921.37</v>
      </c>
      <c r="H205" s="246">
        <v>-24657755.390000001</v>
      </c>
      <c r="I205" s="246">
        <v>-1144693.49</v>
      </c>
      <c r="J205" s="248">
        <v>-25802448.879999999</v>
      </c>
    </row>
    <row r="206" spans="1:10" x14ac:dyDescent="0.3">
      <c r="A206" s="265" t="s">
        <v>764</v>
      </c>
      <c r="B206" s="263" t="s">
        <v>765</v>
      </c>
      <c r="C206" s="246">
        <v>12725649.48</v>
      </c>
      <c r="D206" s="246">
        <v>8999882.0399999991</v>
      </c>
      <c r="E206" s="246"/>
      <c r="F206" s="246"/>
      <c r="G206" s="246"/>
      <c r="H206" s="246">
        <v>12725649.48</v>
      </c>
      <c r="I206" s="246">
        <v>8999882.0399999991</v>
      </c>
      <c r="J206" s="248">
        <v>21725531.52</v>
      </c>
    </row>
    <row r="207" spans="1:10" x14ac:dyDescent="0.3">
      <c r="A207" s="265" t="s">
        <v>766</v>
      </c>
      <c r="B207" s="263" t="s">
        <v>767</v>
      </c>
      <c r="C207" s="246">
        <v>-25502732.109999999</v>
      </c>
      <c r="D207" s="246">
        <v>-6603654.1600000001</v>
      </c>
      <c r="E207" s="246">
        <v>-10408352</v>
      </c>
      <c r="F207" s="246">
        <v>-6867430.6299999999</v>
      </c>
      <c r="G207" s="246">
        <v>-3540921.37</v>
      </c>
      <c r="H207" s="246">
        <v>-32370162.739999998</v>
      </c>
      <c r="I207" s="246">
        <v>-10144575.529999999</v>
      </c>
      <c r="J207" s="248">
        <v>-42514738.270000003</v>
      </c>
    </row>
    <row r="208" spans="1:10" x14ac:dyDescent="0.3">
      <c r="A208" s="265" t="s">
        <v>768</v>
      </c>
      <c r="B208" s="263" t="s">
        <v>769</v>
      </c>
      <c r="C208" s="246">
        <v>-5013242.13</v>
      </c>
      <c r="D208" s="246"/>
      <c r="E208" s="246"/>
      <c r="F208" s="246"/>
      <c r="G208" s="246"/>
      <c r="H208" s="246">
        <v>-5013242.13</v>
      </c>
      <c r="I208" s="246"/>
      <c r="J208" s="248">
        <v>-5013242.13</v>
      </c>
    </row>
    <row r="209" spans="1:10" x14ac:dyDescent="0.3">
      <c r="A209" s="260" t="s">
        <v>778</v>
      </c>
      <c r="B209" s="261" t="s">
        <v>779</v>
      </c>
      <c r="C209" s="246">
        <v>253980113.83000001</v>
      </c>
      <c r="D209" s="246">
        <v>124058601.47</v>
      </c>
      <c r="E209" s="246">
        <v>8302106.4500000002</v>
      </c>
      <c r="F209" s="246">
        <v>5380570.6799999997</v>
      </c>
      <c r="G209" s="246">
        <v>2921535.77</v>
      </c>
      <c r="H209" s="246">
        <v>259360684.50999999</v>
      </c>
      <c r="I209" s="246">
        <v>126980137.23999999</v>
      </c>
      <c r="J209" s="248">
        <v>386340821.75</v>
      </c>
    </row>
    <row r="210" spans="1:10" x14ac:dyDescent="0.3">
      <c r="A210" s="262" t="s">
        <v>780</v>
      </c>
      <c r="B210" s="263" t="s">
        <v>781</v>
      </c>
      <c r="C210" s="246">
        <v>253980113.83000001</v>
      </c>
      <c r="D210" s="246">
        <v>124058601.47</v>
      </c>
      <c r="E210" s="246">
        <v>8302106.4500000002</v>
      </c>
      <c r="F210" s="246">
        <v>5380570.6799999997</v>
      </c>
      <c r="G210" s="246">
        <v>2921535.77</v>
      </c>
      <c r="H210" s="246">
        <v>259360684.50999999</v>
      </c>
      <c r="I210" s="246">
        <v>126980137.23999999</v>
      </c>
      <c r="J210" s="248">
        <v>386340821.75</v>
      </c>
    </row>
    <row r="211" spans="1:10" x14ac:dyDescent="0.3">
      <c r="A211" s="260" t="s">
        <v>782</v>
      </c>
      <c r="B211" s="261" t="s">
        <v>783</v>
      </c>
      <c r="C211" s="246">
        <v>42353803.619999997</v>
      </c>
      <c r="D211" s="246">
        <v>40108164.859999999</v>
      </c>
      <c r="E211" s="246"/>
      <c r="F211" s="246"/>
      <c r="G211" s="246"/>
      <c r="H211" s="246">
        <v>42353803.619999997</v>
      </c>
      <c r="I211" s="246">
        <v>40108164.859999999</v>
      </c>
      <c r="J211" s="248">
        <v>82461968.480000004</v>
      </c>
    </row>
    <row r="212" spans="1:10" x14ac:dyDescent="0.3">
      <c r="A212" s="262" t="s">
        <v>877</v>
      </c>
      <c r="B212" s="263" t="s">
        <v>892</v>
      </c>
      <c r="C212" s="246">
        <v>869191.32</v>
      </c>
      <c r="D212" s="246"/>
      <c r="E212" s="246"/>
      <c r="F212" s="246"/>
      <c r="G212" s="246"/>
      <c r="H212" s="246">
        <v>869191.32</v>
      </c>
      <c r="I212" s="246"/>
      <c r="J212" s="248">
        <v>869191.32</v>
      </c>
    </row>
    <row r="213" spans="1:10" x14ac:dyDescent="0.3">
      <c r="A213" s="262" t="s">
        <v>784</v>
      </c>
      <c r="B213" s="263" t="s">
        <v>893</v>
      </c>
      <c r="C213" s="246">
        <v>41484612.299999997</v>
      </c>
      <c r="D213" s="246">
        <v>40108164.859999999</v>
      </c>
      <c r="E213" s="246"/>
      <c r="F213" s="246"/>
      <c r="G213" s="246"/>
      <c r="H213" s="246">
        <v>41484612.299999997</v>
      </c>
      <c r="I213" s="246">
        <v>40108164.859999999</v>
      </c>
      <c r="J213" s="248">
        <v>81592777.159999996</v>
      </c>
    </row>
    <row r="214" spans="1:10" x14ac:dyDescent="0.3">
      <c r="A214" s="260" t="s">
        <v>785</v>
      </c>
      <c r="B214" s="261" t="s">
        <v>786</v>
      </c>
      <c r="C214" s="246">
        <v>-6899552.8399999999</v>
      </c>
      <c r="D214" s="246">
        <v>-2216388.7999999998</v>
      </c>
      <c r="E214" s="246"/>
      <c r="F214" s="246"/>
      <c r="G214" s="246"/>
      <c r="H214" s="246">
        <v>-6899552.8399999999</v>
      </c>
      <c r="I214" s="246">
        <v>-2216388.7999999998</v>
      </c>
      <c r="J214" s="248">
        <v>-9115941.6400000006</v>
      </c>
    </row>
    <row r="215" spans="1:10" x14ac:dyDescent="0.3">
      <c r="A215" s="262" t="s">
        <v>787</v>
      </c>
      <c r="B215" s="263" t="s">
        <v>788</v>
      </c>
      <c r="C215" s="246">
        <v>264566256.69</v>
      </c>
      <c r="D215" s="246">
        <v>201241970.38999999</v>
      </c>
      <c r="E215" s="246"/>
      <c r="F215" s="246"/>
      <c r="G215" s="246"/>
      <c r="H215" s="246">
        <v>264566256.69</v>
      </c>
      <c r="I215" s="246">
        <v>201241970.38999999</v>
      </c>
      <c r="J215" s="248">
        <v>465808227.07999998</v>
      </c>
    </row>
    <row r="216" spans="1:10" x14ac:dyDescent="0.3">
      <c r="A216" s="262" t="s">
        <v>789</v>
      </c>
      <c r="B216" s="263" t="s">
        <v>790</v>
      </c>
      <c r="C216" s="246">
        <v>-271465809.52999997</v>
      </c>
      <c r="D216" s="246">
        <v>-203458359.19</v>
      </c>
      <c r="E216" s="246"/>
      <c r="F216" s="246"/>
      <c r="G216" s="246"/>
      <c r="H216" s="246">
        <v>-271465809.52999997</v>
      </c>
      <c r="I216" s="246">
        <v>-203458359.19</v>
      </c>
      <c r="J216" s="248">
        <v>-474924168.72000003</v>
      </c>
    </row>
    <row r="217" spans="1:10" x14ac:dyDescent="0.3">
      <c r="A217" s="256" t="s">
        <v>791</v>
      </c>
      <c r="B217" s="257" t="s">
        <v>792</v>
      </c>
      <c r="C217" s="246">
        <v>-249689271.11000001</v>
      </c>
      <c r="D217" s="246">
        <v>853745.62</v>
      </c>
      <c r="E217" s="246">
        <v>256193525.66</v>
      </c>
      <c r="F217" s="246">
        <v>169039455.91999999</v>
      </c>
      <c r="G217" s="246">
        <v>87154069.739999995</v>
      </c>
      <c r="H217" s="246">
        <v>-80649815.189999998</v>
      </c>
      <c r="I217" s="246">
        <v>88007815.359999999</v>
      </c>
      <c r="J217" s="248">
        <v>7358000.1699999999</v>
      </c>
    </row>
    <row r="218" spans="1:10" x14ac:dyDescent="0.3">
      <c r="A218" s="258" t="s">
        <v>772</v>
      </c>
      <c r="B218" s="259" t="s">
        <v>773</v>
      </c>
      <c r="C218" s="246">
        <v>-218025429.09999999</v>
      </c>
      <c r="D218" s="246"/>
      <c r="E218" s="246"/>
      <c r="F218" s="246"/>
      <c r="G218" s="246"/>
      <c r="H218" s="246">
        <v>-218025429.09999999</v>
      </c>
      <c r="I218" s="246"/>
      <c r="J218" s="248">
        <v>-218025429.09999999</v>
      </c>
    </row>
    <row r="219" spans="1:10" x14ac:dyDescent="0.3">
      <c r="A219" s="266" t="s">
        <v>774</v>
      </c>
      <c r="B219" s="261" t="s">
        <v>775</v>
      </c>
      <c r="C219" s="246">
        <v>-289512311.88999999</v>
      </c>
      <c r="D219" s="246"/>
      <c r="E219" s="246"/>
      <c r="F219" s="246"/>
      <c r="G219" s="246"/>
      <c r="H219" s="246">
        <v>-289512311.88999999</v>
      </c>
      <c r="I219" s="246"/>
      <c r="J219" s="248">
        <v>-289512311.88999999</v>
      </c>
    </row>
    <row r="220" spans="1:10" x14ac:dyDescent="0.3">
      <c r="A220" s="266" t="s">
        <v>776</v>
      </c>
      <c r="B220" s="261" t="s">
        <v>777</v>
      </c>
      <c r="C220" s="246">
        <v>71486882.790000007</v>
      </c>
      <c r="D220" s="246"/>
      <c r="E220" s="246"/>
      <c r="F220" s="246"/>
      <c r="G220" s="246"/>
      <c r="H220" s="246">
        <v>71486882.790000007</v>
      </c>
      <c r="I220" s="246"/>
      <c r="J220" s="248">
        <v>71486882.790000007</v>
      </c>
    </row>
    <row r="221" spans="1:10" x14ac:dyDescent="0.3">
      <c r="A221" s="258" t="s">
        <v>793</v>
      </c>
      <c r="B221" s="259" t="s">
        <v>794</v>
      </c>
      <c r="C221" s="246">
        <v>-23150312.41</v>
      </c>
      <c r="D221" s="246">
        <v>3219374.2</v>
      </c>
      <c r="E221" s="246">
        <v>9465651.3100000005</v>
      </c>
      <c r="F221" s="246">
        <v>6245436.7000000002</v>
      </c>
      <c r="G221" s="246">
        <v>3220214.61</v>
      </c>
      <c r="H221" s="246">
        <v>-16904875.710000001</v>
      </c>
      <c r="I221" s="246">
        <v>6439588.8099999996</v>
      </c>
      <c r="J221" s="248">
        <v>-10465286.9</v>
      </c>
    </row>
    <row r="222" spans="1:10" x14ac:dyDescent="0.3">
      <c r="A222" s="266" t="s">
        <v>795</v>
      </c>
      <c r="B222" s="261" t="s">
        <v>796</v>
      </c>
      <c r="C222" s="246">
        <v>672001.25</v>
      </c>
      <c r="D222" s="246">
        <v>0</v>
      </c>
      <c r="E222" s="246">
        <v>9436.75</v>
      </c>
      <c r="F222" s="246">
        <v>6226.37</v>
      </c>
      <c r="G222" s="246">
        <v>3210.38</v>
      </c>
      <c r="H222" s="246">
        <v>678227.62</v>
      </c>
      <c r="I222" s="246">
        <v>3210.38</v>
      </c>
      <c r="J222" s="248">
        <v>681438</v>
      </c>
    </row>
    <row r="223" spans="1:10" x14ac:dyDescent="0.3">
      <c r="A223" s="266" t="s">
        <v>797</v>
      </c>
      <c r="B223" s="261" t="s">
        <v>798</v>
      </c>
      <c r="C223" s="246">
        <v>0</v>
      </c>
      <c r="D223" s="246">
        <v>0</v>
      </c>
      <c r="E223" s="246">
        <v>-67632.81</v>
      </c>
      <c r="F223" s="246">
        <v>-44624.12</v>
      </c>
      <c r="G223" s="246">
        <v>-23008.69</v>
      </c>
      <c r="H223" s="246">
        <v>-44624.12</v>
      </c>
      <c r="I223" s="246">
        <v>-23008.69</v>
      </c>
      <c r="J223" s="248">
        <v>-67632.81</v>
      </c>
    </row>
    <row r="224" spans="1:10" x14ac:dyDescent="0.3">
      <c r="A224" s="266" t="s">
        <v>799</v>
      </c>
      <c r="B224" s="261" t="s">
        <v>800</v>
      </c>
      <c r="C224" s="246">
        <v>0</v>
      </c>
      <c r="D224" s="246">
        <v>0</v>
      </c>
      <c r="E224" s="246">
        <v>-498794.83</v>
      </c>
      <c r="F224" s="246">
        <v>-329104.82</v>
      </c>
      <c r="G224" s="246">
        <v>-169690.01</v>
      </c>
      <c r="H224" s="246">
        <v>-329104.82</v>
      </c>
      <c r="I224" s="246">
        <v>-169690.01</v>
      </c>
      <c r="J224" s="248">
        <v>-498794.83</v>
      </c>
    </row>
    <row r="225" spans="1:10" x14ac:dyDescent="0.3">
      <c r="A225" s="266" t="s">
        <v>801</v>
      </c>
      <c r="B225" s="261" t="s">
        <v>802</v>
      </c>
      <c r="C225" s="246">
        <v>0</v>
      </c>
      <c r="D225" s="246">
        <v>0</v>
      </c>
      <c r="E225" s="246">
        <v>-271813.24</v>
      </c>
      <c r="F225" s="246">
        <v>-179342.38</v>
      </c>
      <c r="G225" s="246">
        <v>-92470.86</v>
      </c>
      <c r="H225" s="246">
        <v>-179342.38</v>
      </c>
      <c r="I225" s="246">
        <v>-92470.86</v>
      </c>
      <c r="J225" s="248">
        <v>-271813.24</v>
      </c>
    </row>
    <row r="226" spans="1:10" x14ac:dyDescent="0.3">
      <c r="A226" s="266" t="s">
        <v>803</v>
      </c>
      <c r="B226" s="261" t="s">
        <v>804</v>
      </c>
      <c r="C226" s="246">
        <v>0</v>
      </c>
      <c r="D226" s="246">
        <v>0</v>
      </c>
      <c r="E226" s="246">
        <v>868183.32</v>
      </c>
      <c r="F226" s="246">
        <v>572827.23</v>
      </c>
      <c r="G226" s="246">
        <v>295356.09000000003</v>
      </c>
      <c r="H226" s="246">
        <v>572827.23</v>
      </c>
      <c r="I226" s="246">
        <v>295356.09000000003</v>
      </c>
      <c r="J226" s="248">
        <v>868183.32</v>
      </c>
    </row>
    <row r="227" spans="1:10" x14ac:dyDescent="0.3">
      <c r="A227" s="266" t="s">
        <v>922</v>
      </c>
      <c r="B227" s="261" t="s">
        <v>923</v>
      </c>
      <c r="C227" s="246"/>
      <c r="D227" s="246">
        <v>120523.84</v>
      </c>
      <c r="E227" s="246"/>
      <c r="F227" s="246"/>
      <c r="G227" s="246"/>
      <c r="H227" s="246"/>
      <c r="I227" s="246">
        <v>120523.84</v>
      </c>
      <c r="J227" s="248">
        <v>120523.84</v>
      </c>
    </row>
    <row r="228" spans="1:10" x14ac:dyDescent="0.3">
      <c r="A228" s="266" t="s">
        <v>805</v>
      </c>
      <c r="B228" s="261" t="s">
        <v>806</v>
      </c>
      <c r="C228" s="246">
        <v>0</v>
      </c>
      <c r="D228" s="246">
        <v>-41761.24</v>
      </c>
      <c r="E228" s="246">
        <v>-44766297.920000002</v>
      </c>
      <c r="F228" s="246">
        <v>-29536803.379999999</v>
      </c>
      <c r="G228" s="246">
        <v>-15229494.539999999</v>
      </c>
      <c r="H228" s="246">
        <v>-29536803.379999999</v>
      </c>
      <c r="I228" s="246">
        <v>-15271255.779999999</v>
      </c>
      <c r="J228" s="248">
        <v>-44808059.159999996</v>
      </c>
    </row>
    <row r="229" spans="1:10" x14ac:dyDescent="0.3">
      <c r="A229" s="266" t="s">
        <v>807</v>
      </c>
      <c r="B229" s="261" t="s">
        <v>808</v>
      </c>
      <c r="C229" s="246">
        <v>0</v>
      </c>
      <c r="D229" s="246">
        <v>0</v>
      </c>
      <c r="E229" s="246">
        <v>40561238.270000003</v>
      </c>
      <c r="F229" s="246">
        <v>26762304.890000001</v>
      </c>
      <c r="G229" s="246">
        <v>13798933.380000001</v>
      </c>
      <c r="H229" s="246">
        <v>26762304.890000001</v>
      </c>
      <c r="I229" s="246">
        <v>13798933.380000001</v>
      </c>
      <c r="J229" s="248">
        <v>40561238.270000003</v>
      </c>
    </row>
    <row r="230" spans="1:10" x14ac:dyDescent="0.3">
      <c r="A230" s="266" t="s">
        <v>810</v>
      </c>
      <c r="B230" s="261" t="s">
        <v>916</v>
      </c>
      <c r="C230" s="246">
        <v>0</v>
      </c>
      <c r="D230" s="246">
        <v>0</v>
      </c>
      <c r="E230" s="246">
        <v>-270654.74</v>
      </c>
      <c r="F230" s="246">
        <v>-178577.99</v>
      </c>
      <c r="G230" s="246">
        <v>-92076.75</v>
      </c>
      <c r="H230" s="246">
        <v>-178577.99</v>
      </c>
      <c r="I230" s="246">
        <v>-92076.75</v>
      </c>
      <c r="J230" s="248">
        <v>-270654.74</v>
      </c>
    </row>
    <row r="231" spans="1:10" x14ac:dyDescent="0.3">
      <c r="A231" s="266" t="s">
        <v>811</v>
      </c>
      <c r="B231" s="261" t="s">
        <v>812</v>
      </c>
      <c r="C231" s="246">
        <v>1919102.79</v>
      </c>
      <c r="D231" s="246">
        <v>7100255.0999999996</v>
      </c>
      <c r="E231" s="246">
        <v>-7994307.0899999999</v>
      </c>
      <c r="F231" s="246">
        <v>-5274643.8</v>
      </c>
      <c r="G231" s="246">
        <v>-2719663.29</v>
      </c>
      <c r="H231" s="246">
        <v>-3355541.01</v>
      </c>
      <c r="I231" s="246">
        <v>4380591.8099999996</v>
      </c>
      <c r="J231" s="248">
        <v>1025050.8</v>
      </c>
    </row>
    <row r="232" spans="1:10" x14ac:dyDescent="0.3">
      <c r="A232" s="266" t="s">
        <v>813</v>
      </c>
      <c r="B232" s="261" t="s">
        <v>814</v>
      </c>
      <c r="C232" s="246">
        <v>-22961896.18</v>
      </c>
      <c r="D232" s="246">
        <v>-4276715.24</v>
      </c>
      <c r="E232" s="246">
        <v>-1071731.29</v>
      </c>
      <c r="F232" s="246">
        <v>-707128.29</v>
      </c>
      <c r="G232" s="246">
        <v>-364603</v>
      </c>
      <c r="H232" s="246">
        <v>-23669024.469999999</v>
      </c>
      <c r="I232" s="246">
        <v>-4641318.24</v>
      </c>
      <c r="J232" s="248">
        <v>-28310342.710000001</v>
      </c>
    </row>
    <row r="233" spans="1:10" x14ac:dyDescent="0.3">
      <c r="A233" s="266" t="s">
        <v>815</v>
      </c>
      <c r="B233" s="261" t="s">
        <v>816</v>
      </c>
      <c r="C233" s="246">
        <v>-94127.91</v>
      </c>
      <c r="D233" s="246">
        <v>-800</v>
      </c>
      <c r="E233" s="246">
        <v>-2500.62</v>
      </c>
      <c r="F233" s="246">
        <v>-1649.92</v>
      </c>
      <c r="G233" s="246">
        <v>-850.7</v>
      </c>
      <c r="H233" s="246">
        <v>-95777.83</v>
      </c>
      <c r="I233" s="246">
        <v>-1650.7</v>
      </c>
      <c r="J233" s="248">
        <v>-97428.53</v>
      </c>
    </row>
    <row r="234" spans="1:10" x14ac:dyDescent="0.3">
      <c r="A234" s="266" t="s">
        <v>880</v>
      </c>
      <c r="B234" s="261" t="s">
        <v>917</v>
      </c>
      <c r="C234" s="246">
        <v>-235261.73</v>
      </c>
      <c r="D234" s="246"/>
      <c r="E234" s="246"/>
      <c r="F234" s="246"/>
      <c r="G234" s="246"/>
      <c r="H234" s="246">
        <v>-235261.73</v>
      </c>
      <c r="I234" s="246"/>
      <c r="J234" s="248">
        <v>-235261.73</v>
      </c>
    </row>
    <row r="235" spans="1:10" x14ac:dyDescent="0.3">
      <c r="A235" s="266" t="s">
        <v>817</v>
      </c>
      <c r="B235" s="261" t="s">
        <v>818</v>
      </c>
      <c r="C235" s="246">
        <v>-2218897.37</v>
      </c>
      <c r="D235" s="246"/>
      <c r="E235" s="246"/>
      <c r="F235" s="246"/>
      <c r="G235" s="246"/>
      <c r="H235" s="246">
        <v>-2218897.37</v>
      </c>
      <c r="I235" s="246"/>
      <c r="J235" s="248">
        <v>-2218897.37</v>
      </c>
    </row>
    <row r="236" spans="1:10" x14ac:dyDescent="0.3">
      <c r="A236" s="266" t="s">
        <v>819</v>
      </c>
      <c r="B236" s="261" t="s">
        <v>820</v>
      </c>
      <c r="C236" s="246">
        <v>8400</v>
      </c>
      <c r="D236" s="246">
        <v>0</v>
      </c>
      <c r="E236" s="246">
        <v>28400</v>
      </c>
      <c r="F236" s="246">
        <v>18738.32</v>
      </c>
      <c r="G236" s="246">
        <v>9661.68</v>
      </c>
      <c r="H236" s="246">
        <v>27138.32</v>
      </c>
      <c r="I236" s="246">
        <v>9661.68</v>
      </c>
      <c r="J236" s="248">
        <v>36800</v>
      </c>
    </row>
    <row r="237" spans="1:10" x14ac:dyDescent="0.3">
      <c r="A237" s="266" t="s">
        <v>821</v>
      </c>
      <c r="B237" s="261" t="s">
        <v>918</v>
      </c>
      <c r="C237" s="246">
        <v>0</v>
      </c>
      <c r="D237" s="246">
        <v>0</v>
      </c>
      <c r="E237" s="246">
        <v>-1759019.65</v>
      </c>
      <c r="F237" s="246">
        <v>-1160601.1599999999</v>
      </c>
      <c r="G237" s="246">
        <v>-598418.49</v>
      </c>
      <c r="H237" s="246">
        <v>-1160601.1599999999</v>
      </c>
      <c r="I237" s="246">
        <v>-598418.49</v>
      </c>
      <c r="J237" s="248">
        <v>-1759019.65</v>
      </c>
    </row>
    <row r="238" spans="1:10" x14ac:dyDescent="0.3">
      <c r="A238" s="266" t="s">
        <v>822</v>
      </c>
      <c r="B238" s="261" t="s">
        <v>919</v>
      </c>
      <c r="C238" s="246">
        <v>-545006</v>
      </c>
      <c r="D238" s="246">
        <v>315408</v>
      </c>
      <c r="E238" s="246">
        <v>1758985.25</v>
      </c>
      <c r="F238" s="246">
        <v>1160578.47</v>
      </c>
      <c r="G238" s="246">
        <v>598406.78</v>
      </c>
      <c r="H238" s="246">
        <v>615572.47</v>
      </c>
      <c r="I238" s="246">
        <v>913814.78</v>
      </c>
      <c r="J238" s="248">
        <v>1529387.25</v>
      </c>
    </row>
    <row r="239" spans="1:10" x14ac:dyDescent="0.3">
      <c r="A239" s="266" t="s">
        <v>823</v>
      </c>
      <c r="B239" s="261" t="s">
        <v>824</v>
      </c>
      <c r="C239" s="246">
        <v>0</v>
      </c>
      <c r="D239" s="246">
        <v>2463.7399999999998</v>
      </c>
      <c r="E239" s="246">
        <v>8486227.2100000009</v>
      </c>
      <c r="F239" s="246">
        <v>5599212.8399999999</v>
      </c>
      <c r="G239" s="246">
        <v>2887014.37</v>
      </c>
      <c r="H239" s="246">
        <v>5599212.8399999999</v>
      </c>
      <c r="I239" s="246">
        <v>2889478.11</v>
      </c>
      <c r="J239" s="248">
        <v>8488690.9499999993</v>
      </c>
    </row>
    <row r="240" spans="1:10" x14ac:dyDescent="0.3">
      <c r="A240" s="266" t="s">
        <v>825</v>
      </c>
      <c r="B240" s="261" t="s">
        <v>826</v>
      </c>
      <c r="C240" s="246">
        <v>305372.74</v>
      </c>
      <c r="D240" s="246">
        <v>0</v>
      </c>
      <c r="E240" s="246">
        <v>14455932.699999999</v>
      </c>
      <c r="F240" s="246">
        <v>9538024.4399999995</v>
      </c>
      <c r="G240" s="246">
        <v>4917908.26</v>
      </c>
      <c r="H240" s="246">
        <v>9843397.1799999997</v>
      </c>
      <c r="I240" s="246">
        <v>4917908.26</v>
      </c>
      <c r="J240" s="248">
        <v>14761305.439999999</v>
      </c>
    </row>
    <row r="241" spans="1:13" x14ac:dyDescent="0.3">
      <c r="A241" s="258" t="s">
        <v>827</v>
      </c>
      <c r="B241" s="259" t="s">
        <v>828</v>
      </c>
      <c r="C241" s="246">
        <v>-8513529.5999999996</v>
      </c>
      <c r="D241" s="246">
        <v>-2365628.58</v>
      </c>
      <c r="E241" s="246">
        <v>246727874.34999999</v>
      </c>
      <c r="F241" s="246">
        <v>162794019.22</v>
      </c>
      <c r="G241" s="246">
        <v>83933855.129999995</v>
      </c>
      <c r="H241" s="246">
        <v>154280489.62</v>
      </c>
      <c r="I241" s="246">
        <v>81568226.549999997</v>
      </c>
      <c r="J241" s="248">
        <v>235848716.16999999</v>
      </c>
    </row>
    <row r="242" spans="1:13" x14ac:dyDescent="0.3">
      <c r="A242" s="266" t="s">
        <v>829</v>
      </c>
      <c r="B242" s="261" t="s">
        <v>830</v>
      </c>
      <c r="C242" s="246">
        <v>0</v>
      </c>
      <c r="D242" s="246">
        <v>0</v>
      </c>
      <c r="E242" s="246">
        <v>240203334</v>
      </c>
      <c r="F242" s="246">
        <v>158489088.91999999</v>
      </c>
      <c r="G242" s="246">
        <v>81714245.079999998</v>
      </c>
      <c r="H242" s="246">
        <v>158489088.91999999</v>
      </c>
      <c r="I242" s="246">
        <v>81714245.079999998</v>
      </c>
      <c r="J242" s="248">
        <v>240203334</v>
      </c>
    </row>
    <row r="243" spans="1:13" x14ac:dyDescent="0.3">
      <c r="A243" s="266" t="s">
        <v>831</v>
      </c>
      <c r="B243" s="261" t="s">
        <v>832</v>
      </c>
      <c r="C243" s="246">
        <v>0</v>
      </c>
      <c r="D243" s="246">
        <v>0</v>
      </c>
      <c r="E243" s="246">
        <v>2651955.48</v>
      </c>
      <c r="F243" s="246">
        <v>1749798.73</v>
      </c>
      <c r="G243" s="246">
        <v>902156.75</v>
      </c>
      <c r="H243" s="246">
        <v>1749798.73</v>
      </c>
      <c r="I243" s="246">
        <v>902156.75</v>
      </c>
      <c r="J243" s="248">
        <v>2651955.48</v>
      </c>
    </row>
    <row r="244" spans="1:13" x14ac:dyDescent="0.3">
      <c r="A244" s="266" t="s">
        <v>833</v>
      </c>
      <c r="B244" s="261" t="s">
        <v>834</v>
      </c>
      <c r="C244" s="246">
        <v>5052.92</v>
      </c>
      <c r="D244" s="246">
        <v>2967.65</v>
      </c>
      <c r="E244" s="246">
        <v>2160854.9700000002</v>
      </c>
      <c r="F244" s="246">
        <v>1425732.15</v>
      </c>
      <c r="G244" s="246">
        <v>735122.82</v>
      </c>
      <c r="H244" s="246">
        <v>1430785.07</v>
      </c>
      <c r="I244" s="246">
        <v>738090.47</v>
      </c>
      <c r="J244" s="248">
        <v>2168875.54</v>
      </c>
    </row>
    <row r="245" spans="1:13" x14ac:dyDescent="0.3">
      <c r="A245" s="266" t="s">
        <v>835</v>
      </c>
      <c r="B245" s="261" t="s">
        <v>836</v>
      </c>
      <c r="C245" s="246">
        <v>6578060.3700000001</v>
      </c>
      <c r="D245" s="246">
        <v>290266.21000000002</v>
      </c>
      <c r="E245" s="246">
        <v>2399844.92</v>
      </c>
      <c r="F245" s="246">
        <v>1583417.71</v>
      </c>
      <c r="G245" s="246">
        <v>816427.21</v>
      </c>
      <c r="H245" s="246">
        <v>8161478.0800000001</v>
      </c>
      <c r="I245" s="246">
        <v>1106693.42</v>
      </c>
      <c r="J245" s="248">
        <v>9268171.5</v>
      </c>
    </row>
    <row r="246" spans="1:13" x14ac:dyDescent="0.3">
      <c r="A246" s="266" t="s">
        <v>837</v>
      </c>
      <c r="B246" s="261" t="s">
        <v>838</v>
      </c>
      <c r="C246" s="247">
        <v>-15096642.890000001</v>
      </c>
      <c r="D246" s="247">
        <v>-2658862.44</v>
      </c>
      <c r="E246" s="247">
        <v>-688115.02</v>
      </c>
      <c r="F246" s="247">
        <v>-454018.29</v>
      </c>
      <c r="G246" s="247">
        <v>-234096.73</v>
      </c>
      <c r="H246" s="247">
        <v>-15550661.18</v>
      </c>
      <c r="I246" s="247">
        <v>-2892959.17</v>
      </c>
      <c r="J246" s="249">
        <v>-18443620.350000001</v>
      </c>
    </row>
    <row r="252" spans="1:13" s="3" customFormat="1" x14ac:dyDescent="0.3">
      <c r="A252" s="265" t="s">
        <v>751</v>
      </c>
      <c r="B252" s="263" t="s">
        <v>752</v>
      </c>
      <c r="E252" s="282">
        <f>-'Dec YTD'!C80</f>
        <v>-144449.73000000001</v>
      </c>
      <c r="F252" s="280">
        <f>E252*'Common by Account (CBR)'!F35</f>
        <v>-94845.69265514439</v>
      </c>
      <c r="G252" s="280">
        <f>E252*'Common by Account (CBR)'!G35</f>
        <v>-49604.03734485562</v>
      </c>
      <c r="H252" s="280">
        <f>F252</f>
        <v>-94845.69265514439</v>
      </c>
      <c r="I252" s="280">
        <f>G252</f>
        <v>-49604.03734485562</v>
      </c>
      <c r="J252" s="280">
        <f>SUM(H252:I252)</f>
        <v>-144449.73000000001</v>
      </c>
      <c r="K252" s="280"/>
      <c r="L252" s="280"/>
      <c r="M252" s="280"/>
    </row>
    <row r="253" spans="1:13" s="3" customFormat="1" x14ac:dyDescent="0.3">
      <c r="A253" s="265" t="s">
        <v>735</v>
      </c>
      <c r="B253" s="263" t="s">
        <v>736</v>
      </c>
      <c r="E253" s="280">
        <f>'Dec YTD'!C80</f>
        <v>144449.73000000001</v>
      </c>
      <c r="F253" s="280">
        <f>-F252</f>
        <v>94845.69265514439</v>
      </c>
      <c r="G253" s="280">
        <f>-G252</f>
        <v>49604.03734485562</v>
      </c>
      <c r="H253" s="280">
        <f>F253</f>
        <v>94845.69265514439</v>
      </c>
      <c r="I253" s="280">
        <f>G253</f>
        <v>49604.03734485562</v>
      </c>
      <c r="J253" s="280">
        <f>SUM(H253:I253)</f>
        <v>144449.73000000001</v>
      </c>
      <c r="K253" s="280"/>
      <c r="L253" s="280"/>
      <c r="M253" s="280"/>
    </row>
    <row r="254" spans="1:13" s="3" customFormat="1" x14ac:dyDescent="0.3">
      <c r="A254" s="284" t="s">
        <v>789</v>
      </c>
      <c r="C254" s="289">
        <v>9061840</v>
      </c>
      <c r="E254" s="280"/>
      <c r="F254" s="280"/>
      <c r="G254" s="280"/>
      <c r="H254" s="280">
        <v>9061840</v>
      </c>
      <c r="I254" s="280"/>
      <c r="J254" s="280"/>
      <c r="K254" s="280"/>
      <c r="L254" s="280"/>
      <c r="M254" s="3" t="s">
        <v>1033</v>
      </c>
    </row>
    <row r="255" spans="1:13" s="3" customFormat="1" x14ac:dyDescent="0.3">
      <c r="A255" s="284" t="s">
        <v>774</v>
      </c>
      <c r="C255" s="289">
        <v>2311579.94</v>
      </c>
      <c r="E255" s="280"/>
      <c r="F255" s="280"/>
      <c r="G255" s="280"/>
      <c r="H255" s="280">
        <v>2311579.94</v>
      </c>
      <c r="I255" s="280"/>
      <c r="J255" s="280"/>
      <c r="M255" s="3" t="s">
        <v>1033</v>
      </c>
    </row>
    <row r="256" spans="1:13" s="3" customFormat="1" x14ac:dyDescent="0.3">
      <c r="A256" s="284" t="s">
        <v>776</v>
      </c>
      <c r="C256" s="289">
        <v>-45463201.149999999</v>
      </c>
      <c r="E256" s="280"/>
      <c r="F256" s="280"/>
      <c r="G256" s="280"/>
      <c r="H256" s="280">
        <v>-45463201.149999999</v>
      </c>
      <c r="I256" s="280"/>
      <c r="J256" s="280"/>
      <c r="M256" s="3" t="s">
        <v>1033</v>
      </c>
    </row>
    <row r="257" spans="1:13" s="3" customFormat="1" x14ac:dyDescent="0.3">
      <c r="A257" s="284" t="s">
        <v>811</v>
      </c>
      <c r="B257" s="296" t="s">
        <v>1043</v>
      </c>
      <c r="C257" s="289">
        <v>5421364</v>
      </c>
      <c r="D257" s="289">
        <v>2285246</v>
      </c>
      <c r="E257" s="280"/>
      <c r="F257" s="280"/>
      <c r="G257" s="280"/>
      <c r="H257" s="280"/>
      <c r="I257" s="280"/>
      <c r="J257" s="280"/>
      <c r="K257" s="280"/>
      <c r="L257" s="280"/>
      <c r="M257" s="3" t="s">
        <v>1044</v>
      </c>
    </row>
    <row r="258" spans="1:13" s="3" customFormat="1" x14ac:dyDescent="0.3">
      <c r="A258" s="284" t="s">
        <v>789</v>
      </c>
      <c r="B258" s="296" t="s">
        <v>1045</v>
      </c>
      <c r="C258" s="289">
        <v>-1138486</v>
      </c>
      <c r="D258" s="289">
        <v>-479902</v>
      </c>
      <c r="F258" s="280"/>
      <c r="H258" s="280"/>
      <c r="I258" s="280"/>
      <c r="J258" s="280"/>
      <c r="M258" s="3" t="s">
        <v>1044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opLeftCell="A46" workbookViewId="0">
      <selection activeCell="H29" sqref="H29"/>
    </sheetView>
  </sheetViews>
  <sheetFormatPr defaultColWidth="9.109375" defaultRowHeight="13.2" outlineLevelRow="2" x14ac:dyDescent="0.3"/>
  <cols>
    <col min="1" max="1" width="10" style="299" bestFit="1" customWidth="1"/>
    <col min="2" max="2" width="14" style="299" bestFit="1" customWidth="1"/>
    <col min="3" max="3" width="17" style="299" bestFit="1" customWidth="1"/>
    <col min="4" max="4" width="22" style="299" bestFit="1" customWidth="1"/>
    <col min="5" max="5" width="42" style="299" bestFit="1" customWidth="1"/>
    <col min="6" max="6" width="8" style="299" bestFit="1" customWidth="1"/>
    <col min="7" max="7" width="11" style="299" bestFit="1" customWidth="1"/>
    <col min="8" max="8" width="17" style="299" bestFit="1" customWidth="1"/>
    <col min="9" max="10" width="6" style="299" bestFit="1" customWidth="1"/>
    <col min="11" max="11" width="14" style="299" bestFit="1" customWidth="1"/>
    <col min="12" max="12" width="27" style="299" bestFit="1" customWidth="1"/>
    <col min="13" max="13" width="10" style="299" bestFit="1" customWidth="1"/>
    <col min="14" max="14" width="11" style="299" bestFit="1" customWidth="1"/>
    <col min="15" max="15" width="15" style="299" bestFit="1" customWidth="1"/>
    <col min="16" max="16" width="13" style="299" bestFit="1" customWidth="1"/>
    <col min="17" max="16384" width="9.109375" style="299"/>
  </cols>
  <sheetData>
    <row r="1" spans="1:16" ht="39.6" x14ac:dyDescent="0.3">
      <c r="A1" s="297" t="s">
        <v>946</v>
      </c>
      <c r="B1" s="297" t="s">
        <v>947</v>
      </c>
      <c r="C1" s="297" t="s">
        <v>948</v>
      </c>
      <c r="D1" s="297" t="s">
        <v>949</v>
      </c>
      <c r="E1" s="297" t="s">
        <v>950</v>
      </c>
      <c r="F1" s="297" t="s">
        <v>951</v>
      </c>
      <c r="G1" s="298" t="s">
        <v>952</v>
      </c>
      <c r="H1" s="297" t="s">
        <v>953</v>
      </c>
      <c r="I1" s="298" t="s">
        <v>954</v>
      </c>
      <c r="J1" s="297" t="s">
        <v>955</v>
      </c>
      <c r="K1" s="297" t="s">
        <v>956</v>
      </c>
      <c r="L1" s="297" t="s">
        <v>957</v>
      </c>
      <c r="M1" s="298" t="s">
        <v>958</v>
      </c>
      <c r="N1" s="297" t="s">
        <v>959</v>
      </c>
      <c r="O1" s="297" t="s">
        <v>960</v>
      </c>
      <c r="P1" s="297" t="s">
        <v>961</v>
      </c>
    </row>
    <row r="2" spans="1:16" outlineLevel="2" x14ac:dyDescent="0.3">
      <c r="A2" s="299" t="s">
        <v>962</v>
      </c>
      <c r="B2" s="299" t="s">
        <v>963</v>
      </c>
      <c r="C2" s="300">
        <v>17464.93</v>
      </c>
      <c r="D2" s="299" t="s">
        <v>964</v>
      </c>
      <c r="E2" s="299" t="s">
        <v>1046</v>
      </c>
      <c r="F2" s="299" t="s">
        <v>965</v>
      </c>
      <c r="G2" s="299" t="s">
        <v>966</v>
      </c>
      <c r="H2" s="299" t="s">
        <v>35</v>
      </c>
      <c r="I2" s="299" t="s">
        <v>967</v>
      </c>
      <c r="J2" s="299" t="s">
        <v>968</v>
      </c>
      <c r="K2" s="301">
        <v>44568</v>
      </c>
      <c r="L2" s="299" t="s">
        <v>353</v>
      </c>
      <c r="M2" s="299" t="s">
        <v>969</v>
      </c>
      <c r="N2" s="299" t="s">
        <v>996</v>
      </c>
      <c r="O2" s="302">
        <v>0.41996527777777998</v>
      </c>
      <c r="P2" s="301">
        <v>44568</v>
      </c>
    </row>
    <row r="3" spans="1:16" outlineLevel="2" x14ac:dyDescent="0.3">
      <c r="A3" s="299" t="s">
        <v>962</v>
      </c>
      <c r="B3" s="299" t="s">
        <v>963</v>
      </c>
      <c r="C3" s="300">
        <v>-33.67</v>
      </c>
      <c r="D3" s="299" t="s">
        <v>964</v>
      </c>
      <c r="E3" s="299" t="s">
        <v>971</v>
      </c>
      <c r="F3" s="299" t="s">
        <v>965</v>
      </c>
      <c r="G3" s="299" t="s">
        <v>966</v>
      </c>
      <c r="H3" s="299" t="s">
        <v>35</v>
      </c>
      <c r="I3" s="299" t="s">
        <v>967</v>
      </c>
      <c r="J3" s="299" t="s">
        <v>968</v>
      </c>
      <c r="K3" s="301">
        <v>44568</v>
      </c>
      <c r="L3" s="299" t="s">
        <v>353</v>
      </c>
      <c r="M3" s="299" t="s">
        <v>972</v>
      </c>
      <c r="N3" s="299" t="s">
        <v>973</v>
      </c>
      <c r="O3" s="302">
        <v>0.61387731481481</v>
      </c>
      <c r="P3" s="301">
        <v>44568</v>
      </c>
    </row>
    <row r="4" spans="1:16" outlineLevel="2" x14ac:dyDescent="0.3">
      <c r="A4" s="299" t="s">
        <v>962</v>
      </c>
      <c r="B4" s="299" t="s">
        <v>974</v>
      </c>
      <c r="C4" s="300">
        <v>386490.99</v>
      </c>
      <c r="D4" s="299" t="s">
        <v>975</v>
      </c>
      <c r="E4" s="299" t="s">
        <v>1047</v>
      </c>
      <c r="F4" s="299" t="s">
        <v>965</v>
      </c>
      <c r="G4" s="299" t="s">
        <v>966</v>
      </c>
      <c r="H4" s="299" t="s">
        <v>35</v>
      </c>
      <c r="I4" s="299" t="s">
        <v>967</v>
      </c>
      <c r="J4" s="299" t="s">
        <v>968</v>
      </c>
      <c r="K4" s="301">
        <v>44592</v>
      </c>
      <c r="L4" s="299" t="s">
        <v>1048</v>
      </c>
      <c r="M4" s="299" t="s">
        <v>976</v>
      </c>
      <c r="N4" s="299" t="s">
        <v>977</v>
      </c>
      <c r="O4" s="302">
        <v>0.5653125</v>
      </c>
      <c r="P4" s="301">
        <v>44593</v>
      </c>
    </row>
    <row r="5" spans="1:16" outlineLevel="2" x14ac:dyDescent="0.3">
      <c r="A5" s="299" t="s">
        <v>962</v>
      </c>
      <c r="B5" s="299" t="s">
        <v>963</v>
      </c>
      <c r="C5" s="300">
        <v>32354.9</v>
      </c>
      <c r="D5" s="299" t="s">
        <v>964</v>
      </c>
      <c r="E5" s="299" t="s">
        <v>1047</v>
      </c>
      <c r="F5" s="299" t="s">
        <v>965</v>
      </c>
      <c r="G5" s="299" t="s">
        <v>966</v>
      </c>
      <c r="H5" s="299" t="s">
        <v>35</v>
      </c>
      <c r="I5" s="299" t="s">
        <v>967</v>
      </c>
      <c r="J5" s="299" t="s">
        <v>968</v>
      </c>
      <c r="K5" s="301">
        <v>44592</v>
      </c>
      <c r="L5" s="299" t="s">
        <v>1048</v>
      </c>
      <c r="M5" s="299" t="s">
        <v>976</v>
      </c>
      <c r="N5" s="299" t="s">
        <v>977</v>
      </c>
      <c r="O5" s="302">
        <v>0.5653125</v>
      </c>
      <c r="P5" s="301">
        <v>44593</v>
      </c>
    </row>
    <row r="6" spans="1:16" outlineLevel="2" x14ac:dyDescent="0.3">
      <c r="A6" s="299" t="s">
        <v>962</v>
      </c>
      <c r="B6" s="299" t="s">
        <v>974</v>
      </c>
      <c r="C6" s="300">
        <v>-386490.99</v>
      </c>
      <c r="D6" s="299" t="s">
        <v>975</v>
      </c>
      <c r="E6" s="299" t="s">
        <v>978</v>
      </c>
      <c r="F6" s="299" t="s">
        <v>965</v>
      </c>
      <c r="G6" s="299" t="s">
        <v>966</v>
      </c>
      <c r="H6" s="299" t="s">
        <v>35</v>
      </c>
      <c r="I6" s="299" t="s">
        <v>967</v>
      </c>
      <c r="J6" s="299" t="s">
        <v>968</v>
      </c>
      <c r="K6" s="301">
        <v>44592</v>
      </c>
      <c r="L6" s="299" t="s">
        <v>1049</v>
      </c>
      <c r="M6" s="299" t="s">
        <v>979</v>
      </c>
      <c r="N6" s="299" t="s">
        <v>985</v>
      </c>
      <c r="O6" s="302">
        <v>0.66677083333332998</v>
      </c>
      <c r="P6" s="301">
        <v>44593</v>
      </c>
    </row>
    <row r="7" spans="1:16" outlineLevel="2" x14ac:dyDescent="0.3">
      <c r="A7" s="299" t="s">
        <v>962</v>
      </c>
      <c r="B7" s="299" t="s">
        <v>963</v>
      </c>
      <c r="C7" s="300">
        <v>-32354.9</v>
      </c>
      <c r="D7" s="299" t="s">
        <v>964</v>
      </c>
      <c r="E7" s="299" t="s">
        <v>986</v>
      </c>
      <c r="F7" s="299" t="s">
        <v>965</v>
      </c>
      <c r="G7" s="299" t="s">
        <v>966</v>
      </c>
      <c r="H7" s="299" t="s">
        <v>35</v>
      </c>
      <c r="I7" s="299" t="s">
        <v>967</v>
      </c>
      <c r="J7" s="299" t="s">
        <v>968</v>
      </c>
      <c r="K7" s="301">
        <v>44592</v>
      </c>
      <c r="L7" s="299" t="s">
        <v>988</v>
      </c>
      <c r="M7" s="299" t="s">
        <v>979</v>
      </c>
      <c r="N7" s="299" t="s">
        <v>985</v>
      </c>
      <c r="O7" s="302">
        <v>0.44687500000000002</v>
      </c>
      <c r="P7" s="301">
        <v>44594</v>
      </c>
    </row>
    <row r="8" spans="1:16" outlineLevel="1" x14ac:dyDescent="0.3">
      <c r="A8" s="303" t="s">
        <v>353</v>
      </c>
      <c r="B8" s="303" t="s">
        <v>353</v>
      </c>
      <c r="C8" s="304">
        <v>17431.259999999998</v>
      </c>
      <c r="D8" s="303" t="s">
        <v>353</v>
      </c>
      <c r="E8" s="303" t="s">
        <v>353</v>
      </c>
      <c r="F8" s="303" t="s">
        <v>965</v>
      </c>
      <c r="G8" s="303" t="s">
        <v>353</v>
      </c>
      <c r="H8" s="303" t="s">
        <v>353</v>
      </c>
      <c r="I8" s="303" t="s">
        <v>353</v>
      </c>
      <c r="J8" s="303" t="s">
        <v>353</v>
      </c>
      <c r="K8" s="305"/>
      <c r="L8" s="303" t="s">
        <v>353</v>
      </c>
      <c r="M8" s="303" t="s">
        <v>353</v>
      </c>
      <c r="N8" s="303" t="s">
        <v>353</v>
      </c>
      <c r="O8" s="306"/>
      <c r="P8" s="305"/>
    </row>
    <row r="9" spans="1:16" outlineLevel="2" x14ac:dyDescent="0.3">
      <c r="A9" s="299" t="s">
        <v>962</v>
      </c>
      <c r="B9" s="299" t="s">
        <v>963</v>
      </c>
      <c r="C9" s="300">
        <v>17464.93</v>
      </c>
      <c r="D9" s="299" t="s">
        <v>964</v>
      </c>
      <c r="E9" s="299" t="s">
        <v>1050</v>
      </c>
      <c r="F9" s="299" t="s">
        <v>980</v>
      </c>
      <c r="G9" s="299" t="s">
        <v>966</v>
      </c>
      <c r="H9" s="299" t="s">
        <v>35</v>
      </c>
      <c r="I9" s="299" t="s">
        <v>967</v>
      </c>
      <c r="J9" s="299" t="s">
        <v>968</v>
      </c>
      <c r="K9" s="301">
        <v>44601</v>
      </c>
      <c r="L9" s="299" t="s">
        <v>353</v>
      </c>
      <c r="M9" s="299" t="s">
        <v>969</v>
      </c>
      <c r="N9" s="299" t="s">
        <v>996</v>
      </c>
      <c r="O9" s="302">
        <v>0.54078703703704001</v>
      </c>
      <c r="P9" s="301">
        <v>44601</v>
      </c>
    </row>
    <row r="10" spans="1:16" outlineLevel="2" x14ac:dyDescent="0.3">
      <c r="A10" s="299" t="s">
        <v>962</v>
      </c>
      <c r="B10" s="299" t="s">
        <v>963</v>
      </c>
      <c r="C10" s="300">
        <v>1101.01</v>
      </c>
      <c r="D10" s="299" t="s">
        <v>964</v>
      </c>
      <c r="E10" s="299" t="s">
        <v>1050</v>
      </c>
      <c r="F10" s="299" t="s">
        <v>980</v>
      </c>
      <c r="G10" s="299" t="s">
        <v>966</v>
      </c>
      <c r="H10" s="299" t="s">
        <v>35</v>
      </c>
      <c r="I10" s="299" t="s">
        <v>967</v>
      </c>
      <c r="J10" s="299" t="s">
        <v>968</v>
      </c>
      <c r="K10" s="301">
        <v>44601</v>
      </c>
      <c r="L10" s="299" t="s">
        <v>353</v>
      </c>
      <c r="M10" s="299" t="s">
        <v>969</v>
      </c>
      <c r="N10" s="299" t="s">
        <v>996</v>
      </c>
      <c r="O10" s="302">
        <v>0.54078703703704001</v>
      </c>
      <c r="P10" s="301">
        <v>44601</v>
      </c>
    </row>
    <row r="11" spans="1:16" outlineLevel="2" x14ac:dyDescent="0.3">
      <c r="A11" s="299" t="s">
        <v>962</v>
      </c>
      <c r="B11" s="299" t="s">
        <v>963</v>
      </c>
      <c r="C11" s="300">
        <v>-55.59</v>
      </c>
      <c r="D11" s="299" t="s">
        <v>964</v>
      </c>
      <c r="E11" s="299" t="s">
        <v>971</v>
      </c>
      <c r="F11" s="299" t="s">
        <v>980</v>
      </c>
      <c r="G11" s="299" t="s">
        <v>966</v>
      </c>
      <c r="H11" s="299" t="s">
        <v>35</v>
      </c>
      <c r="I11" s="299" t="s">
        <v>967</v>
      </c>
      <c r="J11" s="299" t="s">
        <v>968</v>
      </c>
      <c r="K11" s="301">
        <v>44606</v>
      </c>
      <c r="L11" s="299" t="s">
        <v>353</v>
      </c>
      <c r="M11" s="299" t="s">
        <v>972</v>
      </c>
      <c r="N11" s="299" t="s">
        <v>973</v>
      </c>
      <c r="O11" s="302">
        <v>0.56782407407406998</v>
      </c>
      <c r="P11" s="301">
        <v>44606</v>
      </c>
    </row>
    <row r="12" spans="1:16" outlineLevel="2" x14ac:dyDescent="0.3">
      <c r="A12" s="299" t="s">
        <v>962</v>
      </c>
      <c r="B12" s="299" t="s">
        <v>963</v>
      </c>
      <c r="C12" s="300">
        <v>-3.5</v>
      </c>
      <c r="D12" s="299" t="s">
        <v>964</v>
      </c>
      <c r="E12" s="299" t="s">
        <v>971</v>
      </c>
      <c r="F12" s="299" t="s">
        <v>980</v>
      </c>
      <c r="G12" s="299" t="s">
        <v>966</v>
      </c>
      <c r="H12" s="299" t="s">
        <v>35</v>
      </c>
      <c r="I12" s="299" t="s">
        <v>967</v>
      </c>
      <c r="J12" s="299" t="s">
        <v>968</v>
      </c>
      <c r="K12" s="301">
        <v>44606</v>
      </c>
      <c r="L12" s="299" t="s">
        <v>353</v>
      </c>
      <c r="M12" s="299" t="s">
        <v>972</v>
      </c>
      <c r="N12" s="299" t="s">
        <v>973</v>
      </c>
      <c r="O12" s="302">
        <v>0.56782407407406998</v>
      </c>
      <c r="P12" s="301">
        <v>44606</v>
      </c>
    </row>
    <row r="13" spans="1:16" outlineLevel="2" x14ac:dyDescent="0.3">
      <c r="A13" s="299" t="s">
        <v>962</v>
      </c>
      <c r="B13" s="299" t="s">
        <v>963</v>
      </c>
      <c r="C13" s="300">
        <v>32355.16</v>
      </c>
      <c r="D13" s="299" t="s">
        <v>964</v>
      </c>
      <c r="E13" s="299" t="s">
        <v>1051</v>
      </c>
      <c r="F13" s="299" t="s">
        <v>980</v>
      </c>
      <c r="G13" s="299" t="s">
        <v>966</v>
      </c>
      <c r="H13" s="299" t="s">
        <v>35</v>
      </c>
      <c r="I13" s="299" t="s">
        <v>967</v>
      </c>
      <c r="J13" s="299" t="s">
        <v>968</v>
      </c>
      <c r="K13" s="301">
        <v>44620</v>
      </c>
      <c r="L13" s="299" t="s">
        <v>1052</v>
      </c>
      <c r="M13" s="299" t="s">
        <v>976</v>
      </c>
      <c r="N13" s="299" t="s">
        <v>977</v>
      </c>
      <c r="O13" s="302">
        <v>0.59069444444443997</v>
      </c>
      <c r="P13" s="301">
        <v>44621</v>
      </c>
    </row>
    <row r="14" spans="1:16" outlineLevel="2" x14ac:dyDescent="0.3">
      <c r="A14" s="299" t="s">
        <v>962</v>
      </c>
      <c r="B14" s="299" t="s">
        <v>974</v>
      </c>
      <c r="C14" s="300">
        <v>387087.39</v>
      </c>
      <c r="D14" s="299" t="s">
        <v>975</v>
      </c>
      <c r="E14" s="299" t="s">
        <v>1051</v>
      </c>
      <c r="F14" s="299" t="s">
        <v>980</v>
      </c>
      <c r="G14" s="299" t="s">
        <v>966</v>
      </c>
      <c r="H14" s="299" t="s">
        <v>35</v>
      </c>
      <c r="I14" s="299" t="s">
        <v>967</v>
      </c>
      <c r="J14" s="299" t="s">
        <v>968</v>
      </c>
      <c r="K14" s="301">
        <v>44620</v>
      </c>
      <c r="L14" s="299" t="s">
        <v>1052</v>
      </c>
      <c r="M14" s="299" t="s">
        <v>976</v>
      </c>
      <c r="N14" s="299" t="s">
        <v>977</v>
      </c>
      <c r="O14" s="302">
        <v>0.59069444444443997</v>
      </c>
      <c r="P14" s="301">
        <v>44621</v>
      </c>
    </row>
    <row r="15" spans="1:16" outlineLevel="2" x14ac:dyDescent="0.3">
      <c r="A15" s="299" t="s">
        <v>962</v>
      </c>
      <c r="B15" s="299" t="s">
        <v>974</v>
      </c>
      <c r="C15" s="300">
        <v>-387087.39</v>
      </c>
      <c r="D15" s="299" t="s">
        <v>975</v>
      </c>
      <c r="E15" s="299" t="s">
        <v>981</v>
      </c>
      <c r="F15" s="299" t="s">
        <v>980</v>
      </c>
      <c r="G15" s="299" t="s">
        <v>966</v>
      </c>
      <c r="H15" s="299" t="s">
        <v>35</v>
      </c>
      <c r="I15" s="299" t="s">
        <v>967</v>
      </c>
      <c r="J15" s="299" t="s">
        <v>968</v>
      </c>
      <c r="K15" s="301">
        <v>44620</v>
      </c>
      <c r="L15" s="299" t="s">
        <v>1053</v>
      </c>
      <c r="M15" s="299" t="s">
        <v>979</v>
      </c>
      <c r="N15" s="299" t="s">
        <v>985</v>
      </c>
      <c r="O15" s="302">
        <v>0.62152777777778001</v>
      </c>
      <c r="P15" s="301">
        <v>44621</v>
      </c>
    </row>
    <row r="16" spans="1:16" outlineLevel="2" x14ac:dyDescent="0.3">
      <c r="A16" s="299" t="s">
        <v>962</v>
      </c>
      <c r="B16" s="299" t="s">
        <v>963</v>
      </c>
      <c r="C16" s="300">
        <v>-32355.16</v>
      </c>
      <c r="D16" s="299" t="s">
        <v>964</v>
      </c>
      <c r="E16" s="299" t="s">
        <v>986</v>
      </c>
      <c r="F16" s="299" t="s">
        <v>980</v>
      </c>
      <c r="G16" s="299" t="s">
        <v>966</v>
      </c>
      <c r="H16" s="299" t="s">
        <v>35</v>
      </c>
      <c r="I16" s="299" t="s">
        <v>967</v>
      </c>
      <c r="J16" s="299" t="s">
        <v>968</v>
      </c>
      <c r="K16" s="301">
        <v>44620</v>
      </c>
      <c r="L16" s="299" t="s">
        <v>988</v>
      </c>
      <c r="M16" s="299" t="s">
        <v>979</v>
      </c>
      <c r="N16" s="299" t="s">
        <v>985</v>
      </c>
      <c r="O16" s="302">
        <v>0.55849537037037</v>
      </c>
      <c r="P16" s="301">
        <v>44622</v>
      </c>
    </row>
    <row r="17" spans="1:16" outlineLevel="1" x14ac:dyDescent="0.3">
      <c r="A17" s="303" t="s">
        <v>353</v>
      </c>
      <c r="B17" s="303" t="s">
        <v>353</v>
      </c>
      <c r="C17" s="304">
        <v>18506.849999999999</v>
      </c>
      <c r="D17" s="303" t="s">
        <v>353</v>
      </c>
      <c r="E17" s="303" t="s">
        <v>353</v>
      </c>
      <c r="F17" s="303" t="s">
        <v>980</v>
      </c>
      <c r="G17" s="303" t="s">
        <v>353</v>
      </c>
      <c r="H17" s="303" t="s">
        <v>353</v>
      </c>
      <c r="I17" s="303" t="s">
        <v>353</v>
      </c>
      <c r="J17" s="303" t="s">
        <v>353</v>
      </c>
      <c r="K17" s="305"/>
      <c r="L17" s="303" t="s">
        <v>353</v>
      </c>
      <c r="M17" s="303" t="s">
        <v>353</v>
      </c>
      <c r="N17" s="303" t="s">
        <v>353</v>
      </c>
      <c r="O17" s="306"/>
      <c r="P17" s="305"/>
    </row>
    <row r="18" spans="1:16" outlineLevel="2" x14ac:dyDescent="0.3">
      <c r="A18" s="299" t="s">
        <v>962</v>
      </c>
      <c r="B18" s="299" t="s">
        <v>963</v>
      </c>
      <c r="C18" s="300">
        <v>17464.93</v>
      </c>
      <c r="D18" s="299" t="s">
        <v>964</v>
      </c>
      <c r="E18" s="299" t="s">
        <v>1054</v>
      </c>
      <c r="F18" s="299" t="s">
        <v>966</v>
      </c>
      <c r="G18" s="299" t="s">
        <v>966</v>
      </c>
      <c r="H18" s="299" t="s">
        <v>35</v>
      </c>
      <c r="I18" s="299" t="s">
        <v>967</v>
      </c>
      <c r="J18" s="299" t="s">
        <v>968</v>
      </c>
      <c r="K18" s="301">
        <v>44628</v>
      </c>
      <c r="L18" s="299" t="s">
        <v>353</v>
      </c>
      <c r="M18" s="299" t="s">
        <v>969</v>
      </c>
      <c r="N18" s="299" t="s">
        <v>996</v>
      </c>
      <c r="O18" s="302">
        <v>0.68466435185185004</v>
      </c>
      <c r="P18" s="301">
        <v>44628</v>
      </c>
    </row>
    <row r="19" spans="1:16" outlineLevel="2" x14ac:dyDescent="0.3">
      <c r="A19" s="299" t="s">
        <v>962</v>
      </c>
      <c r="B19" s="299" t="s">
        <v>963</v>
      </c>
      <c r="C19" s="300">
        <v>-33.39</v>
      </c>
      <c r="D19" s="299" t="s">
        <v>964</v>
      </c>
      <c r="E19" s="299" t="s">
        <v>971</v>
      </c>
      <c r="F19" s="299" t="s">
        <v>966</v>
      </c>
      <c r="G19" s="299" t="s">
        <v>966</v>
      </c>
      <c r="H19" s="299" t="s">
        <v>35</v>
      </c>
      <c r="I19" s="299" t="s">
        <v>967</v>
      </c>
      <c r="J19" s="299" t="s">
        <v>968</v>
      </c>
      <c r="K19" s="301">
        <v>44629</v>
      </c>
      <c r="L19" s="299" t="s">
        <v>353</v>
      </c>
      <c r="M19" s="299" t="s">
        <v>972</v>
      </c>
      <c r="N19" s="299" t="s">
        <v>973</v>
      </c>
      <c r="O19" s="302">
        <v>0.42128472222222002</v>
      </c>
      <c r="P19" s="301">
        <v>44629</v>
      </c>
    </row>
    <row r="20" spans="1:16" outlineLevel="2" x14ac:dyDescent="0.3">
      <c r="A20" s="299" t="s">
        <v>962</v>
      </c>
      <c r="B20" s="299" t="s">
        <v>974</v>
      </c>
      <c r="C20" s="300">
        <v>386202.29</v>
      </c>
      <c r="D20" s="299" t="s">
        <v>975</v>
      </c>
      <c r="E20" s="299" t="s">
        <v>1055</v>
      </c>
      <c r="F20" s="299" t="s">
        <v>966</v>
      </c>
      <c r="G20" s="299" t="s">
        <v>966</v>
      </c>
      <c r="H20" s="299" t="s">
        <v>35</v>
      </c>
      <c r="I20" s="299" t="s">
        <v>967</v>
      </c>
      <c r="J20" s="299" t="s">
        <v>968</v>
      </c>
      <c r="K20" s="301">
        <v>44651</v>
      </c>
      <c r="L20" s="299" t="s">
        <v>1056</v>
      </c>
      <c r="M20" s="299" t="s">
        <v>976</v>
      </c>
      <c r="N20" s="299" t="s">
        <v>977</v>
      </c>
      <c r="O20" s="302">
        <v>0.47194444444444</v>
      </c>
      <c r="P20" s="301">
        <v>44652</v>
      </c>
    </row>
    <row r="21" spans="1:16" outlineLevel="2" x14ac:dyDescent="0.3">
      <c r="A21" s="299" t="s">
        <v>962</v>
      </c>
      <c r="B21" s="299" t="s">
        <v>963</v>
      </c>
      <c r="C21" s="300">
        <v>24208.73</v>
      </c>
      <c r="D21" s="299" t="s">
        <v>964</v>
      </c>
      <c r="E21" s="299" t="s">
        <v>1055</v>
      </c>
      <c r="F21" s="299" t="s">
        <v>966</v>
      </c>
      <c r="G21" s="299" t="s">
        <v>966</v>
      </c>
      <c r="H21" s="299" t="s">
        <v>35</v>
      </c>
      <c r="I21" s="299" t="s">
        <v>967</v>
      </c>
      <c r="J21" s="299" t="s">
        <v>968</v>
      </c>
      <c r="K21" s="301">
        <v>44651</v>
      </c>
      <c r="L21" s="299" t="s">
        <v>1056</v>
      </c>
      <c r="M21" s="299" t="s">
        <v>976</v>
      </c>
      <c r="N21" s="299" t="s">
        <v>977</v>
      </c>
      <c r="O21" s="302">
        <v>0.47194444444444</v>
      </c>
      <c r="P21" s="301">
        <v>44652</v>
      </c>
    </row>
    <row r="22" spans="1:16" outlineLevel="2" x14ac:dyDescent="0.3">
      <c r="A22" s="299" t="s">
        <v>962</v>
      </c>
      <c r="B22" s="299" t="s">
        <v>974</v>
      </c>
      <c r="C22" s="300">
        <v>-386202.29</v>
      </c>
      <c r="D22" s="299" t="s">
        <v>975</v>
      </c>
      <c r="E22" s="299" t="s">
        <v>982</v>
      </c>
      <c r="F22" s="299" t="s">
        <v>966</v>
      </c>
      <c r="G22" s="299" t="s">
        <v>966</v>
      </c>
      <c r="H22" s="299" t="s">
        <v>35</v>
      </c>
      <c r="I22" s="299" t="s">
        <v>967</v>
      </c>
      <c r="J22" s="299" t="s">
        <v>968</v>
      </c>
      <c r="K22" s="301">
        <v>44651</v>
      </c>
      <c r="L22" s="299" t="s">
        <v>1057</v>
      </c>
      <c r="M22" s="299" t="s">
        <v>979</v>
      </c>
      <c r="N22" s="299" t="s">
        <v>985</v>
      </c>
      <c r="O22" s="302">
        <v>0.61886574074073997</v>
      </c>
      <c r="P22" s="301">
        <v>44652</v>
      </c>
    </row>
    <row r="23" spans="1:16" outlineLevel="2" x14ac:dyDescent="0.3">
      <c r="A23" s="299" t="s">
        <v>962</v>
      </c>
      <c r="B23" s="299" t="s">
        <v>963</v>
      </c>
      <c r="C23" s="300">
        <v>-24208.73</v>
      </c>
      <c r="D23" s="299" t="s">
        <v>964</v>
      </c>
      <c r="E23" s="299" t="s">
        <v>986</v>
      </c>
      <c r="F23" s="299" t="s">
        <v>966</v>
      </c>
      <c r="G23" s="299" t="s">
        <v>966</v>
      </c>
      <c r="H23" s="299" t="s">
        <v>35</v>
      </c>
      <c r="I23" s="299" t="s">
        <v>967</v>
      </c>
      <c r="J23" s="299" t="s">
        <v>968</v>
      </c>
      <c r="K23" s="301">
        <v>44651</v>
      </c>
      <c r="L23" s="299" t="s">
        <v>988</v>
      </c>
      <c r="M23" s="299" t="s">
        <v>979</v>
      </c>
      <c r="N23" s="299" t="s">
        <v>985</v>
      </c>
      <c r="O23" s="302">
        <v>0.54884259259259005</v>
      </c>
      <c r="P23" s="301">
        <v>44655</v>
      </c>
    </row>
    <row r="24" spans="1:16" outlineLevel="1" x14ac:dyDescent="0.3">
      <c r="A24" s="303" t="s">
        <v>353</v>
      </c>
      <c r="B24" s="303" t="s">
        <v>353</v>
      </c>
      <c r="C24" s="304">
        <v>17431.54</v>
      </c>
      <c r="D24" s="303" t="s">
        <v>353</v>
      </c>
      <c r="E24" s="303" t="s">
        <v>353</v>
      </c>
      <c r="F24" s="303" t="s">
        <v>966</v>
      </c>
      <c r="G24" s="303" t="s">
        <v>353</v>
      </c>
      <c r="H24" s="303" t="s">
        <v>353</v>
      </c>
      <c r="I24" s="303" t="s">
        <v>353</v>
      </c>
      <c r="J24" s="303" t="s">
        <v>353</v>
      </c>
      <c r="K24" s="305"/>
      <c r="L24" s="303" t="s">
        <v>353</v>
      </c>
      <c r="M24" s="303" t="s">
        <v>353</v>
      </c>
      <c r="N24" s="303" t="s">
        <v>353</v>
      </c>
      <c r="O24" s="306"/>
      <c r="P24" s="305"/>
    </row>
    <row r="25" spans="1:16" outlineLevel="2" x14ac:dyDescent="0.3">
      <c r="A25" s="299" t="s">
        <v>962</v>
      </c>
      <c r="B25" s="299" t="s">
        <v>963</v>
      </c>
      <c r="C25" s="300">
        <v>17464.93</v>
      </c>
      <c r="D25" s="299" t="s">
        <v>964</v>
      </c>
      <c r="E25" s="299" t="s">
        <v>1058</v>
      </c>
      <c r="F25" s="299" t="s">
        <v>983</v>
      </c>
      <c r="G25" s="299" t="s">
        <v>966</v>
      </c>
      <c r="H25" s="299" t="s">
        <v>35</v>
      </c>
      <c r="I25" s="299" t="s">
        <v>967</v>
      </c>
      <c r="J25" s="299" t="s">
        <v>968</v>
      </c>
      <c r="K25" s="301">
        <v>44659</v>
      </c>
      <c r="L25" s="299" t="s">
        <v>353</v>
      </c>
      <c r="M25" s="299" t="s">
        <v>969</v>
      </c>
      <c r="N25" s="299" t="s">
        <v>970</v>
      </c>
      <c r="O25" s="302">
        <v>0.52628472222222</v>
      </c>
      <c r="P25" s="301">
        <v>44659</v>
      </c>
    </row>
    <row r="26" spans="1:16" outlineLevel="2" x14ac:dyDescent="0.3">
      <c r="A26" s="299" t="s">
        <v>962</v>
      </c>
      <c r="B26" s="299" t="s">
        <v>963</v>
      </c>
      <c r="C26" s="300">
        <v>-33.39</v>
      </c>
      <c r="D26" s="299" t="s">
        <v>964</v>
      </c>
      <c r="E26" s="299" t="s">
        <v>971</v>
      </c>
      <c r="F26" s="299" t="s">
        <v>983</v>
      </c>
      <c r="G26" s="299" t="s">
        <v>966</v>
      </c>
      <c r="H26" s="299" t="s">
        <v>35</v>
      </c>
      <c r="I26" s="299" t="s">
        <v>967</v>
      </c>
      <c r="J26" s="299" t="s">
        <v>968</v>
      </c>
      <c r="K26" s="301">
        <v>44662</v>
      </c>
      <c r="L26" s="299" t="s">
        <v>353</v>
      </c>
      <c r="M26" s="299" t="s">
        <v>972</v>
      </c>
      <c r="N26" s="299" t="s">
        <v>973</v>
      </c>
      <c r="O26" s="302">
        <v>0.35363425925926001</v>
      </c>
      <c r="P26" s="301">
        <v>44662</v>
      </c>
    </row>
    <row r="27" spans="1:16" outlineLevel="2" x14ac:dyDescent="0.3">
      <c r="A27" s="299" t="s">
        <v>962</v>
      </c>
      <c r="B27" s="299" t="s">
        <v>974</v>
      </c>
      <c r="C27" s="300">
        <v>387152.87</v>
      </c>
      <c r="D27" s="299" t="s">
        <v>975</v>
      </c>
      <c r="E27" s="299" t="s">
        <v>1059</v>
      </c>
      <c r="F27" s="299" t="s">
        <v>983</v>
      </c>
      <c r="G27" s="299" t="s">
        <v>966</v>
      </c>
      <c r="H27" s="299" t="s">
        <v>35</v>
      </c>
      <c r="I27" s="299" t="s">
        <v>967</v>
      </c>
      <c r="J27" s="299" t="s">
        <v>968</v>
      </c>
      <c r="K27" s="301">
        <v>44681</v>
      </c>
      <c r="L27" s="299" t="s">
        <v>1060</v>
      </c>
      <c r="M27" s="299" t="s">
        <v>976</v>
      </c>
      <c r="N27" s="299" t="s">
        <v>977</v>
      </c>
      <c r="O27" s="302">
        <v>0.50604166666667005</v>
      </c>
      <c r="P27" s="301">
        <v>44683</v>
      </c>
    </row>
    <row r="28" spans="1:16" outlineLevel="2" x14ac:dyDescent="0.3">
      <c r="A28" s="299" t="s">
        <v>962</v>
      </c>
      <c r="B28" s="299" t="s">
        <v>963</v>
      </c>
      <c r="C28" s="300">
        <v>24208.73</v>
      </c>
      <c r="D28" s="299" t="s">
        <v>964</v>
      </c>
      <c r="E28" s="299" t="s">
        <v>1059</v>
      </c>
      <c r="F28" s="299" t="s">
        <v>983</v>
      </c>
      <c r="G28" s="299" t="s">
        <v>966</v>
      </c>
      <c r="H28" s="299" t="s">
        <v>35</v>
      </c>
      <c r="I28" s="299" t="s">
        <v>967</v>
      </c>
      <c r="J28" s="299" t="s">
        <v>968</v>
      </c>
      <c r="K28" s="301">
        <v>44681</v>
      </c>
      <c r="L28" s="299" t="s">
        <v>1060</v>
      </c>
      <c r="M28" s="299" t="s">
        <v>976</v>
      </c>
      <c r="N28" s="299" t="s">
        <v>977</v>
      </c>
      <c r="O28" s="302">
        <v>0.50604166666667005</v>
      </c>
      <c r="P28" s="301">
        <v>44683</v>
      </c>
    </row>
    <row r="29" spans="1:16" outlineLevel="2" x14ac:dyDescent="0.3">
      <c r="A29" s="299" t="s">
        <v>962</v>
      </c>
      <c r="B29" s="299" t="s">
        <v>974</v>
      </c>
      <c r="C29" s="300">
        <v>-387152.87</v>
      </c>
      <c r="D29" s="299" t="s">
        <v>975</v>
      </c>
      <c r="E29" s="299" t="s">
        <v>984</v>
      </c>
      <c r="F29" s="299" t="s">
        <v>983</v>
      </c>
      <c r="G29" s="299" t="s">
        <v>966</v>
      </c>
      <c r="H29" s="299" t="s">
        <v>35</v>
      </c>
      <c r="I29" s="299" t="s">
        <v>967</v>
      </c>
      <c r="J29" s="299" t="s">
        <v>968</v>
      </c>
      <c r="K29" s="301">
        <v>44681</v>
      </c>
      <c r="L29" s="299" t="s">
        <v>1061</v>
      </c>
      <c r="M29" s="299" t="s">
        <v>979</v>
      </c>
      <c r="N29" s="299" t="s">
        <v>985</v>
      </c>
      <c r="O29" s="302">
        <v>0.68059027777778003</v>
      </c>
      <c r="P29" s="301">
        <v>44683</v>
      </c>
    </row>
    <row r="30" spans="1:16" outlineLevel="2" x14ac:dyDescent="0.3">
      <c r="A30" s="299" t="s">
        <v>962</v>
      </c>
      <c r="B30" s="299" t="s">
        <v>963</v>
      </c>
      <c r="C30" s="300">
        <v>-24208.73</v>
      </c>
      <c r="D30" s="299" t="s">
        <v>964</v>
      </c>
      <c r="E30" s="299" t="s">
        <v>986</v>
      </c>
      <c r="F30" s="299" t="s">
        <v>983</v>
      </c>
      <c r="G30" s="299" t="s">
        <v>966</v>
      </c>
      <c r="H30" s="299" t="s">
        <v>35</v>
      </c>
      <c r="I30" s="299" t="s">
        <v>967</v>
      </c>
      <c r="J30" s="299" t="s">
        <v>968</v>
      </c>
      <c r="K30" s="301">
        <v>44681</v>
      </c>
      <c r="L30" s="299" t="s">
        <v>988</v>
      </c>
      <c r="M30" s="299" t="s">
        <v>979</v>
      </c>
      <c r="N30" s="299" t="s">
        <v>985</v>
      </c>
      <c r="O30" s="302">
        <v>0.64035879629629999</v>
      </c>
      <c r="P30" s="301">
        <v>44684</v>
      </c>
    </row>
    <row r="31" spans="1:16" outlineLevel="1" x14ac:dyDescent="0.3">
      <c r="A31" s="303" t="s">
        <v>353</v>
      </c>
      <c r="B31" s="303" t="s">
        <v>353</v>
      </c>
      <c r="C31" s="304">
        <v>17431.54</v>
      </c>
      <c r="D31" s="303" t="s">
        <v>353</v>
      </c>
      <c r="E31" s="303" t="s">
        <v>353</v>
      </c>
      <c r="F31" s="303" t="s">
        <v>983</v>
      </c>
      <c r="G31" s="303" t="s">
        <v>353</v>
      </c>
      <c r="H31" s="303" t="s">
        <v>353</v>
      </c>
      <c r="I31" s="303" t="s">
        <v>353</v>
      </c>
      <c r="J31" s="303" t="s">
        <v>353</v>
      </c>
      <c r="K31" s="305"/>
      <c r="L31" s="303" t="s">
        <v>353</v>
      </c>
      <c r="M31" s="303" t="s">
        <v>353</v>
      </c>
      <c r="N31" s="303" t="s">
        <v>353</v>
      </c>
      <c r="O31" s="306"/>
      <c r="P31" s="305"/>
    </row>
    <row r="32" spans="1:16" outlineLevel="2" x14ac:dyDescent="0.3">
      <c r="A32" s="299" t="s">
        <v>962</v>
      </c>
      <c r="B32" s="299" t="s">
        <v>963</v>
      </c>
      <c r="C32" s="300">
        <v>17464.93</v>
      </c>
      <c r="D32" s="299" t="s">
        <v>964</v>
      </c>
      <c r="E32" s="299" t="s">
        <v>1062</v>
      </c>
      <c r="F32" s="299" t="s">
        <v>987</v>
      </c>
      <c r="G32" s="299" t="s">
        <v>966</v>
      </c>
      <c r="H32" s="299" t="s">
        <v>35</v>
      </c>
      <c r="I32" s="299" t="s">
        <v>967</v>
      </c>
      <c r="J32" s="299" t="s">
        <v>968</v>
      </c>
      <c r="K32" s="301">
        <v>44697</v>
      </c>
      <c r="L32" s="299" t="s">
        <v>353</v>
      </c>
      <c r="M32" s="299" t="s">
        <v>969</v>
      </c>
      <c r="N32" s="299" t="s">
        <v>996</v>
      </c>
      <c r="O32" s="302">
        <v>0.47203703703703997</v>
      </c>
      <c r="P32" s="301">
        <v>44697</v>
      </c>
    </row>
    <row r="33" spans="1:16" outlineLevel="2" x14ac:dyDescent="0.3">
      <c r="A33" s="299" t="s">
        <v>962</v>
      </c>
      <c r="B33" s="299" t="s">
        <v>963</v>
      </c>
      <c r="C33" s="300">
        <v>24208.73</v>
      </c>
      <c r="D33" s="299" t="s">
        <v>964</v>
      </c>
      <c r="E33" s="299" t="s">
        <v>1063</v>
      </c>
      <c r="F33" s="299" t="s">
        <v>987</v>
      </c>
      <c r="G33" s="299" t="s">
        <v>966</v>
      </c>
      <c r="H33" s="299" t="s">
        <v>35</v>
      </c>
      <c r="I33" s="299" t="s">
        <v>967</v>
      </c>
      <c r="J33" s="299" t="s">
        <v>968</v>
      </c>
      <c r="K33" s="301">
        <v>44712</v>
      </c>
      <c r="L33" s="299" t="s">
        <v>1064</v>
      </c>
      <c r="M33" s="299" t="s">
        <v>976</v>
      </c>
      <c r="N33" s="299" t="s">
        <v>977</v>
      </c>
      <c r="O33" s="302">
        <v>0.47081018518519002</v>
      </c>
      <c r="P33" s="301">
        <v>44713</v>
      </c>
    </row>
    <row r="34" spans="1:16" outlineLevel="2" x14ac:dyDescent="0.3">
      <c r="A34" s="299" t="s">
        <v>962</v>
      </c>
      <c r="B34" s="299" t="s">
        <v>974</v>
      </c>
      <c r="C34" s="300">
        <v>377555.78</v>
      </c>
      <c r="D34" s="299" t="s">
        <v>975</v>
      </c>
      <c r="E34" s="299" t="s">
        <v>1063</v>
      </c>
      <c r="F34" s="299" t="s">
        <v>987</v>
      </c>
      <c r="G34" s="299" t="s">
        <v>966</v>
      </c>
      <c r="H34" s="299" t="s">
        <v>35</v>
      </c>
      <c r="I34" s="299" t="s">
        <v>967</v>
      </c>
      <c r="J34" s="299" t="s">
        <v>968</v>
      </c>
      <c r="K34" s="301">
        <v>44712</v>
      </c>
      <c r="L34" s="299" t="s">
        <v>1064</v>
      </c>
      <c r="M34" s="299" t="s">
        <v>976</v>
      </c>
      <c r="N34" s="299" t="s">
        <v>977</v>
      </c>
      <c r="O34" s="302">
        <v>0.47081018518519002</v>
      </c>
      <c r="P34" s="301">
        <v>44713</v>
      </c>
    </row>
    <row r="35" spans="1:16" outlineLevel="2" x14ac:dyDescent="0.3">
      <c r="A35" s="299" t="s">
        <v>962</v>
      </c>
      <c r="B35" s="299" t="s">
        <v>974</v>
      </c>
      <c r="C35" s="300">
        <v>-377555.78</v>
      </c>
      <c r="D35" s="299" t="s">
        <v>975</v>
      </c>
      <c r="E35" s="299" t="s">
        <v>989</v>
      </c>
      <c r="F35" s="299" t="s">
        <v>987</v>
      </c>
      <c r="G35" s="299" t="s">
        <v>966</v>
      </c>
      <c r="H35" s="299" t="s">
        <v>35</v>
      </c>
      <c r="I35" s="299" t="s">
        <v>967</v>
      </c>
      <c r="J35" s="299" t="s">
        <v>968</v>
      </c>
      <c r="K35" s="301">
        <v>44712</v>
      </c>
      <c r="L35" s="299" t="s">
        <v>1065</v>
      </c>
      <c r="M35" s="299" t="s">
        <v>979</v>
      </c>
      <c r="N35" s="299" t="s">
        <v>985</v>
      </c>
      <c r="O35" s="302">
        <v>0.59736111111111001</v>
      </c>
      <c r="P35" s="301">
        <v>44713</v>
      </c>
    </row>
    <row r="36" spans="1:16" outlineLevel="2" x14ac:dyDescent="0.3">
      <c r="A36" s="299" t="s">
        <v>962</v>
      </c>
      <c r="B36" s="299" t="s">
        <v>963</v>
      </c>
      <c r="C36" s="300">
        <v>-24208.73</v>
      </c>
      <c r="D36" s="299" t="s">
        <v>964</v>
      </c>
      <c r="E36" s="299" t="s">
        <v>986</v>
      </c>
      <c r="F36" s="299" t="s">
        <v>987</v>
      </c>
      <c r="G36" s="299" t="s">
        <v>966</v>
      </c>
      <c r="H36" s="299" t="s">
        <v>35</v>
      </c>
      <c r="I36" s="299" t="s">
        <v>967</v>
      </c>
      <c r="J36" s="299" t="s">
        <v>968</v>
      </c>
      <c r="K36" s="301">
        <v>44712</v>
      </c>
      <c r="L36" s="299" t="s">
        <v>988</v>
      </c>
      <c r="M36" s="299" t="s">
        <v>979</v>
      </c>
      <c r="N36" s="299" t="s">
        <v>985</v>
      </c>
      <c r="O36" s="302">
        <v>0.49420138888888998</v>
      </c>
      <c r="P36" s="301">
        <v>44714</v>
      </c>
    </row>
    <row r="37" spans="1:16" outlineLevel="1" x14ac:dyDescent="0.3">
      <c r="A37" s="303" t="s">
        <v>353</v>
      </c>
      <c r="B37" s="303" t="s">
        <v>353</v>
      </c>
      <c r="C37" s="304">
        <v>17464.93</v>
      </c>
      <c r="D37" s="303" t="s">
        <v>353</v>
      </c>
      <c r="E37" s="303" t="s">
        <v>353</v>
      </c>
      <c r="F37" s="303" t="s">
        <v>987</v>
      </c>
      <c r="G37" s="303" t="s">
        <v>353</v>
      </c>
      <c r="H37" s="303" t="s">
        <v>353</v>
      </c>
      <c r="I37" s="303" t="s">
        <v>353</v>
      </c>
      <c r="J37" s="303" t="s">
        <v>353</v>
      </c>
      <c r="K37" s="305"/>
      <c r="L37" s="303" t="s">
        <v>353</v>
      </c>
      <c r="M37" s="303" t="s">
        <v>353</v>
      </c>
      <c r="N37" s="303" t="s">
        <v>353</v>
      </c>
      <c r="O37" s="306"/>
      <c r="P37" s="305"/>
    </row>
    <row r="38" spans="1:16" outlineLevel="2" x14ac:dyDescent="0.3">
      <c r="A38" s="299" t="s">
        <v>962</v>
      </c>
      <c r="B38" s="299" t="s">
        <v>963</v>
      </c>
      <c r="C38" s="300">
        <v>-31.56</v>
      </c>
      <c r="D38" s="299" t="s">
        <v>964</v>
      </c>
      <c r="E38" s="299" t="s">
        <v>971</v>
      </c>
      <c r="F38" s="299" t="s">
        <v>990</v>
      </c>
      <c r="G38" s="299" t="s">
        <v>966</v>
      </c>
      <c r="H38" s="299" t="s">
        <v>35</v>
      </c>
      <c r="I38" s="299" t="s">
        <v>967</v>
      </c>
      <c r="J38" s="299" t="s">
        <v>968</v>
      </c>
      <c r="K38" s="301">
        <v>44734</v>
      </c>
      <c r="L38" s="299" t="s">
        <v>353</v>
      </c>
      <c r="M38" s="299" t="s">
        <v>972</v>
      </c>
      <c r="N38" s="299" t="s">
        <v>973</v>
      </c>
      <c r="O38" s="302">
        <v>0.60092592592592997</v>
      </c>
      <c r="P38" s="301">
        <v>44734</v>
      </c>
    </row>
    <row r="39" spans="1:16" outlineLevel="2" x14ac:dyDescent="0.3">
      <c r="A39" s="299" t="s">
        <v>962</v>
      </c>
      <c r="B39" s="299" t="s">
        <v>963</v>
      </c>
      <c r="C39" s="300">
        <v>17464.93</v>
      </c>
      <c r="D39" s="299" t="s">
        <v>964</v>
      </c>
      <c r="E39" s="299" t="s">
        <v>1066</v>
      </c>
      <c r="F39" s="299" t="s">
        <v>990</v>
      </c>
      <c r="G39" s="299" t="s">
        <v>966</v>
      </c>
      <c r="H39" s="299" t="s">
        <v>35</v>
      </c>
      <c r="I39" s="299" t="s">
        <v>967</v>
      </c>
      <c r="J39" s="299" t="s">
        <v>968</v>
      </c>
      <c r="K39" s="301">
        <v>44735</v>
      </c>
      <c r="L39" s="299" t="s">
        <v>353</v>
      </c>
      <c r="M39" s="299" t="s">
        <v>969</v>
      </c>
      <c r="N39" s="299" t="s">
        <v>996</v>
      </c>
      <c r="O39" s="302">
        <v>0.40523148148148003</v>
      </c>
      <c r="P39" s="301">
        <v>44735</v>
      </c>
    </row>
    <row r="40" spans="1:16" outlineLevel="2" x14ac:dyDescent="0.3">
      <c r="A40" s="299" t="s">
        <v>962</v>
      </c>
      <c r="B40" s="299" t="s">
        <v>963</v>
      </c>
      <c r="C40" s="300">
        <v>2140.16</v>
      </c>
      <c r="D40" s="299" t="s">
        <v>964</v>
      </c>
      <c r="E40" s="299" t="s">
        <v>971</v>
      </c>
      <c r="F40" s="299" t="s">
        <v>990</v>
      </c>
      <c r="G40" s="299" t="s">
        <v>966</v>
      </c>
      <c r="H40" s="299" t="s">
        <v>35</v>
      </c>
      <c r="I40" s="299" t="s">
        <v>967</v>
      </c>
      <c r="J40" s="299" t="s">
        <v>968</v>
      </c>
      <c r="K40" s="301">
        <v>44736</v>
      </c>
      <c r="L40" s="299" t="s">
        <v>353</v>
      </c>
      <c r="M40" s="299" t="s">
        <v>972</v>
      </c>
      <c r="N40" s="299" t="s">
        <v>973</v>
      </c>
      <c r="O40" s="302">
        <v>0.34309027777778001</v>
      </c>
      <c r="P40" s="301">
        <v>44736</v>
      </c>
    </row>
    <row r="41" spans="1:16" outlineLevel="2" x14ac:dyDescent="0.3">
      <c r="A41" s="299" t="s">
        <v>962</v>
      </c>
      <c r="B41" s="299" t="s">
        <v>963</v>
      </c>
      <c r="C41" s="300">
        <v>24208.73</v>
      </c>
      <c r="D41" s="299" t="s">
        <v>964</v>
      </c>
      <c r="E41" s="299" t="s">
        <v>1067</v>
      </c>
      <c r="F41" s="299" t="s">
        <v>990</v>
      </c>
      <c r="G41" s="299" t="s">
        <v>966</v>
      </c>
      <c r="H41" s="299" t="s">
        <v>35</v>
      </c>
      <c r="I41" s="299" t="s">
        <v>967</v>
      </c>
      <c r="J41" s="299" t="s">
        <v>968</v>
      </c>
      <c r="K41" s="301">
        <v>44742</v>
      </c>
      <c r="L41" s="299" t="s">
        <v>1068</v>
      </c>
      <c r="M41" s="299" t="s">
        <v>976</v>
      </c>
      <c r="N41" s="299" t="s">
        <v>977</v>
      </c>
      <c r="O41" s="302">
        <v>0.51875000000000004</v>
      </c>
      <c r="P41" s="301">
        <v>44743</v>
      </c>
    </row>
    <row r="42" spans="1:16" outlineLevel="2" x14ac:dyDescent="0.3">
      <c r="A42" s="299" t="s">
        <v>962</v>
      </c>
      <c r="B42" s="299" t="s">
        <v>974</v>
      </c>
      <c r="C42" s="300">
        <v>391843.56</v>
      </c>
      <c r="D42" s="299" t="s">
        <v>975</v>
      </c>
      <c r="E42" s="299" t="s">
        <v>1067</v>
      </c>
      <c r="F42" s="299" t="s">
        <v>990</v>
      </c>
      <c r="G42" s="299" t="s">
        <v>966</v>
      </c>
      <c r="H42" s="299" t="s">
        <v>35</v>
      </c>
      <c r="I42" s="299" t="s">
        <v>967</v>
      </c>
      <c r="J42" s="299" t="s">
        <v>968</v>
      </c>
      <c r="K42" s="301">
        <v>44742</v>
      </c>
      <c r="L42" s="299" t="s">
        <v>1068</v>
      </c>
      <c r="M42" s="299" t="s">
        <v>976</v>
      </c>
      <c r="N42" s="299" t="s">
        <v>977</v>
      </c>
      <c r="O42" s="302">
        <v>0.51875000000000004</v>
      </c>
      <c r="P42" s="301">
        <v>44743</v>
      </c>
    </row>
    <row r="43" spans="1:16" outlineLevel="2" x14ac:dyDescent="0.3">
      <c r="A43" s="299" t="s">
        <v>962</v>
      </c>
      <c r="B43" s="299" t="s">
        <v>963</v>
      </c>
      <c r="C43" s="300">
        <v>-24208.73</v>
      </c>
      <c r="D43" s="299" t="s">
        <v>964</v>
      </c>
      <c r="E43" s="299" t="s">
        <v>986</v>
      </c>
      <c r="F43" s="299" t="s">
        <v>990</v>
      </c>
      <c r="G43" s="299" t="s">
        <v>966</v>
      </c>
      <c r="H43" s="299" t="s">
        <v>35</v>
      </c>
      <c r="I43" s="299" t="s">
        <v>967</v>
      </c>
      <c r="J43" s="299" t="s">
        <v>968</v>
      </c>
      <c r="K43" s="301">
        <v>44742</v>
      </c>
      <c r="L43" s="299" t="s">
        <v>988</v>
      </c>
      <c r="M43" s="299" t="s">
        <v>979</v>
      </c>
      <c r="N43" s="299" t="s">
        <v>985</v>
      </c>
      <c r="O43" s="302">
        <v>0.47010416666666999</v>
      </c>
      <c r="P43" s="301">
        <v>44747</v>
      </c>
    </row>
    <row r="44" spans="1:16" outlineLevel="2" x14ac:dyDescent="0.3">
      <c r="A44" s="299" t="s">
        <v>962</v>
      </c>
      <c r="B44" s="299" t="s">
        <v>974</v>
      </c>
      <c r="C44" s="300">
        <v>-391843.56</v>
      </c>
      <c r="D44" s="299" t="s">
        <v>975</v>
      </c>
      <c r="E44" s="299" t="s">
        <v>991</v>
      </c>
      <c r="F44" s="299" t="s">
        <v>990</v>
      </c>
      <c r="G44" s="299" t="s">
        <v>966</v>
      </c>
      <c r="H44" s="299" t="s">
        <v>35</v>
      </c>
      <c r="I44" s="299" t="s">
        <v>967</v>
      </c>
      <c r="J44" s="299" t="s">
        <v>968</v>
      </c>
      <c r="K44" s="301">
        <v>44742</v>
      </c>
      <c r="L44" s="299" t="s">
        <v>1069</v>
      </c>
      <c r="M44" s="299" t="s">
        <v>979</v>
      </c>
      <c r="N44" s="299" t="s">
        <v>985</v>
      </c>
      <c r="O44" s="302">
        <v>0.63951388888889005</v>
      </c>
      <c r="P44" s="301">
        <v>44743</v>
      </c>
    </row>
    <row r="45" spans="1:16" outlineLevel="1" x14ac:dyDescent="0.3">
      <c r="A45" s="303" t="s">
        <v>353</v>
      </c>
      <c r="B45" s="303" t="s">
        <v>353</v>
      </c>
      <c r="C45" s="304">
        <v>19573.53</v>
      </c>
      <c r="D45" s="303" t="s">
        <v>353</v>
      </c>
      <c r="E45" s="303" t="s">
        <v>353</v>
      </c>
      <c r="F45" s="303" t="s">
        <v>990</v>
      </c>
      <c r="G45" s="303" t="s">
        <v>353</v>
      </c>
      <c r="H45" s="303" t="s">
        <v>353</v>
      </c>
      <c r="I45" s="303" t="s">
        <v>353</v>
      </c>
      <c r="J45" s="303" t="s">
        <v>353</v>
      </c>
      <c r="K45" s="305"/>
      <c r="L45" s="303" t="s">
        <v>353</v>
      </c>
      <c r="M45" s="303" t="s">
        <v>353</v>
      </c>
      <c r="N45" s="303" t="s">
        <v>353</v>
      </c>
      <c r="O45" s="306"/>
      <c r="P45" s="305"/>
    </row>
    <row r="46" spans="1:16" outlineLevel="2" x14ac:dyDescent="0.3">
      <c r="A46" s="299" t="s">
        <v>962</v>
      </c>
      <c r="B46" s="299" t="s">
        <v>963</v>
      </c>
      <c r="C46" s="300">
        <v>17464.93</v>
      </c>
      <c r="D46" s="299" t="s">
        <v>964</v>
      </c>
      <c r="E46" s="299" t="s">
        <v>1070</v>
      </c>
      <c r="F46" s="299" t="s">
        <v>992</v>
      </c>
      <c r="G46" s="299" t="s">
        <v>966</v>
      </c>
      <c r="H46" s="299" t="s">
        <v>35</v>
      </c>
      <c r="I46" s="299" t="s">
        <v>967</v>
      </c>
      <c r="J46" s="299" t="s">
        <v>968</v>
      </c>
      <c r="K46" s="301">
        <v>44753</v>
      </c>
      <c r="L46" s="299" t="s">
        <v>353</v>
      </c>
      <c r="M46" s="299" t="s">
        <v>969</v>
      </c>
      <c r="N46" s="299" t="s">
        <v>1071</v>
      </c>
      <c r="O46" s="302">
        <v>0.45890046296296</v>
      </c>
      <c r="P46" s="301">
        <v>44753</v>
      </c>
    </row>
    <row r="47" spans="1:16" outlineLevel="2" x14ac:dyDescent="0.3">
      <c r="A47" s="299" t="s">
        <v>962</v>
      </c>
      <c r="B47" s="299" t="s">
        <v>963</v>
      </c>
      <c r="C47" s="300">
        <v>-31.56</v>
      </c>
      <c r="D47" s="299" t="s">
        <v>964</v>
      </c>
      <c r="E47" s="299" t="s">
        <v>971</v>
      </c>
      <c r="F47" s="299" t="s">
        <v>992</v>
      </c>
      <c r="G47" s="299" t="s">
        <v>966</v>
      </c>
      <c r="H47" s="299" t="s">
        <v>35</v>
      </c>
      <c r="I47" s="299" t="s">
        <v>967</v>
      </c>
      <c r="J47" s="299" t="s">
        <v>968</v>
      </c>
      <c r="K47" s="301">
        <v>44753</v>
      </c>
      <c r="L47" s="299" t="s">
        <v>353</v>
      </c>
      <c r="M47" s="299" t="s">
        <v>972</v>
      </c>
      <c r="N47" s="299" t="s">
        <v>973</v>
      </c>
      <c r="O47" s="302">
        <v>0.63309027777778004</v>
      </c>
      <c r="P47" s="301">
        <v>44753</v>
      </c>
    </row>
    <row r="48" spans="1:16" outlineLevel="2" x14ac:dyDescent="0.3">
      <c r="A48" s="299" t="s">
        <v>962</v>
      </c>
      <c r="B48" s="299" t="s">
        <v>974</v>
      </c>
      <c r="C48" s="300">
        <v>392825.05</v>
      </c>
      <c r="D48" s="299" t="s">
        <v>975</v>
      </c>
      <c r="E48" s="299" t="s">
        <v>1072</v>
      </c>
      <c r="F48" s="299" t="s">
        <v>992</v>
      </c>
      <c r="G48" s="299" t="s">
        <v>966</v>
      </c>
      <c r="H48" s="299" t="s">
        <v>35</v>
      </c>
      <c r="I48" s="299" t="s">
        <v>967</v>
      </c>
      <c r="J48" s="299" t="s">
        <v>968</v>
      </c>
      <c r="K48" s="301">
        <v>44773</v>
      </c>
      <c r="L48" s="299" t="s">
        <v>1073</v>
      </c>
      <c r="M48" s="299" t="s">
        <v>976</v>
      </c>
      <c r="N48" s="299" t="s">
        <v>977</v>
      </c>
      <c r="O48" s="302">
        <v>0.68540509259258997</v>
      </c>
      <c r="P48" s="301">
        <v>44774</v>
      </c>
    </row>
    <row r="49" spans="1:16" outlineLevel="2" x14ac:dyDescent="0.3">
      <c r="A49" s="299" t="s">
        <v>962</v>
      </c>
      <c r="B49" s="299" t="s">
        <v>963</v>
      </c>
      <c r="C49" s="300">
        <v>24205.26</v>
      </c>
      <c r="D49" s="299" t="s">
        <v>964</v>
      </c>
      <c r="E49" s="299" t="s">
        <v>1072</v>
      </c>
      <c r="F49" s="299" t="s">
        <v>992</v>
      </c>
      <c r="G49" s="299" t="s">
        <v>966</v>
      </c>
      <c r="H49" s="299" t="s">
        <v>35</v>
      </c>
      <c r="I49" s="299" t="s">
        <v>967</v>
      </c>
      <c r="J49" s="299" t="s">
        <v>968</v>
      </c>
      <c r="K49" s="301">
        <v>44773</v>
      </c>
      <c r="L49" s="299" t="s">
        <v>1073</v>
      </c>
      <c r="M49" s="299" t="s">
        <v>976</v>
      </c>
      <c r="N49" s="299" t="s">
        <v>977</v>
      </c>
      <c r="O49" s="302">
        <v>0.68540509259258997</v>
      </c>
      <c r="P49" s="301">
        <v>44774</v>
      </c>
    </row>
    <row r="50" spans="1:16" outlineLevel="2" x14ac:dyDescent="0.3">
      <c r="A50" s="299" t="s">
        <v>962</v>
      </c>
      <c r="B50" s="299" t="s">
        <v>974</v>
      </c>
      <c r="C50" s="300">
        <v>-392825.05</v>
      </c>
      <c r="D50" s="299" t="s">
        <v>975</v>
      </c>
      <c r="E50" s="299" t="s">
        <v>993</v>
      </c>
      <c r="F50" s="299" t="s">
        <v>992</v>
      </c>
      <c r="G50" s="299" t="s">
        <v>966</v>
      </c>
      <c r="H50" s="299" t="s">
        <v>35</v>
      </c>
      <c r="I50" s="299" t="s">
        <v>967</v>
      </c>
      <c r="J50" s="299" t="s">
        <v>968</v>
      </c>
      <c r="K50" s="301">
        <v>44773</v>
      </c>
      <c r="L50" s="299" t="s">
        <v>1074</v>
      </c>
      <c r="M50" s="299" t="s">
        <v>979</v>
      </c>
      <c r="N50" s="299" t="s">
        <v>985</v>
      </c>
      <c r="O50" s="302">
        <v>0.75547453703704004</v>
      </c>
      <c r="P50" s="301">
        <v>44774</v>
      </c>
    </row>
    <row r="51" spans="1:16" outlineLevel="2" x14ac:dyDescent="0.3">
      <c r="A51" s="299" t="s">
        <v>962</v>
      </c>
      <c r="B51" s="299" t="s">
        <v>963</v>
      </c>
      <c r="C51" s="300">
        <v>-24205.26</v>
      </c>
      <c r="D51" s="299" t="s">
        <v>964</v>
      </c>
      <c r="E51" s="299" t="s">
        <v>986</v>
      </c>
      <c r="F51" s="299" t="s">
        <v>992</v>
      </c>
      <c r="G51" s="299" t="s">
        <v>966</v>
      </c>
      <c r="H51" s="299" t="s">
        <v>35</v>
      </c>
      <c r="I51" s="299" t="s">
        <v>967</v>
      </c>
      <c r="J51" s="299" t="s">
        <v>968</v>
      </c>
      <c r="K51" s="301">
        <v>44773</v>
      </c>
      <c r="L51" s="299" t="s">
        <v>988</v>
      </c>
      <c r="M51" s="299" t="s">
        <v>979</v>
      </c>
      <c r="N51" s="299" t="s">
        <v>985</v>
      </c>
      <c r="O51" s="302">
        <v>0.36795138888889001</v>
      </c>
      <c r="P51" s="301">
        <v>44775</v>
      </c>
    </row>
    <row r="52" spans="1:16" outlineLevel="1" x14ac:dyDescent="0.3">
      <c r="A52" s="303" t="s">
        <v>353</v>
      </c>
      <c r="B52" s="303" t="s">
        <v>353</v>
      </c>
      <c r="C52" s="304">
        <v>17433.37</v>
      </c>
      <c r="D52" s="303" t="s">
        <v>353</v>
      </c>
      <c r="E52" s="303" t="s">
        <v>353</v>
      </c>
      <c r="F52" s="303" t="s">
        <v>992</v>
      </c>
      <c r="G52" s="303" t="s">
        <v>353</v>
      </c>
      <c r="H52" s="303" t="s">
        <v>353</v>
      </c>
      <c r="I52" s="303" t="s">
        <v>353</v>
      </c>
      <c r="J52" s="303" t="s">
        <v>353</v>
      </c>
      <c r="K52" s="305"/>
      <c r="L52" s="303" t="s">
        <v>353</v>
      </c>
      <c r="M52" s="303" t="s">
        <v>353</v>
      </c>
      <c r="N52" s="303" t="s">
        <v>353</v>
      </c>
      <c r="O52" s="306"/>
      <c r="P52" s="305"/>
    </row>
    <row r="53" spans="1:16" outlineLevel="2" x14ac:dyDescent="0.3">
      <c r="A53" s="299" t="s">
        <v>962</v>
      </c>
      <c r="B53" s="299" t="s">
        <v>963</v>
      </c>
      <c r="C53" s="300">
        <v>17464.93</v>
      </c>
      <c r="D53" s="299" t="s">
        <v>964</v>
      </c>
      <c r="E53" s="299" t="s">
        <v>1075</v>
      </c>
      <c r="F53" s="299" t="s">
        <v>994</v>
      </c>
      <c r="G53" s="299" t="s">
        <v>966</v>
      </c>
      <c r="H53" s="299" t="s">
        <v>35</v>
      </c>
      <c r="I53" s="299" t="s">
        <v>967</v>
      </c>
      <c r="J53" s="299" t="s">
        <v>968</v>
      </c>
      <c r="K53" s="301">
        <v>44797</v>
      </c>
      <c r="L53" s="299" t="s">
        <v>353</v>
      </c>
      <c r="M53" s="299" t="s">
        <v>969</v>
      </c>
      <c r="N53" s="299" t="s">
        <v>1071</v>
      </c>
      <c r="O53" s="302">
        <v>0.47295138888888999</v>
      </c>
      <c r="P53" s="301">
        <v>44797</v>
      </c>
    </row>
    <row r="54" spans="1:16" outlineLevel="2" x14ac:dyDescent="0.3">
      <c r="A54" s="299" t="s">
        <v>962</v>
      </c>
      <c r="B54" s="299" t="s">
        <v>963</v>
      </c>
      <c r="C54" s="300">
        <v>1711.78</v>
      </c>
      <c r="D54" s="299" t="s">
        <v>964</v>
      </c>
      <c r="E54" s="299" t="s">
        <v>971</v>
      </c>
      <c r="F54" s="299" t="s">
        <v>994</v>
      </c>
      <c r="G54" s="299" t="s">
        <v>966</v>
      </c>
      <c r="H54" s="299" t="s">
        <v>35</v>
      </c>
      <c r="I54" s="299" t="s">
        <v>967</v>
      </c>
      <c r="J54" s="299" t="s">
        <v>968</v>
      </c>
      <c r="K54" s="301">
        <v>44798</v>
      </c>
      <c r="L54" s="299" t="s">
        <v>353</v>
      </c>
      <c r="M54" s="299" t="s">
        <v>972</v>
      </c>
      <c r="N54" s="299" t="s">
        <v>973</v>
      </c>
      <c r="O54" s="302">
        <v>0.44363425925925998</v>
      </c>
      <c r="P54" s="301">
        <v>44798</v>
      </c>
    </row>
    <row r="55" spans="1:16" outlineLevel="2" x14ac:dyDescent="0.3">
      <c r="A55" s="299" t="s">
        <v>962</v>
      </c>
      <c r="B55" s="299" t="s">
        <v>963</v>
      </c>
      <c r="C55" s="300">
        <v>-15512.1</v>
      </c>
      <c r="D55" s="299" t="s">
        <v>964</v>
      </c>
      <c r="E55" s="299" t="s">
        <v>986</v>
      </c>
      <c r="F55" s="299" t="s">
        <v>994</v>
      </c>
      <c r="G55" s="299" t="s">
        <v>966</v>
      </c>
      <c r="H55" s="299" t="s">
        <v>35</v>
      </c>
      <c r="I55" s="299" t="s">
        <v>967</v>
      </c>
      <c r="J55" s="299" t="s">
        <v>968</v>
      </c>
      <c r="K55" s="301">
        <v>44804</v>
      </c>
      <c r="L55" s="299" t="s">
        <v>988</v>
      </c>
      <c r="M55" s="299" t="s">
        <v>979</v>
      </c>
      <c r="N55" s="299" t="s">
        <v>985</v>
      </c>
      <c r="O55" s="302">
        <v>0.36569444444443999</v>
      </c>
      <c r="P55" s="301">
        <v>44806</v>
      </c>
    </row>
    <row r="56" spans="1:16" outlineLevel="2" x14ac:dyDescent="0.3">
      <c r="A56" s="299" t="s">
        <v>962</v>
      </c>
      <c r="B56" s="299" t="s">
        <v>974</v>
      </c>
      <c r="C56" s="300">
        <v>388697.07</v>
      </c>
      <c r="D56" s="299" t="s">
        <v>975</v>
      </c>
      <c r="E56" s="299" t="s">
        <v>1076</v>
      </c>
      <c r="F56" s="299" t="s">
        <v>994</v>
      </c>
      <c r="G56" s="299" t="s">
        <v>966</v>
      </c>
      <c r="H56" s="299" t="s">
        <v>35</v>
      </c>
      <c r="I56" s="299" t="s">
        <v>967</v>
      </c>
      <c r="J56" s="299" t="s">
        <v>968</v>
      </c>
      <c r="K56" s="301">
        <v>44804</v>
      </c>
      <c r="L56" s="299" t="s">
        <v>1077</v>
      </c>
      <c r="M56" s="299" t="s">
        <v>976</v>
      </c>
      <c r="N56" s="299" t="s">
        <v>977</v>
      </c>
      <c r="O56" s="302">
        <v>0.46799768518519003</v>
      </c>
      <c r="P56" s="301">
        <v>44805</v>
      </c>
    </row>
    <row r="57" spans="1:16" outlineLevel="2" x14ac:dyDescent="0.3">
      <c r="A57" s="299" t="s">
        <v>962</v>
      </c>
      <c r="B57" s="299" t="s">
        <v>963</v>
      </c>
      <c r="C57" s="300">
        <v>15512.1</v>
      </c>
      <c r="D57" s="299" t="s">
        <v>964</v>
      </c>
      <c r="E57" s="299" t="s">
        <v>1076</v>
      </c>
      <c r="F57" s="299" t="s">
        <v>994</v>
      </c>
      <c r="G57" s="299" t="s">
        <v>966</v>
      </c>
      <c r="H57" s="299" t="s">
        <v>35</v>
      </c>
      <c r="I57" s="299" t="s">
        <v>967</v>
      </c>
      <c r="J57" s="299" t="s">
        <v>968</v>
      </c>
      <c r="K57" s="301">
        <v>44804</v>
      </c>
      <c r="L57" s="299" t="s">
        <v>1077</v>
      </c>
      <c r="M57" s="299" t="s">
        <v>976</v>
      </c>
      <c r="N57" s="299" t="s">
        <v>977</v>
      </c>
      <c r="O57" s="302">
        <v>0.46799768518519003</v>
      </c>
      <c r="P57" s="301">
        <v>44805</v>
      </c>
    </row>
    <row r="58" spans="1:16" outlineLevel="2" x14ac:dyDescent="0.3">
      <c r="A58" s="299" t="s">
        <v>962</v>
      </c>
      <c r="B58" s="299" t="s">
        <v>974</v>
      </c>
      <c r="C58" s="300">
        <v>-388697.07</v>
      </c>
      <c r="D58" s="299" t="s">
        <v>975</v>
      </c>
      <c r="E58" s="299" t="s">
        <v>995</v>
      </c>
      <c r="F58" s="299" t="s">
        <v>994</v>
      </c>
      <c r="G58" s="299" t="s">
        <v>966</v>
      </c>
      <c r="H58" s="299" t="s">
        <v>35</v>
      </c>
      <c r="I58" s="299" t="s">
        <v>967</v>
      </c>
      <c r="J58" s="299" t="s">
        <v>968</v>
      </c>
      <c r="K58" s="301">
        <v>44804</v>
      </c>
      <c r="L58" s="299" t="s">
        <v>1078</v>
      </c>
      <c r="M58" s="299" t="s">
        <v>979</v>
      </c>
      <c r="N58" s="299" t="s">
        <v>985</v>
      </c>
      <c r="O58" s="302">
        <v>0.59113425925926</v>
      </c>
      <c r="P58" s="301">
        <v>44805</v>
      </c>
    </row>
    <row r="59" spans="1:16" outlineLevel="1" x14ac:dyDescent="0.3">
      <c r="A59" s="303" t="s">
        <v>353</v>
      </c>
      <c r="B59" s="303" t="s">
        <v>353</v>
      </c>
      <c r="C59" s="304">
        <v>19176.71</v>
      </c>
      <c r="D59" s="303" t="s">
        <v>353</v>
      </c>
      <c r="E59" s="303" t="s">
        <v>353</v>
      </c>
      <c r="F59" s="303" t="s">
        <v>994</v>
      </c>
      <c r="G59" s="303" t="s">
        <v>353</v>
      </c>
      <c r="H59" s="303" t="s">
        <v>353</v>
      </c>
      <c r="I59" s="303" t="s">
        <v>353</v>
      </c>
      <c r="J59" s="303" t="s">
        <v>353</v>
      </c>
      <c r="K59" s="305"/>
      <c r="L59" s="303" t="s">
        <v>353</v>
      </c>
      <c r="M59" s="303" t="s">
        <v>353</v>
      </c>
      <c r="N59" s="303" t="s">
        <v>353</v>
      </c>
      <c r="O59" s="306"/>
      <c r="P59" s="305"/>
    </row>
    <row r="60" spans="1:16" outlineLevel="2" x14ac:dyDescent="0.3">
      <c r="A60" s="299" t="s">
        <v>962</v>
      </c>
      <c r="B60" s="299" t="s">
        <v>974</v>
      </c>
      <c r="C60" s="300">
        <v>379729.59</v>
      </c>
      <c r="D60" s="299" t="s">
        <v>975</v>
      </c>
      <c r="E60" s="299" t="s">
        <v>1079</v>
      </c>
      <c r="F60" s="299" t="s">
        <v>329</v>
      </c>
      <c r="G60" s="299" t="s">
        <v>966</v>
      </c>
      <c r="H60" s="299" t="s">
        <v>35</v>
      </c>
      <c r="I60" s="299" t="s">
        <v>967</v>
      </c>
      <c r="J60" s="299" t="s">
        <v>968</v>
      </c>
      <c r="K60" s="301">
        <v>44834</v>
      </c>
      <c r="L60" s="299" t="s">
        <v>1080</v>
      </c>
      <c r="M60" s="299" t="s">
        <v>976</v>
      </c>
      <c r="N60" s="299" t="s">
        <v>977</v>
      </c>
      <c r="O60" s="302">
        <v>0.43466435185184998</v>
      </c>
      <c r="P60" s="301">
        <v>44837</v>
      </c>
    </row>
    <row r="61" spans="1:16" outlineLevel="2" x14ac:dyDescent="0.3">
      <c r="A61" s="299" t="s">
        <v>962</v>
      </c>
      <c r="B61" s="299" t="s">
        <v>963</v>
      </c>
      <c r="C61" s="300">
        <v>15512.1</v>
      </c>
      <c r="D61" s="299" t="s">
        <v>964</v>
      </c>
      <c r="E61" s="299" t="s">
        <v>1079</v>
      </c>
      <c r="F61" s="299" t="s">
        <v>329</v>
      </c>
      <c r="G61" s="299" t="s">
        <v>966</v>
      </c>
      <c r="H61" s="299" t="s">
        <v>35</v>
      </c>
      <c r="I61" s="299" t="s">
        <v>967</v>
      </c>
      <c r="J61" s="299" t="s">
        <v>968</v>
      </c>
      <c r="K61" s="301">
        <v>44834</v>
      </c>
      <c r="L61" s="299" t="s">
        <v>1080</v>
      </c>
      <c r="M61" s="299" t="s">
        <v>976</v>
      </c>
      <c r="N61" s="299" t="s">
        <v>977</v>
      </c>
      <c r="O61" s="302">
        <v>0.43466435185184998</v>
      </c>
      <c r="P61" s="301">
        <v>44837</v>
      </c>
    </row>
    <row r="62" spans="1:16" outlineLevel="2" x14ac:dyDescent="0.3">
      <c r="A62" s="299" t="s">
        <v>962</v>
      </c>
      <c r="B62" s="299" t="s">
        <v>974</v>
      </c>
      <c r="C62" s="300">
        <v>-379729.59</v>
      </c>
      <c r="D62" s="299" t="s">
        <v>975</v>
      </c>
      <c r="E62" s="299" t="s">
        <v>997</v>
      </c>
      <c r="F62" s="299" t="s">
        <v>329</v>
      </c>
      <c r="G62" s="299" t="s">
        <v>966</v>
      </c>
      <c r="H62" s="299" t="s">
        <v>35</v>
      </c>
      <c r="I62" s="299" t="s">
        <v>967</v>
      </c>
      <c r="J62" s="299" t="s">
        <v>968</v>
      </c>
      <c r="K62" s="301">
        <v>44834</v>
      </c>
      <c r="L62" s="299" t="s">
        <v>1081</v>
      </c>
      <c r="M62" s="299" t="s">
        <v>979</v>
      </c>
      <c r="N62" s="299" t="s">
        <v>985</v>
      </c>
      <c r="O62" s="302">
        <v>0.63424768518519004</v>
      </c>
      <c r="P62" s="301">
        <v>44837</v>
      </c>
    </row>
    <row r="63" spans="1:16" outlineLevel="2" x14ac:dyDescent="0.3">
      <c r="A63" s="299" t="s">
        <v>962</v>
      </c>
      <c r="B63" s="299" t="s">
        <v>963</v>
      </c>
      <c r="C63" s="300">
        <v>-15512.1</v>
      </c>
      <c r="D63" s="299" t="s">
        <v>964</v>
      </c>
      <c r="E63" s="299" t="s">
        <v>986</v>
      </c>
      <c r="F63" s="299" t="s">
        <v>329</v>
      </c>
      <c r="G63" s="299" t="s">
        <v>966</v>
      </c>
      <c r="H63" s="299" t="s">
        <v>35</v>
      </c>
      <c r="I63" s="299" t="s">
        <v>967</v>
      </c>
      <c r="J63" s="299" t="s">
        <v>968</v>
      </c>
      <c r="K63" s="301">
        <v>44834</v>
      </c>
      <c r="L63" s="299" t="s">
        <v>988</v>
      </c>
      <c r="M63" s="299" t="s">
        <v>979</v>
      </c>
      <c r="N63" s="299" t="s">
        <v>985</v>
      </c>
      <c r="O63" s="302">
        <v>0.41128472222222001</v>
      </c>
      <c r="P63" s="301">
        <v>44838</v>
      </c>
    </row>
    <row r="64" spans="1:16" outlineLevel="1" x14ac:dyDescent="0.3">
      <c r="A64" s="303" t="s">
        <v>353</v>
      </c>
      <c r="B64" s="303" t="s">
        <v>353</v>
      </c>
      <c r="C64" s="304">
        <v>0</v>
      </c>
      <c r="D64" s="303" t="s">
        <v>353</v>
      </c>
      <c r="E64" s="303" t="s">
        <v>353</v>
      </c>
      <c r="F64" s="303" t="s">
        <v>329</v>
      </c>
      <c r="G64" s="303" t="s">
        <v>353</v>
      </c>
      <c r="H64" s="303" t="s">
        <v>353</v>
      </c>
      <c r="I64" s="303" t="s">
        <v>353</v>
      </c>
      <c r="J64" s="303" t="s">
        <v>353</v>
      </c>
      <c r="K64" s="305"/>
      <c r="L64" s="303" t="s">
        <v>353</v>
      </c>
      <c r="M64" s="303" t="s">
        <v>353</v>
      </c>
      <c r="N64" s="303" t="s">
        <v>353</v>
      </c>
      <c r="O64" s="306"/>
      <c r="P64" s="305"/>
    </row>
    <row r="65" spans="1:16" outlineLevel="2" x14ac:dyDescent="0.3">
      <c r="A65" s="299" t="s">
        <v>962</v>
      </c>
      <c r="B65" s="299" t="s">
        <v>974</v>
      </c>
      <c r="C65" s="300">
        <v>-377945.88</v>
      </c>
      <c r="D65" s="299" t="s">
        <v>975</v>
      </c>
      <c r="E65" s="299" t="s">
        <v>999</v>
      </c>
      <c r="F65" s="299" t="s">
        <v>998</v>
      </c>
      <c r="G65" s="299" t="s">
        <v>966</v>
      </c>
      <c r="H65" s="299" t="s">
        <v>35</v>
      </c>
      <c r="I65" s="299" t="s">
        <v>967</v>
      </c>
      <c r="J65" s="299" t="s">
        <v>968</v>
      </c>
      <c r="K65" s="301">
        <v>44865</v>
      </c>
      <c r="L65" s="299" t="s">
        <v>1082</v>
      </c>
      <c r="M65" s="299" t="s">
        <v>979</v>
      </c>
      <c r="N65" s="299" t="s">
        <v>985</v>
      </c>
      <c r="O65" s="302">
        <v>0.63097222222222005</v>
      </c>
      <c r="P65" s="301">
        <v>44866</v>
      </c>
    </row>
    <row r="66" spans="1:16" outlineLevel="2" x14ac:dyDescent="0.3">
      <c r="A66" s="299" t="s">
        <v>962</v>
      </c>
      <c r="B66" s="299" t="s">
        <v>963</v>
      </c>
      <c r="C66" s="300">
        <v>15512.1</v>
      </c>
      <c r="D66" s="299" t="s">
        <v>964</v>
      </c>
      <c r="E66" s="299" t="s">
        <v>1083</v>
      </c>
      <c r="F66" s="299" t="s">
        <v>998</v>
      </c>
      <c r="G66" s="299" t="s">
        <v>966</v>
      </c>
      <c r="H66" s="299" t="s">
        <v>35</v>
      </c>
      <c r="I66" s="299" t="s">
        <v>967</v>
      </c>
      <c r="J66" s="299" t="s">
        <v>968</v>
      </c>
      <c r="K66" s="301">
        <v>44865</v>
      </c>
      <c r="L66" s="299" t="s">
        <v>1084</v>
      </c>
      <c r="M66" s="299" t="s">
        <v>976</v>
      </c>
      <c r="N66" s="299" t="s">
        <v>977</v>
      </c>
      <c r="O66" s="302">
        <v>0.51112268518519</v>
      </c>
      <c r="P66" s="301">
        <v>44866</v>
      </c>
    </row>
    <row r="67" spans="1:16" outlineLevel="2" x14ac:dyDescent="0.3">
      <c r="A67" s="299" t="s">
        <v>962</v>
      </c>
      <c r="B67" s="299" t="s">
        <v>974</v>
      </c>
      <c r="C67" s="300">
        <v>377945.88</v>
      </c>
      <c r="D67" s="299" t="s">
        <v>975</v>
      </c>
      <c r="E67" s="299" t="s">
        <v>1083</v>
      </c>
      <c r="F67" s="299" t="s">
        <v>998</v>
      </c>
      <c r="G67" s="299" t="s">
        <v>966</v>
      </c>
      <c r="H67" s="299" t="s">
        <v>35</v>
      </c>
      <c r="I67" s="299" t="s">
        <v>967</v>
      </c>
      <c r="J67" s="299" t="s">
        <v>968</v>
      </c>
      <c r="K67" s="301">
        <v>44865</v>
      </c>
      <c r="L67" s="299" t="s">
        <v>1084</v>
      </c>
      <c r="M67" s="299" t="s">
        <v>976</v>
      </c>
      <c r="N67" s="299" t="s">
        <v>977</v>
      </c>
      <c r="O67" s="302">
        <v>0.51112268518519</v>
      </c>
      <c r="P67" s="301">
        <v>44866</v>
      </c>
    </row>
    <row r="68" spans="1:16" outlineLevel="2" x14ac:dyDescent="0.3">
      <c r="A68" s="299" t="s">
        <v>962</v>
      </c>
      <c r="B68" s="299" t="s">
        <v>963</v>
      </c>
      <c r="C68" s="300">
        <v>-15512.1</v>
      </c>
      <c r="D68" s="299" t="s">
        <v>964</v>
      </c>
      <c r="E68" s="299" t="s">
        <v>986</v>
      </c>
      <c r="F68" s="299" t="s">
        <v>998</v>
      </c>
      <c r="G68" s="299" t="s">
        <v>966</v>
      </c>
      <c r="H68" s="299" t="s">
        <v>35</v>
      </c>
      <c r="I68" s="299" t="s">
        <v>967</v>
      </c>
      <c r="J68" s="299" t="s">
        <v>968</v>
      </c>
      <c r="K68" s="301">
        <v>44865</v>
      </c>
      <c r="L68" s="299" t="s">
        <v>988</v>
      </c>
      <c r="M68" s="299" t="s">
        <v>979</v>
      </c>
      <c r="N68" s="299" t="s">
        <v>985</v>
      </c>
      <c r="O68" s="302">
        <v>0.44234953703704</v>
      </c>
      <c r="P68" s="301">
        <v>44867</v>
      </c>
    </row>
    <row r="69" spans="1:16" outlineLevel="1" x14ac:dyDescent="0.3">
      <c r="A69" s="303" t="s">
        <v>353</v>
      </c>
      <c r="B69" s="303" t="s">
        <v>353</v>
      </c>
      <c r="C69" s="304">
        <v>0</v>
      </c>
      <c r="D69" s="303" t="s">
        <v>353</v>
      </c>
      <c r="E69" s="303" t="s">
        <v>353</v>
      </c>
      <c r="F69" s="303" t="s">
        <v>998</v>
      </c>
      <c r="G69" s="303" t="s">
        <v>353</v>
      </c>
      <c r="H69" s="303" t="s">
        <v>353</v>
      </c>
      <c r="I69" s="303" t="s">
        <v>353</v>
      </c>
      <c r="J69" s="303" t="s">
        <v>353</v>
      </c>
      <c r="K69" s="305"/>
      <c r="L69" s="303" t="s">
        <v>353</v>
      </c>
      <c r="M69" s="303" t="s">
        <v>353</v>
      </c>
      <c r="N69" s="303" t="s">
        <v>353</v>
      </c>
      <c r="O69" s="306"/>
      <c r="P69" s="305"/>
    </row>
    <row r="70" spans="1:16" outlineLevel="2" x14ac:dyDescent="0.3">
      <c r="A70" s="299" t="s">
        <v>962</v>
      </c>
      <c r="B70" s="299" t="s">
        <v>974</v>
      </c>
      <c r="C70" s="300">
        <v>-370388.69</v>
      </c>
      <c r="D70" s="299" t="s">
        <v>975</v>
      </c>
      <c r="E70" s="299" t="s">
        <v>1001</v>
      </c>
      <c r="F70" s="299" t="s">
        <v>1000</v>
      </c>
      <c r="G70" s="299" t="s">
        <v>966</v>
      </c>
      <c r="H70" s="299" t="s">
        <v>35</v>
      </c>
      <c r="I70" s="299" t="s">
        <v>967</v>
      </c>
      <c r="J70" s="299" t="s">
        <v>968</v>
      </c>
      <c r="K70" s="301">
        <v>44895</v>
      </c>
      <c r="L70" s="299" t="s">
        <v>1085</v>
      </c>
      <c r="M70" s="299" t="s">
        <v>979</v>
      </c>
      <c r="N70" s="299" t="s">
        <v>985</v>
      </c>
      <c r="O70" s="302">
        <v>0.59361111111110998</v>
      </c>
      <c r="P70" s="301">
        <v>44896</v>
      </c>
    </row>
    <row r="71" spans="1:16" outlineLevel="2" x14ac:dyDescent="0.3">
      <c r="A71" s="299" t="s">
        <v>962</v>
      </c>
      <c r="B71" s="299" t="s">
        <v>974</v>
      </c>
      <c r="C71" s="300">
        <v>370388.69</v>
      </c>
      <c r="D71" s="299" t="s">
        <v>975</v>
      </c>
      <c r="E71" s="299" t="s">
        <v>1086</v>
      </c>
      <c r="F71" s="299" t="s">
        <v>1000</v>
      </c>
      <c r="G71" s="299" t="s">
        <v>966</v>
      </c>
      <c r="H71" s="299" t="s">
        <v>35</v>
      </c>
      <c r="I71" s="299" t="s">
        <v>967</v>
      </c>
      <c r="J71" s="299" t="s">
        <v>968</v>
      </c>
      <c r="K71" s="301">
        <v>44895</v>
      </c>
      <c r="L71" s="299" t="s">
        <v>1087</v>
      </c>
      <c r="M71" s="299" t="s">
        <v>976</v>
      </c>
      <c r="N71" s="299" t="s">
        <v>977</v>
      </c>
      <c r="O71" s="302">
        <v>0.46574074074074001</v>
      </c>
      <c r="P71" s="301">
        <v>44896</v>
      </c>
    </row>
    <row r="72" spans="1:16" outlineLevel="2" x14ac:dyDescent="0.3">
      <c r="A72" s="299" t="s">
        <v>962</v>
      </c>
      <c r="B72" s="299" t="s">
        <v>963</v>
      </c>
      <c r="C72" s="300">
        <v>15512.1</v>
      </c>
      <c r="D72" s="299" t="s">
        <v>964</v>
      </c>
      <c r="E72" s="299" t="s">
        <v>1086</v>
      </c>
      <c r="F72" s="299" t="s">
        <v>1000</v>
      </c>
      <c r="G72" s="299" t="s">
        <v>966</v>
      </c>
      <c r="H72" s="299" t="s">
        <v>35</v>
      </c>
      <c r="I72" s="299" t="s">
        <v>967</v>
      </c>
      <c r="J72" s="299" t="s">
        <v>968</v>
      </c>
      <c r="K72" s="301">
        <v>44895</v>
      </c>
      <c r="L72" s="299" t="s">
        <v>1087</v>
      </c>
      <c r="M72" s="299" t="s">
        <v>976</v>
      </c>
      <c r="N72" s="299" t="s">
        <v>977</v>
      </c>
      <c r="O72" s="302">
        <v>0.46574074074074001</v>
      </c>
      <c r="P72" s="301">
        <v>44896</v>
      </c>
    </row>
    <row r="73" spans="1:16" outlineLevel="2" x14ac:dyDescent="0.3">
      <c r="A73" s="299" t="s">
        <v>962</v>
      </c>
      <c r="B73" s="299" t="s">
        <v>963</v>
      </c>
      <c r="C73" s="300">
        <v>-15512.1</v>
      </c>
      <c r="D73" s="299" t="s">
        <v>964</v>
      </c>
      <c r="E73" s="299" t="s">
        <v>986</v>
      </c>
      <c r="F73" s="299" t="s">
        <v>1000</v>
      </c>
      <c r="G73" s="299" t="s">
        <v>966</v>
      </c>
      <c r="H73" s="299" t="s">
        <v>35</v>
      </c>
      <c r="I73" s="299" t="s">
        <v>967</v>
      </c>
      <c r="J73" s="299" t="s">
        <v>968</v>
      </c>
      <c r="K73" s="301">
        <v>44895</v>
      </c>
      <c r="L73" s="299" t="s">
        <v>988</v>
      </c>
      <c r="M73" s="299" t="s">
        <v>979</v>
      </c>
      <c r="N73" s="299" t="s">
        <v>985</v>
      </c>
      <c r="O73" s="302">
        <v>0.41641203703703999</v>
      </c>
      <c r="P73" s="301">
        <v>44897</v>
      </c>
    </row>
    <row r="74" spans="1:16" outlineLevel="1" x14ac:dyDescent="0.3">
      <c r="A74" s="303" t="s">
        <v>353</v>
      </c>
      <c r="B74" s="303" t="s">
        <v>353</v>
      </c>
      <c r="C74" s="304">
        <v>0</v>
      </c>
      <c r="D74" s="303" t="s">
        <v>353</v>
      </c>
      <c r="E74" s="303" t="s">
        <v>353</v>
      </c>
      <c r="F74" s="303" t="s">
        <v>1000</v>
      </c>
      <c r="G74" s="303" t="s">
        <v>353</v>
      </c>
      <c r="H74" s="303" t="s">
        <v>353</v>
      </c>
      <c r="I74" s="303" t="s">
        <v>353</v>
      </c>
      <c r="J74" s="303" t="s">
        <v>353</v>
      </c>
      <c r="K74" s="305"/>
      <c r="L74" s="303" t="s">
        <v>353</v>
      </c>
      <c r="M74" s="303" t="s">
        <v>353</v>
      </c>
      <c r="N74" s="303" t="s">
        <v>353</v>
      </c>
      <c r="O74" s="306"/>
      <c r="P74" s="305"/>
    </row>
    <row r="75" spans="1:16" outlineLevel="2" x14ac:dyDescent="0.3">
      <c r="A75" s="299" t="s">
        <v>962</v>
      </c>
      <c r="B75" s="299" t="s">
        <v>963</v>
      </c>
      <c r="C75" s="300">
        <v>15512.1</v>
      </c>
      <c r="D75" s="299" t="s">
        <v>964</v>
      </c>
      <c r="E75" s="299" t="s">
        <v>1088</v>
      </c>
      <c r="F75" s="299" t="s">
        <v>1002</v>
      </c>
      <c r="G75" s="299" t="s">
        <v>966</v>
      </c>
      <c r="H75" s="299" t="s">
        <v>35</v>
      </c>
      <c r="I75" s="299" t="s">
        <v>967</v>
      </c>
      <c r="J75" s="299" t="s">
        <v>968</v>
      </c>
      <c r="K75" s="301">
        <v>44926</v>
      </c>
      <c r="L75" s="299" t="s">
        <v>1089</v>
      </c>
      <c r="M75" s="299" t="s">
        <v>976</v>
      </c>
      <c r="N75" s="299" t="s">
        <v>977</v>
      </c>
      <c r="O75" s="302">
        <v>0.47063657407407</v>
      </c>
      <c r="P75" s="301">
        <v>44929</v>
      </c>
    </row>
    <row r="76" spans="1:16" outlineLevel="2" x14ac:dyDescent="0.3">
      <c r="A76" s="299" t="s">
        <v>962</v>
      </c>
      <c r="B76" s="299" t="s">
        <v>974</v>
      </c>
      <c r="C76" s="300">
        <v>357692.6</v>
      </c>
      <c r="D76" s="299" t="s">
        <v>975</v>
      </c>
      <c r="E76" s="299" t="s">
        <v>1088</v>
      </c>
      <c r="F76" s="299" t="s">
        <v>1002</v>
      </c>
      <c r="G76" s="299" t="s">
        <v>966</v>
      </c>
      <c r="H76" s="299" t="s">
        <v>35</v>
      </c>
      <c r="I76" s="299" t="s">
        <v>967</v>
      </c>
      <c r="J76" s="299" t="s">
        <v>968</v>
      </c>
      <c r="K76" s="301">
        <v>44926</v>
      </c>
      <c r="L76" s="299" t="s">
        <v>1089</v>
      </c>
      <c r="M76" s="299" t="s">
        <v>976</v>
      </c>
      <c r="N76" s="299" t="s">
        <v>977</v>
      </c>
      <c r="O76" s="302">
        <v>0.47063657407407</v>
      </c>
      <c r="P76" s="301">
        <v>44929</v>
      </c>
    </row>
    <row r="77" spans="1:16" outlineLevel="2" x14ac:dyDescent="0.3">
      <c r="A77" s="299" t="s">
        <v>962</v>
      </c>
      <c r="B77" s="299" t="s">
        <v>974</v>
      </c>
      <c r="C77" s="300">
        <v>-357692.6</v>
      </c>
      <c r="D77" s="299" t="s">
        <v>975</v>
      </c>
      <c r="E77" s="299" t="s">
        <v>1003</v>
      </c>
      <c r="F77" s="299" t="s">
        <v>1002</v>
      </c>
      <c r="G77" s="299" t="s">
        <v>966</v>
      </c>
      <c r="H77" s="299" t="s">
        <v>35</v>
      </c>
      <c r="I77" s="299" t="s">
        <v>967</v>
      </c>
      <c r="J77" s="299" t="s">
        <v>968</v>
      </c>
      <c r="K77" s="301">
        <v>44926</v>
      </c>
      <c r="L77" s="299" t="s">
        <v>1090</v>
      </c>
      <c r="M77" s="299" t="s">
        <v>979</v>
      </c>
      <c r="N77" s="299" t="s">
        <v>985</v>
      </c>
      <c r="O77" s="302">
        <v>0.57565972222221995</v>
      </c>
      <c r="P77" s="301">
        <v>44929</v>
      </c>
    </row>
    <row r="78" spans="1:16" outlineLevel="2" x14ac:dyDescent="0.3">
      <c r="A78" s="299" t="s">
        <v>962</v>
      </c>
      <c r="B78" s="299" t="s">
        <v>963</v>
      </c>
      <c r="C78" s="300">
        <v>-15512.1</v>
      </c>
      <c r="D78" s="299" t="s">
        <v>964</v>
      </c>
      <c r="E78" s="299" t="s">
        <v>986</v>
      </c>
      <c r="F78" s="299" t="s">
        <v>1002</v>
      </c>
      <c r="G78" s="299" t="s">
        <v>966</v>
      </c>
      <c r="H78" s="299" t="s">
        <v>35</v>
      </c>
      <c r="I78" s="299" t="s">
        <v>967</v>
      </c>
      <c r="J78" s="299" t="s">
        <v>968</v>
      </c>
      <c r="K78" s="301">
        <v>44926</v>
      </c>
      <c r="L78" s="299" t="s">
        <v>988</v>
      </c>
      <c r="M78" s="299" t="s">
        <v>979</v>
      </c>
      <c r="N78" s="299" t="s">
        <v>985</v>
      </c>
      <c r="O78" s="302">
        <v>0.39416666666667</v>
      </c>
      <c r="P78" s="301">
        <v>44930</v>
      </c>
    </row>
    <row r="79" spans="1:16" outlineLevel="1" x14ac:dyDescent="0.3">
      <c r="A79" s="303" t="s">
        <v>353</v>
      </c>
      <c r="B79" s="303" t="s">
        <v>353</v>
      </c>
      <c r="C79" s="304">
        <v>0</v>
      </c>
      <c r="D79" s="303" t="s">
        <v>353</v>
      </c>
      <c r="E79" s="303" t="s">
        <v>353</v>
      </c>
      <c r="F79" s="303" t="s">
        <v>1002</v>
      </c>
      <c r="G79" s="303" t="s">
        <v>353</v>
      </c>
      <c r="H79" s="303" t="s">
        <v>353</v>
      </c>
      <c r="I79" s="303" t="s">
        <v>353</v>
      </c>
      <c r="J79" s="303" t="s">
        <v>353</v>
      </c>
      <c r="K79" s="305"/>
      <c r="L79" s="303" t="s">
        <v>353</v>
      </c>
      <c r="M79" s="303" t="s">
        <v>353</v>
      </c>
      <c r="N79" s="303" t="s">
        <v>353</v>
      </c>
      <c r="O79" s="306"/>
      <c r="P79" s="305"/>
    </row>
    <row r="80" spans="1:16" x14ac:dyDescent="0.3">
      <c r="A80" s="307" t="s">
        <v>353</v>
      </c>
      <c r="B80" s="307" t="s">
        <v>353</v>
      </c>
      <c r="C80" s="308">
        <v>144449.73000000001</v>
      </c>
      <c r="D80" s="307" t="s">
        <v>353</v>
      </c>
      <c r="E80" s="307" t="s">
        <v>353</v>
      </c>
      <c r="F80" s="307" t="s">
        <v>353</v>
      </c>
      <c r="G80" s="307" t="s">
        <v>353</v>
      </c>
      <c r="H80" s="307" t="s">
        <v>353</v>
      </c>
      <c r="I80" s="307" t="s">
        <v>353</v>
      </c>
      <c r="J80" s="307" t="s">
        <v>353</v>
      </c>
      <c r="K80" s="309"/>
      <c r="L80" s="307" t="s">
        <v>353</v>
      </c>
      <c r="M80" s="307" t="s">
        <v>353</v>
      </c>
      <c r="N80" s="307" t="s">
        <v>353</v>
      </c>
      <c r="O80" s="310"/>
      <c r="P80" s="309"/>
    </row>
  </sheetData>
  <pageMargins left="0.75" right="0.75" top="1" bottom="1" header="0.5" footer="0.5"/>
  <headerFooter alignWithMargins="0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D052DF-BAEA-41FC-9EBE-D2F4F5606E22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CDD85A8-C02B-4AC5-983C-1879BBA2F3F4}"/>
</file>

<file path=customXml/itemProps3.xml><?xml version="1.0" encoding="utf-8"?>
<ds:datastoreItem xmlns:ds="http://schemas.openxmlformats.org/officeDocument/2006/customXml" ds:itemID="{12A80B24-DCB0-4BED-8521-983FF7A35A42}"/>
</file>

<file path=customXml/itemProps4.xml><?xml version="1.0" encoding="utf-8"?>
<ds:datastoreItem xmlns:ds="http://schemas.openxmlformats.org/officeDocument/2006/customXml" ds:itemID="{C411A0DF-8475-4A5C-991F-15415BE8F9A3}"/>
</file>

<file path=customXml/itemProps5.xml><?xml version="1.0" encoding="utf-8"?>
<ds:datastoreItem xmlns:ds="http://schemas.openxmlformats.org/officeDocument/2006/customXml" ds:itemID="{B1284D66-5FB9-400A-AE09-303E00036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Allocated (CBR)</vt:lpstr>
      <vt:lpstr>Unallocated Detail (CBR)</vt:lpstr>
      <vt:lpstr>Unallocated Summary (CBR)</vt:lpstr>
      <vt:lpstr>Common by Account (CBR)</vt:lpstr>
      <vt:lpstr>==&gt;</vt:lpstr>
      <vt:lpstr>Allocators (CBR)</vt:lpstr>
      <vt:lpstr>FM</vt:lpstr>
      <vt:lpstr>Dec YTD</vt:lpstr>
      <vt:lpstr>SAPCrosstab1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Marina</cp:lastModifiedBy>
  <cp:lastPrinted>2019-01-31T01:20:07Z</cp:lastPrinted>
  <dcterms:created xsi:type="dcterms:W3CDTF">2017-10-30T16:51:04Z</dcterms:created>
  <dcterms:modified xsi:type="dcterms:W3CDTF">2023-03-28T16:57:22Z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0x0101006E56B4D1795A2E4DB2F0B01679ED314A000CCA0EFAD2D47E42A2D5D991393F51AC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